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comments1.xml" ContentType="application/vnd.openxmlformats-officedocument.spreadsheetml.comments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75" windowWidth="20115" windowHeight="9015"/>
  </bookViews>
  <sheets>
    <sheet name="Notice" sheetId="3" r:id="rId1"/>
    <sheet name="Summary Tables" sheetId="2" r:id="rId2"/>
    <sheet name="MLB - Tampa Bay Rays" sheetId="1" r:id="rId3"/>
    <sheet name="AAA - Durham Bulls" sheetId="11" r:id="rId4"/>
    <sheet name="AA - Montgomery Biscuits" sheetId="12" r:id="rId5"/>
    <sheet name="A+ - Charlotte Stone Crabs" sheetId="14" r:id="rId6"/>
    <sheet name="A - Bowling Green Hot Rods" sheetId="15" r:id="rId7"/>
    <sheet name="SS - Hudson Valley Renegades" sheetId="4" r:id="rId8"/>
    <sheet name="R+ - Princeton Rays" sheetId="7" r:id="rId9"/>
    <sheet name="R - GCL Rays" sheetId="9" r:id="rId10"/>
    <sheet name="R - VSL Rays" sheetId="16" r:id="rId11"/>
  </sheets>
  <calcPr calcId="144525"/>
</workbook>
</file>

<file path=xl/calcChain.xml><?xml version="1.0" encoding="utf-8"?>
<calcChain xmlns="http://schemas.openxmlformats.org/spreadsheetml/2006/main">
  <c r="ES170" i="1" l="1"/>
  <c r="FG170" i="1"/>
  <c r="FN170" i="1" s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 l="1"/>
  <c r="F172" i="1"/>
  <c r="F173" i="1"/>
  <c r="F174" i="1"/>
  <c r="F175" i="1"/>
  <c r="F176" i="1"/>
  <c r="F177" i="1"/>
  <c r="F183" i="1" s="1"/>
  <c r="F181" i="1"/>
  <c r="F171" i="1"/>
  <c r="F178" i="1" l="1"/>
  <c r="F179" i="1"/>
  <c r="F184" i="1"/>
  <c r="F182" i="1"/>
  <c r="F180" i="1"/>
  <c r="ES169" i="1"/>
  <c r="FO169" i="1" s="1"/>
  <c r="FG169" i="1"/>
  <c r="FN169" i="1" s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ES168" i="1"/>
  <c r="FO168" i="1" s="1"/>
  <c r="FG168" i="1"/>
  <c r="FN168" i="1" s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EC167" i="1"/>
  <c r="DZ167" i="1"/>
  <c r="AC167" i="1"/>
  <c r="K167" i="1"/>
  <c r="ES167" i="1"/>
  <c r="FO167" i="1" s="1"/>
  <c r="FG167" i="1"/>
  <c r="FN167" i="1" s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EC166" i="1"/>
  <c r="DZ166" i="1"/>
  <c r="AC166" i="1"/>
  <c r="K166" i="1"/>
  <c r="ES166" i="1"/>
  <c r="FO166" i="1" s="1"/>
  <c r="FG166" i="1"/>
  <c r="FN166" i="1" s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9" i="1" l="1"/>
  <c r="GI168" i="1"/>
  <c r="GI167" i="1"/>
  <c r="GI166" i="1"/>
  <c r="EC165" i="1"/>
  <c r="DZ165" i="1"/>
  <c r="ES165" i="1"/>
  <c r="FG165" i="1"/>
  <c r="FN165" i="1" s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 l="1"/>
  <c r="EC164" i="1"/>
  <c r="DZ164" i="1"/>
  <c r="AC164" i="1"/>
  <c r="K164" i="1"/>
  <c r="ES164" i="1"/>
  <c r="FG164" i="1"/>
  <c r="FN164" i="1" s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ES163" i="1" l="1"/>
  <c r="FG163" i="1"/>
  <c r="FN163" i="1" s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 l="1"/>
  <c r="ES162" i="1"/>
  <c r="FG162" i="1"/>
  <c r="FN162" i="1" s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 l="1"/>
  <c r="ES161" i="1"/>
  <c r="FG161" i="1"/>
  <c r="FN161" i="1" s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 l="1"/>
  <c r="ES160" i="1"/>
  <c r="FG160" i="1"/>
  <c r="FN160" i="1" s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 l="1"/>
  <c r="AC159" i="1"/>
  <c r="K159" i="1"/>
  <c r="ES159" i="1"/>
  <c r="FG159" i="1"/>
  <c r="FN159" i="1" s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 l="1"/>
  <c r="ES158" i="1"/>
  <c r="FO158" i="1" s="1"/>
  <c r="FG158" i="1"/>
  <c r="FN158" i="1" s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C158" i="1"/>
  <c r="GD158" i="1"/>
  <c r="GE158" i="1"/>
  <c r="GF158" i="1"/>
  <c r="GG158" i="1"/>
  <c r="GH158" i="1"/>
  <c r="GI158" i="1" l="1"/>
  <c r="ES157" i="1"/>
  <c r="FG157" i="1"/>
  <c r="FN157" i="1" s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 l="1"/>
  <c r="AC156" i="1"/>
  <c r="K156" i="1"/>
  <c r="ES156" i="1"/>
  <c r="FG156" i="1"/>
  <c r="FN156" i="1" s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 l="1"/>
  <c r="EC155" i="1"/>
  <c r="DZ155" i="1"/>
  <c r="ES155" i="1"/>
  <c r="FO155" i="1" s="1"/>
  <c r="FG155" i="1"/>
  <c r="FN155" i="1" s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EC154" i="1"/>
  <c r="DZ154" i="1"/>
  <c r="AC154" i="1"/>
  <c r="K154" i="1"/>
  <c r="ES154" i="1"/>
  <c r="FG154" i="1"/>
  <c r="FN154" i="1" s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AC153" i="1"/>
  <c r="K153" i="1"/>
  <c r="ES153" i="1"/>
  <c r="FG153" i="1"/>
  <c r="FN153" i="1" s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4" i="1" l="1"/>
  <c r="GI153" i="1"/>
  <c r="GI155" i="1"/>
  <c r="ES152" i="1"/>
  <c r="FG152" i="1"/>
  <c r="FN152" i="1" s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 l="1"/>
  <c r="AC151" i="1"/>
  <c r="K151" i="1"/>
  <c r="ES151" i="1"/>
  <c r="FG151" i="1"/>
  <c r="FN151" i="1" s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 l="1"/>
  <c r="EC150" i="1"/>
  <c r="ES150" i="1"/>
  <c r="FO150" i="1" s="1"/>
  <c r="FG150" i="1"/>
  <c r="FN150" i="1" s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 l="1"/>
  <c r="ES149" i="1"/>
  <c r="FG149" i="1"/>
  <c r="FN149" i="1" s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 l="1"/>
  <c r="AC148" i="1"/>
  <c r="K148" i="1"/>
  <c r="ES148" i="1"/>
  <c r="FG148" i="1"/>
  <c r="FN148" i="1" s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EC147" i="1"/>
  <c r="DZ147" i="1"/>
  <c r="AC147" i="1"/>
  <c r="K147" i="1"/>
  <c r="ES147" i="1"/>
  <c r="FG147" i="1"/>
  <c r="FN147" i="1" s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8" i="1" l="1"/>
  <c r="GI147" i="1"/>
  <c r="EC146" i="1"/>
  <c r="DZ146" i="1"/>
  <c r="ES146" i="1"/>
  <c r="FG146" i="1"/>
  <c r="FN146" i="1" s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 l="1"/>
  <c r="ER142" i="15"/>
  <c r="FF142" i="15"/>
  <c r="FG142" i="15"/>
  <c r="FH142" i="15"/>
  <c r="FI142" i="15"/>
  <c r="FJ142" i="15"/>
  <c r="FK142" i="15"/>
  <c r="FL142" i="15"/>
  <c r="FM142" i="15"/>
  <c r="FN142" i="15"/>
  <c r="FO142" i="15"/>
  <c r="FP142" i="15"/>
  <c r="FQ142" i="15"/>
  <c r="FR142" i="15"/>
  <c r="FS142" i="15"/>
  <c r="FT142" i="15"/>
  <c r="FU142" i="15"/>
  <c r="FV142" i="15"/>
  <c r="EB141" i="15"/>
  <c r="DY141" i="15"/>
  <c r="ER141" i="15"/>
  <c r="FF141" i="15"/>
  <c r="FG141" i="15" s="1"/>
  <c r="FH141" i="15"/>
  <c r="FI141" i="15"/>
  <c r="FJ141" i="15"/>
  <c r="FK141" i="15"/>
  <c r="FL141" i="15"/>
  <c r="FM141" i="15"/>
  <c r="FN141" i="15"/>
  <c r="FO141" i="15"/>
  <c r="FP141" i="15"/>
  <c r="FQ141" i="15"/>
  <c r="FR141" i="15"/>
  <c r="FS141" i="15"/>
  <c r="FT141" i="15"/>
  <c r="FU141" i="15"/>
  <c r="AB140" i="15"/>
  <c r="J140" i="15"/>
  <c r="ER140" i="15"/>
  <c r="FH140" i="15" s="1"/>
  <c r="FF140" i="15"/>
  <c r="FG140" i="15" s="1"/>
  <c r="FI140" i="15"/>
  <c r="FJ140" i="15"/>
  <c r="FK140" i="15"/>
  <c r="FL140" i="15"/>
  <c r="FM140" i="15"/>
  <c r="FN140" i="15"/>
  <c r="FO140" i="15"/>
  <c r="FP140" i="15"/>
  <c r="FQ140" i="15"/>
  <c r="FR140" i="15"/>
  <c r="FS140" i="15"/>
  <c r="FT140" i="15"/>
  <c r="FU140" i="15"/>
  <c r="ER139" i="15"/>
  <c r="FH139" i="15" s="1"/>
  <c r="FF139" i="15"/>
  <c r="FG139" i="15" s="1"/>
  <c r="FI139" i="15"/>
  <c r="FJ139" i="15"/>
  <c r="FK139" i="15"/>
  <c r="FL139" i="15"/>
  <c r="FM139" i="15"/>
  <c r="FN139" i="15"/>
  <c r="FO139" i="15"/>
  <c r="FP139" i="15"/>
  <c r="FQ139" i="15"/>
  <c r="FR139" i="15"/>
  <c r="FS139" i="15"/>
  <c r="FT139" i="15"/>
  <c r="FU139" i="15"/>
  <c r="EB138" i="15"/>
  <c r="DY138" i="15"/>
  <c r="ER138" i="15"/>
  <c r="FH138" i="15" s="1"/>
  <c r="FF138" i="15"/>
  <c r="FG138" i="15" s="1"/>
  <c r="FI138" i="15"/>
  <c r="FJ138" i="15"/>
  <c r="FK138" i="15"/>
  <c r="FL138" i="15"/>
  <c r="FM138" i="15"/>
  <c r="FN138" i="15"/>
  <c r="FO138" i="15"/>
  <c r="FP138" i="15"/>
  <c r="FQ138" i="15"/>
  <c r="FR138" i="15"/>
  <c r="FS138" i="15"/>
  <c r="FT138" i="15"/>
  <c r="FU138" i="15"/>
  <c r="ER137" i="15"/>
  <c r="FH137" i="15" s="1"/>
  <c r="FF137" i="15"/>
  <c r="FG137" i="15" s="1"/>
  <c r="FI137" i="15"/>
  <c r="FJ137" i="15"/>
  <c r="FK137" i="15"/>
  <c r="FL137" i="15"/>
  <c r="FM137" i="15"/>
  <c r="FN137" i="15"/>
  <c r="FO137" i="15"/>
  <c r="FP137" i="15"/>
  <c r="FQ137" i="15"/>
  <c r="FR137" i="15"/>
  <c r="FS137" i="15"/>
  <c r="FT137" i="15"/>
  <c r="FU137" i="15"/>
  <c r="AB136" i="15"/>
  <c r="J136" i="15"/>
  <c r="ER136" i="15"/>
  <c r="FH136" i="15" s="1"/>
  <c r="FF136" i="15"/>
  <c r="FG136" i="15" s="1"/>
  <c r="FI136" i="15"/>
  <c r="FJ136" i="15"/>
  <c r="FK136" i="15"/>
  <c r="FL136" i="15"/>
  <c r="FM136" i="15"/>
  <c r="FN136" i="15"/>
  <c r="FO136" i="15"/>
  <c r="FP136" i="15"/>
  <c r="FQ136" i="15"/>
  <c r="FR136" i="15"/>
  <c r="FS136" i="15"/>
  <c r="FT136" i="15"/>
  <c r="FU136" i="15"/>
  <c r="ER135" i="15"/>
  <c r="FF135" i="15"/>
  <c r="FG135" i="15" s="1"/>
  <c r="FH135" i="15"/>
  <c r="FI135" i="15"/>
  <c r="FJ135" i="15"/>
  <c r="FK135" i="15"/>
  <c r="FL135" i="15"/>
  <c r="FM135" i="15"/>
  <c r="FN135" i="15"/>
  <c r="FO135" i="15"/>
  <c r="FP135" i="15"/>
  <c r="FQ135" i="15"/>
  <c r="FR135" i="15"/>
  <c r="FS135" i="15"/>
  <c r="FT135" i="15"/>
  <c r="FU135" i="15"/>
  <c r="EB134" i="15"/>
  <c r="DY134" i="15"/>
  <c r="ER134" i="15"/>
  <c r="FF134" i="15"/>
  <c r="FG134" i="15" s="1"/>
  <c r="FH134" i="15"/>
  <c r="FI134" i="15"/>
  <c r="FJ134" i="15"/>
  <c r="FK134" i="15"/>
  <c r="FL134" i="15"/>
  <c r="FM134" i="15"/>
  <c r="FN134" i="15"/>
  <c r="FO134" i="15"/>
  <c r="FP134" i="15"/>
  <c r="FQ134" i="15"/>
  <c r="FR134" i="15"/>
  <c r="FS134" i="15"/>
  <c r="FT134" i="15"/>
  <c r="FU134" i="15"/>
  <c r="ER133" i="15"/>
  <c r="FH133" i="15" s="1"/>
  <c r="FF133" i="15"/>
  <c r="FG133" i="15" s="1"/>
  <c r="FI133" i="15"/>
  <c r="FJ133" i="15"/>
  <c r="FK133" i="15"/>
  <c r="FL133" i="15"/>
  <c r="FM133" i="15"/>
  <c r="FN133" i="15"/>
  <c r="FO133" i="15"/>
  <c r="FP133" i="15"/>
  <c r="FQ133" i="15"/>
  <c r="FR133" i="15"/>
  <c r="FS133" i="15"/>
  <c r="FT133" i="15"/>
  <c r="FU133" i="15"/>
  <c r="EB132" i="15"/>
  <c r="DY132" i="15"/>
  <c r="AB132" i="15"/>
  <c r="J132" i="15"/>
  <c r="ER132" i="15"/>
  <c r="FH132" i="15" s="1"/>
  <c r="FF132" i="15"/>
  <c r="FG132" i="15" s="1"/>
  <c r="FI132" i="15"/>
  <c r="FJ132" i="15"/>
  <c r="FK132" i="15"/>
  <c r="FL132" i="15"/>
  <c r="FM132" i="15"/>
  <c r="FN132" i="15"/>
  <c r="FO132" i="15"/>
  <c r="FP132" i="15"/>
  <c r="FQ132" i="15"/>
  <c r="FR132" i="15"/>
  <c r="FS132" i="15"/>
  <c r="FT132" i="15"/>
  <c r="FU132" i="15"/>
  <c r="EB131" i="15"/>
  <c r="DY131" i="15"/>
  <c r="ER131" i="15"/>
  <c r="FF131" i="15"/>
  <c r="FG131" i="15" s="1"/>
  <c r="FH131" i="15"/>
  <c r="FI131" i="15"/>
  <c r="FJ131" i="15"/>
  <c r="FK131" i="15"/>
  <c r="FL131" i="15"/>
  <c r="FM131" i="15"/>
  <c r="FN131" i="15"/>
  <c r="FO131" i="15"/>
  <c r="FP131" i="15"/>
  <c r="FQ131" i="15"/>
  <c r="FR131" i="15"/>
  <c r="FS131" i="15"/>
  <c r="FT131" i="15"/>
  <c r="FU131" i="15"/>
  <c r="ER130" i="15"/>
  <c r="FF130" i="15"/>
  <c r="FG130" i="15" s="1"/>
  <c r="FH130" i="15"/>
  <c r="FI130" i="15"/>
  <c r="FJ130" i="15"/>
  <c r="FK130" i="15"/>
  <c r="FL130" i="15"/>
  <c r="FM130" i="15"/>
  <c r="FN130" i="15"/>
  <c r="FO130" i="15"/>
  <c r="FP130" i="15"/>
  <c r="FQ130" i="15"/>
  <c r="FR130" i="15"/>
  <c r="FS130" i="15"/>
  <c r="FT130" i="15"/>
  <c r="FU130" i="15"/>
  <c r="ER129" i="15"/>
  <c r="FH129" i="15" s="1"/>
  <c r="FF129" i="15"/>
  <c r="FG129" i="15" s="1"/>
  <c r="FI129" i="15"/>
  <c r="FJ129" i="15"/>
  <c r="FK129" i="15"/>
  <c r="FL129" i="15"/>
  <c r="FM129" i="15"/>
  <c r="FN129" i="15"/>
  <c r="FO129" i="15"/>
  <c r="FP129" i="15"/>
  <c r="FQ129" i="15"/>
  <c r="FR129" i="15"/>
  <c r="FS129" i="15"/>
  <c r="FT129" i="15"/>
  <c r="FU129" i="15"/>
  <c r="FV141" i="15" l="1"/>
  <c r="FV138" i="15"/>
  <c r="FV139" i="15"/>
  <c r="FV140" i="15"/>
  <c r="FV137" i="15"/>
  <c r="FV136" i="15"/>
  <c r="FV134" i="15"/>
  <c r="FV135" i="15"/>
  <c r="FV131" i="15"/>
  <c r="FV132" i="15"/>
  <c r="FV133" i="15"/>
  <c r="FV130" i="15"/>
  <c r="FV129" i="15"/>
  <c r="EC145" i="1"/>
  <c r="DZ145" i="1"/>
  <c r="ES145" i="1"/>
  <c r="FO145" i="1" s="1"/>
  <c r="FG145" i="1"/>
  <c r="FN145" i="1" s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 l="1"/>
  <c r="ES144" i="1"/>
  <c r="FG144" i="1"/>
  <c r="FN144" i="1" s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C144" i="1"/>
  <c r="GD144" i="1"/>
  <c r="GE144" i="1"/>
  <c r="GF144" i="1"/>
  <c r="GG144" i="1"/>
  <c r="GH144" i="1"/>
  <c r="GI144" i="1" l="1"/>
  <c r="EC143" i="1"/>
  <c r="DZ143" i="1"/>
  <c r="ES143" i="1"/>
  <c r="FO143" i="1" s="1"/>
  <c r="FG143" i="1"/>
  <c r="FN143" i="1" s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 l="1"/>
  <c r="AC142" i="1"/>
  <c r="K142" i="1"/>
  <c r="ES142" i="1"/>
  <c r="FO142" i="1" s="1"/>
  <c r="FG142" i="1"/>
  <c r="FN142" i="1" s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 l="1"/>
  <c r="ES141" i="1"/>
  <c r="FO141" i="1" s="1"/>
  <c r="FG141" i="1"/>
  <c r="FN141" i="1" s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 l="1"/>
  <c r="EX142" i="14"/>
  <c r="FT142" i="14" s="1"/>
  <c r="FR142" i="14"/>
  <c r="FS142" i="14" s="1"/>
  <c r="EX141" i="14"/>
  <c r="FT141" i="14" s="1"/>
  <c r="FR141" i="14"/>
  <c r="FS141" i="14" s="1"/>
  <c r="EB140" i="14"/>
  <c r="DY140" i="14"/>
  <c r="EX140" i="14"/>
  <c r="FT140" i="14" s="1"/>
  <c r="FR140" i="14"/>
  <c r="FS140" i="14" s="1"/>
  <c r="AB139" i="14"/>
  <c r="J139" i="14"/>
  <c r="EX139" i="14"/>
  <c r="FT139" i="14" s="1"/>
  <c r="FR139" i="14"/>
  <c r="FS139" i="14" s="1"/>
  <c r="EX138" i="14"/>
  <c r="FT138" i="14" s="1"/>
  <c r="FR138" i="14"/>
  <c r="FS138" i="14" s="1"/>
  <c r="EX137" i="14"/>
  <c r="FT137" i="14" s="1"/>
  <c r="FR137" i="14"/>
  <c r="FS137" i="14" s="1"/>
  <c r="EB136" i="14"/>
  <c r="DY136" i="14"/>
  <c r="EX136" i="14"/>
  <c r="FT136" i="14" s="1"/>
  <c r="FR136" i="14"/>
  <c r="FS136" i="14" s="1"/>
  <c r="EB135" i="14"/>
  <c r="DY135" i="14"/>
  <c r="EX135" i="14"/>
  <c r="FT135" i="14" s="1"/>
  <c r="FR135" i="14"/>
  <c r="FS135" i="14" s="1"/>
  <c r="ET141" i="12"/>
  <c r="FJ141" i="12"/>
  <c r="FK141" i="12"/>
  <c r="FL141" i="12"/>
  <c r="EB140" i="12"/>
  <c r="DY140" i="12"/>
  <c r="ET140" i="12"/>
  <c r="FL140" i="12" s="1"/>
  <c r="FJ140" i="12"/>
  <c r="FK140" i="12"/>
  <c r="AB139" i="12"/>
  <c r="ET139" i="12"/>
  <c r="FL139" i="12" s="1"/>
  <c r="FJ139" i="12"/>
  <c r="FK139" i="12"/>
  <c r="ET138" i="12"/>
  <c r="FL138" i="12" s="1"/>
  <c r="FJ138" i="12"/>
  <c r="FK138" i="12" s="1"/>
  <c r="EQ146" i="11"/>
  <c r="FD146" i="11"/>
  <c r="FE146" i="11" s="1"/>
  <c r="FF146" i="11"/>
  <c r="EQ145" i="11"/>
  <c r="FD145" i="11"/>
  <c r="FE145" i="11" s="1"/>
  <c r="FF145" i="11"/>
  <c r="AB144" i="11"/>
  <c r="J144" i="11"/>
  <c r="EQ144" i="11"/>
  <c r="FF144" i="11" s="1"/>
  <c r="FD144" i="11"/>
  <c r="FE144" i="11" s="1"/>
  <c r="AB143" i="11"/>
  <c r="J143" i="11"/>
  <c r="EQ143" i="11"/>
  <c r="FF143" i="11" s="1"/>
  <c r="FD143" i="11"/>
  <c r="FE143" i="11" s="1"/>
  <c r="AC140" i="1" l="1"/>
  <c r="K140" i="1"/>
  <c r="ES140" i="1"/>
  <c r="FG140" i="1"/>
  <c r="FN140" i="1" s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 l="1"/>
  <c r="ES139" i="1"/>
  <c r="FG139" i="1"/>
  <c r="FN139" i="1" s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 l="1"/>
  <c r="AC138" i="1"/>
  <c r="K138" i="1"/>
  <c r="ES138" i="1"/>
  <c r="FG138" i="1"/>
  <c r="FN138" i="1" s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 l="1"/>
  <c r="AC137" i="1"/>
  <c r="K137" i="1"/>
  <c r="ES137" i="1"/>
  <c r="FG137" i="1"/>
  <c r="FN137" i="1" s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EB137" i="12"/>
  <c r="DY137" i="12"/>
  <c r="ET137" i="12"/>
  <c r="FL137" i="12" s="1"/>
  <c r="FJ137" i="12"/>
  <c r="FK137" i="12"/>
  <c r="ET136" i="12"/>
  <c r="FL136" i="12" s="1"/>
  <c r="FJ136" i="12"/>
  <c r="FK136" i="12" s="1"/>
  <c r="AB142" i="11"/>
  <c r="J142" i="11"/>
  <c r="EQ142" i="11"/>
  <c r="FD142" i="11"/>
  <c r="FE142" i="11"/>
  <c r="FF142" i="11"/>
  <c r="AB141" i="11"/>
  <c r="J141" i="11"/>
  <c r="EQ141" i="11"/>
  <c r="FD141" i="11"/>
  <c r="FE141" i="11" s="1"/>
  <c r="FF141" i="11"/>
  <c r="GI137" i="1" l="1"/>
  <c r="ET135" i="12"/>
  <c r="FJ135" i="12"/>
  <c r="FK135" i="12" s="1"/>
  <c r="FL135" i="12"/>
  <c r="ET134" i="12"/>
  <c r="FJ134" i="12"/>
  <c r="FK134" i="12" s="1"/>
  <c r="FL134" i="12"/>
  <c r="EQ140" i="11"/>
  <c r="FF140" i="11" s="1"/>
  <c r="FD140" i="11"/>
  <c r="FE140" i="11" s="1"/>
  <c r="EC136" i="1" l="1"/>
  <c r="DZ136" i="1"/>
  <c r="ES136" i="1"/>
  <c r="FO136" i="1" s="1"/>
  <c r="FG136" i="1"/>
  <c r="FN136" i="1" s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 l="1"/>
  <c r="EC135" i="1"/>
  <c r="DZ135" i="1"/>
  <c r="ES135" i="1"/>
  <c r="FO135" i="1" s="1"/>
  <c r="FG135" i="1"/>
  <c r="FN135" i="1" s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 l="1"/>
  <c r="EQ139" i="11"/>
  <c r="FF139" i="11" s="1"/>
  <c r="FD139" i="11"/>
  <c r="FE139" i="11" s="1"/>
  <c r="EQ138" i="11" l="1"/>
  <c r="FF138" i="11" s="1"/>
  <c r="FD138" i="11"/>
  <c r="FE138" i="11" s="1"/>
  <c r="AC134" i="1"/>
  <c r="K134" i="1"/>
  <c r="ES134" i="1"/>
  <c r="FG134" i="1"/>
  <c r="FN134" i="1" s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GA134" i="1"/>
  <c r="GB134" i="1"/>
  <c r="GC134" i="1"/>
  <c r="GD134" i="1"/>
  <c r="GE134" i="1"/>
  <c r="GF134" i="1"/>
  <c r="GG134" i="1"/>
  <c r="GH134" i="1"/>
  <c r="GI134" i="1" l="1"/>
  <c r="EC133" i="1"/>
  <c r="DZ133" i="1"/>
  <c r="AC133" i="1"/>
  <c r="K133" i="1"/>
  <c r="ES133" i="1"/>
  <c r="FG133" i="1"/>
  <c r="FN133" i="1" s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 l="1"/>
  <c r="EB134" i="14"/>
  <c r="DY134" i="14"/>
  <c r="AB134" i="14"/>
  <c r="J134" i="14"/>
  <c r="EX134" i="14"/>
  <c r="FT134" i="14" s="1"/>
  <c r="FR134" i="14"/>
  <c r="FS134" i="14" s="1"/>
  <c r="AB133" i="14"/>
  <c r="J133" i="14"/>
  <c r="EX133" i="14"/>
  <c r="FT133" i="14" s="1"/>
  <c r="FR133" i="14"/>
  <c r="FS133" i="14" s="1"/>
  <c r="EX132" i="14"/>
  <c r="FT132" i="14" s="1"/>
  <c r="FR132" i="14"/>
  <c r="FS132" i="14" s="1"/>
  <c r="EX131" i="14"/>
  <c r="FT131" i="14" s="1"/>
  <c r="FR131" i="14"/>
  <c r="FS131" i="14" s="1"/>
  <c r="EB133" i="12"/>
  <c r="DY133" i="12"/>
  <c r="ET133" i="12"/>
  <c r="FL133" i="12" s="1"/>
  <c r="FJ133" i="12"/>
  <c r="FK133" i="12" s="1"/>
  <c r="ET132" i="12"/>
  <c r="FJ132" i="12"/>
  <c r="FK132" i="12" s="1"/>
  <c r="FL132" i="12"/>
  <c r="EB131" i="12"/>
  <c r="DY131" i="12"/>
  <c r="ET131" i="12"/>
  <c r="FJ131" i="12"/>
  <c r="FK131" i="12" s="1"/>
  <c r="FL131" i="12"/>
  <c r="ET130" i="12"/>
  <c r="FJ130" i="12"/>
  <c r="FK130" i="12" s="1"/>
  <c r="FL130" i="12"/>
  <c r="ET129" i="12"/>
  <c r="FJ129" i="12"/>
  <c r="FK129" i="12" s="1"/>
  <c r="FL129" i="12"/>
  <c r="J137" i="11" l="1"/>
  <c r="EQ137" i="11"/>
  <c r="FD137" i="11"/>
  <c r="FE137" i="11" s="1"/>
  <c r="FF137" i="11"/>
  <c r="AB136" i="11"/>
  <c r="EQ136" i="11"/>
  <c r="FF136" i="11" s="1"/>
  <c r="FD136" i="11"/>
  <c r="FE136" i="11" s="1"/>
  <c r="EB135" i="11"/>
  <c r="DY135" i="11"/>
  <c r="AB135" i="11"/>
  <c r="J135" i="11"/>
  <c r="EQ135" i="11"/>
  <c r="FD135" i="11"/>
  <c r="FE135" i="11" s="1"/>
  <c r="FF135" i="11"/>
  <c r="EB134" i="11"/>
  <c r="DY134" i="11"/>
  <c r="EQ134" i="11"/>
  <c r="FF134" i="11" s="1"/>
  <c r="FD134" i="11"/>
  <c r="FE134" i="11" s="1"/>
  <c r="EC132" i="1" l="1"/>
  <c r="DZ132" i="1"/>
  <c r="ES132" i="1"/>
  <c r="FG132" i="1"/>
  <c r="FN132" i="1" s="1"/>
  <c r="FO132" i="1"/>
  <c r="FP132" i="1"/>
  <c r="FQ132" i="1"/>
  <c r="FR132" i="1"/>
  <c r="FS132" i="1"/>
  <c r="FT132" i="1"/>
  <c r="FU132" i="1"/>
  <c r="FV132" i="1"/>
  <c r="FW132" i="1"/>
  <c r="FX132" i="1"/>
  <c r="FY132" i="1"/>
  <c r="FZ132" i="1"/>
  <c r="GA132" i="1"/>
  <c r="GB132" i="1"/>
  <c r="GC132" i="1"/>
  <c r="GD132" i="1"/>
  <c r="GE132" i="1"/>
  <c r="GF132" i="1"/>
  <c r="GG132" i="1"/>
  <c r="GH132" i="1"/>
  <c r="ES131" i="1"/>
  <c r="FG131" i="1"/>
  <c r="FN131" i="1" s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2" i="1" l="1"/>
  <c r="GI131" i="1"/>
  <c r="EB133" i="11"/>
  <c r="DY133" i="11"/>
  <c r="AB133" i="11"/>
  <c r="J133" i="11"/>
  <c r="EQ133" i="11"/>
  <c r="FD133" i="11"/>
  <c r="FE133" i="11" s="1"/>
  <c r="FF133" i="11"/>
  <c r="AC130" i="1" l="1"/>
  <c r="K130" i="1"/>
  <c r="ES130" i="1"/>
  <c r="FG130" i="1"/>
  <c r="FN130" i="1" s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AC129" i="1"/>
  <c r="K129" i="1"/>
  <c r="ES129" i="1"/>
  <c r="FO129" i="1" s="1"/>
  <c r="FG129" i="1"/>
  <c r="FN129" i="1" s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30" i="1" l="1"/>
  <c r="GI129" i="1"/>
  <c r="AB55" i="7"/>
  <c r="J55" i="7"/>
  <c r="ER55" i="7"/>
  <c r="FF55" i="7"/>
  <c r="FG55" i="7"/>
  <c r="FH55" i="7"/>
  <c r="ER54" i="7"/>
  <c r="FF54" i="7"/>
  <c r="FG54" i="7" s="1"/>
  <c r="FH54" i="7"/>
  <c r="ER53" i="7"/>
  <c r="FF53" i="7"/>
  <c r="FG53" i="7" s="1"/>
  <c r="FH53" i="7"/>
  <c r="AB64" i="4"/>
  <c r="J64" i="4"/>
  <c r="ER64" i="4"/>
  <c r="FH64" i="4" s="1"/>
  <c r="FF64" i="4"/>
  <c r="FG64" i="4"/>
  <c r="ER128" i="15"/>
  <c r="FH128" i="15" s="1"/>
  <c r="FF128" i="15"/>
  <c r="FG128" i="15"/>
  <c r="FI128" i="15"/>
  <c r="FJ128" i="15"/>
  <c r="FK128" i="15"/>
  <c r="FL128" i="15"/>
  <c r="FM128" i="15"/>
  <c r="FN128" i="15"/>
  <c r="FO128" i="15"/>
  <c r="FP128" i="15"/>
  <c r="FQ128" i="15"/>
  <c r="FR128" i="15"/>
  <c r="FS128" i="15"/>
  <c r="FT128" i="15"/>
  <c r="FU128" i="15"/>
  <c r="FV128" i="15" l="1"/>
  <c r="EX130" i="14"/>
  <c r="FT130" i="14" s="1"/>
  <c r="FR130" i="14"/>
  <c r="FS130" i="14" s="1"/>
  <c r="AB128" i="12"/>
  <c r="J128" i="12"/>
  <c r="ET128" i="12"/>
  <c r="FL128" i="12" s="1"/>
  <c r="FJ128" i="12"/>
  <c r="FK128" i="12" s="1"/>
  <c r="EB132" i="11"/>
  <c r="DY132" i="11"/>
  <c r="AB132" i="11"/>
  <c r="J132" i="11"/>
  <c r="EQ132" i="11"/>
  <c r="FF132" i="11" s="1"/>
  <c r="FD132" i="11"/>
  <c r="FE132" i="11" s="1"/>
  <c r="EC128" i="1"/>
  <c r="DZ128" i="1"/>
  <c r="ES128" i="1"/>
  <c r="FO128" i="1" s="1"/>
  <c r="FG128" i="1"/>
  <c r="FN128" i="1" s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E128" i="1"/>
  <c r="GF128" i="1"/>
  <c r="GG128" i="1"/>
  <c r="GH128" i="1"/>
  <c r="GI128" i="1" l="1"/>
  <c r="AB63" i="4"/>
  <c r="J63" i="4"/>
  <c r="ER63" i="4"/>
  <c r="FF63" i="4"/>
  <c r="FG63" i="4"/>
  <c r="FH63" i="4"/>
  <c r="ER127" i="15"/>
  <c r="FF127" i="15"/>
  <c r="FG127" i="15" s="1"/>
  <c r="FH127" i="15"/>
  <c r="FI127" i="15"/>
  <c r="FJ127" i="15"/>
  <c r="FK127" i="15"/>
  <c r="FL127" i="15"/>
  <c r="FM127" i="15"/>
  <c r="FN127" i="15"/>
  <c r="FO127" i="15"/>
  <c r="FP127" i="15"/>
  <c r="FQ127" i="15"/>
  <c r="FR127" i="15"/>
  <c r="FS127" i="15"/>
  <c r="FT127" i="15"/>
  <c r="FU127" i="15"/>
  <c r="EX129" i="14"/>
  <c r="FT129" i="14" s="1"/>
  <c r="FR129" i="14"/>
  <c r="FS129" i="14" s="1"/>
  <c r="ET127" i="12"/>
  <c r="FL127" i="12" s="1"/>
  <c r="FJ127" i="12"/>
  <c r="FK127" i="12" s="1"/>
  <c r="EB131" i="11"/>
  <c r="DY131" i="11"/>
  <c r="EQ131" i="11"/>
  <c r="FF131" i="11" s="1"/>
  <c r="FD131" i="11"/>
  <c r="FE131" i="11" s="1"/>
  <c r="FV127" i="15" l="1"/>
  <c r="AC127" i="1"/>
  <c r="K127" i="1"/>
  <c r="ES127" i="1"/>
  <c r="FO127" i="1" s="1"/>
  <c r="FG127" i="1"/>
  <c r="FN127" i="1" s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 l="1"/>
  <c r="AB52" i="7"/>
  <c r="J52" i="7"/>
  <c r="ER52" i="7"/>
  <c r="FH52" i="7" s="1"/>
  <c r="FF52" i="7"/>
  <c r="FG52" i="7"/>
  <c r="ER51" i="7"/>
  <c r="FF51" i="7"/>
  <c r="FG51" i="7" s="1"/>
  <c r="FH51" i="7"/>
  <c r="ER50" i="7"/>
  <c r="FF50" i="7"/>
  <c r="FG50" i="7" s="1"/>
  <c r="FH50" i="7"/>
  <c r="ER49" i="7"/>
  <c r="FF49" i="7"/>
  <c r="FG49" i="7" s="1"/>
  <c r="FH49" i="7"/>
  <c r="ER62" i="4"/>
  <c r="FF62" i="4"/>
  <c r="FG62" i="4"/>
  <c r="FH62" i="4"/>
  <c r="ER61" i="4"/>
  <c r="FF61" i="4"/>
  <c r="FG61" i="4" s="1"/>
  <c r="FH61" i="4"/>
  <c r="EB60" i="4"/>
  <c r="DY60" i="4"/>
  <c r="AB60" i="4"/>
  <c r="J60" i="4"/>
  <c r="ER60" i="4"/>
  <c r="FF60" i="4"/>
  <c r="FG60" i="4" s="1"/>
  <c r="FH60" i="4"/>
  <c r="EB59" i="4"/>
  <c r="DY59" i="4"/>
  <c r="AB59" i="4"/>
  <c r="ER59" i="4"/>
  <c r="FH59" i="4" s="1"/>
  <c r="FF59" i="4"/>
  <c r="FG59" i="4" s="1"/>
  <c r="EB58" i="4"/>
  <c r="DY58" i="4"/>
  <c r="ER58" i="4"/>
  <c r="FF58" i="4"/>
  <c r="FG58" i="4" s="1"/>
  <c r="FH58" i="4"/>
  <c r="ER57" i="4"/>
  <c r="FF57" i="4"/>
  <c r="FG57" i="4" s="1"/>
  <c r="FH57" i="4"/>
  <c r="ER56" i="4"/>
  <c r="FF56" i="4"/>
  <c r="FG56" i="4" s="1"/>
  <c r="FH56" i="4"/>
  <c r="AB126" i="15" l="1"/>
  <c r="J126" i="15"/>
  <c r="ER126" i="15"/>
  <c r="FF126" i="15"/>
  <c r="FG126" i="15" s="1"/>
  <c r="FH126" i="15"/>
  <c r="FI126" i="15"/>
  <c r="FJ126" i="15"/>
  <c r="FK126" i="15"/>
  <c r="FL126" i="15"/>
  <c r="FM126" i="15"/>
  <c r="FN126" i="15"/>
  <c r="FO126" i="15"/>
  <c r="FP126" i="15"/>
  <c r="FQ126" i="15"/>
  <c r="FR126" i="15"/>
  <c r="FS126" i="15"/>
  <c r="FT126" i="15"/>
  <c r="FU126" i="15"/>
  <c r="EX128" i="14"/>
  <c r="FT128" i="14" s="1"/>
  <c r="FR128" i="14"/>
  <c r="FS128" i="14" s="1"/>
  <c r="ET126" i="12"/>
  <c r="FL126" i="12" s="1"/>
  <c r="FJ126" i="12"/>
  <c r="FK126" i="12" s="1"/>
  <c r="EQ130" i="11"/>
  <c r="FF130" i="11" s="1"/>
  <c r="FD130" i="11"/>
  <c r="FE130" i="11" s="1"/>
  <c r="EC126" i="1"/>
  <c r="DZ126" i="1"/>
  <c r="ES126" i="1"/>
  <c r="FG126" i="1"/>
  <c r="FN126" i="1" s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FV126" i="15" l="1"/>
  <c r="GI126" i="1"/>
  <c r="AB55" i="4"/>
  <c r="J55" i="4"/>
  <c r="ER55" i="4"/>
  <c r="FH55" i="4" s="1"/>
  <c r="FF55" i="4"/>
  <c r="FG55" i="4" s="1"/>
  <c r="ER125" i="15"/>
  <c r="FH125" i="15" s="1"/>
  <c r="FF125" i="15"/>
  <c r="FG125" i="15" s="1"/>
  <c r="FI125" i="15"/>
  <c r="FJ125" i="15"/>
  <c r="FK125" i="15"/>
  <c r="FL125" i="15"/>
  <c r="FM125" i="15"/>
  <c r="FN125" i="15"/>
  <c r="FO125" i="15"/>
  <c r="FP125" i="15"/>
  <c r="FQ125" i="15"/>
  <c r="FR125" i="15"/>
  <c r="FS125" i="15"/>
  <c r="FT125" i="15"/>
  <c r="FU125" i="15"/>
  <c r="AB124" i="15"/>
  <c r="ER124" i="15"/>
  <c r="FH124" i="15" s="1"/>
  <c r="FF124" i="15"/>
  <c r="FG124" i="15" s="1"/>
  <c r="FI124" i="15"/>
  <c r="FJ124" i="15"/>
  <c r="FK124" i="15"/>
  <c r="FL124" i="15"/>
  <c r="FM124" i="15"/>
  <c r="FN124" i="15"/>
  <c r="FO124" i="15"/>
  <c r="FP124" i="15"/>
  <c r="FQ124" i="15"/>
  <c r="FR124" i="15"/>
  <c r="FS124" i="15"/>
  <c r="FT124" i="15"/>
  <c r="FU124" i="15"/>
  <c r="ER123" i="15"/>
  <c r="FF123" i="15"/>
  <c r="FG123" i="15" s="1"/>
  <c r="FH123" i="15"/>
  <c r="FI123" i="15"/>
  <c r="FJ123" i="15"/>
  <c r="FK123" i="15"/>
  <c r="FL123" i="15"/>
  <c r="FM123" i="15"/>
  <c r="FN123" i="15"/>
  <c r="FO123" i="15"/>
  <c r="FP123" i="15"/>
  <c r="FQ123" i="15"/>
  <c r="FR123" i="15"/>
  <c r="FS123" i="15"/>
  <c r="FT123" i="15"/>
  <c r="FU123" i="15"/>
  <c r="ER122" i="15"/>
  <c r="FF122" i="15"/>
  <c r="FG122" i="15" s="1"/>
  <c r="FH122" i="15"/>
  <c r="FI122" i="15"/>
  <c r="FJ122" i="15"/>
  <c r="FK122" i="15"/>
  <c r="FL122" i="15"/>
  <c r="FM122" i="15"/>
  <c r="FN122" i="15"/>
  <c r="FO122" i="15"/>
  <c r="FP122" i="15"/>
  <c r="FQ122" i="15"/>
  <c r="FR122" i="15"/>
  <c r="FS122" i="15"/>
  <c r="FT122" i="15"/>
  <c r="FU122" i="15"/>
  <c r="AB121" i="15"/>
  <c r="J121" i="15"/>
  <c r="ER121" i="15"/>
  <c r="FF121" i="15"/>
  <c r="FG121" i="15" s="1"/>
  <c r="FH121" i="15"/>
  <c r="FI121" i="15"/>
  <c r="FJ121" i="15"/>
  <c r="FK121" i="15"/>
  <c r="FL121" i="15"/>
  <c r="FM121" i="15"/>
  <c r="FN121" i="15"/>
  <c r="FO121" i="15"/>
  <c r="FP121" i="15"/>
  <c r="FQ121" i="15"/>
  <c r="FR121" i="15"/>
  <c r="FS121" i="15"/>
  <c r="FT121" i="15"/>
  <c r="FU121" i="15"/>
  <c r="AB120" i="15"/>
  <c r="J120" i="15"/>
  <c r="ER120" i="15"/>
  <c r="FF120" i="15"/>
  <c r="FG120" i="15" s="1"/>
  <c r="FH120" i="15"/>
  <c r="FI120" i="15"/>
  <c r="FJ120" i="15"/>
  <c r="FK120" i="15"/>
  <c r="FL120" i="15"/>
  <c r="FM120" i="15"/>
  <c r="FN120" i="15"/>
  <c r="FO120" i="15"/>
  <c r="FP120" i="15"/>
  <c r="FQ120" i="15"/>
  <c r="FR120" i="15"/>
  <c r="FS120" i="15"/>
  <c r="FT120" i="15"/>
  <c r="FU120" i="15"/>
  <c r="ER119" i="15"/>
  <c r="FH119" i="15" s="1"/>
  <c r="FF119" i="15"/>
  <c r="FG119" i="15" s="1"/>
  <c r="FI119" i="15"/>
  <c r="FJ119" i="15"/>
  <c r="FK119" i="15"/>
  <c r="FL119" i="15"/>
  <c r="FM119" i="15"/>
  <c r="FN119" i="15"/>
  <c r="FO119" i="15"/>
  <c r="FP119" i="15"/>
  <c r="FQ119" i="15"/>
  <c r="FR119" i="15"/>
  <c r="FS119" i="15"/>
  <c r="FT119" i="15"/>
  <c r="FU119" i="15"/>
  <c r="AB118" i="15"/>
  <c r="J118" i="15"/>
  <c r="ER118" i="15"/>
  <c r="FH118" i="15" s="1"/>
  <c r="FF118" i="15"/>
  <c r="FG118" i="15" s="1"/>
  <c r="FI118" i="15"/>
  <c r="FJ118" i="15"/>
  <c r="FK118" i="15"/>
  <c r="FL118" i="15"/>
  <c r="FM118" i="15"/>
  <c r="FN118" i="15"/>
  <c r="FO118" i="15"/>
  <c r="FP118" i="15"/>
  <c r="FQ118" i="15"/>
  <c r="FR118" i="15"/>
  <c r="FS118" i="15"/>
  <c r="FT118" i="15"/>
  <c r="FU118" i="15"/>
  <c r="AB127" i="14"/>
  <c r="J127" i="14"/>
  <c r="EX127" i="14"/>
  <c r="FT127" i="14" s="1"/>
  <c r="FR127" i="14"/>
  <c r="FS127" i="14" s="1"/>
  <c r="EX126" i="14"/>
  <c r="FT126" i="14" s="1"/>
  <c r="FR126" i="14"/>
  <c r="FS126" i="14" s="1"/>
  <c r="EX125" i="14"/>
  <c r="FT125" i="14" s="1"/>
  <c r="FR125" i="14"/>
  <c r="FS125" i="14" s="1"/>
  <c r="EX124" i="14"/>
  <c r="FT124" i="14" s="1"/>
  <c r="FR124" i="14"/>
  <c r="FS124" i="14" s="1"/>
  <c r="EX123" i="14"/>
  <c r="FT123" i="14" s="1"/>
  <c r="FR123" i="14"/>
  <c r="FS123" i="14" s="1"/>
  <c r="EB122" i="14"/>
  <c r="AB122" i="14"/>
  <c r="J122" i="14"/>
  <c r="EX122" i="14"/>
  <c r="FT122" i="14" s="1"/>
  <c r="FR122" i="14"/>
  <c r="FS122" i="14" s="1"/>
  <c r="EX121" i="14"/>
  <c r="FT121" i="14" s="1"/>
  <c r="FR121" i="14"/>
  <c r="FS121" i="14" s="1"/>
  <c r="AB120" i="14"/>
  <c r="J120" i="14"/>
  <c r="EX120" i="14"/>
  <c r="FT120" i="14" s="1"/>
  <c r="FR120" i="14"/>
  <c r="FS120" i="14" s="1"/>
  <c r="EB119" i="14"/>
  <c r="DY119" i="14"/>
  <c r="EX119" i="14"/>
  <c r="FT119" i="14" s="1"/>
  <c r="FR119" i="14"/>
  <c r="FS119" i="14" s="1"/>
  <c r="AB125" i="12"/>
  <c r="J125" i="12"/>
  <c r="ET125" i="12"/>
  <c r="FJ125" i="12"/>
  <c r="FK125" i="12" s="1"/>
  <c r="FL125" i="12"/>
  <c r="AB124" i="12"/>
  <c r="J124" i="12"/>
  <c r="ET124" i="12"/>
  <c r="FL124" i="12" s="1"/>
  <c r="FJ124" i="12"/>
  <c r="FK124" i="12" s="1"/>
  <c r="EB123" i="12"/>
  <c r="DY123" i="12"/>
  <c r="AB123" i="12"/>
  <c r="J123" i="12"/>
  <c r="ET123" i="12"/>
  <c r="FL123" i="12" s="1"/>
  <c r="FJ123" i="12"/>
  <c r="FK123" i="12" s="1"/>
  <c r="AB122" i="12"/>
  <c r="J122" i="12"/>
  <c r="ET122" i="12"/>
  <c r="FL122" i="12" s="1"/>
  <c r="FJ122" i="12"/>
  <c r="FK122" i="12" s="1"/>
  <c r="ET121" i="12"/>
  <c r="FL121" i="12" s="1"/>
  <c r="FJ121" i="12"/>
  <c r="FK121" i="12" s="1"/>
  <c r="AB120" i="12"/>
  <c r="J120" i="12"/>
  <c r="ET120" i="12"/>
  <c r="FL120" i="12" s="1"/>
  <c r="FJ120" i="12"/>
  <c r="FK120" i="12" s="1"/>
  <c r="ET119" i="12"/>
  <c r="FL119" i="12" s="1"/>
  <c r="FJ119" i="12"/>
  <c r="FK119" i="12" s="1"/>
  <c r="EB129" i="11"/>
  <c r="DY129" i="11"/>
  <c r="AB129" i="11"/>
  <c r="J129" i="11"/>
  <c r="EQ129" i="11"/>
  <c r="FD129" i="11"/>
  <c r="FE129" i="11" s="1"/>
  <c r="FF129" i="11"/>
  <c r="EB128" i="11"/>
  <c r="DY128" i="11"/>
  <c r="EQ128" i="11"/>
  <c r="FD128" i="11"/>
  <c r="FE128" i="11" s="1"/>
  <c r="FF128" i="11"/>
  <c r="AB127" i="11"/>
  <c r="J127" i="11"/>
  <c r="EQ127" i="11"/>
  <c r="FD127" i="11"/>
  <c r="FE127" i="11" s="1"/>
  <c r="FF127" i="11"/>
  <c r="EQ126" i="11"/>
  <c r="FD126" i="11"/>
  <c r="FE126" i="11" s="1"/>
  <c r="FF126" i="11"/>
  <c r="AB125" i="11"/>
  <c r="J125" i="11"/>
  <c r="EQ125" i="11"/>
  <c r="FD125" i="11"/>
  <c r="FE125" i="11" s="1"/>
  <c r="FF125" i="11"/>
  <c r="EC125" i="1"/>
  <c r="DZ125" i="1"/>
  <c r="AC125" i="1"/>
  <c r="K125" i="1"/>
  <c r="ES125" i="1"/>
  <c r="FG125" i="1"/>
  <c r="FN125" i="1" s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FV125" i="15" l="1"/>
  <c r="FV124" i="15"/>
  <c r="GI125" i="1"/>
  <c r="FV123" i="15"/>
  <c r="FV122" i="15"/>
  <c r="FV121" i="15"/>
  <c r="FV120" i="15"/>
  <c r="FV118" i="15"/>
  <c r="FV119" i="15"/>
  <c r="AC124" i="1"/>
  <c r="K124" i="1"/>
  <c r="ES124" i="1"/>
  <c r="FO124" i="1" s="1"/>
  <c r="FG124" i="1"/>
  <c r="FN124" i="1" s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 l="1"/>
  <c r="FH172" i="1"/>
  <c r="FI172" i="1"/>
  <c r="FJ172" i="1"/>
  <c r="FK172" i="1"/>
  <c r="FL172" i="1"/>
  <c r="FM172" i="1"/>
  <c r="FH173" i="1"/>
  <c r="FI173" i="1"/>
  <c r="FJ173" i="1"/>
  <c r="FK173" i="1"/>
  <c r="FL173" i="1"/>
  <c r="FM173" i="1"/>
  <c r="FH174" i="1"/>
  <c r="FI174" i="1"/>
  <c r="FJ174" i="1"/>
  <c r="FK174" i="1"/>
  <c r="FL174" i="1"/>
  <c r="FM174" i="1"/>
  <c r="FH175" i="1"/>
  <c r="FI175" i="1"/>
  <c r="FJ175" i="1"/>
  <c r="FK175" i="1"/>
  <c r="FL175" i="1"/>
  <c r="FM175" i="1"/>
  <c r="FH176" i="1"/>
  <c r="FI176" i="1"/>
  <c r="FJ176" i="1"/>
  <c r="FK176" i="1"/>
  <c r="FL176" i="1"/>
  <c r="FM176" i="1"/>
  <c r="FH177" i="1"/>
  <c r="FI177" i="1"/>
  <c r="FJ177" i="1"/>
  <c r="FK177" i="1"/>
  <c r="FL177" i="1"/>
  <c r="FM177" i="1"/>
  <c r="FH181" i="1"/>
  <c r="FH178" i="1" s="1"/>
  <c r="FI181" i="1"/>
  <c r="FI178" i="1" s="1"/>
  <c r="FJ181" i="1"/>
  <c r="FK181" i="1"/>
  <c r="FK178" i="1" s="1"/>
  <c r="FL181" i="1"/>
  <c r="FM181" i="1"/>
  <c r="FM178" i="1" s="1"/>
  <c r="FH182" i="1"/>
  <c r="FI182" i="1"/>
  <c r="FM171" i="1"/>
  <c r="FL171" i="1"/>
  <c r="FK171" i="1"/>
  <c r="FJ171" i="1"/>
  <c r="FI171" i="1"/>
  <c r="FH171" i="1"/>
  <c r="ES123" i="1"/>
  <c r="FO123" i="1" s="1"/>
  <c r="FG123" i="1"/>
  <c r="FN123" i="1" s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FL178" i="1" l="1"/>
  <c r="FJ178" i="1"/>
  <c r="FI183" i="1"/>
  <c r="FH184" i="1"/>
  <c r="FL182" i="1"/>
  <c r="GI123" i="1"/>
  <c r="FJ184" i="1"/>
  <c r="FJ183" i="1"/>
  <c r="FI184" i="1"/>
  <c r="FH183" i="1"/>
  <c r="FM183" i="1"/>
  <c r="FM182" i="1"/>
  <c r="FL184" i="1"/>
  <c r="FM184" i="1"/>
  <c r="FL183" i="1"/>
  <c r="FK184" i="1"/>
  <c r="FK183" i="1"/>
  <c r="FK182" i="1"/>
  <c r="FJ182" i="1"/>
  <c r="FM180" i="1"/>
  <c r="FK180" i="1"/>
  <c r="FI180" i="1"/>
  <c r="FM179" i="1"/>
  <c r="FK179" i="1"/>
  <c r="FI179" i="1"/>
  <c r="FL180" i="1"/>
  <c r="FJ180" i="1"/>
  <c r="FH180" i="1"/>
  <c r="FL179" i="1"/>
  <c r="FJ179" i="1"/>
  <c r="FH179" i="1"/>
  <c r="EC122" i="1"/>
  <c r="DZ122" i="1"/>
  <c r="ES122" i="1"/>
  <c r="FO122" i="1" s="1"/>
  <c r="FG122" i="1"/>
  <c r="FN122" i="1" s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 l="1"/>
  <c r="EC121" i="1"/>
  <c r="DZ121" i="1"/>
  <c r="ES121" i="1"/>
  <c r="FO121" i="1" s="1"/>
  <c r="FG121" i="1"/>
  <c r="FN121" i="1" s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 l="1"/>
  <c r="EQ124" i="11"/>
  <c r="FD124" i="11"/>
  <c r="FE124" i="11" s="1"/>
  <c r="FF124" i="11"/>
  <c r="EB123" i="11"/>
  <c r="DY123" i="11"/>
  <c r="EQ123" i="11"/>
  <c r="FF123" i="11" s="1"/>
  <c r="FD123" i="11"/>
  <c r="FE123" i="11" s="1"/>
  <c r="EB122" i="11"/>
  <c r="DY122" i="11"/>
  <c r="EQ122" i="11"/>
  <c r="FF122" i="11" s="1"/>
  <c r="FD122" i="11"/>
  <c r="FE122" i="11" s="1"/>
  <c r="EC120" i="1"/>
  <c r="DZ120" i="1"/>
  <c r="ES120" i="1"/>
  <c r="FO120" i="1" s="1"/>
  <c r="FG120" i="1"/>
  <c r="FN120" i="1" s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 l="1"/>
  <c r="ES119" i="1"/>
  <c r="FG119" i="1"/>
  <c r="FN119" i="1" s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 l="1"/>
  <c r="EC101" i="1"/>
  <c r="DZ101" i="1"/>
  <c r="EC85" i="1"/>
  <c r="DZ85" i="1"/>
  <c r="EC58" i="1"/>
  <c r="DZ58" i="1"/>
  <c r="AC58" i="1"/>
  <c r="K58" i="1"/>
  <c r="EC18" i="1"/>
  <c r="EC19" i="1"/>
  <c r="DZ19" i="1"/>
  <c r="DZ18" i="1"/>
  <c r="EC8" i="1"/>
  <c r="DZ8" i="1"/>
  <c r="FU4" i="1" l="1"/>
  <c r="FU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T4" i="1"/>
  <c r="FT5" i="1"/>
  <c r="FT6" i="1"/>
  <c r="FT7" i="1"/>
  <c r="FT8" i="1"/>
  <c r="FT9" i="1"/>
  <c r="FT10" i="1"/>
  <c r="FT11" i="1"/>
  <c r="FT12" i="1"/>
  <c r="FT13" i="1"/>
  <c r="FT14" i="1"/>
  <c r="FT15" i="1"/>
  <c r="FT16" i="1"/>
  <c r="FT17" i="1"/>
  <c r="FT18" i="1"/>
  <c r="FT19" i="1"/>
  <c r="FT20" i="1"/>
  <c r="FT21" i="1"/>
  <c r="FT22" i="1"/>
  <c r="FT23" i="1"/>
  <c r="FT24" i="1"/>
  <c r="FT25" i="1"/>
  <c r="FT26" i="1"/>
  <c r="FT27" i="1"/>
  <c r="FT28" i="1"/>
  <c r="FT29" i="1"/>
  <c r="FT30" i="1"/>
  <c r="FT31" i="1"/>
  <c r="FT32" i="1"/>
  <c r="FT33" i="1"/>
  <c r="FT34" i="1"/>
  <c r="FT35" i="1"/>
  <c r="FT36" i="1"/>
  <c r="FT37" i="1"/>
  <c r="FT38" i="1"/>
  <c r="FT39" i="1"/>
  <c r="FT40" i="1"/>
  <c r="FT41" i="1"/>
  <c r="FT42" i="1"/>
  <c r="FT43" i="1"/>
  <c r="FT44" i="1"/>
  <c r="FT45" i="1"/>
  <c r="FT46" i="1"/>
  <c r="FT47" i="1"/>
  <c r="FT48" i="1"/>
  <c r="FT49" i="1"/>
  <c r="FT50" i="1"/>
  <c r="FT51" i="1"/>
  <c r="FT52" i="1"/>
  <c r="FT53" i="1"/>
  <c r="FT54" i="1"/>
  <c r="FT55" i="1"/>
  <c r="FT56" i="1"/>
  <c r="FT57" i="1"/>
  <c r="FT58" i="1"/>
  <c r="FT59" i="1"/>
  <c r="FT60" i="1"/>
  <c r="FT61" i="1"/>
  <c r="FT62" i="1"/>
  <c r="FT63" i="1"/>
  <c r="FT64" i="1"/>
  <c r="FT65" i="1"/>
  <c r="FT66" i="1"/>
  <c r="FT67" i="1"/>
  <c r="FT68" i="1"/>
  <c r="FT69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S4" i="1"/>
  <c r="FS5" i="1"/>
  <c r="FS6" i="1"/>
  <c r="FS7" i="1"/>
  <c r="FS8" i="1"/>
  <c r="FS9" i="1"/>
  <c r="FS10" i="1"/>
  <c r="FS11" i="1"/>
  <c r="FS12" i="1"/>
  <c r="FS13" i="1"/>
  <c r="FS14" i="1"/>
  <c r="FS15" i="1"/>
  <c r="FS16" i="1"/>
  <c r="FS17" i="1"/>
  <c r="FS18" i="1"/>
  <c r="FS19" i="1"/>
  <c r="FS20" i="1"/>
  <c r="FS21" i="1"/>
  <c r="FS22" i="1"/>
  <c r="FS23" i="1"/>
  <c r="FS24" i="1"/>
  <c r="FS25" i="1"/>
  <c r="FS26" i="1"/>
  <c r="FS27" i="1"/>
  <c r="FS28" i="1"/>
  <c r="FS29" i="1"/>
  <c r="FS30" i="1"/>
  <c r="FS31" i="1"/>
  <c r="FS32" i="1"/>
  <c r="FS33" i="1"/>
  <c r="FS34" i="1"/>
  <c r="FS35" i="1"/>
  <c r="FS36" i="1"/>
  <c r="FS37" i="1"/>
  <c r="FS38" i="1"/>
  <c r="FS39" i="1"/>
  <c r="FS40" i="1"/>
  <c r="FS41" i="1"/>
  <c r="FS42" i="1"/>
  <c r="FS43" i="1"/>
  <c r="FS44" i="1"/>
  <c r="FS45" i="1"/>
  <c r="FS46" i="1"/>
  <c r="FS47" i="1"/>
  <c r="FS48" i="1"/>
  <c r="FS49" i="1"/>
  <c r="FS50" i="1"/>
  <c r="FS51" i="1"/>
  <c r="FS52" i="1"/>
  <c r="FS53" i="1"/>
  <c r="FS54" i="1"/>
  <c r="FS55" i="1"/>
  <c r="FS56" i="1"/>
  <c r="FS57" i="1"/>
  <c r="FS58" i="1"/>
  <c r="FS59" i="1"/>
  <c r="FS60" i="1"/>
  <c r="FS61" i="1"/>
  <c r="FS62" i="1"/>
  <c r="FS63" i="1"/>
  <c r="FS64" i="1"/>
  <c r="FS65" i="1"/>
  <c r="FS66" i="1"/>
  <c r="FS67" i="1"/>
  <c r="FS68" i="1"/>
  <c r="FS69" i="1"/>
  <c r="FS70" i="1"/>
  <c r="FS71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4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97" i="1"/>
  <c r="FS98" i="1"/>
  <c r="FS99" i="1"/>
  <c r="FS100" i="1"/>
  <c r="FS101" i="1"/>
  <c r="FS102" i="1"/>
  <c r="FS103" i="1"/>
  <c r="FS104" i="1"/>
  <c r="FS105" i="1"/>
  <c r="FS106" i="1"/>
  <c r="FS107" i="1"/>
  <c r="FS108" i="1"/>
  <c r="FS109" i="1"/>
  <c r="FS110" i="1"/>
  <c r="FS111" i="1"/>
  <c r="FS112" i="1"/>
  <c r="FS113" i="1"/>
  <c r="FS114" i="1"/>
  <c r="FS115" i="1"/>
  <c r="FS116" i="1"/>
  <c r="FS117" i="1"/>
  <c r="FS118" i="1"/>
  <c r="FR4" i="1"/>
  <c r="FR5" i="1"/>
  <c r="FR6" i="1"/>
  <c r="FR7" i="1"/>
  <c r="FR8" i="1"/>
  <c r="FR9" i="1"/>
  <c r="FR10" i="1"/>
  <c r="FR11" i="1"/>
  <c r="FR12" i="1"/>
  <c r="FR13" i="1"/>
  <c r="FR14" i="1"/>
  <c r="FR15" i="1"/>
  <c r="FR16" i="1"/>
  <c r="FR17" i="1"/>
  <c r="FR18" i="1"/>
  <c r="FR19" i="1"/>
  <c r="FR20" i="1"/>
  <c r="FR21" i="1"/>
  <c r="FR22" i="1"/>
  <c r="FR23" i="1"/>
  <c r="FR24" i="1"/>
  <c r="FR25" i="1"/>
  <c r="FR26" i="1"/>
  <c r="FR27" i="1"/>
  <c r="FR28" i="1"/>
  <c r="FR29" i="1"/>
  <c r="FR30" i="1"/>
  <c r="FR31" i="1"/>
  <c r="FR32" i="1"/>
  <c r="FR33" i="1"/>
  <c r="FR34" i="1"/>
  <c r="FR35" i="1"/>
  <c r="FR36" i="1"/>
  <c r="FR37" i="1"/>
  <c r="FR38" i="1"/>
  <c r="FR39" i="1"/>
  <c r="FR40" i="1"/>
  <c r="FR41" i="1"/>
  <c r="FR42" i="1"/>
  <c r="FR43" i="1"/>
  <c r="FR44" i="1"/>
  <c r="FR45" i="1"/>
  <c r="FR46" i="1"/>
  <c r="FR47" i="1"/>
  <c r="FR48" i="1"/>
  <c r="FR49" i="1"/>
  <c r="FR50" i="1"/>
  <c r="FR51" i="1"/>
  <c r="FR52" i="1"/>
  <c r="FR53" i="1"/>
  <c r="FR54" i="1"/>
  <c r="FR55" i="1"/>
  <c r="FR56" i="1"/>
  <c r="FR57" i="1"/>
  <c r="FR58" i="1"/>
  <c r="FR59" i="1"/>
  <c r="FR60" i="1"/>
  <c r="FR61" i="1"/>
  <c r="FR62" i="1"/>
  <c r="FR63" i="1"/>
  <c r="FR64" i="1"/>
  <c r="FR65" i="1"/>
  <c r="FR66" i="1"/>
  <c r="FR67" i="1"/>
  <c r="FR68" i="1"/>
  <c r="FR69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P4" i="1"/>
  <c r="FP5" i="1"/>
  <c r="FP6" i="1"/>
  <c r="FP7" i="1"/>
  <c r="FP8" i="1"/>
  <c r="FP9" i="1"/>
  <c r="FP10" i="1"/>
  <c r="FP11" i="1"/>
  <c r="FP12" i="1"/>
  <c r="FP13" i="1"/>
  <c r="FP14" i="1"/>
  <c r="FP15" i="1"/>
  <c r="FP16" i="1"/>
  <c r="FP17" i="1"/>
  <c r="FP18" i="1"/>
  <c r="FP19" i="1"/>
  <c r="FP20" i="1"/>
  <c r="FP21" i="1"/>
  <c r="FP22" i="1"/>
  <c r="FP23" i="1"/>
  <c r="FP24" i="1"/>
  <c r="FP25" i="1"/>
  <c r="FP26" i="1"/>
  <c r="FP27" i="1"/>
  <c r="FP28" i="1"/>
  <c r="FP29" i="1"/>
  <c r="FP30" i="1"/>
  <c r="FP31" i="1"/>
  <c r="FP32" i="1"/>
  <c r="FP33" i="1"/>
  <c r="FP34" i="1"/>
  <c r="FP35" i="1"/>
  <c r="FP36" i="1"/>
  <c r="FP37" i="1"/>
  <c r="FP38" i="1"/>
  <c r="FP39" i="1"/>
  <c r="FP40" i="1"/>
  <c r="FP41" i="1"/>
  <c r="FP42" i="1"/>
  <c r="FP43" i="1"/>
  <c r="FP44" i="1"/>
  <c r="FP45" i="1"/>
  <c r="FP46" i="1"/>
  <c r="FP47" i="1"/>
  <c r="FP48" i="1"/>
  <c r="FP49" i="1"/>
  <c r="FP50" i="1"/>
  <c r="FP51" i="1"/>
  <c r="FP52" i="1"/>
  <c r="FP53" i="1"/>
  <c r="FP54" i="1"/>
  <c r="FP55" i="1"/>
  <c r="FP56" i="1"/>
  <c r="FP57" i="1"/>
  <c r="FP58" i="1"/>
  <c r="FP59" i="1"/>
  <c r="FP60" i="1"/>
  <c r="FP61" i="1"/>
  <c r="FP62" i="1"/>
  <c r="FP63" i="1"/>
  <c r="FP64" i="1"/>
  <c r="FP65" i="1"/>
  <c r="FP66" i="1"/>
  <c r="FP67" i="1"/>
  <c r="FP68" i="1"/>
  <c r="FP69" i="1"/>
  <c r="FP70" i="1"/>
  <c r="FP71" i="1"/>
  <c r="FP72" i="1"/>
  <c r="FP73" i="1"/>
  <c r="FP74" i="1"/>
  <c r="FP75" i="1"/>
  <c r="FP76" i="1"/>
  <c r="FP77" i="1"/>
  <c r="FP78" i="1"/>
  <c r="FP79" i="1"/>
  <c r="FP80" i="1"/>
  <c r="FP81" i="1"/>
  <c r="FP82" i="1"/>
  <c r="FP83" i="1"/>
  <c r="FP84" i="1"/>
  <c r="FP85" i="1"/>
  <c r="FP86" i="1"/>
  <c r="FP87" i="1"/>
  <c r="FP88" i="1"/>
  <c r="FP89" i="1"/>
  <c r="FP90" i="1"/>
  <c r="FP91" i="1"/>
  <c r="FP92" i="1"/>
  <c r="FP93" i="1"/>
  <c r="FP94" i="1"/>
  <c r="FP95" i="1"/>
  <c r="FP96" i="1"/>
  <c r="FP97" i="1"/>
  <c r="FP98" i="1"/>
  <c r="FP99" i="1"/>
  <c r="FP100" i="1"/>
  <c r="FP101" i="1"/>
  <c r="FP102" i="1"/>
  <c r="FP103" i="1"/>
  <c r="FP104" i="1"/>
  <c r="FP105" i="1"/>
  <c r="FP106" i="1"/>
  <c r="FP107" i="1"/>
  <c r="FP108" i="1"/>
  <c r="FP109" i="1"/>
  <c r="FP110" i="1"/>
  <c r="FP111" i="1"/>
  <c r="FP112" i="1"/>
  <c r="FP113" i="1"/>
  <c r="FP114" i="1"/>
  <c r="FP115" i="1"/>
  <c r="FP116" i="1"/>
  <c r="FP117" i="1"/>
  <c r="FP118" i="1"/>
  <c r="ET118" i="12"/>
  <c r="FL118" i="12" s="1"/>
  <c r="FJ118" i="12"/>
  <c r="FK118" i="12" s="1"/>
  <c r="EQ121" i="11"/>
  <c r="FF121" i="11" s="1"/>
  <c r="FD121" i="11"/>
  <c r="FE121" i="11" s="1"/>
  <c r="EQ120" i="11"/>
  <c r="FF120" i="11" s="1"/>
  <c r="FD120" i="11"/>
  <c r="FE120" i="11" s="1"/>
  <c r="ES118" i="1"/>
  <c r="FO118" i="1" s="1"/>
  <c r="FG118" i="1"/>
  <c r="FN118" i="1" s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 l="1"/>
  <c r="ER48" i="7"/>
  <c r="FH48" i="7" s="1"/>
  <c r="FF48" i="7"/>
  <c r="FG48" i="7"/>
  <c r="EB47" i="7"/>
  <c r="DY47" i="7"/>
  <c r="AB47" i="7"/>
  <c r="J47" i="7"/>
  <c r="ER47" i="7"/>
  <c r="FH47" i="7" s="1"/>
  <c r="FF47" i="7"/>
  <c r="FG47" i="7" s="1"/>
  <c r="AB46" i="7"/>
  <c r="J46" i="7"/>
  <c r="ER46" i="7"/>
  <c r="FF46" i="7"/>
  <c r="FG46" i="7" s="1"/>
  <c r="FH46" i="7"/>
  <c r="ER45" i="7"/>
  <c r="FF45" i="7"/>
  <c r="FG45" i="7" s="1"/>
  <c r="FH45" i="7"/>
  <c r="ER44" i="7"/>
  <c r="FH44" i="7" s="1"/>
  <c r="FF44" i="7"/>
  <c r="FG44" i="7" s="1"/>
  <c r="ER54" i="4"/>
  <c r="FF54" i="4"/>
  <c r="FG54" i="4" s="1"/>
  <c r="FH54" i="4"/>
  <c r="EB117" i="15"/>
  <c r="DY117" i="15"/>
  <c r="ER117" i="15"/>
  <c r="FF117" i="15"/>
  <c r="FG117" i="15" s="1"/>
  <c r="FH117" i="15"/>
  <c r="FI117" i="15"/>
  <c r="FJ117" i="15"/>
  <c r="FK117" i="15"/>
  <c r="FL117" i="15"/>
  <c r="FM117" i="15"/>
  <c r="FN117" i="15"/>
  <c r="FO117" i="15"/>
  <c r="FP117" i="15"/>
  <c r="FQ117" i="15"/>
  <c r="FR117" i="15"/>
  <c r="FS117" i="15"/>
  <c r="FT117" i="15"/>
  <c r="FU117" i="15"/>
  <c r="EX118" i="14"/>
  <c r="FT118" i="14" s="1"/>
  <c r="FR118" i="14"/>
  <c r="FS118" i="14" s="1"/>
  <c r="AB117" i="14"/>
  <c r="J117" i="14"/>
  <c r="EX117" i="14"/>
  <c r="FT117" i="14" s="1"/>
  <c r="FR117" i="14"/>
  <c r="FS117" i="14" s="1"/>
  <c r="AB117" i="12"/>
  <c r="J117" i="12"/>
  <c r="ET117" i="12"/>
  <c r="FJ117" i="12"/>
  <c r="FK117" i="12" s="1"/>
  <c r="FL117" i="12"/>
  <c r="AB119" i="11"/>
  <c r="J119" i="11"/>
  <c r="EQ119" i="11"/>
  <c r="FF119" i="11" s="1"/>
  <c r="FD119" i="11"/>
  <c r="FE119" i="11" s="1"/>
  <c r="FV117" i="15" l="1"/>
  <c r="EB53" i="4"/>
  <c r="DY53" i="4"/>
  <c r="ER53" i="4"/>
  <c r="FH53" i="4" s="1"/>
  <c r="FF53" i="4"/>
  <c r="FG53" i="4"/>
  <c r="FE65" i="4"/>
  <c r="FF4" i="4"/>
  <c r="FF5" i="4"/>
  <c r="FF6" i="4"/>
  <c r="FF7" i="4"/>
  <c r="FF8" i="4"/>
  <c r="FF9" i="4"/>
  <c r="FF10" i="4"/>
  <c r="FF11" i="4"/>
  <c r="FF12" i="4"/>
  <c r="FF13" i="4"/>
  <c r="FF14" i="4"/>
  <c r="FF15" i="4"/>
  <c r="FF16" i="4"/>
  <c r="FF17" i="4"/>
  <c r="FF18" i="4"/>
  <c r="FF19" i="4"/>
  <c r="FF20" i="4"/>
  <c r="FF21" i="4"/>
  <c r="FF22" i="4"/>
  <c r="FF23" i="4"/>
  <c r="FF24" i="4"/>
  <c r="FF25" i="4"/>
  <c r="FF26" i="4"/>
  <c r="FF27" i="4"/>
  <c r="FF28" i="4"/>
  <c r="FF29" i="4"/>
  <c r="FF30" i="4"/>
  <c r="FF31" i="4"/>
  <c r="FF32" i="4"/>
  <c r="FF33" i="4"/>
  <c r="FF34" i="4"/>
  <c r="FF35" i="4"/>
  <c r="FF36" i="4"/>
  <c r="FF37" i="4"/>
  <c r="FF38" i="4"/>
  <c r="FF39" i="4"/>
  <c r="FF40" i="4"/>
  <c r="FF41" i="4"/>
  <c r="FF42" i="4"/>
  <c r="FF43" i="4"/>
  <c r="FF44" i="4"/>
  <c r="FF45" i="4"/>
  <c r="FF46" i="4"/>
  <c r="FF47" i="4"/>
  <c r="FF48" i="4"/>
  <c r="FF49" i="4"/>
  <c r="FF50" i="4"/>
  <c r="FF51" i="4"/>
  <c r="FF52" i="4"/>
  <c r="ER4" i="4"/>
  <c r="ER5" i="4"/>
  <c r="ER6" i="4"/>
  <c r="ER7" i="4"/>
  <c r="ER8" i="4"/>
  <c r="ER9" i="4"/>
  <c r="ER10" i="4"/>
  <c r="ER11" i="4"/>
  <c r="ER12" i="4"/>
  <c r="ER13" i="4"/>
  <c r="ER14" i="4"/>
  <c r="ER15" i="4"/>
  <c r="ER16" i="4"/>
  <c r="ER17" i="4"/>
  <c r="ER18" i="4"/>
  <c r="ER19" i="4"/>
  <c r="ER20" i="4"/>
  <c r="ER21" i="4"/>
  <c r="ER22" i="4"/>
  <c r="ER23" i="4"/>
  <c r="ER24" i="4"/>
  <c r="ER25" i="4"/>
  <c r="ER26" i="4"/>
  <c r="ER27" i="4"/>
  <c r="ER28" i="4"/>
  <c r="ER29" i="4"/>
  <c r="ER30" i="4"/>
  <c r="ER31" i="4"/>
  <c r="ER32" i="4"/>
  <c r="ER33" i="4"/>
  <c r="ER34" i="4"/>
  <c r="ER35" i="4"/>
  <c r="ER36" i="4"/>
  <c r="ER37" i="4"/>
  <c r="ER38" i="4"/>
  <c r="ER39" i="4"/>
  <c r="ER40" i="4"/>
  <c r="ER41" i="4"/>
  <c r="ER42" i="4"/>
  <c r="ER43" i="4"/>
  <c r="ER44" i="4"/>
  <c r="ER45" i="4"/>
  <c r="ER46" i="4"/>
  <c r="ER47" i="4"/>
  <c r="ER48" i="4"/>
  <c r="ER49" i="4"/>
  <c r="ER50" i="4"/>
  <c r="ER51" i="4"/>
  <c r="ER52" i="4"/>
  <c r="FH52" i="4" s="1"/>
  <c r="EQ65" i="4"/>
  <c r="DY52" i="4"/>
  <c r="AB52" i="4"/>
  <c r="J52" i="4"/>
  <c r="FG52" i="4"/>
  <c r="AB116" i="15"/>
  <c r="J116" i="15"/>
  <c r="ER116" i="15"/>
  <c r="FF116" i="15"/>
  <c r="FG116" i="15" s="1"/>
  <c r="FH116" i="15"/>
  <c r="FI116" i="15"/>
  <c r="FJ116" i="15"/>
  <c r="FK116" i="15"/>
  <c r="FL116" i="15"/>
  <c r="FM116" i="15"/>
  <c r="FN116" i="15"/>
  <c r="FO116" i="15"/>
  <c r="FP116" i="15"/>
  <c r="FQ116" i="15"/>
  <c r="FR116" i="15"/>
  <c r="FS116" i="15"/>
  <c r="FT116" i="15"/>
  <c r="FU116" i="15"/>
  <c r="EB116" i="12"/>
  <c r="DY116" i="12"/>
  <c r="ET116" i="12"/>
  <c r="FL116" i="12" s="1"/>
  <c r="FJ116" i="12"/>
  <c r="FK116" i="12" s="1"/>
  <c r="AB118" i="11"/>
  <c r="J118" i="11"/>
  <c r="EQ118" i="11"/>
  <c r="FF118" i="11" s="1"/>
  <c r="FD118" i="11"/>
  <c r="FE118" i="11" s="1"/>
  <c r="AC117" i="1"/>
  <c r="K117" i="1"/>
  <c r="ES117" i="1"/>
  <c r="FG117" i="1"/>
  <c r="FN117" i="1" s="1"/>
  <c r="FO117" i="1"/>
  <c r="FV117" i="1"/>
  <c r="FW117" i="1"/>
  <c r="FX117" i="1"/>
  <c r="FY117" i="1"/>
  <c r="FZ117" i="1"/>
  <c r="GA117" i="1"/>
  <c r="GB117" i="1"/>
  <c r="GC117" i="1"/>
  <c r="GD117" i="1"/>
  <c r="GE117" i="1"/>
  <c r="GF117" i="1"/>
  <c r="GG117" i="1"/>
  <c r="GH117" i="1"/>
  <c r="FV116" i="15" l="1"/>
  <c r="GI117" i="1"/>
  <c r="ES116" i="1"/>
  <c r="FG116" i="1"/>
  <c r="FN116" i="1" s="1"/>
  <c r="FO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FG51" i="4"/>
  <c r="FH51" i="4"/>
  <c r="EB50" i="4"/>
  <c r="AB50" i="4"/>
  <c r="J50" i="4"/>
  <c r="FH50" i="4"/>
  <c r="FG50" i="4"/>
  <c r="GI116" i="1" l="1"/>
  <c r="FH49" i="4"/>
  <c r="FG49" i="4"/>
  <c r="FH48" i="4"/>
  <c r="FG48" i="4"/>
  <c r="FG47" i="4"/>
  <c r="FH47" i="4"/>
  <c r="AB46" i="4"/>
  <c r="J46" i="4"/>
  <c r="FG46" i="4"/>
  <c r="FH46" i="4"/>
  <c r="FH45" i="4"/>
  <c r="FG45" i="4"/>
  <c r="FH44" i="4"/>
  <c r="FG44" i="4"/>
  <c r="ER115" i="15"/>
  <c r="FH115" i="15" s="1"/>
  <c r="FF115" i="15"/>
  <c r="FG115" i="15" s="1"/>
  <c r="FI115" i="15"/>
  <c r="FJ115" i="15"/>
  <c r="FK115" i="15"/>
  <c r="FL115" i="15"/>
  <c r="FM115" i="15"/>
  <c r="FN115" i="15"/>
  <c r="FO115" i="15"/>
  <c r="FP115" i="15"/>
  <c r="FQ115" i="15"/>
  <c r="FR115" i="15"/>
  <c r="FS115" i="15"/>
  <c r="FT115" i="15"/>
  <c r="FU115" i="15"/>
  <c r="ER114" i="15"/>
  <c r="FF114" i="15"/>
  <c r="FG114" i="15" s="1"/>
  <c r="FH114" i="15"/>
  <c r="FI114" i="15"/>
  <c r="FJ114" i="15"/>
  <c r="FK114" i="15"/>
  <c r="FL114" i="15"/>
  <c r="FM114" i="15"/>
  <c r="FN114" i="15"/>
  <c r="FO114" i="15"/>
  <c r="FP114" i="15"/>
  <c r="FQ114" i="15"/>
  <c r="FR114" i="15"/>
  <c r="FS114" i="15"/>
  <c r="FT114" i="15"/>
  <c r="FU114" i="15"/>
  <c r="EB113" i="15"/>
  <c r="DY113" i="15"/>
  <c r="AB113" i="15"/>
  <c r="J113" i="15"/>
  <c r="ER113" i="15"/>
  <c r="FF113" i="15"/>
  <c r="FG113" i="15" s="1"/>
  <c r="FH113" i="15"/>
  <c r="FI113" i="15"/>
  <c r="FJ113" i="15"/>
  <c r="FK113" i="15"/>
  <c r="FL113" i="15"/>
  <c r="FM113" i="15"/>
  <c r="FN113" i="15"/>
  <c r="FO113" i="15"/>
  <c r="FP113" i="15"/>
  <c r="FQ113" i="15"/>
  <c r="FR113" i="15"/>
  <c r="FS113" i="15"/>
  <c r="FT113" i="15"/>
  <c r="FU113" i="15"/>
  <c r="ER112" i="15"/>
  <c r="FF112" i="15"/>
  <c r="FG112" i="15" s="1"/>
  <c r="FH112" i="15"/>
  <c r="FI112" i="15"/>
  <c r="FJ112" i="15"/>
  <c r="FK112" i="15"/>
  <c r="FL112" i="15"/>
  <c r="FM112" i="15"/>
  <c r="FN112" i="15"/>
  <c r="FO112" i="15"/>
  <c r="FP112" i="15"/>
  <c r="FQ112" i="15"/>
  <c r="FR112" i="15"/>
  <c r="FS112" i="15"/>
  <c r="FT112" i="15"/>
  <c r="FU112" i="15"/>
  <c r="ER111" i="15"/>
  <c r="FH111" i="15" s="1"/>
  <c r="FF111" i="15"/>
  <c r="FG111" i="15" s="1"/>
  <c r="FI111" i="15"/>
  <c r="FJ111" i="15"/>
  <c r="FK111" i="15"/>
  <c r="FL111" i="15"/>
  <c r="FM111" i="15"/>
  <c r="FN111" i="15"/>
  <c r="FO111" i="15"/>
  <c r="FP111" i="15"/>
  <c r="FQ111" i="15"/>
  <c r="FR111" i="15"/>
  <c r="FS111" i="15"/>
  <c r="FT111" i="15"/>
  <c r="FU111" i="15"/>
  <c r="ER110" i="15"/>
  <c r="FF110" i="15"/>
  <c r="FG110" i="15" s="1"/>
  <c r="FH110" i="15"/>
  <c r="FI110" i="15"/>
  <c r="FJ110" i="15"/>
  <c r="FK110" i="15"/>
  <c r="FL110" i="15"/>
  <c r="FM110" i="15"/>
  <c r="FN110" i="15"/>
  <c r="FO110" i="15"/>
  <c r="FP110" i="15"/>
  <c r="FQ110" i="15"/>
  <c r="FR110" i="15"/>
  <c r="FS110" i="15"/>
  <c r="FT110" i="15"/>
  <c r="FU110" i="15"/>
  <c r="AB109" i="15"/>
  <c r="J109" i="15"/>
  <c r="ER109" i="15"/>
  <c r="FF109" i="15"/>
  <c r="FG109" i="15" s="1"/>
  <c r="FH109" i="15"/>
  <c r="FI109" i="15"/>
  <c r="FJ109" i="15"/>
  <c r="FK109" i="15"/>
  <c r="FL109" i="15"/>
  <c r="FM109" i="15"/>
  <c r="FN109" i="15"/>
  <c r="FO109" i="15"/>
  <c r="FP109" i="15"/>
  <c r="FQ109" i="15"/>
  <c r="FR109" i="15"/>
  <c r="FS109" i="15"/>
  <c r="FT109" i="15"/>
  <c r="FU109" i="15"/>
  <c r="AB108" i="15"/>
  <c r="J108" i="15"/>
  <c r="ER108" i="15"/>
  <c r="FH108" i="15" s="1"/>
  <c r="FF108" i="15"/>
  <c r="FG108" i="15" s="1"/>
  <c r="FI108" i="15"/>
  <c r="FJ108" i="15"/>
  <c r="FK108" i="15"/>
  <c r="FL108" i="15"/>
  <c r="FM108" i="15"/>
  <c r="FN108" i="15"/>
  <c r="FO108" i="15"/>
  <c r="FP108" i="15"/>
  <c r="FQ108" i="15"/>
  <c r="FR108" i="15"/>
  <c r="FS108" i="15"/>
  <c r="FT108" i="15"/>
  <c r="FU108" i="15"/>
  <c r="FV115" i="15" l="1"/>
  <c r="FV114" i="15"/>
  <c r="FV112" i="15"/>
  <c r="FV113" i="15"/>
  <c r="FV111" i="15"/>
  <c r="FV110" i="15"/>
  <c r="FV109" i="15"/>
  <c r="FV108" i="15"/>
  <c r="EX116" i="14"/>
  <c r="FT116" i="14" s="1"/>
  <c r="FR116" i="14"/>
  <c r="FS116" i="14" s="1"/>
  <c r="EX115" i="14"/>
  <c r="FT115" i="14" s="1"/>
  <c r="FR115" i="14"/>
  <c r="FS115" i="14" s="1"/>
  <c r="AB114" i="14"/>
  <c r="J114" i="14"/>
  <c r="EX114" i="14"/>
  <c r="FT114" i="14" s="1"/>
  <c r="FR114" i="14"/>
  <c r="FS114" i="14" s="1"/>
  <c r="EB113" i="14"/>
  <c r="DY113" i="14"/>
  <c r="AB113" i="14"/>
  <c r="J113" i="14"/>
  <c r="EX113" i="14"/>
  <c r="FT113" i="14" s="1"/>
  <c r="FR113" i="14"/>
  <c r="FS113" i="14" s="1"/>
  <c r="EB112" i="14"/>
  <c r="DY112" i="14"/>
  <c r="EX112" i="14"/>
  <c r="FT112" i="14" s="1"/>
  <c r="FR112" i="14"/>
  <c r="FS112" i="14" s="1"/>
  <c r="EB111" i="14"/>
  <c r="DY111" i="14"/>
  <c r="EX111" i="14"/>
  <c r="FT111" i="14" s="1"/>
  <c r="FR111" i="14"/>
  <c r="FS111" i="14" s="1"/>
  <c r="EX110" i="14"/>
  <c r="FT110" i="14" s="1"/>
  <c r="FR110" i="14"/>
  <c r="FS110" i="14" s="1"/>
  <c r="ET115" i="12"/>
  <c r="FL115" i="12" s="1"/>
  <c r="FJ115" i="12"/>
  <c r="FK115" i="12"/>
  <c r="AB114" i="12"/>
  <c r="J114" i="12"/>
  <c r="ET114" i="12"/>
  <c r="FL114" i="12" s="1"/>
  <c r="FJ114" i="12"/>
  <c r="FK114" i="12" s="1"/>
  <c r="AB113" i="12"/>
  <c r="J113" i="12"/>
  <c r="ET113" i="12"/>
  <c r="FL113" i="12" s="1"/>
  <c r="FJ113" i="12"/>
  <c r="FK113" i="12" s="1"/>
  <c r="ET112" i="12"/>
  <c r="FL112" i="12" s="1"/>
  <c r="FJ112" i="12"/>
  <c r="FK112" i="12" s="1"/>
  <c r="ET111" i="12"/>
  <c r="FL111" i="12" s="1"/>
  <c r="FJ111" i="12"/>
  <c r="FK111" i="12" s="1"/>
  <c r="ET110" i="12"/>
  <c r="FL110" i="12" s="1"/>
  <c r="FJ110" i="12"/>
  <c r="FK110" i="12" s="1"/>
  <c r="AB109" i="12"/>
  <c r="EB117" i="11"/>
  <c r="DY117" i="11"/>
  <c r="AB117" i="11"/>
  <c r="J117" i="11"/>
  <c r="EQ117" i="11"/>
  <c r="FF117" i="11" s="1"/>
  <c r="FD117" i="11"/>
  <c r="FE117" i="11" s="1"/>
  <c r="ES115" i="1" l="1"/>
  <c r="FG115" i="1"/>
  <c r="FN115" i="1" s="1"/>
  <c r="FO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 l="1"/>
  <c r="AC114" i="1"/>
  <c r="K114" i="1"/>
  <c r="ES114" i="1"/>
  <c r="FO114" i="1" s="1"/>
  <c r="FG114" i="1"/>
  <c r="FN114" i="1" s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J109" i="12"/>
  <c r="ET109" i="12"/>
  <c r="FL109" i="12" s="1"/>
  <c r="FJ109" i="12"/>
  <c r="FK109" i="12" s="1"/>
  <c r="EB116" i="11"/>
  <c r="DY116" i="11"/>
  <c r="EQ116" i="11"/>
  <c r="FD116" i="11"/>
  <c r="FE116" i="11" s="1"/>
  <c r="FF116" i="11"/>
  <c r="GI114" i="1" l="1"/>
  <c r="EC113" i="1"/>
  <c r="DZ113" i="1"/>
  <c r="ES113" i="1"/>
  <c r="FG113" i="1"/>
  <c r="FN113" i="1" s="1"/>
  <c r="FO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EB93" i="12"/>
  <c r="EB108" i="12"/>
  <c r="ET108" i="12"/>
  <c r="FL108" i="12" s="1"/>
  <c r="FJ108" i="12"/>
  <c r="FK108" i="12" s="1"/>
  <c r="EB115" i="11"/>
  <c r="DY115" i="11"/>
  <c r="EQ115" i="11"/>
  <c r="FF115" i="11" s="1"/>
  <c r="FD115" i="11"/>
  <c r="FE115" i="11" s="1"/>
  <c r="AB114" i="11"/>
  <c r="J114" i="11"/>
  <c r="EQ114" i="11"/>
  <c r="FD114" i="11"/>
  <c r="FE114" i="11" s="1"/>
  <c r="FF114" i="11"/>
  <c r="EB113" i="11"/>
  <c r="DY113" i="11"/>
  <c r="AB113" i="11"/>
  <c r="EQ113" i="11"/>
  <c r="FD113" i="11"/>
  <c r="FE113" i="11" s="1"/>
  <c r="FF113" i="11"/>
  <c r="EQ112" i="11"/>
  <c r="FD112" i="11"/>
  <c r="FE112" i="11" s="1"/>
  <c r="FF112" i="11"/>
  <c r="GI113" i="1" l="1"/>
  <c r="ES112" i="1"/>
  <c r="FG112" i="1"/>
  <c r="FN112" i="1" s="1"/>
  <c r="FO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ES111" i="1"/>
  <c r="FG111" i="1"/>
  <c r="FN111" i="1" s="1"/>
  <c r="FO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ES110" i="1"/>
  <c r="FG110" i="1"/>
  <c r="FN110" i="1" s="1"/>
  <c r="FO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EC109" i="1"/>
  <c r="DZ109" i="1"/>
  <c r="ES109" i="1"/>
  <c r="FG109" i="1"/>
  <c r="FN109" i="1" s="1"/>
  <c r="FO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ES108" i="1"/>
  <c r="FO108" i="1" s="1"/>
  <c r="FG108" i="1"/>
  <c r="FN108" i="1" s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12" i="1" l="1"/>
  <c r="GI111" i="1"/>
  <c r="GI110" i="1"/>
  <c r="GI109" i="1"/>
  <c r="GI108" i="1"/>
  <c r="ER43" i="7"/>
  <c r="FF43" i="7"/>
  <c r="FG43" i="7" s="1"/>
  <c r="FH43" i="7"/>
  <c r="ER42" i="7"/>
  <c r="FF42" i="7"/>
  <c r="FG42" i="7" s="1"/>
  <c r="FH42" i="7"/>
  <c r="AB43" i="4"/>
  <c r="J43" i="4"/>
  <c r="FG43" i="4"/>
  <c r="FH43" i="4"/>
  <c r="FG42" i="4"/>
  <c r="FH42" i="4"/>
  <c r="AB107" i="15"/>
  <c r="J107" i="15"/>
  <c r="ER107" i="15"/>
  <c r="FF107" i="15"/>
  <c r="FG107" i="15" s="1"/>
  <c r="FH107" i="15"/>
  <c r="FI107" i="15"/>
  <c r="FJ107" i="15"/>
  <c r="FK107" i="15"/>
  <c r="FL107" i="15"/>
  <c r="FM107" i="15"/>
  <c r="FN107" i="15"/>
  <c r="FO107" i="15"/>
  <c r="FP107" i="15"/>
  <c r="FQ107" i="15"/>
  <c r="FR107" i="15"/>
  <c r="FS107" i="15"/>
  <c r="FT107" i="15"/>
  <c r="FU107" i="15"/>
  <c r="EB106" i="15"/>
  <c r="DY106" i="15"/>
  <c r="ER106" i="15"/>
  <c r="FF106" i="15"/>
  <c r="FG106" i="15" s="1"/>
  <c r="FH106" i="15"/>
  <c r="FI106" i="15"/>
  <c r="FJ106" i="15"/>
  <c r="FK106" i="15"/>
  <c r="FL106" i="15"/>
  <c r="FM106" i="15"/>
  <c r="FN106" i="15"/>
  <c r="FO106" i="15"/>
  <c r="FP106" i="15"/>
  <c r="FQ106" i="15"/>
  <c r="FR106" i="15"/>
  <c r="FS106" i="15"/>
  <c r="FT106" i="15"/>
  <c r="FU106" i="15"/>
  <c r="EX109" i="14"/>
  <c r="FT109" i="14" s="1"/>
  <c r="FR109" i="14"/>
  <c r="FS109" i="14" s="1"/>
  <c r="AB108" i="14"/>
  <c r="J108" i="14"/>
  <c r="EX108" i="14"/>
  <c r="FT108" i="14" s="1"/>
  <c r="FR108" i="14"/>
  <c r="FS108" i="14" s="1"/>
  <c r="EB107" i="12"/>
  <c r="DY107" i="12"/>
  <c r="ET107" i="12"/>
  <c r="FL107" i="12" s="1"/>
  <c r="FJ107" i="12"/>
  <c r="FK107" i="12" s="1"/>
  <c r="FI143" i="12"/>
  <c r="FI144" i="12"/>
  <c r="FI145" i="12"/>
  <c r="FI146" i="12"/>
  <c r="FI147" i="12"/>
  <c r="FI148" i="12"/>
  <c r="FI152" i="12"/>
  <c r="FI142" i="12"/>
  <c r="ES143" i="12"/>
  <c r="ES144" i="12"/>
  <c r="ES145" i="12"/>
  <c r="ES146" i="12"/>
  <c r="ES147" i="12"/>
  <c r="ES148" i="12"/>
  <c r="ES152" i="12"/>
  <c r="ES142" i="12"/>
  <c r="FJ4" i="12"/>
  <c r="FJ5" i="12"/>
  <c r="FJ6" i="12"/>
  <c r="FJ7" i="12"/>
  <c r="FJ8" i="12"/>
  <c r="FJ9" i="12"/>
  <c r="FJ10" i="12"/>
  <c r="FJ11" i="12"/>
  <c r="FJ12" i="12"/>
  <c r="FJ13" i="12"/>
  <c r="FJ14" i="12"/>
  <c r="FJ15" i="12"/>
  <c r="FJ16" i="12"/>
  <c r="FJ17" i="12"/>
  <c r="FJ18" i="12"/>
  <c r="FJ19" i="12"/>
  <c r="FJ20" i="12"/>
  <c r="FJ21" i="12"/>
  <c r="FJ22" i="12"/>
  <c r="FJ23" i="12"/>
  <c r="FJ24" i="12"/>
  <c r="FJ25" i="12"/>
  <c r="FJ26" i="12"/>
  <c r="FJ27" i="12"/>
  <c r="FJ28" i="12"/>
  <c r="FJ29" i="12"/>
  <c r="FJ30" i="12"/>
  <c r="FJ31" i="12"/>
  <c r="FJ32" i="12"/>
  <c r="FJ33" i="12"/>
  <c r="FJ34" i="12"/>
  <c r="FJ35" i="12"/>
  <c r="FJ36" i="12"/>
  <c r="FJ37" i="12"/>
  <c r="FJ38" i="12"/>
  <c r="FJ39" i="12"/>
  <c r="FJ40" i="12"/>
  <c r="FJ41" i="12"/>
  <c r="FJ42" i="12"/>
  <c r="FJ43" i="12"/>
  <c r="FJ44" i="12"/>
  <c r="FJ45" i="12"/>
  <c r="FJ46" i="12"/>
  <c r="FJ47" i="12"/>
  <c r="FJ48" i="12"/>
  <c r="FJ49" i="12"/>
  <c r="FJ50" i="12"/>
  <c r="FJ51" i="12"/>
  <c r="FJ52" i="12"/>
  <c r="FJ53" i="12"/>
  <c r="FJ54" i="12"/>
  <c r="FJ55" i="12"/>
  <c r="FJ56" i="12"/>
  <c r="FJ57" i="12"/>
  <c r="FJ58" i="12"/>
  <c r="FJ59" i="12"/>
  <c r="FJ60" i="12"/>
  <c r="FJ61" i="12"/>
  <c r="FJ62" i="12"/>
  <c r="FJ63" i="12"/>
  <c r="FJ64" i="12"/>
  <c r="FJ65" i="12"/>
  <c r="FJ66" i="12"/>
  <c r="FJ67" i="12"/>
  <c r="FJ68" i="12"/>
  <c r="FJ69" i="12"/>
  <c r="FJ70" i="12"/>
  <c r="FJ71" i="12"/>
  <c r="FJ72" i="12"/>
  <c r="FJ73" i="12"/>
  <c r="FJ74" i="12"/>
  <c r="FJ75" i="12"/>
  <c r="FJ76" i="12"/>
  <c r="FJ77" i="12"/>
  <c r="FJ78" i="12"/>
  <c r="FJ79" i="12"/>
  <c r="FJ80" i="12"/>
  <c r="FJ81" i="12"/>
  <c r="FJ82" i="12"/>
  <c r="FJ83" i="12"/>
  <c r="FJ84" i="12"/>
  <c r="FJ85" i="12"/>
  <c r="FJ86" i="12"/>
  <c r="FJ87" i="12"/>
  <c r="FJ88" i="12"/>
  <c r="FJ89" i="12"/>
  <c r="FJ90" i="12"/>
  <c r="FJ91" i="12"/>
  <c r="FJ92" i="12"/>
  <c r="FJ93" i="12"/>
  <c r="FJ94" i="12"/>
  <c r="FJ95" i="12"/>
  <c r="FJ96" i="12"/>
  <c r="FJ97" i="12"/>
  <c r="FJ98" i="12"/>
  <c r="FJ99" i="12"/>
  <c r="FJ100" i="12"/>
  <c r="FJ101" i="12"/>
  <c r="FJ102" i="12"/>
  <c r="FJ103" i="12"/>
  <c r="FJ104" i="12"/>
  <c r="FJ105" i="12"/>
  <c r="FJ106" i="12"/>
  <c r="ET4" i="12"/>
  <c r="ET5" i="12"/>
  <c r="ET6" i="12"/>
  <c r="ET7" i="12"/>
  <c r="ET8" i="12"/>
  <c r="ET9" i="12"/>
  <c r="ET10" i="12"/>
  <c r="ET11" i="12"/>
  <c r="ET12" i="12"/>
  <c r="ET13" i="12"/>
  <c r="ET14" i="12"/>
  <c r="ET15" i="12"/>
  <c r="ET16" i="12"/>
  <c r="ET17" i="12"/>
  <c r="ET18" i="12"/>
  <c r="ET19" i="12"/>
  <c r="ET20" i="12"/>
  <c r="ET21" i="12"/>
  <c r="ET22" i="12"/>
  <c r="ET23" i="12"/>
  <c r="ET24" i="12"/>
  <c r="ET25" i="12"/>
  <c r="ET26" i="12"/>
  <c r="ET27" i="12"/>
  <c r="ET28" i="12"/>
  <c r="ET29" i="12"/>
  <c r="ET30" i="12"/>
  <c r="ET31" i="12"/>
  <c r="ET32" i="12"/>
  <c r="ET33" i="12"/>
  <c r="ET34" i="12"/>
  <c r="ET35" i="12"/>
  <c r="ET36" i="12"/>
  <c r="ET37" i="12"/>
  <c r="ET38" i="12"/>
  <c r="ET39" i="12"/>
  <c r="ET40" i="12"/>
  <c r="ET41" i="12"/>
  <c r="ET42" i="12"/>
  <c r="ET43" i="12"/>
  <c r="ET44" i="12"/>
  <c r="ET45" i="12"/>
  <c r="ET46" i="12"/>
  <c r="ET47" i="12"/>
  <c r="ET48" i="12"/>
  <c r="ET49" i="12"/>
  <c r="ET50" i="12"/>
  <c r="ET51" i="12"/>
  <c r="ET52" i="12"/>
  <c r="ET53" i="12"/>
  <c r="ET54" i="12"/>
  <c r="ET55" i="12"/>
  <c r="ET56" i="12"/>
  <c r="ET57" i="12"/>
  <c r="ET58" i="12"/>
  <c r="ET59" i="12"/>
  <c r="ET60" i="12"/>
  <c r="ET61" i="12"/>
  <c r="ET62" i="12"/>
  <c r="ET63" i="12"/>
  <c r="ET64" i="12"/>
  <c r="ET65" i="12"/>
  <c r="ET66" i="12"/>
  <c r="ET67" i="12"/>
  <c r="ET68" i="12"/>
  <c r="ET69" i="12"/>
  <c r="ET70" i="12"/>
  <c r="ET71" i="12"/>
  <c r="ET72" i="12"/>
  <c r="ET73" i="12"/>
  <c r="ET74" i="12"/>
  <c r="ET75" i="12"/>
  <c r="ET76" i="12"/>
  <c r="ET77" i="12"/>
  <c r="ET78" i="12"/>
  <c r="ET79" i="12"/>
  <c r="ET80" i="12"/>
  <c r="ET81" i="12"/>
  <c r="ET82" i="12"/>
  <c r="ET83" i="12"/>
  <c r="ET84" i="12"/>
  <c r="ET85" i="12"/>
  <c r="ET86" i="12"/>
  <c r="ET87" i="12"/>
  <c r="ET88" i="12"/>
  <c r="ET89" i="12"/>
  <c r="ET90" i="12"/>
  <c r="ET91" i="12"/>
  <c r="ET92" i="12"/>
  <c r="ET93" i="12"/>
  <c r="ET94" i="12"/>
  <c r="ET95" i="12"/>
  <c r="ET96" i="12"/>
  <c r="ET97" i="12"/>
  <c r="ET98" i="12"/>
  <c r="ET99" i="12"/>
  <c r="ET100" i="12"/>
  <c r="ET101" i="12"/>
  <c r="ET102" i="12"/>
  <c r="ET103" i="12"/>
  <c r="ET104" i="12"/>
  <c r="ET105" i="12"/>
  <c r="ET106" i="12"/>
  <c r="FL106" i="12" s="1"/>
  <c r="FK106" i="12"/>
  <c r="EQ111" i="11"/>
  <c r="FD111" i="11"/>
  <c r="FE111" i="11" s="1"/>
  <c r="FF111" i="11"/>
  <c r="AB110" i="11"/>
  <c r="J110" i="11"/>
  <c r="EQ110" i="11"/>
  <c r="FD110" i="11"/>
  <c r="FE110" i="11" s="1"/>
  <c r="FF110" i="11"/>
  <c r="ES154" i="12" l="1"/>
  <c r="FV107" i="15"/>
  <c r="FV106" i="15"/>
  <c r="ES149" i="12"/>
  <c r="FI149" i="12"/>
  <c r="FI154" i="12"/>
  <c r="FI150" i="12"/>
  <c r="FI155" i="12"/>
  <c r="FI153" i="12"/>
  <c r="FI151" i="12"/>
  <c r="ES150" i="12"/>
  <c r="ES155" i="12"/>
  <c r="ES153" i="12"/>
  <c r="ES151" i="12"/>
  <c r="EC107" i="1"/>
  <c r="DZ107" i="1"/>
  <c r="AC107" i="1"/>
  <c r="K107" i="1"/>
  <c r="ES107" i="1"/>
  <c r="FO107" i="1" s="1"/>
  <c r="FG107" i="1"/>
  <c r="FN107" i="1" s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 l="1"/>
  <c r="EC106" i="1"/>
  <c r="DZ106" i="1"/>
  <c r="ES106" i="1"/>
  <c r="FG106" i="1"/>
  <c r="FN106" i="1" s="1"/>
  <c r="FO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 l="1"/>
  <c r="ER41" i="7"/>
  <c r="FH41" i="7" s="1"/>
  <c r="FF41" i="7"/>
  <c r="FG41" i="7" s="1"/>
  <c r="ER40" i="7"/>
  <c r="FH40" i="7" s="1"/>
  <c r="FF40" i="7"/>
  <c r="FG40" i="7" s="1"/>
  <c r="ER39" i="7"/>
  <c r="FF39" i="7"/>
  <c r="FG39" i="7" s="1"/>
  <c r="FH39" i="7"/>
  <c r="EB38" i="7"/>
  <c r="ER38" i="7"/>
  <c r="FF38" i="7"/>
  <c r="FG38" i="7" s="1"/>
  <c r="FH38" i="7"/>
  <c r="ER37" i="7"/>
  <c r="FH37" i="7" s="1"/>
  <c r="FF37" i="7"/>
  <c r="FG37" i="7" s="1"/>
  <c r="EB41" i="4"/>
  <c r="DY41" i="4"/>
  <c r="FG41" i="4"/>
  <c r="FH41" i="4"/>
  <c r="EB40" i="4"/>
  <c r="DY40" i="4"/>
  <c r="FH40" i="4"/>
  <c r="FG40" i="4"/>
  <c r="FH39" i="4"/>
  <c r="FG39" i="4"/>
  <c r="FH38" i="4"/>
  <c r="FG38" i="4"/>
  <c r="ER105" i="15"/>
  <c r="FF105" i="15"/>
  <c r="FG105" i="15" s="1"/>
  <c r="FH105" i="15"/>
  <c r="FI105" i="15"/>
  <c r="FJ105" i="15"/>
  <c r="FK105" i="15"/>
  <c r="FL105" i="15"/>
  <c r="FM105" i="15"/>
  <c r="FN105" i="15"/>
  <c r="FO105" i="15"/>
  <c r="FP105" i="15"/>
  <c r="FQ105" i="15"/>
  <c r="FR105" i="15"/>
  <c r="FS105" i="15"/>
  <c r="FT105" i="15"/>
  <c r="FU105" i="15"/>
  <c r="AB104" i="15"/>
  <c r="J104" i="15"/>
  <c r="ER104" i="15"/>
  <c r="FH104" i="15" s="1"/>
  <c r="FF104" i="15"/>
  <c r="FG104" i="15" s="1"/>
  <c r="FI104" i="15"/>
  <c r="FJ104" i="15"/>
  <c r="FK104" i="15"/>
  <c r="FL104" i="15"/>
  <c r="FM104" i="15"/>
  <c r="FN104" i="15"/>
  <c r="FO104" i="15"/>
  <c r="FP104" i="15"/>
  <c r="FQ104" i="15"/>
  <c r="FR104" i="15"/>
  <c r="FS104" i="15"/>
  <c r="FT104" i="15"/>
  <c r="FU104" i="15"/>
  <c r="ER103" i="15"/>
  <c r="FH103" i="15" s="1"/>
  <c r="FF103" i="15"/>
  <c r="FG103" i="15" s="1"/>
  <c r="FI103" i="15"/>
  <c r="FJ103" i="15"/>
  <c r="FK103" i="15"/>
  <c r="FL103" i="15"/>
  <c r="FM103" i="15"/>
  <c r="FN103" i="15"/>
  <c r="FO103" i="15"/>
  <c r="FP103" i="15"/>
  <c r="FQ103" i="15"/>
  <c r="FR103" i="15"/>
  <c r="FS103" i="15"/>
  <c r="FT103" i="15"/>
  <c r="FU103" i="15"/>
  <c r="ER102" i="15"/>
  <c r="FH102" i="15" s="1"/>
  <c r="FF102" i="15"/>
  <c r="FG102" i="15" s="1"/>
  <c r="FI102" i="15"/>
  <c r="FJ102" i="15"/>
  <c r="FK102" i="15"/>
  <c r="FL102" i="15"/>
  <c r="FM102" i="15"/>
  <c r="FN102" i="15"/>
  <c r="FO102" i="15"/>
  <c r="FP102" i="15"/>
  <c r="FQ102" i="15"/>
  <c r="FR102" i="15"/>
  <c r="FS102" i="15"/>
  <c r="FT102" i="15"/>
  <c r="FU102" i="15"/>
  <c r="EB107" i="14"/>
  <c r="DY107" i="14"/>
  <c r="EX107" i="14"/>
  <c r="FR107" i="14"/>
  <c r="FS107" i="14" s="1"/>
  <c r="FT107" i="14"/>
  <c r="AB106" i="14"/>
  <c r="J106" i="14"/>
  <c r="EX106" i="14"/>
  <c r="FR106" i="14"/>
  <c r="FS106" i="14" s="1"/>
  <c r="FT106" i="14"/>
  <c r="EX105" i="14"/>
  <c r="FT105" i="14" s="1"/>
  <c r="FR105" i="14"/>
  <c r="FS105" i="14" s="1"/>
  <c r="EB104" i="14"/>
  <c r="DY104" i="14"/>
  <c r="EX104" i="14"/>
  <c r="FR104" i="14"/>
  <c r="FS104" i="14" s="1"/>
  <c r="FT104" i="14"/>
  <c r="FL105" i="12"/>
  <c r="FK105" i="12"/>
  <c r="FL104" i="12"/>
  <c r="FK104" i="12"/>
  <c r="AB103" i="12"/>
  <c r="J103" i="12"/>
  <c r="FK103" i="12"/>
  <c r="FL103" i="12"/>
  <c r="EB102" i="12"/>
  <c r="DY102" i="12"/>
  <c r="AB102" i="12"/>
  <c r="J102" i="12"/>
  <c r="FL102" i="12"/>
  <c r="FK102" i="12"/>
  <c r="EB109" i="11"/>
  <c r="DY109" i="11"/>
  <c r="EQ109" i="11"/>
  <c r="FD109" i="11"/>
  <c r="FE109" i="11" s="1"/>
  <c r="FF109" i="11"/>
  <c r="EQ108" i="11"/>
  <c r="FD108" i="11"/>
  <c r="FE108" i="11" s="1"/>
  <c r="FF108" i="11"/>
  <c r="EQ107" i="11"/>
  <c r="FD107" i="11"/>
  <c r="FE107" i="11" s="1"/>
  <c r="FF107" i="11"/>
  <c r="EB106" i="11"/>
  <c r="DY106" i="11"/>
  <c r="AB106" i="11"/>
  <c r="J106" i="11"/>
  <c r="EQ106" i="11"/>
  <c r="FD106" i="11"/>
  <c r="FE106" i="11" s="1"/>
  <c r="FF106" i="11"/>
  <c r="EQ105" i="11"/>
  <c r="FF105" i="11" s="1"/>
  <c r="FD105" i="11"/>
  <c r="FE105" i="11" s="1"/>
  <c r="ES105" i="1"/>
  <c r="FG105" i="1"/>
  <c r="FN105" i="1" s="1"/>
  <c r="FO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FV105" i="15" l="1"/>
  <c r="FV104" i="15"/>
  <c r="FV103" i="15"/>
  <c r="FV102" i="15"/>
  <c r="GI105" i="1"/>
  <c r="EC104" i="1"/>
  <c r="DZ104" i="1"/>
  <c r="AC104" i="1"/>
  <c r="K104" i="1"/>
  <c r="ES104" i="1"/>
  <c r="FG104" i="1"/>
  <c r="FN104" i="1" s="1"/>
  <c r="FO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 l="1"/>
  <c r="EC103" i="1"/>
  <c r="DZ103" i="1"/>
  <c r="ES103" i="1"/>
  <c r="FO103" i="1" s="1"/>
  <c r="FG103" i="1"/>
  <c r="FN103" i="1" s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 l="1"/>
  <c r="AC102" i="1"/>
  <c r="K102" i="1"/>
  <c r="ES102" i="1"/>
  <c r="FG102" i="1"/>
  <c r="FN102" i="1" s="1"/>
  <c r="FO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 l="1"/>
  <c r="ES101" i="1"/>
  <c r="FO101" i="1" s="1"/>
  <c r="FG101" i="1"/>
  <c r="FN101" i="1" s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 l="1"/>
  <c r="ET34" i="9"/>
  <c r="FJ34" i="9"/>
  <c r="FK34" i="9" s="1"/>
  <c r="FL34" i="9"/>
  <c r="ER36" i="7"/>
  <c r="FH36" i="7" s="1"/>
  <c r="FF36" i="7"/>
  <c r="FG36" i="7" s="1"/>
  <c r="EB37" i="4"/>
  <c r="DY37" i="4"/>
  <c r="AB37" i="4"/>
  <c r="J37" i="4"/>
  <c r="FG37" i="4"/>
  <c r="FH37" i="4"/>
  <c r="AB101" i="15"/>
  <c r="J101" i="15"/>
  <c r="ER101" i="15"/>
  <c r="FF101" i="15"/>
  <c r="FG101" i="15" s="1"/>
  <c r="FH101" i="15"/>
  <c r="FI101" i="15"/>
  <c r="FJ101" i="15"/>
  <c r="FK101" i="15"/>
  <c r="FL101" i="15"/>
  <c r="FM101" i="15"/>
  <c r="FN101" i="15"/>
  <c r="FO101" i="15"/>
  <c r="FP101" i="15"/>
  <c r="FQ101" i="15"/>
  <c r="FR101" i="15"/>
  <c r="FS101" i="15"/>
  <c r="FT101" i="15"/>
  <c r="FU101" i="15"/>
  <c r="FV101" i="15" l="1"/>
  <c r="EX103" i="14"/>
  <c r="FT103" i="14" s="1"/>
  <c r="FR103" i="14"/>
  <c r="FS103" i="14" s="1"/>
  <c r="EX102" i="14"/>
  <c r="FT102" i="14" s="1"/>
  <c r="FR102" i="14"/>
  <c r="FS102" i="14" s="1"/>
  <c r="FL101" i="12"/>
  <c r="FK101" i="12"/>
  <c r="DY104" i="11"/>
  <c r="EQ104" i="11"/>
  <c r="FD104" i="11"/>
  <c r="FE104" i="11" s="1"/>
  <c r="FF104" i="11"/>
  <c r="AC100" i="1" l="1"/>
  <c r="K100" i="1"/>
  <c r="ES100" i="1"/>
  <c r="FG100" i="1"/>
  <c r="FN100" i="1" s="1"/>
  <c r="FO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 l="1"/>
  <c r="ET33" i="9"/>
  <c r="FJ33" i="9"/>
  <c r="FK33" i="9" s="1"/>
  <c r="FL33" i="9"/>
  <c r="ET32" i="9"/>
  <c r="FJ32" i="9"/>
  <c r="FK32" i="9" s="1"/>
  <c r="FL32" i="9"/>
  <c r="ER35" i="7"/>
  <c r="FF35" i="7"/>
  <c r="FG35" i="7" s="1"/>
  <c r="FH35" i="7"/>
  <c r="EB36" i="4"/>
  <c r="DY36" i="4"/>
  <c r="FG36" i="4"/>
  <c r="FH36" i="4"/>
  <c r="ER100" i="15"/>
  <c r="FH100" i="15" s="1"/>
  <c r="FF100" i="15"/>
  <c r="FG100" i="15" s="1"/>
  <c r="FI100" i="15"/>
  <c r="FJ100" i="15"/>
  <c r="FK100" i="15"/>
  <c r="FL100" i="15"/>
  <c r="FM100" i="15"/>
  <c r="FN100" i="15"/>
  <c r="FO100" i="15"/>
  <c r="FP100" i="15"/>
  <c r="FQ100" i="15"/>
  <c r="FR100" i="15"/>
  <c r="FS100" i="15"/>
  <c r="FT100" i="15"/>
  <c r="FU100" i="15"/>
  <c r="EB100" i="12"/>
  <c r="FK100" i="12"/>
  <c r="FL100" i="12"/>
  <c r="AB103" i="11"/>
  <c r="J103" i="11"/>
  <c r="EQ103" i="11"/>
  <c r="FD103" i="11"/>
  <c r="FE103" i="11" s="1"/>
  <c r="FF103" i="11"/>
  <c r="EC99" i="1"/>
  <c r="DZ99" i="1"/>
  <c r="ES99" i="1"/>
  <c r="FO99" i="1" s="1"/>
  <c r="FG99" i="1"/>
  <c r="FN99" i="1" s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FV100" i="15" l="1"/>
  <c r="GI99" i="1"/>
  <c r="ER34" i="7"/>
  <c r="FF34" i="7"/>
  <c r="FG34" i="7" s="1"/>
  <c r="FH34" i="7"/>
  <c r="FH35" i="4"/>
  <c r="FG35" i="4"/>
  <c r="DY99" i="15"/>
  <c r="ER99" i="15"/>
  <c r="FF99" i="15"/>
  <c r="FG99" i="15" s="1"/>
  <c r="FH99" i="15"/>
  <c r="FI99" i="15"/>
  <c r="FJ99" i="15"/>
  <c r="FK99" i="15"/>
  <c r="FL99" i="15"/>
  <c r="FM99" i="15"/>
  <c r="FN99" i="15"/>
  <c r="FO99" i="15"/>
  <c r="FP99" i="15"/>
  <c r="FQ99" i="15"/>
  <c r="FR99" i="15"/>
  <c r="FS99" i="15"/>
  <c r="FT99" i="15"/>
  <c r="FU99" i="15"/>
  <c r="EB101" i="14"/>
  <c r="DY101" i="14"/>
  <c r="EX101" i="14"/>
  <c r="FT101" i="14" s="1"/>
  <c r="FR101" i="14"/>
  <c r="FS101" i="14" s="1"/>
  <c r="FK99" i="12"/>
  <c r="FL99" i="12"/>
  <c r="EB102" i="11"/>
  <c r="DY102" i="11"/>
  <c r="EQ102" i="11"/>
  <c r="FF102" i="11" s="1"/>
  <c r="FD102" i="11"/>
  <c r="FE102" i="11" s="1"/>
  <c r="ES98" i="1"/>
  <c r="FG98" i="1"/>
  <c r="FN98" i="1" s="1"/>
  <c r="FO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 l="1"/>
  <c r="FV99" i="15"/>
  <c r="ER33" i="7"/>
  <c r="FH33" i="7" s="1"/>
  <c r="FF33" i="7"/>
  <c r="FG33" i="7"/>
  <c r="FG34" i="4"/>
  <c r="FH34" i="4"/>
  <c r="ER98" i="15"/>
  <c r="FH98" i="15" s="1"/>
  <c r="FF98" i="15"/>
  <c r="FG98" i="15" s="1"/>
  <c r="FI98" i="15"/>
  <c r="FJ98" i="15"/>
  <c r="FK98" i="15"/>
  <c r="FL98" i="15"/>
  <c r="FM98" i="15"/>
  <c r="FN98" i="15"/>
  <c r="FO98" i="15"/>
  <c r="FP98" i="15"/>
  <c r="FQ98" i="15"/>
  <c r="FR98" i="15"/>
  <c r="FS98" i="15"/>
  <c r="FT98" i="15"/>
  <c r="FU98" i="15"/>
  <c r="EB100" i="14"/>
  <c r="DY100" i="14"/>
  <c r="EX100" i="14"/>
  <c r="FT100" i="14" s="1"/>
  <c r="FR100" i="14"/>
  <c r="FS100" i="14" s="1"/>
  <c r="FK98" i="12"/>
  <c r="FL98" i="12"/>
  <c r="AB101" i="11"/>
  <c r="J101" i="11"/>
  <c r="EQ101" i="11"/>
  <c r="FF101" i="11" s="1"/>
  <c r="FD101" i="11"/>
  <c r="FE101" i="11" s="1"/>
  <c r="FV98" i="15" l="1"/>
  <c r="ET31" i="9"/>
  <c r="FL31" i="9" s="1"/>
  <c r="FJ31" i="9"/>
  <c r="FK31" i="9" s="1"/>
  <c r="AB22" i="16"/>
  <c r="J22" i="16"/>
  <c r="EQ22" i="16"/>
  <c r="FD22" i="16"/>
  <c r="FE22" i="16"/>
  <c r="FF22" i="16"/>
  <c r="AB21" i="16"/>
  <c r="J21" i="16"/>
  <c r="EQ21" i="16"/>
  <c r="FD21" i="16"/>
  <c r="FE21" i="16" s="1"/>
  <c r="FF21" i="16"/>
  <c r="EQ20" i="16"/>
  <c r="FF20" i="16" s="1"/>
  <c r="FD20" i="16"/>
  <c r="FE20" i="16" s="1"/>
  <c r="EQ19" i="16"/>
  <c r="FF19" i="16" s="1"/>
  <c r="FD19" i="16"/>
  <c r="FE19" i="16" s="1"/>
  <c r="EB18" i="16"/>
  <c r="DY18" i="16"/>
  <c r="AB18" i="16"/>
  <c r="J18" i="16"/>
  <c r="EQ18" i="16"/>
  <c r="FF18" i="16" s="1"/>
  <c r="FD18" i="16"/>
  <c r="FE18" i="16" s="1"/>
  <c r="EB17" i="16"/>
  <c r="DY17" i="16"/>
  <c r="AB17" i="16"/>
  <c r="J17" i="16"/>
  <c r="EQ17" i="16"/>
  <c r="EQ25" i="16" s="1"/>
  <c r="FD17" i="16"/>
  <c r="FE17" i="16" s="1"/>
  <c r="FF17" i="16"/>
  <c r="EB15" i="16"/>
  <c r="DY15" i="16"/>
  <c r="EQ16" i="16"/>
  <c r="FD16" i="16"/>
  <c r="FE16" i="16" s="1"/>
  <c r="FF16" i="16"/>
  <c r="EQ15" i="16"/>
  <c r="FF15" i="16" s="1"/>
  <c r="FD15" i="16"/>
  <c r="FE15" i="16" s="1"/>
  <c r="F25" i="3"/>
  <c r="C134" i="2"/>
  <c r="D134" i="2"/>
  <c r="F134" i="2"/>
  <c r="G134" i="2"/>
  <c r="H134" i="2"/>
  <c r="I134" i="2"/>
  <c r="J134" i="2"/>
  <c r="K134" i="2"/>
  <c r="O134" i="2"/>
  <c r="P134" i="2"/>
  <c r="Q134" i="2"/>
  <c r="R134" i="2"/>
  <c r="S134" i="2"/>
  <c r="T134" i="2"/>
  <c r="U134" i="2"/>
  <c r="Z134" i="2"/>
  <c r="AA134" i="2"/>
  <c r="C135" i="2"/>
  <c r="D135" i="2"/>
  <c r="F135" i="2"/>
  <c r="G135" i="2"/>
  <c r="H135" i="2"/>
  <c r="I135" i="2"/>
  <c r="J135" i="2"/>
  <c r="K135" i="2"/>
  <c r="O135" i="2"/>
  <c r="P135" i="2"/>
  <c r="Q135" i="2"/>
  <c r="R135" i="2"/>
  <c r="S135" i="2"/>
  <c r="T135" i="2"/>
  <c r="U135" i="2"/>
  <c r="Z135" i="2"/>
  <c r="AA135" i="2"/>
  <c r="C136" i="2"/>
  <c r="D136" i="2"/>
  <c r="F136" i="2"/>
  <c r="G136" i="2"/>
  <c r="H136" i="2"/>
  <c r="I136" i="2"/>
  <c r="J136" i="2"/>
  <c r="K136" i="2"/>
  <c r="O136" i="2"/>
  <c r="P136" i="2"/>
  <c r="Q136" i="2"/>
  <c r="R136" i="2"/>
  <c r="S136" i="2"/>
  <c r="T136" i="2"/>
  <c r="U136" i="2"/>
  <c r="Z136" i="2"/>
  <c r="AA136" i="2"/>
  <c r="O137" i="2"/>
  <c r="P137" i="2"/>
  <c r="Q137" i="2"/>
  <c r="R137" i="2"/>
  <c r="S137" i="2"/>
  <c r="T137" i="2"/>
  <c r="U137" i="2"/>
  <c r="O138" i="2"/>
  <c r="P138" i="2"/>
  <c r="Q138" i="2"/>
  <c r="R138" i="2"/>
  <c r="S138" i="2"/>
  <c r="T138" i="2"/>
  <c r="U138" i="2"/>
  <c r="O139" i="2"/>
  <c r="P139" i="2"/>
  <c r="Q139" i="2"/>
  <c r="R139" i="2"/>
  <c r="S139" i="2"/>
  <c r="T139" i="2"/>
  <c r="U139" i="2"/>
  <c r="O140" i="2"/>
  <c r="P140" i="2"/>
  <c r="Q140" i="2"/>
  <c r="R140" i="2"/>
  <c r="S140" i="2"/>
  <c r="T140" i="2"/>
  <c r="U140" i="2"/>
  <c r="O141" i="2"/>
  <c r="P141" i="2"/>
  <c r="Q141" i="2"/>
  <c r="R141" i="2"/>
  <c r="S141" i="2"/>
  <c r="T141" i="2"/>
  <c r="U141" i="2"/>
  <c r="O142" i="2"/>
  <c r="P142" i="2"/>
  <c r="Q142" i="2"/>
  <c r="R142" i="2"/>
  <c r="S142" i="2"/>
  <c r="T142" i="2"/>
  <c r="U142" i="2"/>
  <c r="P143" i="2"/>
  <c r="Q143" i="2"/>
  <c r="R143" i="2"/>
  <c r="S143" i="2"/>
  <c r="T143" i="2"/>
  <c r="U143" i="2"/>
  <c r="J4" i="16"/>
  <c r="AB4" i="16"/>
  <c r="EQ4" i="16"/>
  <c r="FD4" i="16"/>
  <c r="FE4" i="16" s="1"/>
  <c r="FF4" i="16"/>
  <c r="EQ5" i="16"/>
  <c r="FD5" i="16"/>
  <c r="FE5" i="16" s="1"/>
  <c r="FF5" i="16"/>
  <c r="EQ6" i="16"/>
  <c r="FD6" i="16"/>
  <c r="FE6" i="16" s="1"/>
  <c r="FF6" i="16"/>
  <c r="J7" i="16"/>
  <c r="AB7" i="16"/>
  <c r="DY7" i="16"/>
  <c r="EB7" i="16"/>
  <c r="EQ7" i="16"/>
  <c r="FF7" i="16" s="1"/>
  <c r="FD7" i="16"/>
  <c r="FE7" i="16" s="1"/>
  <c r="EQ8" i="16"/>
  <c r="FD8" i="16"/>
  <c r="FE8" i="16" s="1"/>
  <c r="FF8" i="16"/>
  <c r="EQ9" i="16"/>
  <c r="FD9" i="16"/>
  <c r="FE9" i="16" s="1"/>
  <c r="FF9" i="16"/>
  <c r="J10" i="16"/>
  <c r="AB10" i="16"/>
  <c r="EQ10" i="16"/>
  <c r="FD10" i="16"/>
  <c r="FE10" i="16" s="1"/>
  <c r="FF10" i="16"/>
  <c r="J11" i="16"/>
  <c r="AB11" i="16"/>
  <c r="EQ11" i="16"/>
  <c r="FD11" i="16"/>
  <c r="FE11" i="16" s="1"/>
  <c r="FF11" i="16"/>
  <c r="J12" i="16"/>
  <c r="AB12" i="16"/>
  <c r="AB23" i="16" s="1"/>
  <c r="EQ12" i="16"/>
  <c r="FD12" i="16"/>
  <c r="FE12" i="16" s="1"/>
  <c r="FF12" i="16"/>
  <c r="DY13" i="16"/>
  <c r="EB13" i="16"/>
  <c r="EQ13" i="16"/>
  <c r="FD13" i="16"/>
  <c r="FE13" i="16" s="1"/>
  <c r="FF13" i="16"/>
  <c r="EQ14" i="16"/>
  <c r="FD14" i="16"/>
  <c r="FE14" i="16" s="1"/>
  <c r="FF14" i="16"/>
  <c r="A23" i="16"/>
  <c r="H23" i="16"/>
  <c r="I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AC23" i="16"/>
  <c r="AD23" i="16"/>
  <c r="AE23" i="16"/>
  <c r="AF23" i="16"/>
  <c r="AG23" i="16"/>
  <c r="AH23" i="16"/>
  <c r="AI23" i="16"/>
  <c r="AJ23" i="16"/>
  <c r="AK23" i="16"/>
  <c r="AL23" i="16"/>
  <c r="AM23" i="16"/>
  <c r="AN23" i="16"/>
  <c r="AO23" i="16"/>
  <c r="AP23" i="16"/>
  <c r="AQ23" i="16"/>
  <c r="AR23" i="16"/>
  <c r="AS23" i="16"/>
  <c r="AT23" i="16"/>
  <c r="AU23" i="16"/>
  <c r="AV23" i="16"/>
  <c r="AW23" i="16"/>
  <c r="AX23" i="16"/>
  <c r="AY23" i="16"/>
  <c r="AZ23" i="16"/>
  <c r="BA23" i="16"/>
  <c r="BB23" i="16"/>
  <c r="BC23" i="16"/>
  <c r="BD23" i="16"/>
  <c r="BE23" i="16"/>
  <c r="BF23" i="16"/>
  <c r="BG23" i="16"/>
  <c r="BH23" i="16"/>
  <c r="BI23" i="16"/>
  <c r="BJ23" i="16"/>
  <c r="BK23" i="16"/>
  <c r="BL23" i="16"/>
  <c r="BM23" i="16"/>
  <c r="BN23" i="16"/>
  <c r="BO23" i="16"/>
  <c r="BP23" i="16"/>
  <c r="BQ23" i="16"/>
  <c r="BR23" i="16"/>
  <c r="BS23" i="16"/>
  <c r="BT23" i="16"/>
  <c r="BU23" i="16"/>
  <c r="BV23" i="16"/>
  <c r="BW23" i="16"/>
  <c r="BX23" i="16"/>
  <c r="BY23" i="16"/>
  <c r="BZ23" i="16"/>
  <c r="CA23" i="16"/>
  <c r="CB23" i="16"/>
  <c r="CC23" i="16"/>
  <c r="CD23" i="16"/>
  <c r="CE23" i="16"/>
  <c r="CF23" i="16"/>
  <c r="CG23" i="16"/>
  <c r="CH23" i="16"/>
  <c r="CI23" i="16"/>
  <c r="CJ23" i="16"/>
  <c r="CK23" i="16"/>
  <c r="CL23" i="16"/>
  <c r="CM23" i="16"/>
  <c r="CN23" i="16"/>
  <c r="CO23" i="16"/>
  <c r="CP23" i="16"/>
  <c r="CQ23" i="16"/>
  <c r="CR23" i="16"/>
  <c r="CS23" i="16"/>
  <c r="CT23" i="16"/>
  <c r="CU23" i="16"/>
  <c r="CV23" i="16"/>
  <c r="CW23" i="16"/>
  <c r="CX23" i="16"/>
  <c r="CY23" i="16"/>
  <c r="CZ23" i="16"/>
  <c r="DA23" i="16"/>
  <c r="DB23" i="16"/>
  <c r="DC23" i="16"/>
  <c r="DD23" i="16"/>
  <c r="DE23" i="16"/>
  <c r="DF23" i="16"/>
  <c r="DG23" i="16"/>
  <c r="DH23" i="16"/>
  <c r="DI23" i="16"/>
  <c r="DJ23" i="16"/>
  <c r="DK23" i="16"/>
  <c r="DL23" i="16"/>
  <c r="DM23" i="16"/>
  <c r="DN23" i="16"/>
  <c r="DO23" i="16"/>
  <c r="DP23" i="16"/>
  <c r="DQ23" i="16"/>
  <c r="DR23" i="16"/>
  <c r="DS23" i="16"/>
  <c r="DT23" i="16"/>
  <c r="DU23" i="16"/>
  <c r="DV23" i="16"/>
  <c r="DW23" i="16"/>
  <c r="DX23" i="16"/>
  <c r="DY23" i="16"/>
  <c r="DZ23" i="16"/>
  <c r="EA23" i="16"/>
  <c r="EB23" i="16"/>
  <c r="EC23" i="16"/>
  <c r="ED23" i="16"/>
  <c r="EE23" i="16"/>
  <c r="EF23" i="16"/>
  <c r="EG23" i="16"/>
  <c r="EH23" i="16"/>
  <c r="EI23" i="16"/>
  <c r="EJ23" i="16"/>
  <c r="EK23" i="16"/>
  <c r="EL23" i="16"/>
  <c r="EM23" i="16"/>
  <c r="EN23" i="16"/>
  <c r="EO23" i="16"/>
  <c r="EP23" i="16"/>
  <c r="EQ23" i="16"/>
  <c r="ER23" i="16"/>
  <c r="ES23" i="16"/>
  <c r="ET23" i="16"/>
  <c r="EU23" i="16"/>
  <c r="EV23" i="16"/>
  <c r="EW23" i="16"/>
  <c r="EX23" i="16"/>
  <c r="EY23" i="16"/>
  <c r="EZ23" i="16"/>
  <c r="FA23" i="16"/>
  <c r="FB23" i="16"/>
  <c r="FC23" i="16"/>
  <c r="K24" i="16"/>
  <c r="L24" i="16"/>
  <c r="M24" i="16"/>
  <c r="N24" i="16"/>
  <c r="O24" i="16"/>
  <c r="P24" i="16"/>
  <c r="Q24" i="16"/>
  <c r="R24" i="16"/>
  <c r="U24" i="16"/>
  <c r="V24" i="16"/>
  <c r="AB24" i="16"/>
  <c r="AC24" i="16"/>
  <c r="AD24" i="16"/>
  <c r="AE24" i="16"/>
  <c r="AF24" i="16"/>
  <c r="AG24" i="16"/>
  <c r="AH24" i="16"/>
  <c r="AI24" i="16"/>
  <c r="AJ24" i="16"/>
  <c r="AN24" i="16"/>
  <c r="AO24" i="16"/>
  <c r="AP24" i="16"/>
  <c r="AQ24" i="16"/>
  <c r="AR24" i="16"/>
  <c r="AS24" i="16"/>
  <c r="AT24" i="16"/>
  <c r="AU24" i="16"/>
  <c r="AV24" i="16"/>
  <c r="AX24" i="16"/>
  <c r="AY24" i="16"/>
  <c r="AZ24" i="16"/>
  <c r="BA24" i="16"/>
  <c r="BB24" i="16"/>
  <c r="BC24" i="16"/>
  <c r="BD24" i="16"/>
  <c r="BE24" i="16"/>
  <c r="BF24" i="16"/>
  <c r="BH24" i="16"/>
  <c r="BI24" i="16"/>
  <c r="BJ24" i="16"/>
  <c r="BK24" i="16"/>
  <c r="BL24" i="16"/>
  <c r="BM24" i="16"/>
  <c r="BN24" i="16"/>
  <c r="BO24" i="16"/>
  <c r="BP24" i="16"/>
  <c r="BR24" i="16"/>
  <c r="BS24" i="16"/>
  <c r="BT24" i="16"/>
  <c r="BU24" i="16"/>
  <c r="BV24" i="16"/>
  <c r="BW24" i="16"/>
  <c r="BX24" i="16"/>
  <c r="BY24" i="16"/>
  <c r="BZ24" i="16"/>
  <c r="CB24" i="16"/>
  <c r="CC24" i="16"/>
  <c r="CD24" i="16"/>
  <c r="CE24" i="16"/>
  <c r="CF24" i="16"/>
  <c r="CG24" i="16"/>
  <c r="CH24" i="16"/>
  <c r="CI24" i="16"/>
  <c r="CJ24" i="16"/>
  <c r="CL24" i="16"/>
  <c r="CM24" i="16"/>
  <c r="CN24" i="16"/>
  <c r="CO24" i="16"/>
  <c r="CP24" i="16"/>
  <c r="CQ24" i="16"/>
  <c r="CR24" i="16"/>
  <c r="CS24" i="16"/>
  <c r="CT24" i="16"/>
  <c r="CV24" i="16"/>
  <c r="CW24" i="16"/>
  <c r="CX24" i="16"/>
  <c r="CY24" i="16"/>
  <c r="CZ24" i="16"/>
  <c r="DA24" i="16"/>
  <c r="DB24" i="16"/>
  <c r="DC24" i="16"/>
  <c r="DD24" i="16"/>
  <c r="DF24" i="16"/>
  <c r="DG24" i="16"/>
  <c r="DH24" i="16"/>
  <c r="DI24" i="16"/>
  <c r="DJ24" i="16"/>
  <c r="DK24" i="16"/>
  <c r="DL24" i="16"/>
  <c r="DM24" i="16"/>
  <c r="DN24" i="16"/>
  <c r="DP24" i="16"/>
  <c r="DQ24" i="16"/>
  <c r="DR24" i="16"/>
  <c r="DS24" i="16"/>
  <c r="DT24" i="16"/>
  <c r="DU24" i="16"/>
  <c r="DV24" i="16"/>
  <c r="DW24" i="16"/>
  <c r="DX24" i="16"/>
  <c r="DY24" i="16"/>
  <c r="DZ24" i="16"/>
  <c r="EA24" i="16"/>
  <c r="EB24" i="16"/>
  <c r="EC24" i="16"/>
  <c r="ED24" i="16"/>
  <c r="EE24" i="16"/>
  <c r="EF24" i="16"/>
  <c r="EG24" i="16"/>
  <c r="EH24" i="16"/>
  <c r="EI24" i="16"/>
  <c r="EJ24" i="16"/>
  <c r="EK24" i="16"/>
  <c r="EL24" i="16"/>
  <c r="EM24" i="16"/>
  <c r="EN24" i="16"/>
  <c r="EO24" i="16"/>
  <c r="EP24" i="16"/>
  <c r="ER24" i="16"/>
  <c r="ES24" i="16"/>
  <c r="ET24" i="16"/>
  <c r="EU24" i="16"/>
  <c r="EV24" i="16"/>
  <c r="EW24" i="16"/>
  <c r="EX24" i="16"/>
  <c r="EY24" i="16"/>
  <c r="EZ24" i="16"/>
  <c r="FA24" i="16"/>
  <c r="FB24" i="16"/>
  <c r="FC24" i="16"/>
  <c r="K25" i="16"/>
  <c r="L25" i="16"/>
  <c r="M25" i="16"/>
  <c r="N25" i="16"/>
  <c r="O25" i="16"/>
  <c r="P25" i="16"/>
  <c r="Q25" i="16"/>
  <c r="R25" i="16"/>
  <c r="U25" i="16"/>
  <c r="V25" i="16"/>
  <c r="AB25" i="16"/>
  <c r="AC25" i="16"/>
  <c r="AD25" i="16"/>
  <c r="AE25" i="16"/>
  <c r="AF25" i="16"/>
  <c r="AG25" i="16"/>
  <c r="AH25" i="16"/>
  <c r="AI25" i="16"/>
  <c r="AJ25" i="16"/>
  <c r="AN25" i="16"/>
  <c r="AO25" i="16"/>
  <c r="AP25" i="16"/>
  <c r="AQ25" i="16"/>
  <c r="AR25" i="16"/>
  <c r="AS25" i="16"/>
  <c r="AT25" i="16"/>
  <c r="AU25" i="16"/>
  <c r="AV25" i="16"/>
  <c r="AX25" i="16"/>
  <c r="AY25" i="16"/>
  <c r="AZ25" i="16"/>
  <c r="BA25" i="16"/>
  <c r="BB25" i="16"/>
  <c r="BC25" i="16"/>
  <c r="BD25" i="16"/>
  <c r="BE25" i="16"/>
  <c r="BF25" i="16"/>
  <c r="BH25" i="16"/>
  <c r="BI25" i="16"/>
  <c r="BJ25" i="16"/>
  <c r="BK25" i="16"/>
  <c r="BL25" i="16"/>
  <c r="BM25" i="16"/>
  <c r="BN25" i="16"/>
  <c r="BO25" i="16"/>
  <c r="BP25" i="16"/>
  <c r="BR25" i="16"/>
  <c r="BS25" i="16"/>
  <c r="BT25" i="16"/>
  <c r="BU25" i="16"/>
  <c r="BV25" i="16"/>
  <c r="BW25" i="16"/>
  <c r="BX25" i="16"/>
  <c r="BY25" i="16"/>
  <c r="BZ25" i="16"/>
  <c r="CB25" i="16"/>
  <c r="CC25" i="16"/>
  <c r="CD25" i="16"/>
  <c r="CE25" i="16"/>
  <c r="CF25" i="16"/>
  <c r="CG25" i="16"/>
  <c r="CH25" i="16"/>
  <c r="CI25" i="16"/>
  <c r="CJ25" i="16"/>
  <c r="CL25" i="16"/>
  <c r="CM25" i="16"/>
  <c r="CN25" i="16"/>
  <c r="CO25" i="16"/>
  <c r="CP25" i="16"/>
  <c r="CQ25" i="16"/>
  <c r="CR25" i="16"/>
  <c r="CS25" i="16"/>
  <c r="CT25" i="16"/>
  <c r="CV25" i="16"/>
  <c r="CW25" i="16"/>
  <c r="CX25" i="16"/>
  <c r="CY25" i="16"/>
  <c r="CZ25" i="16"/>
  <c r="DA25" i="16"/>
  <c r="DB25" i="16"/>
  <c r="DC25" i="16"/>
  <c r="DD25" i="16"/>
  <c r="DF25" i="16"/>
  <c r="DG25" i="16"/>
  <c r="DH25" i="16"/>
  <c r="DI25" i="16"/>
  <c r="DJ25" i="16"/>
  <c r="DK25" i="16"/>
  <c r="DL25" i="16"/>
  <c r="DM25" i="16"/>
  <c r="DN25" i="16"/>
  <c r="DP25" i="16"/>
  <c r="DQ25" i="16"/>
  <c r="DR25" i="16"/>
  <c r="DS25" i="16"/>
  <c r="DT25" i="16"/>
  <c r="DU25" i="16"/>
  <c r="DV25" i="16"/>
  <c r="DW25" i="16"/>
  <c r="DX25" i="16"/>
  <c r="DY25" i="16"/>
  <c r="DZ25" i="16"/>
  <c r="EA25" i="16"/>
  <c r="EB25" i="16"/>
  <c r="EC25" i="16"/>
  <c r="ED25" i="16"/>
  <c r="EE25" i="16"/>
  <c r="EF25" i="16"/>
  <c r="EG25" i="16"/>
  <c r="EH25" i="16"/>
  <c r="EI25" i="16"/>
  <c r="EJ25" i="16"/>
  <c r="EK25" i="16"/>
  <c r="EL25" i="16"/>
  <c r="EM25" i="16"/>
  <c r="EN25" i="16"/>
  <c r="EO25" i="16"/>
  <c r="EP25" i="16"/>
  <c r="ER25" i="16"/>
  <c r="ES25" i="16"/>
  <c r="ET25" i="16"/>
  <c r="EU25" i="16"/>
  <c r="EV25" i="16"/>
  <c r="EW25" i="16"/>
  <c r="EX25" i="16"/>
  <c r="EY25" i="16"/>
  <c r="EZ25" i="16"/>
  <c r="FA25" i="16"/>
  <c r="FB25" i="16"/>
  <c r="FC25" i="16"/>
  <c r="J26" i="16"/>
  <c r="K26" i="16"/>
  <c r="L26" i="16"/>
  <c r="M26" i="16"/>
  <c r="N26" i="16"/>
  <c r="O26" i="16"/>
  <c r="P26" i="16"/>
  <c r="Q26" i="16"/>
  <c r="R26" i="16"/>
  <c r="U26" i="16"/>
  <c r="V26" i="16"/>
  <c r="AB26" i="16"/>
  <c r="AC26" i="16"/>
  <c r="AD26" i="16"/>
  <c r="AE26" i="16"/>
  <c r="AF26" i="16"/>
  <c r="AG26" i="16"/>
  <c r="AH26" i="16"/>
  <c r="AI26" i="16"/>
  <c r="AJ26" i="16"/>
  <c r="AN26" i="16"/>
  <c r="AO26" i="16"/>
  <c r="AP26" i="16"/>
  <c r="AQ26" i="16"/>
  <c r="AR26" i="16"/>
  <c r="AS26" i="16"/>
  <c r="AT26" i="16"/>
  <c r="AU26" i="16"/>
  <c r="AV26" i="16"/>
  <c r="AX26" i="16"/>
  <c r="AY26" i="16"/>
  <c r="AZ26" i="16"/>
  <c r="BA26" i="16"/>
  <c r="BB26" i="16"/>
  <c r="BC26" i="16"/>
  <c r="BD26" i="16"/>
  <c r="BE26" i="16"/>
  <c r="BF26" i="16"/>
  <c r="BH26" i="16"/>
  <c r="BI26" i="16"/>
  <c r="BJ26" i="16"/>
  <c r="BK26" i="16"/>
  <c r="BL26" i="16"/>
  <c r="BM26" i="16"/>
  <c r="BN26" i="16"/>
  <c r="BO26" i="16"/>
  <c r="BP26" i="16"/>
  <c r="BR26" i="16"/>
  <c r="BS26" i="16"/>
  <c r="BT26" i="16"/>
  <c r="BU26" i="16"/>
  <c r="BV26" i="16"/>
  <c r="BW26" i="16"/>
  <c r="BX26" i="16"/>
  <c r="BY26" i="16"/>
  <c r="BZ26" i="16"/>
  <c r="CB26" i="16"/>
  <c r="CC26" i="16"/>
  <c r="CD26" i="16"/>
  <c r="CE26" i="16"/>
  <c r="CF26" i="16"/>
  <c r="CG26" i="16"/>
  <c r="CH26" i="16"/>
  <c r="CI26" i="16"/>
  <c r="CJ26" i="16"/>
  <c r="CL26" i="16"/>
  <c r="CM26" i="16"/>
  <c r="CN26" i="16"/>
  <c r="CO26" i="16"/>
  <c r="CP26" i="16"/>
  <c r="CQ26" i="16"/>
  <c r="CR26" i="16"/>
  <c r="CS26" i="16"/>
  <c r="CT26" i="16"/>
  <c r="CV26" i="16"/>
  <c r="CW26" i="16"/>
  <c r="CX26" i="16"/>
  <c r="CY26" i="16"/>
  <c r="CZ26" i="16"/>
  <c r="DA26" i="16"/>
  <c r="DB26" i="16"/>
  <c r="DC26" i="16"/>
  <c r="DD26" i="16"/>
  <c r="DF26" i="16"/>
  <c r="DG26" i="16"/>
  <c r="DH26" i="16"/>
  <c r="DI26" i="16"/>
  <c r="DJ26" i="16"/>
  <c r="DK26" i="16"/>
  <c r="DL26" i="16"/>
  <c r="DM26" i="16"/>
  <c r="DN26" i="16"/>
  <c r="DP26" i="16"/>
  <c r="DQ26" i="16"/>
  <c r="DR26" i="16"/>
  <c r="DS26" i="16"/>
  <c r="DT26" i="16"/>
  <c r="DU26" i="16"/>
  <c r="DV26" i="16"/>
  <c r="DW26" i="16"/>
  <c r="DX26" i="16"/>
  <c r="DY26" i="16"/>
  <c r="DZ26" i="16"/>
  <c r="EA26" i="16"/>
  <c r="EB26" i="16"/>
  <c r="EC26" i="16"/>
  <c r="ED26" i="16"/>
  <c r="EE26" i="16"/>
  <c r="EF26" i="16"/>
  <c r="EG26" i="16"/>
  <c r="EH26" i="16"/>
  <c r="EI26" i="16"/>
  <c r="EJ26" i="16"/>
  <c r="EK26" i="16"/>
  <c r="EL26" i="16"/>
  <c r="EM26" i="16"/>
  <c r="EN26" i="16"/>
  <c r="EO26" i="16"/>
  <c r="EP26" i="16"/>
  <c r="ER26" i="16"/>
  <c r="ES26" i="16"/>
  <c r="ET26" i="16"/>
  <c r="EU26" i="16"/>
  <c r="EV26" i="16"/>
  <c r="EW26" i="16"/>
  <c r="EX26" i="16"/>
  <c r="EY26" i="16"/>
  <c r="EZ26" i="16"/>
  <c r="FA26" i="16"/>
  <c r="FB26" i="16"/>
  <c r="FC26" i="16"/>
  <c r="K27" i="16"/>
  <c r="L27" i="16"/>
  <c r="M27" i="16"/>
  <c r="N27" i="16"/>
  <c r="O27" i="16"/>
  <c r="P27" i="16"/>
  <c r="Q27" i="16"/>
  <c r="R27" i="16"/>
  <c r="U27" i="16"/>
  <c r="V27" i="16"/>
  <c r="AB27" i="16"/>
  <c r="AC27" i="16"/>
  <c r="AD27" i="16"/>
  <c r="AE27" i="16"/>
  <c r="AF27" i="16"/>
  <c r="AG27" i="16"/>
  <c r="AH27" i="16"/>
  <c r="AI27" i="16"/>
  <c r="AJ27" i="16"/>
  <c r="AN27" i="16"/>
  <c r="AO27" i="16"/>
  <c r="AP27" i="16"/>
  <c r="AQ27" i="16"/>
  <c r="AR27" i="16"/>
  <c r="AS27" i="16"/>
  <c r="AT27" i="16"/>
  <c r="AU27" i="16"/>
  <c r="AV27" i="16"/>
  <c r="AX27" i="16"/>
  <c r="AY27" i="16"/>
  <c r="AZ27" i="16"/>
  <c r="BA27" i="16"/>
  <c r="BB27" i="16"/>
  <c r="BC27" i="16"/>
  <c r="BD27" i="16"/>
  <c r="BE27" i="16"/>
  <c r="BF27" i="16"/>
  <c r="BH27" i="16"/>
  <c r="BI27" i="16"/>
  <c r="BJ27" i="16"/>
  <c r="BK27" i="16"/>
  <c r="BL27" i="16"/>
  <c r="BM27" i="16"/>
  <c r="BN27" i="16"/>
  <c r="BO27" i="16"/>
  <c r="BP27" i="16"/>
  <c r="BR27" i="16"/>
  <c r="BS27" i="16"/>
  <c r="BT27" i="16"/>
  <c r="BU27" i="16"/>
  <c r="BV27" i="16"/>
  <c r="BW27" i="16"/>
  <c r="BX27" i="16"/>
  <c r="BY27" i="16"/>
  <c r="BZ27" i="16"/>
  <c r="CB27" i="16"/>
  <c r="CC27" i="16"/>
  <c r="CD27" i="16"/>
  <c r="CE27" i="16"/>
  <c r="CF27" i="16"/>
  <c r="CG27" i="16"/>
  <c r="CH27" i="16"/>
  <c r="CI27" i="16"/>
  <c r="CJ27" i="16"/>
  <c r="CL27" i="16"/>
  <c r="CM27" i="16"/>
  <c r="CN27" i="16"/>
  <c r="CO27" i="16"/>
  <c r="CP27" i="16"/>
  <c r="CQ27" i="16"/>
  <c r="CR27" i="16"/>
  <c r="CS27" i="16"/>
  <c r="CT27" i="16"/>
  <c r="CV27" i="16"/>
  <c r="CW27" i="16"/>
  <c r="CX27" i="16"/>
  <c r="CY27" i="16"/>
  <c r="CZ27" i="16"/>
  <c r="DA27" i="16"/>
  <c r="DB27" i="16"/>
  <c r="DC27" i="16"/>
  <c r="DD27" i="16"/>
  <c r="DF27" i="16"/>
  <c r="DG27" i="16"/>
  <c r="DH27" i="16"/>
  <c r="DI27" i="16"/>
  <c r="DJ27" i="16"/>
  <c r="DK27" i="16"/>
  <c r="DL27" i="16"/>
  <c r="DM27" i="16"/>
  <c r="DN27" i="16"/>
  <c r="DP27" i="16"/>
  <c r="DQ27" i="16"/>
  <c r="DR27" i="16"/>
  <c r="DS27" i="16"/>
  <c r="DT27" i="16"/>
  <c r="DU27" i="16"/>
  <c r="DV27" i="16"/>
  <c r="DW27" i="16"/>
  <c r="DX27" i="16"/>
  <c r="DY27" i="16"/>
  <c r="DZ27" i="16"/>
  <c r="EA27" i="16"/>
  <c r="EB27" i="16"/>
  <c r="EC27" i="16"/>
  <c r="ED27" i="16"/>
  <c r="EE27" i="16"/>
  <c r="EF27" i="16"/>
  <c r="EG27" i="16"/>
  <c r="EH27" i="16"/>
  <c r="EI27" i="16"/>
  <c r="EJ27" i="16"/>
  <c r="EK27" i="16"/>
  <c r="EL27" i="16"/>
  <c r="EM27" i="16"/>
  <c r="EN27" i="16"/>
  <c r="EO27" i="16"/>
  <c r="EP27" i="16"/>
  <c r="ER27" i="16"/>
  <c r="ES27" i="16"/>
  <c r="ET27" i="16"/>
  <c r="EU27" i="16"/>
  <c r="EV27" i="16"/>
  <c r="EW27" i="16"/>
  <c r="EX27" i="16"/>
  <c r="EY27" i="16"/>
  <c r="EZ27" i="16"/>
  <c r="FA27" i="16"/>
  <c r="FB27" i="16"/>
  <c r="FC27" i="16"/>
  <c r="K28" i="16"/>
  <c r="L28" i="16"/>
  <c r="M28" i="16"/>
  <c r="N28" i="16"/>
  <c r="O28" i="16"/>
  <c r="P28" i="16"/>
  <c r="Q28" i="16"/>
  <c r="R28" i="16"/>
  <c r="U28" i="16"/>
  <c r="V28" i="16"/>
  <c r="AB28" i="16"/>
  <c r="AC28" i="16"/>
  <c r="AD28" i="16"/>
  <c r="AE28" i="16"/>
  <c r="AF28" i="16"/>
  <c r="AG28" i="16"/>
  <c r="AH28" i="16"/>
  <c r="AI28" i="16"/>
  <c r="AJ28" i="16"/>
  <c r="AN28" i="16"/>
  <c r="AO28" i="16"/>
  <c r="AP28" i="16"/>
  <c r="AQ28" i="16"/>
  <c r="AR28" i="16"/>
  <c r="AS28" i="16"/>
  <c r="AT28" i="16"/>
  <c r="AU28" i="16"/>
  <c r="AV28" i="16"/>
  <c r="AX28" i="16"/>
  <c r="AY28" i="16"/>
  <c r="AZ28" i="16"/>
  <c r="BA28" i="16"/>
  <c r="BB28" i="16"/>
  <c r="BC28" i="16"/>
  <c r="BD28" i="16"/>
  <c r="BE28" i="16"/>
  <c r="BF28" i="16"/>
  <c r="BH28" i="16"/>
  <c r="BI28" i="16"/>
  <c r="BJ28" i="16"/>
  <c r="BK28" i="16"/>
  <c r="BL28" i="16"/>
  <c r="BM28" i="16"/>
  <c r="BN28" i="16"/>
  <c r="BO28" i="16"/>
  <c r="BP28" i="16"/>
  <c r="BR28" i="16"/>
  <c r="BS28" i="16"/>
  <c r="BT28" i="16"/>
  <c r="BU28" i="16"/>
  <c r="BV28" i="16"/>
  <c r="BW28" i="16"/>
  <c r="BX28" i="16"/>
  <c r="BY28" i="16"/>
  <c r="BZ28" i="16"/>
  <c r="CB28" i="16"/>
  <c r="CC28" i="16"/>
  <c r="CD28" i="16"/>
  <c r="CE28" i="16"/>
  <c r="CF28" i="16"/>
  <c r="CG28" i="16"/>
  <c r="CH28" i="16"/>
  <c r="CI28" i="16"/>
  <c r="CJ28" i="16"/>
  <c r="CL28" i="16"/>
  <c r="CM28" i="16"/>
  <c r="CN28" i="16"/>
  <c r="CO28" i="16"/>
  <c r="CP28" i="16"/>
  <c r="CQ28" i="16"/>
  <c r="CR28" i="16"/>
  <c r="CS28" i="16"/>
  <c r="CT28" i="16"/>
  <c r="CV28" i="16"/>
  <c r="CW28" i="16"/>
  <c r="CX28" i="16"/>
  <c r="CY28" i="16"/>
  <c r="CZ28" i="16"/>
  <c r="DA28" i="16"/>
  <c r="DB28" i="16"/>
  <c r="DC28" i="16"/>
  <c r="DD28" i="16"/>
  <c r="DF28" i="16"/>
  <c r="DG28" i="16"/>
  <c r="DH28" i="16"/>
  <c r="DI28" i="16"/>
  <c r="DJ28" i="16"/>
  <c r="DK28" i="16"/>
  <c r="DL28" i="16"/>
  <c r="DM28" i="16"/>
  <c r="DN28" i="16"/>
  <c r="DP28" i="16"/>
  <c r="DQ28" i="16"/>
  <c r="DR28" i="16"/>
  <c r="DS28" i="16"/>
  <c r="DT28" i="16"/>
  <c r="DU28" i="16"/>
  <c r="DV28" i="16"/>
  <c r="DW28" i="16"/>
  <c r="DX28" i="16"/>
  <c r="DY28" i="16"/>
  <c r="DZ28" i="16"/>
  <c r="EA28" i="16"/>
  <c r="EB28" i="16"/>
  <c r="EC28" i="16"/>
  <c r="ED28" i="16"/>
  <c r="EE28" i="16"/>
  <c r="EF28" i="16"/>
  <c r="EG28" i="16"/>
  <c r="EH28" i="16"/>
  <c r="EI28" i="16"/>
  <c r="EJ28" i="16"/>
  <c r="EK28" i="16"/>
  <c r="EL28" i="16"/>
  <c r="EM28" i="16"/>
  <c r="EN28" i="16"/>
  <c r="EO28" i="16"/>
  <c r="EP28" i="16"/>
  <c r="ER28" i="16"/>
  <c r="ES28" i="16"/>
  <c r="ET28" i="16"/>
  <c r="EU28" i="16"/>
  <c r="EV28" i="16"/>
  <c r="EW28" i="16"/>
  <c r="EX28" i="16"/>
  <c r="EY28" i="16"/>
  <c r="EZ28" i="16"/>
  <c r="FA28" i="16"/>
  <c r="FB28" i="16"/>
  <c r="FC28" i="16"/>
  <c r="K29" i="16"/>
  <c r="L29" i="16"/>
  <c r="M29" i="16"/>
  <c r="N29" i="16"/>
  <c r="O29" i="16"/>
  <c r="P29" i="16"/>
  <c r="Q29" i="16"/>
  <c r="R29" i="16"/>
  <c r="U29" i="16"/>
  <c r="V29" i="16"/>
  <c r="AB29" i="16"/>
  <c r="AC29" i="16"/>
  <c r="AD29" i="16"/>
  <c r="AE29" i="16"/>
  <c r="AF29" i="16"/>
  <c r="AG29" i="16"/>
  <c r="AH29" i="16"/>
  <c r="AI29" i="16"/>
  <c r="AJ29" i="16"/>
  <c r="AN29" i="16"/>
  <c r="AO29" i="16"/>
  <c r="AP29" i="16"/>
  <c r="AQ29" i="16"/>
  <c r="AR29" i="16"/>
  <c r="AS29" i="16"/>
  <c r="AT29" i="16"/>
  <c r="AU29" i="16"/>
  <c r="AV29" i="16"/>
  <c r="AX29" i="16"/>
  <c r="AY29" i="16"/>
  <c r="AZ29" i="16"/>
  <c r="BA29" i="16"/>
  <c r="BB29" i="16"/>
  <c r="BC29" i="16"/>
  <c r="BD29" i="16"/>
  <c r="BE29" i="16"/>
  <c r="BF29" i="16"/>
  <c r="BH29" i="16"/>
  <c r="BI29" i="16"/>
  <c r="BJ29" i="16"/>
  <c r="BK29" i="16"/>
  <c r="BL29" i="16"/>
  <c r="BM29" i="16"/>
  <c r="BN29" i="16"/>
  <c r="BO29" i="16"/>
  <c r="BP29" i="16"/>
  <c r="BR29" i="16"/>
  <c r="BS29" i="16"/>
  <c r="BT29" i="16"/>
  <c r="BU29" i="16"/>
  <c r="BV29" i="16"/>
  <c r="BW29" i="16"/>
  <c r="BX29" i="16"/>
  <c r="BY29" i="16"/>
  <c r="BZ29" i="16"/>
  <c r="CB29" i="16"/>
  <c r="CC29" i="16"/>
  <c r="CD29" i="16"/>
  <c r="CE29" i="16"/>
  <c r="CF29" i="16"/>
  <c r="CG29" i="16"/>
  <c r="CH29" i="16"/>
  <c r="CI29" i="16"/>
  <c r="CJ29" i="16"/>
  <c r="CL29" i="16"/>
  <c r="CM29" i="16"/>
  <c r="CN29" i="16"/>
  <c r="CO29" i="16"/>
  <c r="CP29" i="16"/>
  <c r="CQ29" i="16"/>
  <c r="CR29" i="16"/>
  <c r="CS29" i="16"/>
  <c r="CT29" i="16"/>
  <c r="CV29" i="16"/>
  <c r="CW29" i="16"/>
  <c r="CX29" i="16"/>
  <c r="CY29" i="16"/>
  <c r="CZ29" i="16"/>
  <c r="DA29" i="16"/>
  <c r="DB29" i="16"/>
  <c r="DC29" i="16"/>
  <c r="DD29" i="16"/>
  <c r="DF29" i="16"/>
  <c r="DG29" i="16"/>
  <c r="DH29" i="16"/>
  <c r="DI29" i="16"/>
  <c r="DJ29" i="16"/>
  <c r="DK29" i="16"/>
  <c r="DL29" i="16"/>
  <c r="DM29" i="16"/>
  <c r="DN29" i="16"/>
  <c r="DP29" i="16"/>
  <c r="DQ29" i="16"/>
  <c r="DR29" i="16"/>
  <c r="DS29" i="16"/>
  <c r="DT29" i="16"/>
  <c r="DU29" i="16"/>
  <c r="DV29" i="16"/>
  <c r="DW29" i="16"/>
  <c r="DX29" i="16"/>
  <c r="DY29" i="16"/>
  <c r="DZ29" i="16"/>
  <c r="EA29" i="16"/>
  <c r="EB29" i="16"/>
  <c r="EC29" i="16"/>
  <c r="ED29" i="16"/>
  <c r="EE29" i="16"/>
  <c r="EF29" i="16"/>
  <c r="EG29" i="16"/>
  <c r="EH29" i="16"/>
  <c r="EI29" i="16"/>
  <c r="EJ29" i="16"/>
  <c r="EK29" i="16"/>
  <c r="EL29" i="16"/>
  <c r="EM29" i="16"/>
  <c r="EN29" i="16"/>
  <c r="EO29" i="16"/>
  <c r="EP29" i="16"/>
  <c r="ER29" i="16"/>
  <c r="ES29" i="16"/>
  <c r="ET29" i="16"/>
  <c r="EU29" i="16"/>
  <c r="EV29" i="16"/>
  <c r="EW29" i="16"/>
  <c r="EX29" i="16"/>
  <c r="EY29" i="16"/>
  <c r="EZ29" i="16"/>
  <c r="FA29" i="16"/>
  <c r="FB29" i="16"/>
  <c r="FC29" i="16"/>
  <c r="J33" i="16"/>
  <c r="K33" i="16"/>
  <c r="L33" i="16"/>
  <c r="L36" i="16" s="1"/>
  <c r="M33" i="16"/>
  <c r="N33" i="16"/>
  <c r="O33" i="16"/>
  <c r="P33" i="16"/>
  <c r="Q33" i="16"/>
  <c r="R33" i="16"/>
  <c r="U33" i="16"/>
  <c r="V33" i="16"/>
  <c r="AB33" i="16"/>
  <c r="AC33" i="16"/>
  <c r="AC36" i="16" s="1"/>
  <c r="AD33" i="16"/>
  <c r="AE33" i="16"/>
  <c r="AE36" i="16" s="1"/>
  <c r="AF33" i="16"/>
  <c r="AG33" i="16"/>
  <c r="AG36" i="16" s="1"/>
  <c r="AH33" i="16"/>
  <c r="AI33" i="16"/>
  <c r="AJ33" i="16"/>
  <c r="AN33" i="16"/>
  <c r="AO33" i="16"/>
  <c r="AP33" i="16"/>
  <c r="AQ33" i="16"/>
  <c r="AR33" i="16"/>
  <c r="AS33" i="16"/>
  <c r="AT33" i="16"/>
  <c r="AU33" i="16"/>
  <c r="AV33" i="16"/>
  <c r="AX33" i="16"/>
  <c r="AY33" i="16"/>
  <c r="AZ33" i="16"/>
  <c r="BA33" i="16"/>
  <c r="BB33" i="16"/>
  <c r="BC33" i="16"/>
  <c r="BD33" i="16"/>
  <c r="BE33" i="16"/>
  <c r="BF33" i="16"/>
  <c r="BH33" i="16"/>
  <c r="BH35" i="16" s="1"/>
  <c r="BI33" i="16"/>
  <c r="BJ33" i="16"/>
  <c r="BK33" i="16"/>
  <c r="BL33" i="16"/>
  <c r="BM33" i="16"/>
  <c r="BN33" i="16"/>
  <c r="BO33" i="16"/>
  <c r="BP33" i="16"/>
  <c r="BR33" i="16"/>
  <c r="BS33" i="16"/>
  <c r="BT33" i="16"/>
  <c r="BU33" i="16"/>
  <c r="BU35" i="16" s="1"/>
  <c r="BV33" i="16"/>
  <c r="BW33" i="16"/>
  <c r="BW36" i="16" s="1"/>
  <c r="BX33" i="16"/>
  <c r="BY33" i="16"/>
  <c r="BZ33" i="16"/>
  <c r="CB33" i="16"/>
  <c r="CB36" i="16" s="1"/>
  <c r="CC33" i="16"/>
  <c r="CD33" i="16"/>
  <c r="CE33" i="16"/>
  <c r="CF33" i="16"/>
  <c r="CG33" i="16"/>
  <c r="CH33" i="16"/>
  <c r="CI33" i="16"/>
  <c r="CJ33" i="16"/>
  <c r="CL33" i="16"/>
  <c r="CM33" i="16"/>
  <c r="CM36" i="16" s="1"/>
  <c r="CN33" i="16"/>
  <c r="CO33" i="16"/>
  <c r="CO36" i="16" s="1"/>
  <c r="CP33" i="16"/>
  <c r="CQ33" i="16"/>
  <c r="CR33" i="16"/>
  <c r="CS33" i="16"/>
  <c r="CT33" i="16"/>
  <c r="CV33" i="16"/>
  <c r="CV35" i="16" s="1"/>
  <c r="CW33" i="16"/>
  <c r="CX33" i="16"/>
  <c r="CY33" i="16"/>
  <c r="CZ33" i="16"/>
  <c r="DA33" i="16"/>
  <c r="DB33" i="16"/>
  <c r="DC33" i="16"/>
  <c r="DD33" i="16"/>
  <c r="DF33" i="16"/>
  <c r="DG33" i="16"/>
  <c r="DH33" i="16"/>
  <c r="DI33" i="16"/>
  <c r="DI35" i="16" s="1"/>
  <c r="DJ33" i="16"/>
  <c r="DK33" i="16"/>
  <c r="DK36" i="16" s="1"/>
  <c r="DL33" i="16"/>
  <c r="DM33" i="16"/>
  <c r="DN33" i="16"/>
  <c r="DP33" i="16"/>
  <c r="DQ33" i="16"/>
  <c r="DR33" i="16"/>
  <c r="DS33" i="16"/>
  <c r="DT33" i="16"/>
  <c r="DU33" i="16"/>
  <c r="DV33" i="16"/>
  <c r="DW33" i="16"/>
  <c r="DX33" i="16"/>
  <c r="DY33" i="16"/>
  <c r="DZ33" i="16"/>
  <c r="DZ35" i="16" s="1"/>
  <c r="EA33" i="16"/>
  <c r="EB33" i="16"/>
  <c r="EB36" i="16" s="1"/>
  <c r="EC33" i="16"/>
  <c r="ED33" i="16"/>
  <c r="EE33" i="16"/>
  <c r="EF33" i="16"/>
  <c r="EF36" i="16" s="1"/>
  <c r="EG33" i="16"/>
  <c r="EH33" i="16"/>
  <c r="EI33" i="16"/>
  <c r="EJ33" i="16"/>
  <c r="EK33" i="16"/>
  <c r="EL33" i="16"/>
  <c r="EL36" i="16" s="1"/>
  <c r="EM33" i="16"/>
  <c r="EN33" i="16"/>
  <c r="EN36" i="16" s="1"/>
  <c r="EO33" i="16"/>
  <c r="EP33" i="16"/>
  <c r="EP36" i="16" s="1"/>
  <c r="ER33" i="16"/>
  <c r="ES33" i="16"/>
  <c r="ET33" i="16"/>
  <c r="EU33" i="16"/>
  <c r="EV33" i="16"/>
  <c r="EW33" i="16"/>
  <c r="EX33" i="16"/>
  <c r="EY33" i="16"/>
  <c r="EZ33" i="16"/>
  <c r="FA33" i="16"/>
  <c r="FB33" i="16"/>
  <c r="FC33" i="16"/>
  <c r="FC35" i="16" s="1"/>
  <c r="BZ34" i="16"/>
  <c r="EQ28" i="16" l="1"/>
  <c r="ED35" i="16"/>
  <c r="BR34" i="16"/>
  <c r="J27" i="16"/>
  <c r="FD25" i="16"/>
  <c r="DB36" i="16"/>
  <c r="CQ35" i="16"/>
  <c r="CI34" i="16"/>
  <c r="BC35" i="16"/>
  <c r="AI35" i="16"/>
  <c r="V35" i="16"/>
  <c r="EQ24" i="16"/>
  <c r="FB36" i="16"/>
  <c r="EZ36" i="16"/>
  <c r="ET36" i="16"/>
  <c r="EA34" i="16"/>
  <c r="DJ34" i="16"/>
  <c r="DA34" i="16"/>
  <c r="BI34" i="16"/>
  <c r="AF34" i="16"/>
  <c r="Q34" i="16"/>
  <c r="EV36" i="16"/>
  <c r="EQ33" i="16"/>
  <c r="EQ29" i="16"/>
  <c r="EQ32" i="16" s="1"/>
  <c r="EQ27" i="16"/>
  <c r="EQ26" i="16"/>
  <c r="V36" i="16"/>
  <c r="J24" i="16"/>
  <c r="EU35" i="16"/>
  <c r="FD29" i="16"/>
  <c r="ER36" i="16"/>
  <c r="FD27" i="16"/>
  <c r="FD23" i="16"/>
  <c r="EH36" i="16"/>
  <c r="DV35" i="16"/>
  <c r="DT36" i="16"/>
  <c r="DR36" i="16"/>
  <c r="DM35" i="16"/>
  <c r="CZ36" i="16"/>
  <c r="CS36" i="16"/>
  <c r="CH36" i="16"/>
  <c r="CF36" i="16"/>
  <c r="BY35" i="16"/>
  <c r="BN36" i="16"/>
  <c r="BL35" i="16"/>
  <c r="BJ36" i="16"/>
  <c r="BE36" i="16"/>
  <c r="AT35" i="16"/>
  <c r="AR36" i="16"/>
  <c r="AP35" i="16"/>
  <c r="J29" i="16"/>
  <c r="J28" i="16"/>
  <c r="J25" i="16"/>
  <c r="J23" i="16"/>
  <c r="FC34" i="16"/>
  <c r="FA34" i="16"/>
  <c r="EO34" i="16"/>
  <c r="EM34" i="16"/>
  <c r="EI34" i="16"/>
  <c r="DS34" i="16"/>
  <c r="CR34" i="16"/>
  <c r="AZ34" i="16"/>
  <c r="AQ34" i="16"/>
  <c r="EY34" i="16"/>
  <c r="FD33" i="16"/>
  <c r="EX36" i="16"/>
  <c r="FD28" i="16"/>
  <c r="FD26" i="16"/>
  <c r="FD24" i="16"/>
  <c r="EJ36" i="16"/>
  <c r="DM36" i="16"/>
  <c r="CH35" i="16"/>
  <c r="BP35" i="16"/>
  <c r="AB135" i="2"/>
  <c r="ED36" i="16"/>
  <c r="CV36" i="16"/>
  <c r="AI36" i="16"/>
  <c r="EY35" i="16"/>
  <c r="EM35" i="16"/>
  <c r="DD36" i="16"/>
  <c r="V142" i="2"/>
  <c r="AB136" i="2"/>
  <c r="AB134" i="2"/>
  <c r="DV36" i="16"/>
  <c r="DP36" i="16"/>
  <c r="DG36" i="16"/>
  <c r="V141" i="2"/>
  <c r="CZ35" i="16"/>
  <c r="V140" i="2"/>
  <c r="CM35" i="16"/>
  <c r="V139" i="2"/>
  <c r="CD36" i="16"/>
  <c r="V138" i="2"/>
  <c r="BU36" i="16"/>
  <c r="BS36" i="16"/>
  <c r="V137" i="2"/>
  <c r="V136" i="2"/>
  <c r="BC36" i="16"/>
  <c r="BA36" i="16"/>
  <c r="AY36" i="16"/>
  <c r="V135" i="2"/>
  <c r="AN36" i="16"/>
  <c r="V134" i="2"/>
  <c r="P36" i="16"/>
  <c r="EY36" i="16"/>
  <c r="EW34" i="16"/>
  <c r="EU34" i="16"/>
  <c r="ES34" i="16"/>
  <c r="EH35" i="16"/>
  <c r="EQ35" i="16"/>
  <c r="DX36" i="16"/>
  <c r="DR35" i="16"/>
  <c r="DD35" i="16"/>
  <c r="CX36" i="16"/>
  <c r="CJ36" i="16"/>
  <c r="CD35" i="16"/>
  <c r="BP36" i="16"/>
  <c r="BL36" i="16"/>
  <c r="AY35" i="16"/>
  <c r="AV36" i="16"/>
  <c r="AT36" i="16"/>
  <c r="V143" i="2"/>
  <c r="R36" i="16"/>
  <c r="N36" i="16"/>
  <c r="L35" i="16"/>
  <c r="J36" i="16"/>
  <c r="DZ36" i="16"/>
  <c r="DI36" i="16"/>
  <c r="CQ36" i="16"/>
  <c r="BY36" i="16"/>
  <c r="BH36" i="16"/>
  <c r="AP36" i="16"/>
  <c r="EK34" i="16"/>
  <c r="EI35" i="16"/>
  <c r="EE35" i="16"/>
  <c r="EA35" i="16"/>
  <c r="DW35" i="16"/>
  <c r="DS35" i="16"/>
  <c r="DN35" i="16"/>
  <c r="DJ35" i="16"/>
  <c r="DF35" i="16"/>
  <c r="DA35" i="16"/>
  <c r="CW35" i="16"/>
  <c r="CR35" i="16"/>
  <c r="CN35" i="16"/>
  <c r="CI35" i="16"/>
  <c r="CE35" i="16"/>
  <c r="BZ35" i="16"/>
  <c r="BV35" i="16"/>
  <c r="BR35" i="16"/>
  <c r="BM35" i="16"/>
  <c r="BI35" i="16"/>
  <c r="BD35" i="16"/>
  <c r="AZ35" i="16"/>
  <c r="AU35" i="16"/>
  <c r="AQ35" i="16"/>
  <c r="AJ35" i="16"/>
  <c r="AF35" i="16"/>
  <c r="AB35" i="16"/>
  <c r="Q35" i="16"/>
  <c r="M35" i="16"/>
  <c r="Y134" i="2"/>
  <c r="AD134" i="2" s="1"/>
  <c r="E134" i="2"/>
  <c r="L134" i="2" s="1"/>
  <c r="FA35" i="16"/>
  <c r="EW35" i="16"/>
  <c r="ES35" i="16"/>
  <c r="EO35" i="16"/>
  <c r="EK35" i="16"/>
  <c r="Y135" i="2"/>
  <c r="AD135" i="2" s="1"/>
  <c r="E135" i="2"/>
  <c r="L135" i="2" s="1"/>
  <c r="EZ30" i="16"/>
  <c r="EZ34" i="16"/>
  <c r="EV30" i="16"/>
  <c r="EV34" i="16"/>
  <c r="ER32" i="16"/>
  <c r="ER34" i="16"/>
  <c r="EL32" i="16"/>
  <c r="EL34" i="16"/>
  <c r="EJ32" i="16"/>
  <c r="EJ34" i="16"/>
  <c r="ED32" i="16"/>
  <c r="ED34" i="16"/>
  <c r="EB32" i="16"/>
  <c r="EB34" i="16"/>
  <c r="DX32" i="16"/>
  <c r="DX34" i="16"/>
  <c r="DT32" i="16"/>
  <c r="DT34" i="16"/>
  <c r="DP32" i="16"/>
  <c r="DP34" i="16"/>
  <c r="DK32" i="16"/>
  <c r="DK34" i="16"/>
  <c r="DG32" i="16"/>
  <c r="DG34" i="16"/>
  <c r="CZ32" i="16"/>
  <c r="CZ34" i="16"/>
  <c r="CV32" i="16"/>
  <c r="CV34" i="16"/>
  <c r="CQ32" i="16"/>
  <c r="CQ34" i="16"/>
  <c r="CM32" i="16"/>
  <c r="CM34" i="16"/>
  <c r="CH32" i="16"/>
  <c r="CH34" i="16"/>
  <c r="CD32" i="16"/>
  <c r="CD34" i="16"/>
  <c r="BY32" i="16"/>
  <c r="BY34" i="16"/>
  <c r="BU32" i="16"/>
  <c r="BU34" i="16"/>
  <c r="BP32" i="16"/>
  <c r="BP34" i="16"/>
  <c r="BL32" i="16"/>
  <c r="BL34" i="16"/>
  <c r="BH32" i="16"/>
  <c r="BH34" i="16"/>
  <c r="BC32" i="16"/>
  <c r="BC34" i="16"/>
  <c r="AY32" i="16"/>
  <c r="AY34" i="16"/>
  <c r="AT32" i="16"/>
  <c r="AT34" i="16"/>
  <c r="AP32" i="16"/>
  <c r="AP34" i="16"/>
  <c r="AI32" i="16"/>
  <c r="AI34" i="16"/>
  <c r="AE32" i="16"/>
  <c r="AE34" i="16"/>
  <c r="V32" i="16"/>
  <c r="V34" i="16"/>
  <c r="P32" i="16"/>
  <c r="P34" i="16"/>
  <c r="J34" i="16"/>
  <c r="J35" i="16"/>
  <c r="EG34" i="16"/>
  <c r="EG35" i="16"/>
  <c r="EC34" i="16"/>
  <c r="EC35" i="16"/>
  <c r="DY34" i="16"/>
  <c r="DY35" i="16"/>
  <c r="DU34" i="16"/>
  <c r="DU35" i="16"/>
  <c r="DC34" i="16"/>
  <c r="DC35" i="16"/>
  <c r="CT34" i="16"/>
  <c r="CT35" i="16"/>
  <c r="CP34" i="16"/>
  <c r="CP35" i="16"/>
  <c r="CL34" i="16"/>
  <c r="CL35" i="16"/>
  <c r="CC34" i="16"/>
  <c r="CC35" i="16"/>
  <c r="BO34" i="16"/>
  <c r="BO35" i="16"/>
  <c r="AX34" i="16"/>
  <c r="AX35" i="16"/>
  <c r="AS34" i="16"/>
  <c r="AS35" i="16"/>
  <c r="AO34" i="16"/>
  <c r="AO35" i="16"/>
  <c r="AH35" i="16"/>
  <c r="AH34" i="16"/>
  <c r="U35" i="16"/>
  <c r="U34" i="16"/>
  <c r="FB30" i="16"/>
  <c r="FB34" i="16"/>
  <c r="EX30" i="16"/>
  <c r="EX34" i="16"/>
  <c r="ET30" i="16"/>
  <c r="ET34" i="16"/>
  <c r="EP32" i="16"/>
  <c r="EP34" i="16"/>
  <c r="EN32" i="16"/>
  <c r="EN34" i="16"/>
  <c r="EH32" i="16"/>
  <c r="EH34" i="16"/>
  <c r="EF32" i="16"/>
  <c r="EF34" i="16"/>
  <c r="DZ32" i="16"/>
  <c r="DZ34" i="16"/>
  <c r="DV32" i="16"/>
  <c r="DV34" i="16"/>
  <c r="DR32" i="16"/>
  <c r="DR34" i="16"/>
  <c r="DM32" i="16"/>
  <c r="DM34" i="16"/>
  <c r="DI32" i="16"/>
  <c r="DI34" i="16"/>
  <c r="DD32" i="16"/>
  <c r="DD34" i="16"/>
  <c r="DB32" i="16"/>
  <c r="DB34" i="16"/>
  <c r="CX32" i="16"/>
  <c r="CX34" i="16"/>
  <c r="CS32" i="16"/>
  <c r="CS34" i="16"/>
  <c r="CO32" i="16"/>
  <c r="CO34" i="16"/>
  <c r="CJ32" i="16"/>
  <c r="CJ34" i="16"/>
  <c r="CF32" i="16"/>
  <c r="CF34" i="16"/>
  <c r="CB32" i="16"/>
  <c r="CB34" i="16"/>
  <c r="BW32" i="16"/>
  <c r="BW34" i="16"/>
  <c r="BS32" i="16"/>
  <c r="BS34" i="16"/>
  <c r="BN32" i="16"/>
  <c r="BN34" i="16"/>
  <c r="BJ32" i="16"/>
  <c r="BJ34" i="16"/>
  <c r="BE32" i="16"/>
  <c r="BE34" i="16"/>
  <c r="BA32" i="16"/>
  <c r="BA34" i="16"/>
  <c r="AV32" i="16"/>
  <c r="AV34" i="16"/>
  <c r="AR32" i="16"/>
  <c r="AR34" i="16"/>
  <c r="AN32" i="16"/>
  <c r="AN34" i="16"/>
  <c r="AG32" i="16"/>
  <c r="AG34" i="16"/>
  <c r="AG35" i="16"/>
  <c r="AC32" i="16"/>
  <c r="AC34" i="16"/>
  <c r="AC35" i="16"/>
  <c r="R32" i="16"/>
  <c r="R34" i="16"/>
  <c r="R35" i="16"/>
  <c r="N32" i="16"/>
  <c r="N34" i="16"/>
  <c r="N35" i="16"/>
  <c r="L32" i="16"/>
  <c r="L34" i="16"/>
  <c r="DQ34" i="16"/>
  <c r="DQ35" i="16"/>
  <c r="DL34" i="16"/>
  <c r="DL35" i="16"/>
  <c r="DH34" i="16"/>
  <c r="DH35" i="16"/>
  <c r="CY34" i="16"/>
  <c r="CY35" i="16"/>
  <c r="CG34" i="16"/>
  <c r="CG35" i="16"/>
  <c r="BX34" i="16"/>
  <c r="BX35" i="16"/>
  <c r="BT34" i="16"/>
  <c r="BT35" i="16"/>
  <c r="BK34" i="16"/>
  <c r="BK35" i="16"/>
  <c r="BF34" i="16"/>
  <c r="BF35" i="16"/>
  <c r="BB34" i="16"/>
  <c r="BB35" i="16"/>
  <c r="AD35" i="16"/>
  <c r="AD34" i="16"/>
  <c r="O35" i="16"/>
  <c r="O34" i="16"/>
  <c r="K35" i="16"/>
  <c r="K34" i="16"/>
  <c r="FC36" i="16"/>
  <c r="FA36" i="16"/>
  <c r="EW36" i="16"/>
  <c r="EU36" i="16"/>
  <c r="ES36" i="16"/>
  <c r="EO36" i="16"/>
  <c r="EM36" i="16"/>
  <c r="EK36" i="16"/>
  <c r="EI36" i="16"/>
  <c r="EG36" i="16"/>
  <c r="EE36" i="16"/>
  <c r="EC36" i="16"/>
  <c r="EA36" i="16"/>
  <c r="DY36" i="16"/>
  <c r="DW36" i="16"/>
  <c r="DU36" i="16"/>
  <c r="DS36" i="16"/>
  <c r="DQ36" i="16"/>
  <c r="DN36" i="16"/>
  <c r="DL36" i="16"/>
  <c r="DJ36" i="16"/>
  <c r="DH36" i="16"/>
  <c r="DF36" i="16"/>
  <c r="DC36" i="16"/>
  <c r="DA36" i="16"/>
  <c r="CY36" i="16"/>
  <c r="CW36" i="16"/>
  <c r="CT36" i="16"/>
  <c r="CR36" i="16"/>
  <c r="CP36" i="16"/>
  <c r="CN36" i="16"/>
  <c r="CL36" i="16"/>
  <c r="CI36" i="16"/>
  <c r="CG36" i="16"/>
  <c r="CE36" i="16"/>
  <c r="CC36" i="16"/>
  <c r="BZ36" i="16"/>
  <c r="BX36" i="16"/>
  <c r="BV36" i="16"/>
  <c r="BT36" i="16"/>
  <c r="BR36" i="16"/>
  <c r="BO36" i="16"/>
  <c r="BM36" i="16"/>
  <c r="BK36" i="16"/>
  <c r="BI36" i="16"/>
  <c r="BF36" i="16"/>
  <c r="BD36" i="16"/>
  <c r="BB36" i="16"/>
  <c r="AZ36" i="16"/>
  <c r="AX36" i="16"/>
  <c r="AU36" i="16"/>
  <c r="AS36" i="16"/>
  <c r="AQ36" i="16"/>
  <c r="AO36" i="16"/>
  <c r="AJ36" i="16"/>
  <c r="AH36" i="16"/>
  <c r="AF36" i="16"/>
  <c r="AD36" i="16"/>
  <c r="AB36" i="16"/>
  <c r="U36" i="16"/>
  <c r="Q36" i="16"/>
  <c r="O36" i="16"/>
  <c r="M36" i="16"/>
  <c r="K36" i="16"/>
  <c r="FB35" i="16"/>
  <c r="EZ35" i="16"/>
  <c r="EX35" i="16"/>
  <c r="EV35" i="16"/>
  <c r="ET35" i="16"/>
  <c r="ER35" i="16"/>
  <c r="EP35" i="16"/>
  <c r="EN35" i="16"/>
  <c r="EL35" i="16"/>
  <c r="EJ35" i="16"/>
  <c r="EF35" i="16"/>
  <c r="EB35" i="16"/>
  <c r="DX35" i="16"/>
  <c r="DT35" i="16"/>
  <c r="DP35" i="16"/>
  <c r="DK35" i="16"/>
  <c r="DG35" i="16"/>
  <c r="DB35" i="16"/>
  <c r="CX35" i="16"/>
  <c r="CS35" i="16"/>
  <c r="CO35" i="16"/>
  <c r="CJ35" i="16"/>
  <c r="CF35" i="16"/>
  <c r="CB35" i="16"/>
  <c r="BW35" i="16"/>
  <c r="BS35" i="16"/>
  <c r="BN35" i="16"/>
  <c r="BJ35" i="16"/>
  <c r="BE35" i="16"/>
  <c r="BA35" i="16"/>
  <c r="AV35" i="16"/>
  <c r="AR35" i="16"/>
  <c r="AN35" i="16"/>
  <c r="AE35" i="16"/>
  <c r="P35" i="16"/>
  <c r="EE34" i="16"/>
  <c r="DW34" i="16"/>
  <c r="DN34" i="16"/>
  <c r="DF34" i="16"/>
  <c r="CW34" i="16"/>
  <c r="CN34" i="16"/>
  <c r="CE34" i="16"/>
  <c r="BV34" i="16"/>
  <c r="BM34" i="16"/>
  <c r="BD34" i="16"/>
  <c r="AU34" i="16"/>
  <c r="AJ34" i="16"/>
  <c r="AB34" i="16"/>
  <c r="M34" i="16"/>
  <c r="Y136" i="2"/>
  <c r="AD136" i="2" s="1"/>
  <c r="E136" i="2"/>
  <c r="L136" i="2" s="1"/>
  <c r="AC135" i="2"/>
  <c r="AC134" i="2"/>
  <c r="FC30" i="16"/>
  <c r="FC31" i="16"/>
  <c r="FA30" i="16"/>
  <c r="FA31" i="16"/>
  <c r="EY30" i="16"/>
  <c r="EY31" i="16"/>
  <c r="EW30" i="16"/>
  <c r="EW31" i="16"/>
  <c r="EU30" i="16"/>
  <c r="EU31" i="16"/>
  <c r="ES30" i="16"/>
  <c r="ES31" i="16"/>
  <c r="EQ30" i="16"/>
  <c r="EO30" i="16"/>
  <c r="EO31" i="16"/>
  <c r="EM30" i="16"/>
  <c r="EM31" i="16"/>
  <c r="EK30" i="16"/>
  <c r="EK31" i="16"/>
  <c r="EI30" i="16"/>
  <c r="EI31" i="16"/>
  <c r="EG30" i="16"/>
  <c r="EG31" i="16"/>
  <c r="EE30" i="16"/>
  <c r="EE31" i="16"/>
  <c r="EC30" i="16"/>
  <c r="EC31" i="16"/>
  <c r="EA30" i="16"/>
  <c r="EA31" i="16"/>
  <c r="DY30" i="16"/>
  <c r="DY31" i="16"/>
  <c r="DW30" i="16"/>
  <c r="DW31" i="16"/>
  <c r="DU30" i="16"/>
  <c r="DU31" i="16"/>
  <c r="DS30" i="16"/>
  <c r="DS31" i="16"/>
  <c r="DQ30" i="16"/>
  <c r="DQ31" i="16"/>
  <c r="DN30" i="16"/>
  <c r="DN31" i="16"/>
  <c r="DL30" i="16"/>
  <c r="DL31" i="16"/>
  <c r="DJ30" i="16"/>
  <c r="DJ31" i="16"/>
  <c r="DH30" i="16"/>
  <c r="DH31" i="16"/>
  <c r="DF30" i="16"/>
  <c r="DF31" i="16"/>
  <c r="DC30" i="16"/>
  <c r="DC31" i="16"/>
  <c r="DA30" i="16"/>
  <c r="DA31" i="16"/>
  <c r="CY30" i="16"/>
  <c r="CY31" i="16"/>
  <c r="CW30" i="16"/>
  <c r="CW31" i="16"/>
  <c r="CT30" i="16"/>
  <c r="CT31" i="16"/>
  <c r="CR30" i="16"/>
  <c r="CR31" i="16"/>
  <c r="CP30" i="16"/>
  <c r="CP31" i="16"/>
  <c r="CN30" i="16"/>
  <c r="CN31" i="16"/>
  <c r="CL30" i="16"/>
  <c r="CL31" i="16"/>
  <c r="CI30" i="16"/>
  <c r="CI31" i="16"/>
  <c r="CG30" i="16"/>
  <c r="CG31" i="16"/>
  <c r="CE30" i="16"/>
  <c r="CE31" i="16"/>
  <c r="CC30" i="16"/>
  <c r="CC31" i="16"/>
  <c r="BZ30" i="16"/>
  <c r="BZ31" i="16"/>
  <c r="BX30" i="16"/>
  <c r="BX31" i="16"/>
  <c r="BV30" i="16"/>
  <c r="BV31" i="16"/>
  <c r="BT30" i="16"/>
  <c r="BT31" i="16"/>
  <c r="BR30" i="16"/>
  <c r="BR31" i="16"/>
  <c r="BO30" i="16"/>
  <c r="BO31" i="16"/>
  <c r="BM30" i="16"/>
  <c r="BM31" i="16"/>
  <c r="BK30" i="16"/>
  <c r="BK31" i="16"/>
  <c r="BI30" i="16"/>
  <c r="BI31" i="16"/>
  <c r="BF30" i="16"/>
  <c r="BF31" i="16"/>
  <c r="BD30" i="16"/>
  <c r="BD31" i="16"/>
  <c r="BB30" i="16"/>
  <c r="BB31" i="16"/>
  <c r="AZ30" i="16"/>
  <c r="AZ31" i="16"/>
  <c r="AX30" i="16"/>
  <c r="AX31" i="16"/>
  <c r="AU30" i="16"/>
  <c r="AU31" i="16"/>
  <c r="AS30" i="16"/>
  <c r="AS31" i="16"/>
  <c r="AQ30" i="16"/>
  <c r="AQ31" i="16"/>
  <c r="AO30" i="16"/>
  <c r="AO31" i="16"/>
  <c r="AJ30" i="16"/>
  <c r="AJ31" i="16"/>
  <c r="AH30" i="16"/>
  <c r="AH31" i="16"/>
  <c r="AF30" i="16"/>
  <c r="AF31" i="16"/>
  <c r="AD30" i="16"/>
  <c r="AD31" i="16"/>
  <c r="AB30" i="16"/>
  <c r="AB31" i="16"/>
  <c r="U30" i="16"/>
  <c r="U31" i="16"/>
  <c r="Q30" i="16"/>
  <c r="Q31" i="16"/>
  <c r="O30" i="16"/>
  <c r="O31" i="16"/>
  <c r="M30" i="16"/>
  <c r="M31" i="16"/>
  <c r="K30" i="16"/>
  <c r="K31" i="16"/>
  <c r="FD32" i="16"/>
  <c r="FB32" i="16"/>
  <c r="EZ32" i="16"/>
  <c r="EX32" i="16"/>
  <c r="EV32" i="16"/>
  <c r="ET32" i="16"/>
  <c r="FD31" i="16"/>
  <c r="EZ31" i="16"/>
  <c r="EV31" i="16"/>
  <c r="ER30" i="16"/>
  <c r="ER31" i="16"/>
  <c r="EP31" i="16"/>
  <c r="EP30" i="16"/>
  <c r="EN30" i="16"/>
  <c r="EN31" i="16"/>
  <c r="EL31" i="16"/>
  <c r="EL30" i="16"/>
  <c r="EJ30" i="16"/>
  <c r="EJ31" i="16"/>
  <c r="EH31" i="16"/>
  <c r="EH30" i="16"/>
  <c r="EF30" i="16"/>
  <c r="EF31" i="16"/>
  <c r="ED31" i="16"/>
  <c r="ED30" i="16"/>
  <c r="EB30" i="16"/>
  <c r="EB31" i="16"/>
  <c r="DZ31" i="16"/>
  <c r="DZ30" i="16"/>
  <c r="DX30" i="16"/>
  <c r="DX31" i="16"/>
  <c r="DV31" i="16"/>
  <c r="DV30" i="16"/>
  <c r="DT30" i="16"/>
  <c r="DT31" i="16"/>
  <c r="DR31" i="16"/>
  <c r="DR30" i="16"/>
  <c r="DP30" i="16"/>
  <c r="DP31" i="16"/>
  <c r="DM31" i="16"/>
  <c r="DM30" i="16"/>
  <c r="DK30" i="16"/>
  <c r="DK31" i="16"/>
  <c r="DI31" i="16"/>
  <c r="DI30" i="16"/>
  <c r="DG30" i="16"/>
  <c r="DG31" i="16"/>
  <c r="DD31" i="16"/>
  <c r="DD30" i="16"/>
  <c r="DB30" i="16"/>
  <c r="DB31" i="16"/>
  <c r="CZ31" i="16"/>
  <c r="CZ30" i="16"/>
  <c r="CX30" i="16"/>
  <c r="CX31" i="16"/>
  <c r="CV31" i="16"/>
  <c r="CV30" i="16"/>
  <c r="CS30" i="16"/>
  <c r="CS31" i="16"/>
  <c r="CQ31" i="16"/>
  <c r="CQ30" i="16"/>
  <c r="CO30" i="16"/>
  <c r="CO31" i="16"/>
  <c r="CM31" i="16"/>
  <c r="CM30" i="16"/>
  <c r="CJ30" i="16"/>
  <c r="CJ31" i="16"/>
  <c r="CH31" i="16"/>
  <c r="CH30" i="16"/>
  <c r="CF30" i="16"/>
  <c r="CF31" i="16"/>
  <c r="CD31" i="16"/>
  <c r="CD30" i="16"/>
  <c r="CB30" i="16"/>
  <c r="CB31" i="16"/>
  <c r="BY31" i="16"/>
  <c r="BY30" i="16"/>
  <c r="BW30" i="16"/>
  <c r="BW31" i="16"/>
  <c r="BU31" i="16"/>
  <c r="BU30" i="16"/>
  <c r="BS30" i="16"/>
  <c r="BS31" i="16"/>
  <c r="BP31" i="16"/>
  <c r="BP30" i="16"/>
  <c r="BN30" i="16"/>
  <c r="BN31" i="16"/>
  <c r="BL31" i="16"/>
  <c r="BL30" i="16"/>
  <c r="BJ30" i="16"/>
  <c r="BJ31" i="16"/>
  <c r="BH31" i="16"/>
  <c r="BH30" i="16"/>
  <c r="BE31" i="16"/>
  <c r="BE30" i="16"/>
  <c r="BC31" i="16"/>
  <c r="BC30" i="16"/>
  <c r="BA31" i="16"/>
  <c r="BA30" i="16"/>
  <c r="AY31" i="16"/>
  <c r="AY30" i="16"/>
  <c r="AV31" i="16"/>
  <c r="AV30" i="16"/>
  <c r="AT31" i="16"/>
  <c r="AT30" i="16"/>
  <c r="AR31" i="16"/>
  <c r="AR30" i="16"/>
  <c r="AP31" i="16"/>
  <c r="AP30" i="16"/>
  <c r="AN31" i="16"/>
  <c r="AN30" i="16"/>
  <c r="AI31" i="16"/>
  <c r="AI30" i="16"/>
  <c r="AG31" i="16"/>
  <c r="AG30" i="16"/>
  <c r="AE31" i="16"/>
  <c r="AE30" i="16"/>
  <c r="AC31" i="16"/>
  <c r="AC30" i="16"/>
  <c r="V31" i="16"/>
  <c r="V30" i="16"/>
  <c r="R31" i="16"/>
  <c r="R30" i="16"/>
  <c r="P31" i="16"/>
  <c r="P30" i="16"/>
  <c r="N31" i="16"/>
  <c r="N30" i="16"/>
  <c r="L31" i="16"/>
  <c r="L30" i="16"/>
  <c r="J31" i="16"/>
  <c r="J30" i="16"/>
  <c r="J32" i="16"/>
  <c r="FC32" i="16"/>
  <c r="FA32" i="16"/>
  <c r="EY32" i="16"/>
  <c r="EW32" i="16"/>
  <c r="EU32" i="16"/>
  <c r="ES32" i="16"/>
  <c r="EO32" i="16"/>
  <c r="EM32" i="16"/>
  <c r="EK32" i="16"/>
  <c r="EI32" i="16"/>
  <c r="EG32" i="16"/>
  <c r="EE32" i="16"/>
  <c r="EC32" i="16"/>
  <c r="EA32" i="16"/>
  <c r="DY32" i="16"/>
  <c r="DW32" i="16"/>
  <c r="DU32" i="16"/>
  <c r="DS32" i="16"/>
  <c r="DQ32" i="16"/>
  <c r="DN32" i="16"/>
  <c r="DL32" i="16"/>
  <c r="DJ32" i="16"/>
  <c r="DH32" i="16"/>
  <c r="DF32" i="16"/>
  <c r="DC32" i="16"/>
  <c r="DA32" i="16"/>
  <c r="CY32" i="16"/>
  <c r="CW32" i="16"/>
  <c r="CT32" i="16"/>
  <c r="CR32" i="16"/>
  <c r="CP32" i="16"/>
  <c r="CN32" i="16"/>
  <c r="CL32" i="16"/>
  <c r="CI32" i="16"/>
  <c r="CG32" i="16"/>
  <c r="CE32" i="16"/>
  <c r="CC32" i="16"/>
  <c r="BZ32" i="16"/>
  <c r="BX32" i="16"/>
  <c r="BV32" i="16"/>
  <c r="BT32" i="16"/>
  <c r="BR32" i="16"/>
  <c r="BO32" i="16"/>
  <c r="BM32" i="16"/>
  <c r="BK32" i="16"/>
  <c r="BI32" i="16"/>
  <c r="BF32" i="16"/>
  <c r="BD32" i="16"/>
  <c r="BB32" i="16"/>
  <c r="AZ32" i="16"/>
  <c r="AX32" i="16"/>
  <c r="AU32" i="16"/>
  <c r="AS32" i="16"/>
  <c r="AQ32" i="16"/>
  <c r="AO32" i="16"/>
  <c r="AJ32" i="16"/>
  <c r="AH32" i="16"/>
  <c r="AF32" i="16"/>
  <c r="AD32" i="16"/>
  <c r="AB32" i="16"/>
  <c r="U32" i="16"/>
  <c r="Q32" i="16"/>
  <c r="O32" i="16"/>
  <c r="M32" i="16"/>
  <c r="K32" i="16"/>
  <c r="FB31" i="16"/>
  <c r="EX31" i="16"/>
  <c r="ET31" i="16"/>
  <c r="AB97" i="15"/>
  <c r="J97" i="15"/>
  <c r="ER97" i="15"/>
  <c r="FF97" i="15"/>
  <c r="FG97" i="15" s="1"/>
  <c r="FH97" i="15"/>
  <c r="FI97" i="15"/>
  <c r="FJ97" i="15"/>
  <c r="FK97" i="15"/>
  <c r="FL97" i="15"/>
  <c r="FM97" i="15"/>
  <c r="FN97" i="15"/>
  <c r="FO97" i="15"/>
  <c r="FP97" i="15"/>
  <c r="FQ97" i="15"/>
  <c r="FR97" i="15"/>
  <c r="FS97" i="15"/>
  <c r="FT97" i="15"/>
  <c r="FU97" i="15"/>
  <c r="AB96" i="15"/>
  <c r="J96" i="15"/>
  <c r="ER96" i="15"/>
  <c r="FH96" i="15" s="1"/>
  <c r="FF96" i="15"/>
  <c r="FG96" i="15" s="1"/>
  <c r="FI96" i="15"/>
  <c r="FJ96" i="15"/>
  <c r="FK96" i="15"/>
  <c r="FL96" i="15"/>
  <c r="FM96" i="15"/>
  <c r="FN96" i="15"/>
  <c r="FO96" i="15"/>
  <c r="FP96" i="15"/>
  <c r="FQ96" i="15"/>
  <c r="FR96" i="15"/>
  <c r="FS96" i="15"/>
  <c r="FT96" i="15"/>
  <c r="FU96" i="15"/>
  <c r="AB95" i="15"/>
  <c r="J95" i="15"/>
  <c r="ER95" i="15"/>
  <c r="FH95" i="15" s="1"/>
  <c r="FF95" i="15"/>
  <c r="FG95" i="15" s="1"/>
  <c r="FI95" i="15"/>
  <c r="FJ95" i="15"/>
  <c r="FK95" i="15"/>
  <c r="FL95" i="15"/>
  <c r="FM95" i="15"/>
  <c r="FN95" i="15"/>
  <c r="FO95" i="15"/>
  <c r="FP95" i="15"/>
  <c r="FQ95" i="15"/>
  <c r="FR95" i="15"/>
  <c r="FS95" i="15"/>
  <c r="FT95" i="15"/>
  <c r="FU95" i="15"/>
  <c r="ER94" i="15"/>
  <c r="FF94" i="15"/>
  <c r="FG94" i="15" s="1"/>
  <c r="FH94" i="15"/>
  <c r="FI94" i="15"/>
  <c r="FJ94" i="15"/>
  <c r="FK94" i="15"/>
  <c r="FL94" i="15"/>
  <c r="FM94" i="15"/>
  <c r="FN94" i="15"/>
  <c r="FO94" i="15"/>
  <c r="FP94" i="15"/>
  <c r="FQ94" i="15"/>
  <c r="FR94" i="15"/>
  <c r="FS94" i="15"/>
  <c r="FT94" i="15"/>
  <c r="FU94" i="15"/>
  <c r="ER93" i="15"/>
  <c r="FF93" i="15"/>
  <c r="FG93" i="15" s="1"/>
  <c r="FH93" i="15"/>
  <c r="FI93" i="15"/>
  <c r="FJ93" i="15"/>
  <c r="FK93" i="15"/>
  <c r="FL93" i="15"/>
  <c r="FM93" i="15"/>
  <c r="FN93" i="15"/>
  <c r="FO93" i="15"/>
  <c r="FP93" i="15"/>
  <c r="FQ93" i="15"/>
  <c r="FR93" i="15"/>
  <c r="FS93" i="15"/>
  <c r="FT93" i="15"/>
  <c r="FU93" i="15"/>
  <c r="ER92" i="15"/>
  <c r="FF92" i="15"/>
  <c r="FG92" i="15" s="1"/>
  <c r="FH92" i="15"/>
  <c r="FI92" i="15"/>
  <c r="FJ92" i="15"/>
  <c r="FK92" i="15"/>
  <c r="FL92" i="15"/>
  <c r="FM92" i="15"/>
  <c r="FN92" i="15"/>
  <c r="FO92" i="15"/>
  <c r="FP92" i="15"/>
  <c r="FQ92" i="15"/>
  <c r="FR92" i="15"/>
  <c r="FS92" i="15"/>
  <c r="FT92" i="15"/>
  <c r="FU92" i="15"/>
  <c r="EB91" i="15"/>
  <c r="DY91" i="15"/>
  <c r="ER91" i="15"/>
  <c r="FF91" i="15"/>
  <c r="FG91" i="15" s="1"/>
  <c r="FH91" i="15"/>
  <c r="FI91" i="15"/>
  <c r="FJ91" i="15"/>
  <c r="FK91" i="15"/>
  <c r="FL91" i="15"/>
  <c r="FM91" i="15"/>
  <c r="FN91" i="15"/>
  <c r="FO91" i="15"/>
  <c r="FP91" i="15"/>
  <c r="FQ91" i="15"/>
  <c r="FR91" i="15"/>
  <c r="FS91" i="15"/>
  <c r="FT91" i="15"/>
  <c r="FU91" i="15"/>
  <c r="AB90" i="15"/>
  <c r="J90" i="15"/>
  <c r="ER90" i="15"/>
  <c r="FF90" i="15"/>
  <c r="FG90" i="15" s="1"/>
  <c r="FH90" i="15"/>
  <c r="FI90" i="15"/>
  <c r="FJ90" i="15"/>
  <c r="FK90" i="15"/>
  <c r="FL90" i="15"/>
  <c r="FM90" i="15"/>
  <c r="FN90" i="15"/>
  <c r="FO90" i="15"/>
  <c r="FP90" i="15"/>
  <c r="FQ90" i="15"/>
  <c r="FR90" i="15"/>
  <c r="FS90" i="15"/>
  <c r="FT90" i="15"/>
  <c r="FU90" i="15"/>
  <c r="ER89" i="15"/>
  <c r="FF89" i="15"/>
  <c r="FG89" i="15" s="1"/>
  <c r="FH89" i="15"/>
  <c r="FI89" i="15"/>
  <c r="FJ89" i="15"/>
  <c r="FK89" i="15"/>
  <c r="FL89" i="15"/>
  <c r="FM89" i="15"/>
  <c r="FN89" i="15"/>
  <c r="FO89" i="15"/>
  <c r="FP89" i="15"/>
  <c r="FQ89" i="15"/>
  <c r="FR89" i="15"/>
  <c r="FS89" i="15"/>
  <c r="FT89" i="15"/>
  <c r="FU89" i="15"/>
  <c r="ER88" i="15"/>
  <c r="FH88" i="15" s="1"/>
  <c r="FF88" i="15"/>
  <c r="FG88" i="15" s="1"/>
  <c r="FI88" i="15"/>
  <c r="FJ88" i="15"/>
  <c r="FK88" i="15"/>
  <c r="FL88" i="15"/>
  <c r="FM88" i="15"/>
  <c r="FN88" i="15"/>
  <c r="FO88" i="15"/>
  <c r="FP88" i="15"/>
  <c r="FQ88" i="15"/>
  <c r="FR88" i="15"/>
  <c r="FS88" i="15"/>
  <c r="FT88" i="15"/>
  <c r="FU88" i="15"/>
  <c r="ET30" i="9"/>
  <c r="FJ30" i="9"/>
  <c r="FK30" i="9" s="1"/>
  <c r="FL30" i="9"/>
  <c r="FE57" i="7"/>
  <c r="FE58" i="7"/>
  <c r="FE59" i="7"/>
  <c r="FE60" i="7"/>
  <c r="FE61" i="7"/>
  <c r="FE62" i="7"/>
  <c r="FE66" i="7"/>
  <c r="FE68" i="7"/>
  <c r="EQ57" i="7"/>
  <c r="EQ58" i="7"/>
  <c r="EQ59" i="7"/>
  <c r="EQ60" i="7"/>
  <c r="EQ61" i="7"/>
  <c r="EQ62" i="7"/>
  <c r="EQ66" i="7"/>
  <c r="FE56" i="7"/>
  <c r="EQ56" i="7"/>
  <c r="FF4" i="7"/>
  <c r="FF5" i="7"/>
  <c r="FF6" i="7"/>
  <c r="FF7" i="7"/>
  <c r="FF8" i="7"/>
  <c r="FF9" i="7"/>
  <c r="FF10" i="7"/>
  <c r="FF11" i="7"/>
  <c r="FF12" i="7"/>
  <c r="FF13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29" i="7"/>
  <c r="FF30" i="7"/>
  <c r="FF31" i="7"/>
  <c r="FF32" i="7"/>
  <c r="FG32" i="7" s="1"/>
  <c r="ER4" i="7"/>
  <c r="ER5" i="7"/>
  <c r="ER6" i="7"/>
  <c r="ER7" i="7"/>
  <c r="ER8" i="7"/>
  <c r="ER9" i="7"/>
  <c r="ER10" i="7"/>
  <c r="ER11" i="7"/>
  <c r="ER12" i="7"/>
  <c r="ER13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29" i="7"/>
  <c r="ER30" i="7"/>
  <c r="ER31" i="7"/>
  <c r="FH31" i="7" s="1"/>
  <c r="ER32" i="7"/>
  <c r="FH32" i="7" s="1"/>
  <c r="AB32" i="7"/>
  <c r="FG31" i="7"/>
  <c r="EB33" i="4"/>
  <c r="DY33" i="4"/>
  <c r="FG33" i="4"/>
  <c r="FH33" i="4"/>
  <c r="EX99" i="14"/>
  <c r="FT99" i="14" s="1"/>
  <c r="FR99" i="14"/>
  <c r="FS99" i="14" s="1"/>
  <c r="AB98" i="14"/>
  <c r="J98" i="14"/>
  <c r="EX98" i="14"/>
  <c r="FT98" i="14" s="1"/>
  <c r="FR98" i="14"/>
  <c r="FS98" i="14" s="1"/>
  <c r="AB97" i="12"/>
  <c r="FK97" i="12"/>
  <c r="FL97" i="12"/>
  <c r="AB100" i="11"/>
  <c r="J100" i="11"/>
  <c r="EQ100" i="11"/>
  <c r="FF100" i="11" s="1"/>
  <c r="FD100" i="11"/>
  <c r="FE100" i="11" s="1"/>
  <c r="EQ99" i="11"/>
  <c r="FF99" i="11" s="1"/>
  <c r="FD99" i="11"/>
  <c r="FE99" i="11" s="1"/>
  <c r="EC97" i="1"/>
  <c r="DZ97" i="1"/>
  <c r="AC97" i="1"/>
  <c r="K97" i="1"/>
  <c r="ES97" i="1"/>
  <c r="FG97" i="1"/>
  <c r="FN97" i="1" s="1"/>
  <c r="FO97" i="1"/>
  <c r="FV97" i="1"/>
  <c r="FW97" i="1"/>
  <c r="FX97" i="1"/>
  <c r="FY97" i="1"/>
  <c r="FZ97" i="1"/>
  <c r="GA97" i="1"/>
  <c r="GB97" i="1"/>
  <c r="GC97" i="1"/>
  <c r="GD97" i="1"/>
  <c r="GE97" i="1"/>
  <c r="GF97" i="1"/>
  <c r="GG97" i="1"/>
  <c r="GH97" i="1"/>
  <c r="EQ68" i="7" l="1"/>
  <c r="GI97" i="1"/>
  <c r="EQ63" i="7"/>
  <c r="FE63" i="7"/>
  <c r="FD35" i="16"/>
  <c r="EQ36" i="16"/>
  <c r="EQ31" i="16"/>
  <c r="EQ34" i="16"/>
  <c r="FD34" i="16"/>
  <c r="FD30" i="16"/>
  <c r="FD36" i="16"/>
  <c r="AC136" i="2"/>
  <c r="FV94" i="15"/>
  <c r="FV97" i="15"/>
  <c r="FV95" i="15"/>
  <c r="FV96" i="15"/>
  <c r="FV93" i="15"/>
  <c r="FV92" i="15"/>
  <c r="FV91" i="15"/>
  <c r="FV90" i="15"/>
  <c r="FV89" i="15"/>
  <c r="FV88" i="15"/>
  <c r="FE64" i="7"/>
  <c r="FE69" i="7"/>
  <c r="FE67" i="7"/>
  <c r="FE65" i="7"/>
  <c r="EQ64" i="7"/>
  <c r="EQ69" i="7"/>
  <c r="EQ67" i="7"/>
  <c r="EQ65" i="7"/>
  <c r="ER87" i="15"/>
  <c r="FH87" i="15" s="1"/>
  <c r="FF87" i="15"/>
  <c r="FG87" i="15" s="1"/>
  <c r="FI87" i="15"/>
  <c r="FJ87" i="15"/>
  <c r="FK87" i="15"/>
  <c r="FL87" i="15"/>
  <c r="FM87" i="15"/>
  <c r="FN87" i="15"/>
  <c r="FO87" i="15"/>
  <c r="FP87" i="15"/>
  <c r="FQ87" i="15"/>
  <c r="FR87" i="15"/>
  <c r="FS87" i="15"/>
  <c r="FT87" i="15"/>
  <c r="FU87" i="15"/>
  <c r="ER86" i="15"/>
  <c r="FF86" i="15"/>
  <c r="FG86" i="15" s="1"/>
  <c r="FH86" i="15"/>
  <c r="FI86" i="15"/>
  <c r="FJ86" i="15"/>
  <c r="FK86" i="15"/>
  <c r="FL86" i="15"/>
  <c r="FM86" i="15"/>
  <c r="FN86" i="15"/>
  <c r="FO86" i="15"/>
  <c r="FP86" i="15"/>
  <c r="FQ86" i="15"/>
  <c r="FR86" i="15"/>
  <c r="FS86" i="15"/>
  <c r="FT86" i="15"/>
  <c r="FU86" i="15"/>
  <c r="ER85" i="15"/>
  <c r="FF85" i="15"/>
  <c r="FG85" i="15" s="1"/>
  <c r="FH85" i="15"/>
  <c r="FI85" i="15"/>
  <c r="FJ85" i="15"/>
  <c r="FK85" i="15"/>
  <c r="FL85" i="15"/>
  <c r="FM85" i="15"/>
  <c r="FN85" i="15"/>
  <c r="FO85" i="15"/>
  <c r="FP85" i="15"/>
  <c r="FQ85" i="15"/>
  <c r="FR85" i="15"/>
  <c r="FS85" i="15"/>
  <c r="FT85" i="15"/>
  <c r="FU85" i="15"/>
  <c r="AB84" i="15"/>
  <c r="J84" i="15"/>
  <c r="ER84" i="15"/>
  <c r="FH84" i="15" s="1"/>
  <c r="FF84" i="15"/>
  <c r="FG84" i="15" s="1"/>
  <c r="FI84" i="15"/>
  <c r="FJ84" i="15"/>
  <c r="FK84" i="15"/>
  <c r="FL84" i="15"/>
  <c r="FM84" i="15"/>
  <c r="FN84" i="15"/>
  <c r="FO84" i="15"/>
  <c r="FP84" i="15"/>
  <c r="FQ84" i="15"/>
  <c r="FR84" i="15"/>
  <c r="FS84" i="15"/>
  <c r="FT84" i="15"/>
  <c r="FU84" i="15"/>
  <c r="ER83" i="15"/>
  <c r="FH83" i="15" s="1"/>
  <c r="FF83" i="15"/>
  <c r="FG83" i="15" s="1"/>
  <c r="FI83" i="15"/>
  <c r="FJ83" i="15"/>
  <c r="FK83" i="15"/>
  <c r="FL83" i="15"/>
  <c r="FM83" i="15"/>
  <c r="FN83" i="15"/>
  <c r="FO83" i="15"/>
  <c r="FP83" i="15"/>
  <c r="FQ83" i="15"/>
  <c r="FR83" i="15"/>
  <c r="FS83" i="15"/>
  <c r="FT83" i="15"/>
  <c r="FU83" i="15"/>
  <c r="AB82" i="15"/>
  <c r="ER82" i="15"/>
  <c r="FH82" i="15" s="1"/>
  <c r="FF82" i="15"/>
  <c r="FG82" i="15" s="1"/>
  <c r="FI82" i="15"/>
  <c r="FJ82" i="15"/>
  <c r="FK82" i="15"/>
  <c r="FL82" i="15"/>
  <c r="FM82" i="15"/>
  <c r="FN82" i="15"/>
  <c r="FO82" i="15"/>
  <c r="FP82" i="15"/>
  <c r="FQ82" i="15"/>
  <c r="FR82" i="15"/>
  <c r="FS82" i="15"/>
  <c r="FT82" i="15"/>
  <c r="FU82" i="15"/>
  <c r="EB71" i="15"/>
  <c r="EB66" i="15"/>
  <c r="DY60" i="15"/>
  <c r="DY66" i="15"/>
  <c r="DY80" i="15"/>
  <c r="DY69" i="15"/>
  <c r="J78" i="15"/>
  <c r="J76" i="15"/>
  <c r="EB60" i="15"/>
  <c r="EB80" i="15"/>
  <c r="EB61" i="15"/>
  <c r="J60" i="15"/>
  <c r="J80" i="15"/>
  <c r="AB74" i="15"/>
  <c r="J58" i="15"/>
  <c r="DY57" i="15"/>
  <c r="AB76" i="15"/>
  <c r="AB78" i="15"/>
  <c r="DY61" i="15"/>
  <c r="AB60" i="15"/>
  <c r="DY59" i="15"/>
  <c r="AB80" i="15"/>
  <c r="J74" i="15"/>
  <c r="EB69" i="15"/>
  <c r="EB59" i="15"/>
  <c r="AB58" i="15"/>
  <c r="EB57" i="15"/>
  <c r="ER81" i="15"/>
  <c r="FH81" i="15" s="1"/>
  <c r="FF81" i="15"/>
  <c r="FG81" i="15" s="1"/>
  <c r="FI81" i="15"/>
  <c r="FJ81" i="15"/>
  <c r="FK81" i="15"/>
  <c r="FL81" i="15"/>
  <c r="FM81" i="15"/>
  <c r="FN81" i="15"/>
  <c r="FO81" i="15"/>
  <c r="FP81" i="15"/>
  <c r="FQ81" i="15"/>
  <c r="FR81" i="15"/>
  <c r="FS81" i="15"/>
  <c r="FT81" i="15"/>
  <c r="FU81" i="15"/>
  <c r="ER56" i="15"/>
  <c r="FH56" i="15" s="1"/>
  <c r="ER57" i="15"/>
  <c r="FH57" i="15" s="1"/>
  <c r="ER58" i="15"/>
  <c r="FH58" i="15" s="1"/>
  <c r="ER59" i="15"/>
  <c r="FH59" i="15" s="1"/>
  <c r="ER60" i="15"/>
  <c r="FH60" i="15" s="1"/>
  <c r="ER61" i="15"/>
  <c r="FH61" i="15" s="1"/>
  <c r="ER62" i="15"/>
  <c r="FH62" i="15" s="1"/>
  <c r="ER63" i="15"/>
  <c r="FH63" i="15" s="1"/>
  <c r="ER64" i="15"/>
  <c r="ER65" i="15"/>
  <c r="FH65" i="15" s="1"/>
  <c r="ER66" i="15"/>
  <c r="FH66" i="15" s="1"/>
  <c r="ER67" i="15"/>
  <c r="FH67" i="15" s="1"/>
  <c r="ER68" i="15"/>
  <c r="FH68" i="15" s="1"/>
  <c r="ER69" i="15"/>
  <c r="FH69" i="15" s="1"/>
  <c r="ER70" i="15"/>
  <c r="FH70" i="15" s="1"/>
  <c r="ER71" i="15"/>
  <c r="FH71" i="15" s="1"/>
  <c r="ER72" i="15"/>
  <c r="FH72" i="15" s="1"/>
  <c r="ER73" i="15"/>
  <c r="FH73" i="15" s="1"/>
  <c r="ER74" i="15"/>
  <c r="FH74" i="15" s="1"/>
  <c r="ER75" i="15"/>
  <c r="FH75" i="15" s="1"/>
  <c r="ER76" i="15"/>
  <c r="FH76" i="15" s="1"/>
  <c r="ER77" i="15"/>
  <c r="FH77" i="15" s="1"/>
  <c r="ER78" i="15"/>
  <c r="FH78" i="15" s="1"/>
  <c r="ER79" i="15"/>
  <c r="FH79" i="15" s="1"/>
  <c r="ER80" i="15"/>
  <c r="FH80" i="15" s="1"/>
  <c r="FF56" i="15"/>
  <c r="FG56" i="15" s="1"/>
  <c r="FF57" i="15"/>
  <c r="FF58" i="15"/>
  <c r="FG58" i="15" s="1"/>
  <c r="FF59" i="15"/>
  <c r="FG59" i="15" s="1"/>
  <c r="FF60" i="15"/>
  <c r="FG60" i="15" s="1"/>
  <c r="FF61" i="15"/>
  <c r="FG61" i="15" s="1"/>
  <c r="FF62" i="15"/>
  <c r="FG62" i="15" s="1"/>
  <c r="FF63" i="15"/>
  <c r="FG63" i="15" s="1"/>
  <c r="FF64" i="15"/>
  <c r="FG64" i="15" s="1"/>
  <c r="FF65" i="15"/>
  <c r="FG65" i="15" s="1"/>
  <c r="FF66" i="15"/>
  <c r="FG66" i="15" s="1"/>
  <c r="FF67" i="15"/>
  <c r="FG67" i="15" s="1"/>
  <c r="FF68" i="15"/>
  <c r="FG68" i="15" s="1"/>
  <c r="FF69" i="15"/>
  <c r="FG69" i="15" s="1"/>
  <c r="FF70" i="15"/>
  <c r="FG70" i="15" s="1"/>
  <c r="FF71" i="15"/>
  <c r="FG71" i="15" s="1"/>
  <c r="FF72" i="15"/>
  <c r="FG72" i="15" s="1"/>
  <c r="FF73" i="15"/>
  <c r="FG73" i="15" s="1"/>
  <c r="FF74" i="15"/>
  <c r="FG74" i="15" s="1"/>
  <c r="FF75" i="15"/>
  <c r="FG75" i="15" s="1"/>
  <c r="FF76" i="15"/>
  <c r="FG76" i="15" s="1"/>
  <c r="FF77" i="15"/>
  <c r="FG77" i="15" s="1"/>
  <c r="FF78" i="15"/>
  <c r="FG78" i="15" s="1"/>
  <c r="FF79" i="15"/>
  <c r="FG79" i="15" s="1"/>
  <c r="FF80" i="15"/>
  <c r="FG80" i="15" s="1"/>
  <c r="FG57" i="15"/>
  <c r="FH64" i="15"/>
  <c r="FI56" i="15"/>
  <c r="FI57" i="15"/>
  <c r="FI58" i="15"/>
  <c r="FI59" i="15"/>
  <c r="FI60" i="15"/>
  <c r="FI61" i="15"/>
  <c r="FI62" i="15"/>
  <c r="FI63" i="15"/>
  <c r="FI64" i="15"/>
  <c r="FI65" i="15"/>
  <c r="FI66" i="15"/>
  <c r="FI67" i="15"/>
  <c r="FI68" i="15"/>
  <c r="FI69" i="15"/>
  <c r="FI70" i="15"/>
  <c r="FI71" i="15"/>
  <c r="FI72" i="15"/>
  <c r="FI73" i="15"/>
  <c r="FI74" i="15"/>
  <c r="FI75" i="15"/>
  <c r="FI76" i="15"/>
  <c r="FI77" i="15"/>
  <c r="FI78" i="15"/>
  <c r="FI79" i="15"/>
  <c r="FI80" i="15"/>
  <c r="FJ56" i="15"/>
  <c r="FJ57" i="15"/>
  <c r="FJ58" i="15"/>
  <c r="FJ59" i="15"/>
  <c r="FJ60" i="15"/>
  <c r="FJ61" i="15"/>
  <c r="FJ62" i="15"/>
  <c r="FJ63" i="15"/>
  <c r="FJ64" i="15"/>
  <c r="FJ65" i="15"/>
  <c r="FJ66" i="15"/>
  <c r="FJ67" i="15"/>
  <c r="FJ68" i="15"/>
  <c r="FJ69" i="15"/>
  <c r="FJ70" i="15"/>
  <c r="FJ71" i="15"/>
  <c r="FJ72" i="15"/>
  <c r="FJ73" i="15"/>
  <c r="FJ74" i="15"/>
  <c r="FJ75" i="15"/>
  <c r="FJ76" i="15"/>
  <c r="FJ77" i="15"/>
  <c r="FJ78" i="15"/>
  <c r="FJ79" i="15"/>
  <c r="FJ80" i="15"/>
  <c r="FK56" i="15"/>
  <c r="FK57" i="15"/>
  <c r="FK58" i="15"/>
  <c r="FK59" i="15"/>
  <c r="FK60" i="15"/>
  <c r="FK61" i="15"/>
  <c r="FK62" i="15"/>
  <c r="FK63" i="15"/>
  <c r="FK64" i="15"/>
  <c r="FK65" i="15"/>
  <c r="FK66" i="15"/>
  <c r="FK67" i="15"/>
  <c r="FK68" i="15"/>
  <c r="FK69" i="15"/>
  <c r="FK70" i="15"/>
  <c r="FK71" i="15"/>
  <c r="FK72" i="15"/>
  <c r="FK73" i="15"/>
  <c r="FK74" i="15"/>
  <c r="FK75" i="15"/>
  <c r="FK76" i="15"/>
  <c r="FK77" i="15"/>
  <c r="FK78" i="15"/>
  <c r="FK79" i="15"/>
  <c r="FK80" i="15"/>
  <c r="FL56" i="15"/>
  <c r="FL57" i="15"/>
  <c r="FL58" i="15"/>
  <c r="FL59" i="15"/>
  <c r="FL60" i="15"/>
  <c r="FL61" i="15"/>
  <c r="FL62" i="15"/>
  <c r="FL63" i="15"/>
  <c r="FL64" i="15"/>
  <c r="FL65" i="15"/>
  <c r="FL66" i="15"/>
  <c r="FL67" i="15"/>
  <c r="FL68" i="15"/>
  <c r="FL69" i="15"/>
  <c r="FL70" i="15"/>
  <c r="FL71" i="15"/>
  <c r="FL72" i="15"/>
  <c r="FL73" i="15"/>
  <c r="FL74" i="15"/>
  <c r="FL75" i="15"/>
  <c r="FL76" i="15"/>
  <c r="FL77" i="15"/>
  <c r="FL78" i="15"/>
  <c r="FL79" i="15"/>
  <c r="FL80" i="15"/>
  <c r="FM56" i="15"/>
  <c r="FM57" i="15"/>
  <c r="FM58" i="15"/>
  <c r="FM59" i="15"/>
  <c r="FM60" i="15"/>
  <c r="FM61" i="15"/>
  <c r="FM62" i="15"/>
  <c r="FM63" i="15"/>
  <c r="FM64" i="15"/>
  <c r="FM65" i="15"/>
  <c r="FM66" i="15"/>
  <c r="FM67" i="15"/>
  <c r="FM68" i="15"/>
  <c r="FM69" i="15"/>
  <c r="FM70" i="15"/>
  <c r="FM71" i="15"/>
  <c r="FM72" i="15"/>
  <c r="FM73" i="15"/>
  <c r="FM74" i="15"/>
  <c r="FM75" i="15"/>
  <c r="FM76" i="15"/>
  <c r="FM77" i="15"/>
  <c r="FM78" i="15"/>
  <c r="FM79" i="15"/>
  <c r="FM80" i="15"/>
  <c r="FN56" i="15"/>
  <c r="FN57" i="15"/>
  <c r="FN58" i="15"/>
  <c r="FN59" i="15"/>
  <c r="FN60" i="15"/>
  <c r="FN61" i="15"/>
  <c r="FN62" i="15"/>
  <c r="FN63" i="15"/>
  <c r="FN64" i="15"/>
  <c r="FN65" i="15"/>
  <c r="FN66" i="15"/>
  <c r="FN67" i="15"/>
  <c r="FN68" i="15"/>
  <c r="FN69" i="15"/>
  <c r="FN70" i="15"/>
  <c r="FN71" i="15"/>
  <c r="FN72" i="15"/>
  <c r="FN73" i="15"/>
  <c r="FN74" i="15"/>
  <c r="FN75" i="15"/>
  <c r="FN76" i="15"/>
  <c r="FN77" i="15"/>
  <c r="FN78" i="15"/>
  <c r="FN79" i="15"/>
  <c r="FN80" i="15"/>
  <c r="FO56" i="15"/>
  <c r="FO57" i="15"/>
  <c r="FO58" i="15"/>
  <c r="FO59" i="15"/>
  <c r="FO60" i="15"/>
  <c r="FO61" i="15"/>
  <c r="FO62" i="15"/>
  <c r="FO63" i="15"/>
  <c r="FO64" i="15"/>
  <c r="FO65" i="15"/>
  <c r="FO66" i="15"/>
  <c r="FO67" i="15"/>
  <c r="FO68" i="15"/>
  <c r="FO69" i="15"/>
  <c r="FO70" i="15"/>
  <c r="FO71" i="15"/>
  <c r="FO72" i="15"/>
  <c r="FO73" i="15"/>
  <c r="FO74" i="15"/>
  <c r="FO75" i="15"/>
  <c r="FO76" i="15"/>
  <c r="FO77" i="15"/>
  <c r="FO78" i="15"/>
  <c r="FO79" i="15"/>
  <c r="FO80" i="15"/>
  <c r="FP56" i="15"/>
  <c r="FP57" i="15"/>
  <c r="FP58" i="15"/>
  <c r="FP59" i="15"/>
  <c r="FP60" i="15"/>
  <c r="FP61" i="15"/>
  <c r="FP62" i="15"/>
  <c r="FP63" i="15"/>
  <c r="FP64" i="15"/>
  <c r="FP65" i="15"/>
  <c r="FP66" i="15"/>
  <c r="FP67" i="15"/>
  <c r="FP68" i="15"/>
  <c r="FP69" i="15"/>
  <c r="FP70" i="15"/>
  <c r="FP71" i="15"/>
  <c r="FP72" i="15"/>
  <c r="FP73" i="15"/>
  <c r="FP74" i="15"/>
  <c r="FP75" i="15"/>
  <c r="FP76" i="15"/>
  <c r="FP77" i="15"/>
  <c r="FP78" i="15"/>
  <c r="FP79" i="15"/>
  <c r="FP80" i="15"/>
  <c r="FQ56" i="15"/>
  <c r="FQ57" i="15"/>
  <c r="FQ58" i="15"/>
  <c r="FQ59" i="15"/>
  <c r="FQ60" i="15"/>
  <c r="FQ61" i="15"/>
  <c r="FQ62" i="15"/>
  <c r="FQ63" i="15"/>
  <c r="FQ64" i="15"/>
  <c r="FQ65" i="15"/>
  <c r="FQ66" i="15"/>
  <c r="FQ67" i="15"/>
  <c r="FQ68" i="15"/>
  <c r="FQ69" i="15"/>
  <c r="FQ70" i="15"/>
  <c r="FQ71" i="15"/>
  <c r="FQ72" i="15"/>
  <c r="FQ73" i="15"/>
  <c r="FQ74" i="15"/>
  <c r="FQ75" i="15"/>
  <c r="FQ76" i="15"/>
  <c r="FQ77" i="15"/>
  <c r="FQ78" i="15"/>
  <c r="FQ79" i="15"/>
  <c r="FQ80" i="15"/>
  <c r="FR56" i="15"/>
  <c r="FR57" i="15"/>
  <c r="FR58" i="15"/>
  <c r="FR59" i="15"/>
  <c r="FR60" i="15"/>
  <c r="FR61" i="15"/>
  <c r="FR62" i="15"/>
  <c r="FR63" i="15"/>
  <c r="FR64" i="15"/>
  <c r="FR65" i="15"/>
  <c r="FR66" i="15"/>
  <c r="FR67" i="15"/>
  <c r="FR68" i="15"/>
  <c r="FR69" i="15"/>
  <c r="FR70" i="15"/>
  <c r="FR71" i="15"/>
  <c r="FR72" i="15"/>
  <c r="FR73" i="15"/>
  <c r="FR74" i="15"/>
  <c r="FR75" i="15"/>
  <c r="FR76" i="15"/>
  <c r="FR77" i="15"/>
  <c r="FR78" i="15"/>
  <c r="FR79" i="15"/>
  <c r="FR80" i="15"/>
  <c r="FS56" i="15"/>
  <c r="FS57" i="15"/>
  <c r="FS58" i="15"/>
  <c r="FS59" i="15"/>
  <c r="FS60" i="15"/>
  <c r="FS61" i="15"/>
  <c r="FS62" i="15"/>
  <c r="FS63" i="15"/>
  <c r="FS64" i="15"/>
  <c r="FS65" i="15"/>
  <c r="FS66" i="15"/>
  <c r="FS67" i="15"/>
  <c r="FS68" i="15"/>
  <c r="FS69" i="15"/>
  <c r="FS70" i="15"/>
  <c r="FS71" i="15"/>
  <c r="FS72" i="15"/>
  <c r="FS73" i="15"/>
  <c r="FS74" i="15"/>
  <c r="FS75" i="15"/>
  <c r="FS76" i="15"/>
  <c r="FS77" i="15"/>
  <c r="FS78" i="15"/>
  <c r="FS79" i="15"/>
  <c r="FS80" i="15"/>
  <c r="FT56" i="15"/>
  <c r="FT57" i="15"/>
  <c r="FT58" i="15"/>
  <c r="FT59" i="15"/>
  <c r="FT60" i="15"/>
  <c r="FT61" i="15"/>
  <c r="FT62" i="15"/>
  <c r="FT63" i="15"/>
  <c r="FT64" i="15"/>
  <c r="FT65" i="15"/>
  <c r="FT66" i="15"/>
  <c r="FT67" i="15"/>
  <c r="FT68" i="15"/>
  <c r="FT69" i="15"/>
  <c r="FT70" i="15"/>
  <c r="FT71" i="15"/>
  <c r="FT72" i="15"/>
  <c r="FT73" i="15"/>
  <c r="FT74" i="15"/>
  <c r="FT75" i="15"/>
  <c r="FT76" i="15"/>
  <c r="FT77" i="15"/>
  <c r="FT78" i="15"/>
  <c r="FT79" i="15"/>
  <c r="FT80" i="15"/>
  <c r="FU56" i="15"/>
  <c r="FU57" i="15"/>
  <c r="FU58" i="15"/>
  <c r="FU59" i="15"/>
  <c r="FU60" i="15"/>
  <c r="FU61" i="15"/>
  <c r="FU62" i="15"/>
  <c r="FU63" i="15"/>
  <c r="FU64" i="15"/>
  <c r="FU65" i="15"/>
  <c r="FU66" i="15"/>
  <c r="FU67" i="15"/>
  <c r="FU68" i="15"/>
  <c r="FU69" i="15"/>
  <c r="FU70" i="15"/>
  <c r="FU71" i="15"/>
  <c r="FU72" i="15"/>
  <c r="FU73" i="15"/>
  <c r="FU74" i="15"/>
  <c r="FU75" i="15"/>
  <c r="FU76" i="15"/>
  <c r="FU77" i="15"/>
  <c r="FU78" i="15"/>
  <c r="FU79" i="15"/>
  <c r="FU80" i="15"/>
  <c r="ER55" i="15"/>
  <c r="FF55" i="15"/>
  <c r="FG55" i="15" s="1"/>
  <c r="FH55" i="15"/>
  <c r="FI55" i="15"/>
  <c r="FJ55" i="15"/>
  <c r="FK55" i="15"/>
  <c r="FL55" i="15"/>
  <c r="FM55" i="15"/>
  <c r="FN55" i="15"/>
  <c r="FO55" i="15"/>
  <c r="FP55" i="15"/>
  <c r="FQ55" i="15"/>
  <c r="FR55" i="15"/>
  <c r="FS55" i="15"/>
  <c r="FT55" i="15"/>
  <c r="FU55" i="15"/>
  <c r="ER54" i="15"/>
  <c r="FH54" i="15" s="1"/>
  <c r="FF54" i="15"/>
  <c r="FG54" i="15" s="1"/>
  <c r="FI54" i="15"/>
  <c r="FJ54" i="15"/>
  <c r="FK54" i="15"/>
  <c r="FL54" i="15"/>
  <c r="FM54" i="15"/>
  <c r="FN54" i="15"/>
  <c r="FO54" i="15"/>
  <c r="FP54" i="15"/>
  <c r="FQ54" i="15"/>
  <c r="FR54" i="15"/>
  <c r="FS54" i="15"/>
  <c r="FT54" i="15"/>
  <c r="FU54" i="15"/>
  <c r="ER53" i="15"/>
  <c r="FH53" i="15" s="1"/>
  <c r="FF53" i="15"/>
  <c r="FG53" i="15" s="1"/>
  <c r="FI53" i="15"/>
  <c r="FJ53" i="15"/>
  <c r="FK53" i="15"/>
  <c r="FL53" i="15"/>
  <c r="FM53" i="15"/>
  <c r="FN53" i="15"/>
  <c r="FO53" i="15"/>
  <c r="FP53" i="15"/>
  <c r="FQ53" i="15"/>
  <c r="FR53" i="15"/>
  <c r="FS53" i="15"/>
  <c r="FT53" i="15"/>
  <c r="FU53" i="15"/>
  <c r="EB52" i="15"/>
  <c r="DY52" i="15"/>
  <c r="AB52" i="15"/>
  <c r="J52" i="15"/>
  <c r="ER52" i="15"/>
  <c r="FH52" i="15" s="1"/>
  <c r="FF52" i="15"/>
  <c r="FG52" i="15" s="1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ER51" i="15"/>
  <c r="FF51" i="15"/>
  <c r="FG51" i="15" s="1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ER50" i="15"/>
  <c r="FH50" i="15" s="1"/>
  <c r="FF50" i="15"/>
  <c r="FG50" i="15" s="1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ER49" i="15"/>
  <c r="FH49" i="15" s="1"/>
  <c r="FF49" i="15"/>
  <c r="FG49" i="15" s="1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ER48" i="15"/>
  <c r="FH48" i="15" s="1"/>
  <c r="FF48" i="15"/>
  <c r="FG48" i="15" s="1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ER47" i="15"/>
  <c r="FH47" i="15" s="1"/>
  <c r="FF47" i="15"/>
  <c r="FG47" i="15" s="1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ER46" i="15"/>
  <c r="FH46" i="15" s="1"/>
  <c r="FF46" i="15"/>
  <c r="FG46" i="15" s="1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68" i="15" l="1"/>
  <c r="FV76" i="15"/>
  <c r="FV60" i="15"/>
  <c r="FV80" i="15"/>
  <c r="FV72" i="15"/>
  <c r="FV64" i="15"/>
  <c r="FV56" i="15"/>
  <c r="FV78" i="15"/>
  <c r="FV74" i="15"/>
  <c r="FV70" i="15"/>
  <c r="FV66" i="15"/>
  <c r="FV62" i="15"/>
  <c r="FV58" i="15"/>
  <c r="FV87" i="15"/>
  <c r="FV85" i="15"/>
  <c r="FV86" i="15"/>
  <c r="FV79" i="15"/>
  <c r="FV77" i="15"/>
  <c r="FV75" i="15"/>
  <c r="FV73" i="15"/>
  <c r="FV71" i="15"/>
  <c r="FV69" i="15"/>
  <c r="FV67" i="15"/>
  <c r="FV65" i="15"/>
  <c r="FV63" i="15"/>
  <c r="FV61" i="15"/>
  <c r="FV59" i="15"/>
  <c r="FV57" i="15"/>
  <c r="FV83" i="15"/>
  <c r="FV84" i="15"/>
  <c r="FV82" i="15"/>
  <c r="FV81" i="15"/>
  <c r="FV55" i="15"/>
  <c r="FV51" i="15"/>
  <c r="FV54" i="15"/>
  <c r="FV52" i="15"/>
  <c r="FV53" i="15"/>
  <c r="FV50" i="15"/>
  <c r="FV49" i="15"/>
  <c r="FV47" i="15"/>
  <c r="FV48" i="15"/>
  <c r="FV46" i="15"/>
  <c r="GH4" i="1"/>
  <c r="GH5" i="1"/>
  <c r="GH6" i="1"/>
  <c r="GH7" i="1"/>
  <c r="GH8" i="1"/>
  <c r="GH9" i="1"/>
  <c r="GH10" i="1"/>
  <c r="GH11" i="1"/>
  <c r="GH12" i="1"/>
  <c r="GH13" i="1"/>
  <c r="GH14" i="1"/>
  <c r="GH15" i="1"/>
  <c r="GH16" i="1"/>
  <c r="GH17" i="1"/>
  <c r="GH18" i="1"/>
  <c r="GH19" i="1"/>
  <c r="GH20" i="1"/>
  <c r="GH21" i="1"/>
  <c r="GH22" i="1"/>
  <c r="GH23" i="1"/>
  <c r="GH24" i="1"/>
  <c r="GH25" i="1"/>
  <c r="GH26" i="1"/>
  <c r="GH27" i="1"/>
  <c r="GH28" i="1"/>
  <c r="GH29" i="1"/>
  <c r="GH30" i="1"/>
  <c r="GH31" i="1"/>
  <c r="GH32" i="1"/>
  <c r="GH33" i="1"/>
  <c r="GH34" i="1"/>
  <c r="GH35" i="1"/>
  <c r="GH36" i="1"/>
  <c r="GH37" i="1"/>
  <c r="GH38" i="1"/>
  <c r="GH39" i="1"/>
  <c r="GH40" i="1"/>
  <c r="GH41" i="1"/>
  <c r="GH42" i="1"/>
  <c r="GH43" i="1"/>
  <c r="GH44" i="1"/>
  <c r="GH45" i="1"/>
  <c r="GH46" i="1"/>
  <c r="GH47" i="1"/>
  <c r="GH48" i="1"/>
  <c r="GH49" i="1"/>
  <c r="GH50" i="1"/>
  <c r="GH51" i="1"/>
  <c r="GH52" i="1"/>
  <c r="GH53" i="1"/>
  <c r="GH54" i="1"/>
  <c r="GH55" i="1"/>
  <c r="GH56" i="1"/>
  <c r="GH57" i="1"/>
  <c r="GH58" i="1"/>
  <c r="GH59" i="1"/>
  <c r="GH60" i="1"/>
  <c r="GH61" i="1"/>
  <c r="GH62" i="1"/>
  <c r="GH63" i="1"/>
  <c r="GH64" i="1"/>
  <c r="GH65" i="1"/>
  <c r="GH66" i="1"/>
  <c r="GH67" i="1"/>
  <c r="GH68" i="1"/>
  <c r="GH69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FG4" i="1"/>
  <c r="FG5" i="1"/>
  <c r="FG6" i="1"/>
  <c r="FG7" i="1"/>
  <c r="FG8" i="1"/>
  <c r="FG9" i="1"/>
  <c r="FG10" i="1"/>
  <c r="FG11" i="1"/>
  <c r="FG12" i="1"/>
  <c r="FG13" i="1"/>
  <c r="FG14" i="1"/>
  <c r="FG15" i="1"/>
  <c r="FG16" i="1"/>
  <c r="FG17" i="1"/>
  <c r="FG18" i="1"/>
  <c r="FG19" i="1"/>
  <c r="FG20" i="1"/>
  <c r="FG21" i="1"/>
  <c r="FG22" i="1"/>
  <c r="FG23" i="1"/>
  <c r="FG24" i="1"/>
  <c r="FG25" i="1"/>
  <c r="FG26" i="1"/>
  <c r="FG27" i="1"/>
  <c r="FG28" i="1"/>
  <c r="FG29" i="1"/>
  <c r="FG30" i="1"/>
  <c r="FG31" i="1"/>
  <c r="FG32" i="1"/>
  <c r="FG33" i="1"/>
  <c r="FG34" i="1"/>
  <c r="FG35" i="1"/>
  <c r="FG36" i="1"/>
  <c r="FG37" i="1"/>
  <c r="FG38" i="1"/>
  <c r="FG39" i="1"/>
  <c r="FG40" i="1"/>
  <c r="FG41" i="1"/>
  <c r="FG42" i="1"/>
  <c r="FG43" i="1"/>
  <c r="FG44" i="1"/>
  <c r="FG45" i="1"/>
  <c r="FG46" i="1"/>
  <c r="FG47" i="1"/>
  <c r="FG48" i="1"/>
  <c r="FG49" i="1"/>
  <c r="FG50" i="1"/>
  <c r="FG51" i="1"/>
  <c r="FG52" i="1"/>
  <c r="FG53" i="1"/>
  <c r="FG54" i="1"/>
  <c r="FG55" i="1"/>
  <c r="FG56" i="1"/>
  <c r="FG57" i="1"/>
  <c r="FG58" i="1"/>
  <c r="FG59" i="1"/>
  <c r="FG60" i="1"/>
  <c r="FG61" i="1"/>
  <c r="FG62" i="1"/>
  <c r="FG63" i="1"/>
  <c r="FG64" i="1"/>
  <c r="FG65" i="1"/>
  <c r="FG66" i="1"/>
  <c r="FG67" i="1"/>
  <c r="FG68" i="1"/>
  <c r="FG69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N96" i="1" s="1"/>
  <c r="FF172" i="1"/>
  <c r="FF173" i="1"/>
  <c r="FF174" i="1"/>
  <c r="FF175" i="1"/>
  <c r="FF176" i="1"/>
  <c r="FF177" i="1"/>
  <c r="FF181" i="1"/>
  <c r="FF171" i="1"/>
  <c r="ER172" i="1"/>
  <c r="ER173" i="1"/>
  <c r="ER174" i="1"/>
  <c r="ER175" i="1"/>
  <c r="ER176" i="1"/>
  <c r="ER177" i="1"/>
  <c r="ER181" i="1"/>
  <c r="ER171" i="1"/>
  <c r="ES4" i="1"/>
  <c r="ES5" i="1"/>
  <c r="ES6" i="1"/>
  <c r="ES7" i="1"/>
  <c r="ES8" i="1"/>
  <c r="ES9" i="1"/>
  <c r="ES10" i="1"/>
  <c r="ES11" i="1"/>
  <c r="ES12" i="1"/>
  <c r="ES13" i="1"/>
  <c r="ES14" i="1"/>
  <c r="ES15" i="1"/>
  <c r="ES16" i="1"/>
  <c r="ES17" i="1"/>
  <c r="ES18" i="1"/>
  <c r="ES19" i="1"/>
  <c r="ES20" i="1"/>
  <c r="ES21" i="1"/>
  <c r="ES22" i="1"/>
  <c r="ES23" i="1"/>
  <c r="ES24" i="1"/>
  <c r="ES25" i="1"/>
  <c r="ES26" i="1"/>
  <c r="ES27" i="1"/>
  <c r="ES28" i="1"/>
  <c r="ES29" i="1"/>
  <c r="ES30" i="1"/>
  <c r="ES31" i="1"/>
  <c r="ES32" i="1"/>
  <c r="ES33" i="1"/>
  <c r="ES34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FO96" i="1" s="1"/>
  <c r="EC96" i="1"/>
  <c r="DZ96" i="1"/>
  <c r="K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171" i="1" l="1"/>
  <c r="FF178" i="1"/>
  <c r="GI96" i="1"/>
  <c r="ER178" i="1"/>
  <c r="FF183" i="1"/>
  <c r="FF179" i="1"/>
  <c r="FF184" i="1"/>
  <c r="FF182" i="1"/>
  <c r="FF180" i="1"/>
  <c r="ER179" i="1"/>
  <c r="ER183" i="1"/>
  <c r="ER184" i="1"/>
  <c r="ER182" i="1"/>
  <c r="ER180" i="1"/>
  <c r="ER45" i="15"/>
  <c r="FF45" i="15"/>
  <c r="FG45" i="15" s="1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AB44" i="15"/>
  <c r="J44" i="15"/>
  <c r="ER44" i="15"/>
  <c r="FH44" i="15" s="1"/>
  <c r="FF44" i="15"/>
  <c r="FG44" i="15" s="1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ER43" i="15"/>
  <c r="FH43" i="15" s="1"/>
  <c r="FF43" i="15"/>
  <c r="FG43" i="15" s="1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ET29" i="9"/>
  <c r="FJ29" i="9"/>
  <c r="FK29" i="9" s="1"/>
  <c r="FL29" i="9"/>
  <c r="EB30" i="7"/>
  <c r="DY30" i="7"/>
  <c r="FH30" i="7"/>
  <c r="FG30" i="7"/>
  <c r="FQ143" i="14"/>
  <c r="FP143" i="14"/>
  <c r="FO143" i="14"/>
  <c r="FN143" i="14"/>
  <c r="EW143" i="14"/>
  <c r="EV143" i="14"/>
  <c r="EU143" i="14"/>
  <c r="ET143" i="14"/>
  <c r="EB97" i="14"/>
  <c r="DY97" i="14"/>
  <c r="EX97" i="14"/>
  <c r="FT97" i="14" s="1"/>
  <c r="FR97" i="14"/>
  <c r="FS97" i="14" s="1"/>
  <c r="FR4" i="14"/>
  <c r="FR5" i="14"/>
  <c r="FR6" i="14"/>
  <c r="FR7" i="14"/>
  <c r="FR8" i="14"/>
  <c r="FR9" i="14"/>
  <c r="FR10" i="14"/>
  <c r="FR11" i="14"/>
  <c r="FR12" i="14"/>
  <c r="FR13" i="14"/>
  <c r="FR14" i="14"/>
  <c r="FR15" i="14"/>
  <c r="FR16" i="14"/>
  <c r="FR17" i="14"/>
  <c r="FR18" i="14"/>
  <c r="FR19" i="14"/>
  <c r="FR20" i="14"/>
  <c r="FR21" i="14"/>
  <c r="FR22" i="14"/>
  <c r="FR23" i="14"/>
  <c r="FR24" i="14"/>
  <c r="FR25" i="14"/>
  <c r="FR26" i="14"/>
  <c r="FR27" i="14"/>
  <c r="FR28" i="14"/>
  <c r="FR29" i="14"/>
  <c r="FR30" i="14"/>
  <c r="FR31" i="14"/>
  <c r="FR32" i="14"/>
  <c r="FR33" i="14"/>
  <c r="FR34" i="14"/>
  <c r="FR35" i="14"/>
  <c r="FR36" i="14"/>
  <c r="FR37" i="14"/>
  <c r="FR38" i="14"/>
  <c r="FR39" i="14"/>
  <c r="FR40" i="14"/>
  <c r="FR41" i="14"/>
  <c r="FR42" i="14"/>
  <c r="FR43" i="14"/>
  <c r="FR44" i="14"/>
  <c r="FR45" i="14"/>
  <c r="FR46" i="14"/>
  <c r="FR47" i="14"/>
  <c r="FR48" i="14"/>
  <c r="FR49" i="14"/>
  <c r="FR50" i="14"/>
  <c r="FR51" i="14"/>
  <c r="FR52" i="14"/>
  <c r="FR53" i="14"/>
  <c r="FR54" i="14"/>
  <c r="FR55" i="14"/>
  <c r="FR56" i="14"/>
  <c r="FR57" i="14"/>
  <c r="FR58" i="14"/>
  <c r="FR59" i="14"/>
  <c r="FR60" i="14"/>
  <c r="FR61" i="14"/>
  <c r="FR62" i="14"/>
  <c r="FR63" i="14"/>
  <c r="FR64" i="14"/>
  <c r="FR65" i="14"/>
  <c r="FR66" i="14"/>
  <c r="FR67" i="14"/>
  <c r="FR68" i="14"/>
  <c r="FR69" i="14"/>
  <c r="FR70" i="14"/>
  <c r="FR71" i="14"/>
  <c r="FR72" i="14"/>
  <c r="FR73" i="14"/>
  <c r="FR74" i="14"/>
  <c r="FR75" i="14"/>
  <c r="FR76" i="14"/>
  <c r="FR77" i="14"/>
  <c r="FR78" i="14"/>
  <c r="FR79" i="14"/>
  <c r="FR80" i="14"/>
  <c r="FR81" i="14"/>
  <c r="FR82" i="14"/>
  <c r="FR83" i="14"/>
  <c r="FR84" i="14"/>
  <c r="FR85" i="14"/>
  <c r="FR86" i="14"/>
  <c r="FR87" i="14"/>
  <c r="FR88" i="14"/>
  <c r="FR89" i="14"/>
  <c r="FR90" i="14"/>
  <c r="FR91" i="14"/>
  <c r="FR92" i="14"/>
  <c r="FR93" i="14"/>
  <c r="FR94" i="14"/>
  <c r="FR95" i="14"/>
  <c r="FR96" i="14"/>
  <c r="EX4" i="14"/>
  <c r="EX5" i="14"/>
  <c r="EX6" i="14"/>
  <c r="EX7" i="14"/>
  <c r="EX8" i="14"/>
  <c r="EX9" i="14"/>
  <c r="EX10" i="14"/>
  <c r="EX11" i="14"/>
  <c r="EX12" i="14"/>
  <c r="EX13" i="14"/>
  <c r="EX14" i="14"/>
  <c r="EX15" i="14"/>
  <c r="EX16" i="14"/>
  <c r="EX17" i="14"/>
  <c r="EX18" i="14"/>
  <c r="EX19" i="14"/>
  <c r="EX20" i="14"/>
  <c r="EX21" i="14"/>
  <c r="EX22" i="14"/>
  <c r="EX23" i="14"/>
  <c r="EX24" i="14"/>
  <c r="EX25" i="14"/>
  <c r="EX26" i="14"/>
  <c r="EX27" i="14"/>
  <c r="EX28" i="14"/>
  <c r="EX29" i="14"/>
  <c r="EX30" i="14"/>
  <c r="EX31" i="14"/>
  <c r="EX32" i="14"/>
  <c r="EX33" i="14"/>
  <c r="EX34" i="14"/>
  <c r="EX35" i="14"/>
  <c r="EX36" i="14"/>
  <c r="EX37" i="14"/>
  <c r="EX38" i="14"/>
  <c r="EX39" i="14"/>
  <c r="EX40" i="14"/>
  <c r="EX41" i="14"/>
  <c r="EX42" i="14"/>
  <c r="EX43" i="14"/>
  <c r="EX44" i="14"/>
  <c r="EX45" i="14"/>
  <c r="EX46" i="14"/>
  <c r="EX47" i="14"/>
  <c r="EX48" i="14"/>
  <c r="EX49" i="14"/>
  <c r="EX50" i="14"/>
  <c r="EX51" i="14"/>
  <c r="EX52" i="14"/>
  <c r="EX53" i="14"/>
  <c r="EX54" i="14"/>
  <c r="EX55" i="14"/>
  <c r="EX56" i="14"/>
  <c r="EX57" i="14"/>
  <c r="EX58" i="14"/>
  <c r="EX59" i="14"/>
  <c r="EX60" i="14"/>
  <c r="EX61" i="14"/>
  <c r="EX62" i="14"/>
  <c r="EX63" i="14"/>
  <c r="EX64" i="14"/>
  <c r="EX65" i="14"/>
  <c r="EX66" i="14"/>
  <c r="EX67" i="14"/>
  <c r="EX68" i="14"/>
  <c r="EX69" i="14"/>
  <c r="EX70" i="14"/>
  <c r="EX71" i="14"/>
  <c r="EX72" i="14"/>
  <c r="EX73" i="14"/>
  <c r="EX74" i="14"/>
  <c r="EX75" i="14"/>
  <c r="EX76" i="14"/>
  <c r="EX77" i="14"/>
  <c r="EX78" i="14"/>
  <c r="EX79" i="14"/>
  <c r="EX80" i="14"/>
  <c r="EX81" i="14"/>
  <c r="EX82" i="14"/>
  <c r="EX83" i="14"/>
  <c r="EX84" i="14"/>
  <c r="EX85" i="14"/>
  <c r="EX86" i="14"/>
  <c r="EX87" i="14"/>
  <c r="EX88" i="14"/>
  <c r="EX89" i="14"/>
  <c r="EX90" i="14"/>
  <c r="EX91" i="14"/>
  <c r="EX92" i="14"/>
  <c r="EX93" i="14"/>
  <c r="EX94" i="14"/>
  <c r="EX95" i="14"/>
  <c r="EX96" i="14"/>
  <c r="EB96" i="12"/>
  <c r="DY96" i="12"/>
  <c r="AB96" i="12"/>
  <c r="FL96" i="12"/>
  <c r="FK96" i="12"/>
  <c r="AB98" i="11"/>
  <c r="J98" i="11"/>
  <c r="EQ98" i="11"/>
  <c r="FF98" i="11" s="1"/>
  <c r="FD98" i="11"/>
  <c r="FE98" i="11" s="1"/>
  <c r="FV45" i="15" l="1"/>
  <c r="FV43" i="15"/>
  <c r="FV44" i="15"/>
  <c r="ER42" i="15"/>
  <c r="FH42" i="15" s="1"/>
  <c r="FF42" i="15"/>
  <c r="FG42" i="15" s="1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O95" i="1"/>
  <c r="FN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I95" i="1"/>
  <c r="FV42" i="15" l="1"/>
  <c r="ER41" i="15"/>
  <c r="FF41" i="15"/>
  <c r="FG41" i="15" s="1"/>
  <c r="FH41" i="15"/>
  <c r="FI41" i="15"/>
  <c r="FJ41" i="15"/>
  <c r="FK41" i="15"/>
  <c r="FL41" i="15"/>
  <c r="FM41" i="15"/>
  <c r="FN41" i="15"/>
  <c r="FO41" i="15"/>
  <c r="FP41" i="15"/>
  <c r="FQ41" i="15"/>
  <c r="FR41" i="15"/>
  <c r="FS41" i="15"/>
  <c r="FT41" i="15"/>
  <c r="FU41" i="15"/>
  <c r="ER40" i="15"/>
  <c r="FF40" i="15"/>
  <c r="FG40" i="15" s="1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ER39" i="15"/>
  <c r="FF39" i="15"/>
  <c r="FG39" i="15" s="1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EB38" i="15"/>
  <c r="DY38" i="15"/>
  <c r="ER38" i="15"/>
  <c r="FF38" i="15"/>
  <c r="FG38" i="15" s="1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E144" i="15"/>
  <c r="FE145" i="15"/>
  <c r="FE146" i="15"/>
  <c r="FE147" i="15"/>
  <c r="FE148" i="15"/>
  <c r="FE149" i="15"/>
  <c r="FE153" i="15"/>
  <c r="FE143" i="15"/>
  <c r="EQ144" i="15"/>
  <c r="EQ145" i="15"/>
  <c r="EQ146" i="15"/>
  <c r="EQ147" i="15"/>
  <c r="EQ148" i="15"/>
  <c r="EQ149" i="15"/>
  <c r="EQ153" i="15"/>
  <c r="EQ143" i="15"/>
  <c r="FU4" i="15"/>
  <c r="FU5" i="15"/>
  <c r="FU6" i="15"/>
  <c r="FU7" i="15"/>
  <c r="FU8" i="15"/>
  <c r="FU9" i="15"/>
  <c r="FU10" i="15"/>
  <c r="FU11" i="15"/>
  <c r="FU12" i="15"/>
  <c r="FU13" i="15"/>
  <c r="FU14" i="15"/>
  <c r="FU15" i="15"/>
  <c r="FU16" i="15"/>
  <c r="FU17" i="15"/>
  <c r="FU18" i="15"/>
  <c r="FU19" i="15"/>
  <c r="FU20" i="15"/>
  <c r="FU21" i="15"/>
  <c r="FU22" i="15"/>
  <c r="FU23" i="15"/>
  <c r="FU24" i="15"/>
  <c r="FU25" i="15"/>
  <c r="FU26" i="15"/>
  <c r="FU27" i="15"/>
  <c r="FU28" i="15"/>
  <c r="FU29" i="15"/>
  <c r="FU30" i="15"/>
  <c r="FU31" i="15"/>
  <c r="FU32" i="15"/>
  <c r="FU33" i="15"/>
  <c r="FU34" i="15"/>
  <c r="FU35" i="15"/>
  <c r="FU36" i="15"/>
  <c r="FU37" i="15"/>
  <c r="FF4" i="15"/>
  <c r="FF5" i="15"/>
  <c r="FF6" i="15"/>
  <c r="FF7" i="15"/>
  <c r="FF8" i="15"/>
  <c r="FF9" i="15"/>
  <c r="FF10" i="15"/>
  <c r="FF11" i="15"/>
  <c r="FF12" i="15"/>
  <c r="FF13" i="15"/>
  <c r="FF14" i="15"/>
  <c r="FF15" i="15"/>
  <c r="FF16" i="15"/>
  <c r="FF17" i="15"/>
  <c r="FF18" i="15"/>
  <c r="FF19" i="15"/>
  <c r="FF20" i="15"/>
  <c r="FF21" i="15"/>
  <c r="FF22" i="15"/>
  <c r="FF23" i="15"/>
  <c r="FF24" i="15"/>
  <c r="FF25" i="15"/>
  <c r="FF26" i="15"/>
  <c r="FF27" i="15"/>
  <c r="FF28" i="15"/>
  <c r="FF29" i="15"/>
  <c r="FF30" i="15"/>
  <c r="FF31" i="15"/>
  <c r="FF32" i="15"/>
  <c r="FF33" i="15"/>
  <c r="FF34" i="15"/>
  <c r="FF35" i="15"/>
  <c r="FF36" i="15"/>
  <c r="FF37" i="15"/>
  <c r="FG37" i="15" s="1"/>
  <c r="ER4" i="15"/>
  <c r="ER5" i="15"/>
  <c r="ER6" i="15"/>
  <c r="ER7" i="15"/>
  <c r="ER8" i="15"/>
  <c r="ER9" i="15"/>
  <c r="ER10" i="15"/>
  <c r="ER11" i="15"/>
  <c r="ER12" i="15"/>
  <c r="ER13" i="15"/>
  <c r="ER14" i="15"/>
  <c r="ER15" i="15"/>
  <c r="ER16" i="15"/>
  <c r="ER17" i="15"/>
  <c r="ER18" i="15"/>
  <c r="ER19" i="15"/>
  <c r="ER20" i="15"/>
  <c r="ER21" i="15"/>
  <c r="ER22" i="15"/>
  <c r="ER23" i="15"/>
  <c r="ER24" i="15"/>
  <c r="ER25" i="15"/>
  <c r="ER26" i="15"/>
  <c r="ER27" i="15"/>
  <c r="ER28" i="15"/>
  <c r="ER29" i="15"/>
  <c r="ER30" i="15"/>
  <c r="ER31" i="15"/>
  <c r="ER32" i="15"/>
  <c r="ER33" i="15"/>
  <c r="ER34" i="15"/>
  <c r="ER35" i="15"/>
  <c r="ER36" i="15"/>
  <c r="ER37" i="15"/>
  <c r="FH37" i="15" s="1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E155" i="15" l="1"/>
  <c r="EQ150" i="15"/>
  <c r="FV41" i="15"/>
  <c r="FU143" i="15"/>
  <c r="FV40" i="15"/>
  <c r="FV39" i="15"/>
  <c r="FV38" i="15"/>
  <c r="EQ155" i="15"/>
  <c r="FE150" i="15"/>
  <c r="FE151" i="15"/>
  <c r="FE156" i="15"/>
  <c r="FE154" i="15"/>
  <c r="FE152" i="15"/>
  <c r="FV37" i="15"/>
  <c r="EQ151" i="15"/>
  <c r="EQ156" i="15"/>
  <c r="EQ154" i="15"/>
  <c r="EQ152" i="15"/>
  <c r="AB36" i="15"/>
  <c r="J36" i="15"/>
  <c r="FG36" i="15"/>
  <c r="FH36" i="15"/>
  <c r="FI36" i="15"/>
  <c r="FJ36" i="15"/>
  <c r="FK36" i="15"/>
  <c r="FL36" i="15"/>
  <c r="FM36" i="15"/>
  <c r="FN36" i="15"/>
  <c r="FO36" i="15"/>
  <c r="FP36" i="15"/>
  <c r="FQ36" i="15"/>
  <c r="FR36" i="15"/>
  <c r="FS36" i="15"/>
  <c r="FT36" i="15"/>
  <c r="FV36" i="15"/>
  <c r="EB35" i="15"/>
  <c r="DY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EB34" i="15"/>
  <c r="DY34" i="15"/>
  <c r="FG34" i="15"/>
  <c r="FH34" i="15"/>
  <c r="FI34" i="15"/>
  <c r="FJ34" i="15"/>
  <c r="FK34" i="15"/>
  <c r="FL34" i="15"/>
  <c r="FM34" i="15"/>
  <c r="FN34" i="15"/>
  <c r="FO34" i="15"/>
  <c r="FP34" i="15"/>
  <c r="FQ34" i="15"/>
  <c r="FR34" i="15"/>
  <c r="FS34" i="15"/>
  <c r="FT34" i="15"/>
  <c r="FV35" i="15" l="1"/>
  <c r="FV34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V33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H31" i="15"/>
  <c r="FG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H30" i="15"/>
  <c r="FG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H29" i="15"/>
  <c r="FG29" i="15"/>
  <c r="FI29" i="15"/>
  <c r="FJ29" i="15"/>
  <c r="FK29" i="15"/>
  <c r="FL29" i="15"/>
  <c r="FM29" i="15"/>
  <c r="FN29" i="15"/>
  <c r="FO29" i="15"/>
  <c r="FP29" i="15"/>
  <c r="FQ29" i="15"/>
  <c r="FR29" i="15"/>
  <c r="FS29" i="15"/>
  <c r="FT29" i="15"/>
  <c r="DY28" i="15"/>
  <c r="AB28" i="15"/>
  <c r="J28" i="15"/>
  <c r="ET28" i="9"/>
  <c r="FJ28" i="9"/>
  <c r="FK28" i="9" s="1"/>
  <c r="FL28" i="9"/>
  <c r="FV32" i="15" l="1"/>
  <c r="FV31" i="15"/>
  <c r="FV30" i="15"/>
  <c r="FV29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G27" i="15"/>
  <c r="FH27" i="15"/>
  <c r="FI27" i="15"/>
  <c r="FJ27" i="15"/>
  <c r="FK27" i="15"/>
  <c r="FL27" i="15"/>
  <c r="FM27" i="15"/>
  <c r="FN27" i="15"/>
  <c r="FO27" i="15"/>
  <c r="FP27" i="15"/>
  <c r="FQ27" i="15"/>
  <c r="FR27" i="15"/>
  <c r="FS27" i="15"/>
  <c r="FT27" i="15"/>
  <c r="FH26" i="15"/>
  <c r="FG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V28" i="15" l="1"/>
  <c r="FV27" i="15"/>
  <c r="FV26" i="15"/>
  <c r="EB25" i="15"/>
  <c r="DY25" i="15"/>
  <c r="FG25" i="15"/>
  <c r="FH25" i="15"/>
  <c r="FI25" i="15"/>
  <c r="FJ25" i="15"/>
  <c r="FK25" i="15"/>
  <c r="FL25" i="15"/>
  <c r="FM25" i="15"/>
  <c r="FN25" i="15"/>
  <c r="FO25" i="15"/>
  <c r="FP25" i="15"/>
  <c r="FQ25" i="15"/>
  <c r="FR25" i="15"/>
  <c r="FS25" i="15"/>
  <c r="FT25" i="15"/>
  <c r="FH24" i="15"/>
  <c r="FG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AB23" i="15"/>
  <c r="J23" i="15"/>
  <c r="FH23" i="15"/>
  <c r="FG23" i="15"/>
  <c r="FI23" i="15"/>
  <c r="FJ23" i="15"/>
  <c r="FK23" i="15"/>
  <c r="FL23" i="15"/>
  <c r="FM23" i="15"/>
  <c r="FN23" i="15"/>
  <c r="FO23" i="15"/>
  <c r="FP23" i="15"/>
  <c r="FQ23" i="15"/>
  <c r="FR23" i="15"/>
  <c r="FS23" i="15"/>
  <c r="FT23" i="15"/>
  <c r="FG22" i="15"/>
  <c r="FH22" i="15"/>
  <c r="FI22" i="15"/>
  <c r="FJ22" i="15"/>
  <c r="FK22" i="15"/>
  <c r="FL22" i="15"/>
  <c r="FM22" i="15"/>
  <c r="FN22" i="15"/>
  <c r="FO22" i="15"/>
  <c r="FP22" i="15"/>
  <c r="FQ22" i="15"/>
  <c r="FR22" i="15"/>
  <c r="FS22" i="15"/>
  <c r="FT22" i="15"/>
  <c r="EB97" i="11"/>
  <c r="DY97" i="11"/>
  <c r="EQ97" i="11"/>
  <c r="FD97" i="11"/>
  <c r="FE97" i="11" s="1"/>
  <c r="FF97" i="11"/>
  <c r="AB95" i="12"/>
  <c r="J95" i="12"/>
  <c r="FL95" i="12"/>
  <c r="FK95" i="12"/>
  <c r="FT96" i="14"/>
  <c r="FS96" i="14"/>
  <c r="FH32" i="4"/>
  <c r="FG32" i="4"/>
  <c r="DY27" i="9"/>
  <c r="ET27" i="9"/>
  <c r="FJ27" i="9"/>
  <c r="FK27" i="9" s="1"/>
  <c r="FL27" i="9"/>
  <c r="FG29" i="7"/>
  <c r="FH29" i="7"/>
  <c r="FG28" i="7"/>
  <c r="FH28" i="7"/>
  <c r="FH31" i="4"/>
  <c r="FG31" i="4"/>
  <c r="FL144" i="14"/>
  <c r="FM144" i="14"/>
  <c r="FL145" i="14"/>
  <c r="FM145" i="14"/>
  <c r="FL146" i="14"/>
  <c r="FM146" i="14"/>
  <c r="FL147" i="14"/>
  <c r="FM147" i="14"/>
  <c r="FL148" i="14"/>
  <c r="FM148" i="14"/>
  <c r="FL149" i="14"/>
  <c r="FM149" i="14"/>
  <c r="FL153" i="14"/>
  <c r="FL150" i="14" s="1"/>
  <c r="FM153" i="14"/>
  <c r="FM150" i="14" s="1"/>
  <c r="FM143" i="14"/>
  <c r="FL143" i="14"/>
  <c r="ER144" i="14"/>
  <c r="ES144" i="14"/>
  <c r="ER145" i="14"/>
  <c r="ES145" i="14"/>
  <c r="ER146" i="14"/>
  <c r="ES146" i="14"/>
  <c r="ER147" i="14"/>
  <c r="ES147" i="14"/>
  <c r="ER148" i="14"/>
  <c r="ES148" i="14"/>
  <c r="ER149" i="14"/>
  <c r="ES149" i="14"/>
  <c r="ER153" i="14"/>
  <c r="ER150" i="14" s="1"/>
  <c r="ES153" i="14"/>
  <c r="ES143" i="14"/>
  <c r="ER143" i="14"/>
  <c r="FT95" i="14"/>
  <c r="FS95" i="14"/>
  <c r="FH143" i="12"/>
  <c r="FH144" i="12"/>
  <c r="FH145" i="12"/>
  <c r="FH146" i="12"/>
  <c r="FH147" i="12"/>
  <c r="FH148" i="12"/>
  <c r="FH152" i="12"/>
  <c r="FH142" i="12"/>
  <c r="ER143" i="12"/>
  <c r="ER144" i="12"/>
  <c r="ER145" i="12"/>
  <c r="ER146" i="12"/>
  <c r="ER147" i="12"/>
  <c r="ER148" i="12"/>
  <c r="ER152" i="12"/>
  <c r="ER142" i="12"/>
  <c r="FL94" i="12"/>
  <c r="AB94" i="12"/>
  <c r="J94" i="12"/>
  <c r="FK94" i="12"/>
  <c r="EQ96" i="11"/>
  <c r="FF96" i="11" s="1"/>
  <c r="FD96" i="11"/>
  <c r="FE96" i="11" s="1"/>
  <c r="FN94" i="1"/>
  <c r="FO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ES150" i="14" l="1"/>
  <c r="ER154" i="12"/>
  <c r="FH149" i="12"/>
  <c r="FM155" i="14"/>
  <c r="FM156" i="14"/>
  <c r="FM154" i="14"/>
  <c r="FL156" i="14"/>
  <c r="FL155" i="14"/>
  <c r="FL154" i="14"/>
  <c r="ES155" i="14"/>
  <c r="ES156" i="14"/>
  <c r="ER156" i="14"/>
  <c r="ER155" i="14"/>
  <c r="ES154" i="14"/>
  <c r="ER154" i="14"/>
  <c r="FV25" i="15"/>
  <c r="FV24" i="15"/>
  <c r="FV23" i="15"/>
  <c r="FV22" i="15"/>
  <c r="ER149" i="12"/>
  <c r="FH154" i="12"/>
  <c r="FM152" i="14"/>
  <c r="FM151" i="14"/>
  <c r="FL152" i="14"/>
  <c r="FL151" i="14"/>
  <c r="ES152" i="14"/>
  <c r="ES151" i="14"/>
  <c r="ER152" i="14"/>
  <c r="ER151" i="14"/>
  <c r="FH150" i="12"/>
  <c r="FH155" i="12"/>
  <c r="FH153" i="12"/>
  <c r="FH151" i="12"/>
  <c r="ER150" i="12"/>
  <c r="ER155" i="12"/>
  <c r="ER153" i="12"/>
  <c r="ER151" i="12"/>
  <c r="GI94" i="1"/>
  <c r="AC93" i="1"/>
  <c r="K93" i="1"/>
  <c r="FO93" i="1"/>
  <c r="FN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AI73" i="2"/>
  <c r="AI72" i="2"/>
  <c r="AI71" i="2"/>
  <c r="AH73" i="2"/>
  <c r="AJ73" i="2" s="1"/>
  <c r="AH71" i="2"/>
  <c r="AJ71" i="2" s="1"/>
  <c r="AH72" i="2"/>
  <c r="AJ72" i="2" s="1"/>
  <c r="AG73" i="2"/>
  <c r="AG72" i="2"/>
  <c r="AG71" i="2"/>
  <c r="AA73" i="2"/>
  <c r="AA72" i="2"/>
  <c r="AA71" i="2"/>
  <c r="Z73" i="2"/>
  <c r="Z72" i="2"/>
  <c r="Z71" i="2"/>
  <c r="U80" i="2"/>
  <c r="U79" i="2"/>
  <c r="U78" i="2"/>
  <c r="U77" i="2"/>
  <c r="U76" i="2"/>
  <c r="U75" i="2"/>
  <c r="U74" i="2"/>
  <c r="U73" i="2"/>
  <c r="U72" i="2"/>
  <c r="U71" i="2"/>
  <c r="T80" i="2"/>
  <c r="T79" i="2"/>
  <c r="V79" i="2" s="1"/>
  <c r="T78" i="2"/>
  <c r="T77" i="2"/>
  <c r="V77" i="2" s="1"/>
  <c r="T76" i="2"/>
  <c r="T75" i="2"/>
  <c r="V75" i="2" s="1"/>
  <c r="T74" i="2"/>
  <c r="V74" i="2" s="1"/>
  <c r="T73" i="2"/>
  <c r="V73" i="2" s="1"/>
  <c r="T72" i="2"/>
  <c r="T71" i="2"/>
  <c r="V71" i="2" s="1"/>
  <c r="S80" i="2"/>
  <c r="S79" i="2"/>
  <c r="S78" i="2"/>
  <c r="S77" i="2"/>
  <c r="S76" i="2"/>
  <c r="S75" i="2"/>
  <c r="S74" i="2"/>
  <c r="S73" i="2"/>
  <c r="S72" i="2"/>
  <c r="S71" i="2"/>
  <c r="R80" i="2"/>
  <c r="R79" i="2"/>
  <c r="R78" i="2"/>
  <c r="R77" i="2"/>
  <c r="R76" i="2"/>
  <c r="R75" i="2"/>
  <c r="R74" i="2"/>
  <c r="R73" i="2"/>
  <c r="R72" i="2"/>
  <c r="R71" i="2"/>
  <c r="Q80" i="2"/>
  <c r="Q79" i="2"/>
  <c r="Q78" i="2"/>
  <c r="Q77" i="2"/>
  <c r="Q76" i="2"/>
  <c r="Q75" i="2"/>
  <c r="Q74" i="2"/>
  <c r="Q73" i="2"/>
  <c r="Q72" i="2"/>
  <c r="Q71" i="2"/>
  <c r="P80" i="2"/>
  <c r="P79" i="2"/>
  <c r="P78" i="2"/>
  <c r="P77" i="2"/>
  <c r="P76" i="2"/>
  <c r="P75" i="2"/>
  <c r="P74" i="2"/>
  <c r="P73" i="2"/>
  <c r="P72" i="2"/>
  <c r="P71" i="2"/>
  <c r="O79" i="2"/>
  <c r="O78" i="2"/>
  <c r="O77" i="2"/>
  <c r="O76" i="2"/>
  <c r="O75" i="2"/>
  <c r="O74" i="2"/>
  <c r="O73" i="2"/>
  <c r="O72" i="2"/>
  <c r="O71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E82" i="2"/>
  <c r="E81" i="2"/>
  <c r="E80" i="2"/>
  <c r="E79" i="2"/>
  <c r="E78" i="2"/>
  <c r="E77" i="2"/>
  <c r="E76" i="2"/>
  <c r="E75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T21" i="15"/>
  <c r="FH20" i="15"/>
  <c r="FG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H19" i="15"/>
  <c r="FG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EB18" i="15"/>
  <c r="DY18" i="15"/>
  <c r="FH18" i="15"/>
  <c r="FG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H17" i="15"/>
  <c r="FG17" i="15"/>
  <c r="FI17" i="15"/>
  <c r="FJ17" i="15"/>
  <c r="FK17" i="15"/>
  <c r="FL17" i="15"/>
  <c r="FM17" i="15"/>
  <c r="FN17" i="15"/>
  <c r="FO17" i="15"/>
  <c r="FP17" i="15"/>
  <c r="FQ17" i="15"/>
  <c r="FR17" i="15"/>
  <c r="FS17" i="15"/>
  <c r="FT17" i="15"/>
  <c r="FH16" i="15"/>
  <c r="FG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H15" i="15"/>
  <c r="FG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AB14" i="15"/>
  <c r="E72" i="2" s="1"/>
  <c r="J14" i="15"/>
  <c r="E71" i="2" s="1"/>
  <c r="FH14" i="15"/>
  <c r="FG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EB12" i="15"/>
  <c r="DY12" i="15"/>
  <c r="FH12" i="15"/>
  <c r="FG12" i="15"/>
  <c r="FI12" i="15"/>
  <c r="FJ12" i="15"/>
  <c r="FK12" i="15"/>
  <c r="FL12" i="15"/>
  <c r="FM12" i="15"/>
  <c r="FN12" i="15"/>
  <c r="FO12" i="15"/>
  <c r="FP12" i="15"/>
  <c r="FQ12" i="15"/>
  <c r="FR12" i="15"/>
  <c r="FS12" i="15"/>
  <c r="FT12" i="15"/>
  <c r="FH11" i="15"/>
  <c r="FG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H10" i="15"/>
  <c r="FG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H9" i="15"/>
  <c r="FG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H8" i="15"/>
  <c r="FG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H7" i="15"/>
  <c r="FG7" i="15"/>
  <c r="FI7" i="15"/>
  <c r="FJ7" i="15"/>
  <c r="FK7" i="15"/>
  <c r="FL7" i="15"/>
  <c r="FM7" i="15"/>
  <c r="FN7" i="15"/>
  <c r="FO7" i="15"/>
  <c r="FP7" i="15"/>
  <c r="FQ7" i="15"/>
  <c r="FR7" i="15"/>
  <c r="FS7" i="15"/>
  <c r="FT7" i="15"/>
  <c r="FH6" i="15"/>
  <c r="FG6" i="15"/>
  <c r="FI6" i="15"/>
  <c r="FJ6" i="15"/>
  <c r="FK6" i="15"/>
  <c r="FL6" i="15"/>
  <c r="FM6" i="15"/>
  <c r="FN6" i="15"/>
  <c r="FO6" i="15"/>
  <c r="FP6" i="15"/>
  <c r="FQ6" i="15"/>
  <c r="FR6" i="15"/>
  <c r="FS6" i="15"/>
  <c r="FT6" i="15"/>
  <c r="ET26" i="9"/>
  <c r="FL26" i="9" s="1"/>
  <c r="FJ26" i="9"/>
  <c r="FK26" i="9"/>
  <c r="FH27" i="7"/>
  <c r="FG27" i="7"/>
  <c r="FH30" i="4"/>
  <c r="FG30" i="4"/>
  <c r="AB94" i="14"/>
  <c r="J94" i="14"/>
  <c r="FT94" i="14"/>
  <c r="FS94" i="14"/>
  <c r="DY93" i="12"/>
  <c r="FK93" i="12"/>
  <c r="FL93" i="12"/>
  <c r="EQ95" i="11"/>
  <c r="FF95" i="11" s="1"/>
  <c r="FD95" i="11"/>
  <c r="FE95" i="11" s="1"/>
  <c r="V78" i="2" l="1"/>
  <c r="V72" i="2"/>
  <c r="L71" i="2"/>
  <c r="V76" i="2"/>
  <c r="FV21" i="15"/>
  <c r="L76" i="2"/>
  <c r="GI93" i="1"/>
  <c r="AB73" i="2"/>
  <c r="AB72" i="2"/>
  <c r="AB71" i="2"/>
  <c r="V80" i="2"/>
  <c r="L82" i="2"/>
  <c r="L81" i="2"/>
  <c r="L80" i="2"/>
  <c r="L79" i="2"/>
  <c r="L78" i="2"/>
  <c r="L77" i="2"/>
  <c r="L75" i="2"/>
  <c r="L72" i="2"/>
  <c r="FV20" i="15"/>
  <c r="FV19" i="15"/>
  <c r="FV18" i="15"/>
  <c r="FV17" i="15"/>
  <c r="FV16" i="15"/>
  <c r="FV15" i="15"/>
  <c r="FV14" i="15"/>
  <c r="FV13" i="15"/>
  <c r="FV12" i="15"/>
  <c r="FV11" i="15"/>
  <c r="FV9" i="15"/>
  <c r="FV10" i="15"/>
  <c r="FV8" i="15"/>
  <c r="FV7" i="15"/>
  <c r="FV6" i="15"/>
  <c r="F17" i="3"/>
  <c r="F15" i="3"/>
  <c r="FH4" i="15"/>
  <c r="FG4" i="15"/>
  <c r="FI4" i="15"/>
  <c r="FJ4" i="15"/>
  <c r="FK4" i="15"/>
  <c r="FL4" i="15"/>
  <c r="FM4" i="15"/>
  <c r="FN4" i="15"/>
  <c r="FO4" i="15"/>
  <c r="FP4" i="15"/>
  <c r="FQ4" i="15"/>
  <c r="FR4" i="15"/>
  <c r="FS4" i="15"/>
  <c r="FT4" i="15"/>
  <c r="J5" i="15"/>
  <c r="J143" i="15" s="1"/>
  <c r="AB5" i="15"/>
  <c r="AB144" i="15" s="1"/>
  <c r="DY5" i="15"/>
  <c r="DY145" i="15" s="1"/>
  <c r="EB5" i="15"/>
  <c r="Y72" i="2" s="1"/>
  <c r="ER145" i="15"/>
  <c r="FG5" i="15"/>
  <c r="FH5" i="15"/>
  <c r="FI5" i="15"/>
  <c r="FJ5" i="15"/>
  <c r="FK5" i="15"/>
  <c r="FL5" i="15"/>
  <c r="FM5" i="15"/>
  <c r="FN5" i="15"/>
  <c r="FO5" i="15"/>
  <c r="FP5" i="15"/>
  <c r="FQ5" i="15"/>
  <c r="FR5" i="15"/>
  <c r="FS5" i="15"/>
  <c r="FT5" i="15"/>
  <c r="A143" i="15"/>
  <c r="E143" i="15"/>
  <c r="H143" i="15"/>
  <c r="I143" i="15"/>
  <c r="K143" i="15"/>
  <c r="L143" i="15"/>
  <c r="M143" i="15"/>
  <c r="N143" i="15"/>
  <c r="O143" i="15"/>
  <c r="P143" i="15"/>
  <c r="Q143" i="15"/>
  <c r="R143" i="15"/>
  <c r="U143" i="15"/>
  <c r="V143" i="15"/>
  <c r="W143" i="15"/>
  <c r="X143" i="15"/>
  <c r="Y143" i="15"/>
  <c r="Z143" i="15"/>
  <c r="AA143" i="15"/>
  <c r="AC143" i="15"/>
  <c r="AD143" i="15"/>
  <c r="AE143" i="15"/>
  <c r="AF143" i="15"/>
  <c r="AG143" i="15"/>
  <c r="AH143" i="15"/>
  <c r="AI143" i="15"/>
  <c r="AJ143" i="15"/>
  <c r="AM143" i="15"/>
  <c r="AN143" i="15"/>
  <c r="AO143" i="15"/>
  <c r="AP143" i="15"/>
  <c r="AQ143" i="15"/>
  <c r="AR143" i="15"/>
  <c r="AS143" i="15"/>
  <c r="AT143" i="15"/>
  <c r="AU143" i="15"/>
  <c r="AV143" i="15"/>
  <c r="AW143" i="15"/>
  <c r="AX143" i="15"/>
  <c r="AY143" i="15"/>
  <c r="AZ143" i="15"/>
  <c r="BA143" i="15"/>
  <c r="BB143" i="15"/>
  <c r="BC143" i="15"/>
  <c r="BD143" i="15"/>
  <c r="BE143" i="15"/>
  <c r="BF143" i="15"/>
  <c r="BG143" i="15"/>
  <c r="BH143" i="15"/>
  <c r="BI143" i="15"/>
  <c r="BJ143" i="15"/>
  <c r="BK143" i="15"/>
  <c r="BL143" i="15"/>
  <c r="BM143" i="15"/>
  <c r="BN143" i="15"/>
  <c r="BO143" i="15"/>
  <c r="BP143" i="15"/>
  <c r="BQ143" i="15"/>
  <c r="BR143" i="15"/>
  <c r="BS143" i="15"/>
  <c r="BT143" i="15"/>
  <c r="BU143" i="15"/>
  <c r="BV143" i="15"/>
  <c r="BW143" i="15"/>
  <c r="BX143" i="15"/>
  <c r="BY143" i="15"/>
  <c r="BZ143" i="15"/>
  <c r="CA143" i="15"/>
  <c r="CB143" i="15"/>
  <c r="CC143" i="15"/>
  <c r="CD143" i="15"/>
  <c r="CE143" i="15"/>
  <c r="CF143" i="15"/>
  <c r="CG143" i="15"/>
  <c r="CH143" i="15"/>
  <c r="CI143" i="15"/>
  <c r="CJ143" i="15"/>
  <c r="CK143" i="15"/>
  <c r="CL143" i="15"/>
  <c r="CM143" i="15"/>
  <c r="CN143" i="15"/>
  <c r="CO143" i="15"/>
  <c r="CP143" i="15"/>
  <c r="CQ143" i="15"/>
  <c r="CR143" i="15"/>
  <c r="CS143" i="15"/>
  <c r="CT143" i="15"/>
  <c r="CU143" i="15"/>
  <c r="CV143" i="15"/>
  <c r="CW143" i="15"/>
  <c r="CX143" i="15"/>
  <c r="CY143" i="15"/>
  <c r="CZ143" i="15"/>
  <c r="DA143" i="15"/>
  <c r="DB143" i="15"/>
  <c r="DC143" i="15"/>
  <c r="DD143" i="15"/>
  <c r="DE143" i="15"/>
  <c r="DF143" i="15"/>
  <c r="DG143" i="15"/>
  <c r="DH143" i="15"/>
  <c r="DI143" i="15"/>
  <c r="DJ143" i="15"/>
  <c r="DK143" i="15"/>
  <c r="DL143" i="15"/>
  <c r="DM143" i="15"/>
  <c r="DN143" i="15"/>
  <c r="DO143" i="15"/>
  <c r="DP143" i="15"/>
  <c r="DQ143" i="15"/>
  <c r="DR143" i="15"/>
  <c r="DS143" i="15"/>
  <c r="DT143" i="15"/>
  <c r="DU143" i="15"/>
  <c r="DV143" i="15"/>
  <c r="DW143" i="15"/>
  <c r="DX143" i="15"/>
  <c r="DY143" i="15"/>
  <c r="DZ143" i="15"/>
  <c r="EA143" i="15"/>
  <c r="EB143" i="15"/>
  <c r="EC143" i="15"/>
  <c r="ED143" i="15"/>
  <c r="EE143" i="15"/>
  <c r="EF143" i="15"/>
  <c r="EG143" i="15"/>
  <c r="EH143" i="15"/>
  <c r="EI143" i="15"/>
  <c r="EJ143" i="15"/>
  <c r="EK143" i="15"/>
  <c r="EL143" i="15"/>
  <c r="EM143" i="15"/>
  <c r="EN143" i="15"/>
  <c r="EO143" i="15"/>
  <c r="EP143" i="15"/>
  <c r="ES143" i="15"/>
  <c r="ET143" i="15"/>
  <c r="EU143" i="15"/>
  <c r="EV143" i="15"/>
  <c r="EW143" i="15"/>
  <c r="EX143" i="15"/>
  <c r="EY143" i="15"/>
  <c r="EZ143" i="15"/>
  <c r="FA143" i="15"/>
  <c r="FB143" i="15"/>
  <c r="FC143" i="15"/>
  <c r="FD143" i="15"/>
  <c r="FF143" i="15"/>
  <c r="FT143" i="15"/>
  <c r="E144" i="15"/>
  <c r="J144" i="15"/>
  <c r="K144" i="15"/>
  <c r="L144" i="15"/>
  <c r="M144" i="15"/>
  <c r="N144" i="15"/>
  <c r="O144" i="15"/>
  <c r="P144" i="15"/>
  <c r="Q144" i="15"/>
  <c r="R144" i="15"/>
  <c r="U144" i="15"/>
  <c r="V144" i="15"/>
  <c r="AC144" i="15"/>
  <c r="AD144" i="15"/>
  <c r="AE144" i="15"/>
  <c r="AF144" i="15"/>
  <c r="AG144" i="15"/>
  <c r="AH144" i="15"/>
  <c r="AI144" i="15"/>
  <c r="AJ144" i="15"/>
  <c r="AN144" i="15"/>
  <c r="AO144" i="15"/>
  <c r="AP144" i="15"/>
  <c r="AQ144" i="15"/>
  <c r="AR144" i="15"/>
  <c r="AS144" i="15"/>
  <c r="AT144" i="15"/>
  <c r="AU144" i="15"/>
  <c r="AV144" i="15"/>
  <c r="AX144" i="15"/>
  <c r="AY144" i="15"/>
  <c r="AZ144" i="15"/>
  <c r="BA144" i="15"/>
  <c r="BB144" i="15"/>
  <c r="BC144" i="15"/>
  <c r="BD144" i="15"/>
  <c r="BE144" i="15"/>
  <c r="BF144" i="15"/>
  <c r="BH144" i="15"/>
  <c r="BI144" i="15"/>
  <c r="BJ144" i="15"/>
  <c r="BK144" i="15"/>
  <c r="BL144" i="15"/>
  <c r="BM144" i="15"/>
  <c r="BN144" i="15"/>
  <c r="BO144" i="15"/>
  <c r="BP144" i="15"/>
  <c r="BR144" i="15"/>
  <c r="BS144" i="15"/>
  <c r="BT144" i="15"/>
  <c r="BU144" i="15"/>
  <c r="BV144" i="15"/>
  <c r="BW144" i="15"/>
  <c r="BX144" i="15"/>
  <c r="BY144" i="15"/>
  <c r="BZ144" i="15"/>
  <c r="CB144" i="15"/>
  <c r="CC144" i="15"/>
  <c r="CD144" i="15"/>
  <c r="CE144" i="15"/>
  <c r="CF144" i="15"/>
  <c r="CG144" i="15"/>
  <c r="CH144" i="15"/>
  <c r="CI144" i="15"/>
  <c r="CJ144" i="15"/>
  <c r="CL144" i="15"/>
  <c r="CM144" i="15"/>
  <c r="CN144" i="15"/>
  <c r="CO144" i="15"/>
  <c r="CP144" i="15"/>
  <c r="CQ144" i="15"/>
  <c r="CR144" i="15"/>
  <c r="CS144" i="15"/>
  <c r="CT144" i="15"/>
  <c r="CV144" i="15"/>
  <c r="CW144" i="15"/>
  <c r="CX144" i="15"/>
  <c r="CY144" i="15"/>
  <c r="CZ144" i="15"/>
  <c r="DA144" i="15"/>
  <c r="DB144" i="15"/>
  <c r="DC144" i="15"/>
  <c r="DD144" i="15"/>
  <c r="DF144" i="15"/>
  <c r="DG144" i="15"/>
  <c r="DH144" i="15"/>
  <c r="DI144" i="15"/>
  <c r="DJ144" i="15"/>
  <c r="DK144" i="15"/>
  <c r="DL144" i="15"/>
  <c r="DM144" i="15"/>
  <c r="DN144" i="15"/>
  <c r="DP144" i="15"/>
  <c r="DQ144" i="15"/>
  <c r="DR144" i="15"/>
  <c r="DS144" i="15"/>
  <c r="DT144" i="15"/>
  <c r="DU144" i="15"/>
  <c r="DV144" i="15"/>
  <c r="DW144" i="15"/>
  <c r="DX144" i="15"/>
  <c r="DY144" i="15"/>
  <c r="DZ144" i="15"/>
  <c r="EA144" i="15"/>
  <c r="EC144" i="15"/>
  <c r="ED144" i="15"/>
  <c r="EE144" i="15"/>
  <c r="EF144" i="15"/>
  <c r="EG144" i="15"/>
  <c r="EH144" i="15"/>
  <c r="EI144" i="15"/>
  <c r="EJ144" i="15"/>
  <c r="EK144" i="15"/>
  <c r="EL144" i="15"/>
  <c r="EM144" i="15"/>
  <c r="EN144" i="15"/>
  <c r="EO144" i="15"/>
  <c r="EP144" i="15"/>
  <c r="ES144" i="15"/>
  <c r="ET144" i="15"/>
  <c r="EU144" i="15"/>
  <c r="EV144" i="15"/>
  <c r="EW144" i="15"/>
  <c r="EX144" i="15"/>
  <c r="EY144" i="15"/>
  <c r="EZ144" i="15"/>
  <c r="FA144" i="15"/>
  <c r="FB144" i="15"/>
  <c r="FC144" i="15"/>
  <c r="FD144" i="15"/>
  <c r="FF144" i="15"/>
  <c r="FP144" i="15"/>
  <c r="E145" i="15"/>
  <c r="J145" i="15"/>
  <c r="K145" i="15"/>
  <c r="L145" i="15"/>
  <c r="M145" i="15"/>
  <c r="N145" i="15"/>
  <c r="O145" i="15"/>
  <c r="P145" i="15"/>
  <c r="Q145" i="15"/>
  <c r="R145" i="15"/>
  <c r="U145" i="15"/>
  <c r="V145" i="15"/>
  <c r="AC145" i="15"/>
  <c r="AD145" i="15"/>
  <c r="AE145" i="15"/>
  <c r="AF145" i="15"/>
  <c r="AG145" i="15"/>
  <c r="AH145" i="15"/>
  <c r="AI145" i="15"/>
  <c r="AJ145" i="15"/>
  <c r="AN145" i="15"/>
  <c r="AO145" i="15"/>
  <c r="AP145" i="15"/>
  <c r="AQ145" i="15"/>
  <c r="AR145" i="15"/>
  <c r="AS145" i="15"/>
  <c r="AT145" i="15"/>
  <c r="AU145" i="15"/>
  <c r="AV145" i="15"/>
  <c r="AX145" i="15"/>
  <c r="AY145" i="15"/>
  <c r="AZ145" i="15"/>
  <c r="BA145" i="15"/>
  <c r="BB145" i="15"/>
  <c r="BC145" i="15"/>
  <c r="BD145" i="15"/>
  <c r="BE145" i="15"/>
  <c r="BF145" i="15"/>
  <c r="BH145" i="15"/>
  <c r="BI145" i="15"/>
  <c r="BJ145" i="15"/>
  <c r="BK145" i="15"/>
  <c r="BL145" i="15"/>
  <c r="BM145" i="15"/>
  <c r="BN145" i="15"/>
  <c r="BO145" i="15"/>
  <c r="BP145" i="15"/>
  <c r="BR145" i="15"/>
  <c r="BS145" i="15"/>
  <c r="BT145" i="15"/>
  <c r="BU145" i="15"/>
  <c r="BV145" i="15"/>
  <c r="BW145" i="15"/>
  <c r="BX145" i="15"/>
  <c r="BY145" i="15"/>
  <c r="BZ145" i="15"/>
  <c r="CB145" i="15"/>
  <c r="CC145" i="15"/>
  <c r="CD145" i="15"/>
  <c r="CE145" i="15"/>
  <c r="CF145" i="15"/>
  <c r="CG145" i="15"/>
  <c r="CH145" i="15"/>
  <c r="CI145" i="15"/>
  <c r="CJ145" i="15"/>
  <c r="CL145" i="15"/>
  <c r="CM145" i="15"/>
  <c r="CN145" i="15"/>
  <c r="CO145" i="15"/>
  <c r="CP145" i="15"/>
  <c r="CQ145" i="15"/>
  <c r="CR145" i="15"/>
  <c r="CS145" i="15"/>
  <c r="CT145" i="15"/>
  <c r="CV145" i="15"/>
  <c r="CW145" i="15"/>
  <c r="CX145" i="15"/>
  <c r="CY145" i="15"/>
  <c r="CZ145" i="15"/>
  <c r="DA145" i="15"/>
  <c r="DB145" i="15"/>
  <c r="DC145" i="15"/>
  <c r="DD145" i="15"/>
  <c r="DF145" i="15"/>
  <c r="DG145" i="15"/>
  <c r="DH145" i="15"/>
  <c r="DI145" i="15"/>
  <c r="DJ145" i="15"/>
  <c r="DK145" i="15"/>
  <c r="DL145" i="15"/>
  <c r="DM145" i="15"/>
  <c r="DN145" i="15"/>
  <c r="DP145" i="15"/>
  <c r="DQ145" i="15"/>
  <c r="DR145" i="15"/>
  <c r="DS145" i="15"/>
  <c r="DT145" i="15"/>
  <c r="DU145" i="15"/>
  <c r="DV145" i="15"/>
  <c r="DW145" i="15"/>
  <c r="DX145" i="15"/>
  <c r="DZ145" i="15"/>
  <c r="EA145" i="15"/>
  <c r="EC145" i="15"/>
  <c r="ED145" i="15"/>
  <c r="EE145" i="15"/>
  <c r="EF145" i="15"/>
  <c r="EG145" i="15"/>
  <c r="EH145" i="15"/>
  <c r="EI145" i="15"/>
  <c r="EJ145" i="15"/>
  <c r="EK145" i="15"/>
  <c r="EL145" i="15"/>
  <c r="EM145" i="15"/>
  <c r="EN145" i="15"/>
  <c r="EO145" i="15"/>
  <c r="EP145" i="15"/>
  <c r="ES145" i="15"/>
  <c r="ET145" i="15"/>
  <c r="EU145" i="15"/>
  <c r="EV145" i="15"/>
  <c r="EW145" i="15"/>
  <c r="EX145" i="15"/>
  <c r="EY145" i="15"/>
  <c r="EZ145" i="15"/>
  <c r="FA145" i="15"/>
  <c r="FB145" i="15"/>
  <c r="FC145" i="15"/>
  <c r="FD145" i="15"/>
  <c r="FF145" i="15"/>
  <c r="E146" i="15"/>
  <c r="K146" i="15"/>
  <c r="L146" i="15"/>
  <c r="M146" i="15"/>
  <c r="N146" i="15"/>
  <c r="O146" i="15"/>
  <c r="P146" i="15"/>
  <c r="Q146" i="15"/>
  <c r="R146" i="15"/>
  <c r="U146" i="15"/>
  <c r="V146" i="15"/>
  <c r="AC146" i="15"/>
  <c r="AD146" i="15"/>
  <c r="AE146" i="15"/>
  <c r="AF146" i="15"/>
  <c r="AG146" i="15"/>
  <c r="AH146" i="15"/>
  <c r="AI146" i="15"/>
  <c r="AJ146" i="15"/>
  <c r="AN146" i="15"/>
  <c r="AO146" i="15"/>
  <c r="AP146" i="15"/>
  <c r="AQ146" i="15"/>
  <c r="AR146" i="15"/>
  <c r="AS146" i="15"/>
  <c r="AT146" i="15"/>
  <c r="AU146" i="15"/>
  <c r="AV146" i="15"/>
  <c r="AX146" i="15"/>
  <c r="AY146" i="15"/>
  <c r="AZ146" i="15"/>
  <c r="BA146" i="15"/>
  <c r="BB146" i="15"/>
  <c r="BC146" i="15"/>
  <c r="BD146" i="15"/>
  <c r="BE146" i="15"/>
  <c r="BF146" i="15"/>
  <c r="BH146" i="15"/>
  <c r="BI146" i="15"/>
  <c r="BJ146" i="15"/>
  <c r="BK146" i="15"/>
  <c r="BL146" i="15"/>
  <c r="BM146" i="15"/>
  <c r="BN146" i="15"/>
  <c r="BO146" i="15"/>
  <c r="BP146" i="15"/>
  <c r="BR146" i="15"/>
  <c r="BS146" i="15"/>
  <c r="BT146" i="15"/>
  <c r="BU146" i="15"/>
  <c r="BV146" i="15"/>
  <c r="BW146" i="15"/>
  <c r="BX146" i="15"/>
  <c r="BY146" i="15"/>
  <c r="BZ146" i="15"/>
  <c r="CB146" i="15"/>
  <c r="CC146" i="15"/>
  <c r="CD146" i="15"/>
  <c r="CE146" i="15"/>
  <c r="CF146" i="15"/>
  <c r="CG146" i="15"/>
  <c r="CH146" i="15"/>
  <c r="CI146" i="15"/>
  <c r="CJ146" i="15"/>
  <c r="CL146" i="15"/>
  <c r="CM146" i="15"/>
  <c r="CN146" i="15"/>
  <c r="CO146" i="15"/>
  <c r="CP146" i="15"/>
  <c r="CQ146" i="15"/>
  <c r="CR146" i="15"/>
  <c r="CS146" i="15"/>
  <c r="CT146" i="15"/>
  <c r="CV146" i="15"/>
  <c r="CW146" i="15"/>
  <c r="CX146" i="15"/>
  <c r="CY146" i="15"/>
  <c r="CZ146" i="15"/>
  <c r="DA146" i="15"/>
  <c r="DB146" i="15"/>
  <c r="DC146" i="15"/>
  <c r="DD146" i="15"/>
  <c r="DF146" i="15"/>
  <c r="DG146" i="15"/>
  <c r="DH146" i="15"/>
  <c r="DI146" i="15"/>
  <c r="DJ146" i="15"/>
  <c r="DK146" i="15"/>
  <c r="DL146" i="15"/>
  <c r="DM146" i="15"/>
  <c r="DN146" i="15"/>
  <c r="DP146" i="15"/>
  <c r="DQ146" i="15"/>
  <c r="DR146" i="15"/>
  <c r="DS146" i="15"/>
  <c r="DT146" i="15"/>
  <c r="DU146" i="15"/>
  <c r="DV146" i="15"/>
  <c r="DW146" i="15"/>
  <c r="DX146" i="15"/>
  <c r="DY146" i="15"/>
  <c r="DZ146" i="15"/>
  <c r="EA146" i="15"/>
  <c r="EC146" i="15"/>
  <c r="ED146" i="15"/>
  <c r="EE146" i="15"/>
  <c r="EF146" i="15"/>
  <c r="EG146" i="15"/>
  <c r="EH146" i="15"/>
  <c r="EI146" i="15"/>
  <c r="EJ146" i="15"/>
  <c r="EK146" i="15"/>
  <c r="EL146" i="15"/>
  <c r="EM146" i="15"/>
  <c r="EN146" i="15"/>
  <c r="EO146" i="15"/>
  <c r="EP146" i="15"/>
  <c r="ER146" i="15"/>
  <c r="ES146" i="15"/>
  <c r="ET146" i="15"/>
  <c r="EU146" i="15"/>
  <c r="EV146" i="15"/>
  <c r="EW146" i="15"/>
  <c r="EX146" i="15"/>
  <c r="EY146" i="15"/>
  <c r="EZ146" i="15"/>
  <c r="FA146" i="15"/>
  <c r="FB146" i="15"/>
  <c r="FC146" i="15"/>
  <c r="FD146" i="15"/>
  <c r="E147" i="15"/>
  <c r="K147" i="15"/>
  <c r="L147" i="15"/>
  <c r="M147" i="15"/>
  <c r="N147" i="15"/>
  <c r="O147" i="15"/>
  <c r="P147" i="15"/>
  <c r="Q147" i="15"/>
  <c r="R147" i="15"/>
  <c r="U147" i="15"/>
  <c r="V147" i="15"/>
  <c r="AC147" i="15"/>
  <c r="AD147" i="15"/>
  <c r="AE147" i="15"/>
  <c r="AF147" i="15"/>
  <c r="AG147" i="15"/>
  <c r="AH147" i="15"/>
  <c r="AI147" i="15"/>
  <c r="AJ147" i="15"/>
  <c r="AN147" i="15"/>
  <c r="AO147" i="15"/>
  <c r="AP147" i="15"/>
  <c r="AQ147" i="15"/>
  <c r="AR147" i="15"/>
  <c r="AS147" i="15"/>
  <c r="AT147" i="15"/>
  <c r="AU147" i="15"/>
  <c r="AV147" i="15"/>
  <c r="AX147" i="15"/>
  <c r="AY147" i="15"/>
  <c r="AZ147" i="15"/>
  <c r="BA147" i="15"/>
  <c r="BB147" i="15"/>
  <c r="BC147" i="15"/>
  <c r="BD147" i="15"/>
  <c r="BE147" i="15"/>
  <c r="BF147" i="15"/>
  <c r="BH147" i="15"/>
  <c r="BI147" i="15"/>
  <c r="BJ147" i="15"/>
  <c r="BK147" i="15"/>
  <c r="BL147" i="15"/>
  <c r="BM147" i="15"/>
  <c r="BN147" i="15"/>
  <c r="BO147" i="15"/>
  <c r="BP147" i="15"/>
  <c r="BR147" i="15"/>
  <c r="BS147" i="15"/>
  <c r="BT147" i="15"/>
  <c r="BU147" i="15"/>
  <c r="BV147" i="15"/>
  <c r="BW147" i="15"/>
  <c r="BX147" i="15"/>
  <c r="BY147" i="15"/>
  <c r="BZ147" i="15"/>
  <c r="CB147" i="15"/>
  <c r="CC147" i="15"/>
  <c r="CD147" i="15"/>
  <c r="CE147" i="15"/>
  <c r="CF147" i="15"/>
  <c r="CG147" i="15"/>
  <c r="CH147" i="15"/>
  <c r="CI147" i="15"/>
  <c r="CJ147" i="15"/>
  <c r="CL147" i="15"/>
  <c r="CM147" i="15"/>
  <c r="CN147" i="15"/>
  <c r="CO147" i="15"/>
  <c r="CP147" i="15"/>
  <c r="CQ147" i="15"/>
  <c r="CR147" i="15"/>
  <c r="CS147" i="15"/>
  <c r="CT147" i="15"/>
  <c r="CV147" i="15"/>
  <c r="CW147" i="15"/>
  <c r="CX147" i="15"/>
  <c r="CY147" i="15"/>
  <c r="CZ147" i="15"/>
  <c r="DA147" i="15"/>
  <c r="DB147" i="15"/>
  <c r="DC147" i="15"/>
  <c r="DD147" i="15"/>
  <c r="DF147" i="15"/>
  <c r="DG147" i="15"/>
  <c r="DH147" i="15"/>
  <c r="DI147" i="15"/>
  <c r="DJ147" i="15"/>
  <c r="DK147" i="15"/>
  <c r="DL147" i="15"/>
  <c r="DM147" i="15"/>
  <c r="DN147" i="15"/>
  <c r="DP147" i="15"/>
  <c r="DQ147" i="15"/>
  <c r="DR147" i="15"/>
  <c r="DS147" i="15"/>
  <c r="DT147" i="15"/>
  <c r="DU147" i="15"/>
  <c r="DV147" i="15"/>
  <c r="DW147" i="15"/>
  <c r="DX147" i="15"/>
  <c r="DZ147" i="15"/>
  <c r="EA147" i="15"/>
  <c r="EC147" i="15"/>
  <c r="ED147" i="15"/>
  <c r="EE147" i="15"/>
  <c r="EF147" i="15"/>
  <c r="EG147" i="15"/>
  <c r="EH147" i="15"/>
  <c r="EI147" i="15"/>
  <c r="EJ147" i="15"/>
  <c r="EK147" i="15"/>
  <c r="EL147" i="15"/>
  <c r="EM147" i="15"/>
  <c r="EN147" i="15"/>
  <c r="EO147" i="15"/>
  <c r="EP147" i="15"/>
  <c r="ES147" i="15"/>
  <c r="ET147" i="15"/>
  <c r="EU147" i="15"/>
  <c r="EV147" i="15"/>
  <c r="EW147" i="15"/>
  <c r="EX147" i="15"/>
  <c r="EY147" i="15"/>
  <c r="EZ147" i="15"/>
  <c r="FA147" i="15"/>
  <c r="FB147" i="15"/>
  <c r="FC147" i="15"/>
  <c r="FD147" i="15"/>
  <c r="FF147" i="15"/>
  <c r="E148" i="15"/>
  <c r="K148" i="15"/>
  <c r="L148" i="15"/>
  <c r="M148" i="15"/>
  <c r="N148" i="15"/>
  <c r="O148" i="15"/>
  <c r="P148" i="15"/>
  <c r="Q148" i="15"/>
  <c r="R148" i="15"/>
  <c r="U148" i="15"/>
  <c r="V148" i="15"/>
  <c r="AC148" i="15"/>
  <c r="AD148" i="15"/>
  <c r="AE148" i="15"/>
  <c r="AF148" i="15"/>
  <c r="AG148" i="15"/>
  <c r="AH148" i="15"/>
  <c r="AI148" i="15"/>
  <c r="AJ148" i="15"/>
  <c r="AN148" i="15"/>
  <c r="AO148" i="15"/>
  <c r="AP148" i="15"/>
  <c r="AQ148" i="15"/>
  <c r="AR148" i="15"/>
  <c r="AS148" i="15"/>
  <c r="AT148" i="15"/>
  <c r="AU148" i="15"/>
  <c r="AV148" i="15"/>
  <c r="AX148" i="15"/>
  <c r="AY148" i="15"/>
  <c r="AZ148" i="15"/>
  <c r="BA148" i="15"/>
  <c r="BB148" i="15"/>
  <c r="BC148" i="15"/>
  <c r="BD148" i="15"/>
  <c r="BE148" i="15"/>
  <c r="BF148" i="15"/>
  <c r="BH148" i="15"/>
  <c r="BI148" i="15"/>
  <c r="BJ148" i="15"/>
  <c r="BK148" i="15"/>
  <c r="BL148" i="15"/>
  <c r="BM148" i="15"/>
  <c r="BN148" i="15"/>
  <c r="BO148" i="15"/>
  <c r="BP148" i="15"/>
  <c r="BR148" i="15"/>
  <c r="BS148" i="15"/>
  <c r="BT148" i="15"/>
  <c r="BU148" i="15"/>
  <c r="BV148" i="15"/>
  <c r="BW148" i="15"/>
  <c r="BX148" i="15"/>
  <c r="BY148" i="15"/>
  <c r="BZ148" i="15"/>
  <c r="CB148" i="15"/>
  <c r="CC148" i="15"/>
  <c r="CD148" i="15"/>
  <c r="CE148" i="15"/>
  <c r="CF148" i="15"/>
  <c r="CG148" i="15"/>
  <c r="CH148" i="15"/>
  <c r="CI148" i="15"/>
  <c r="CJ148" i="15"/>
  <c r="CL148" i="15"/>
  <c r="CM148" i="15"/>
  <c r="CN148" i="15"/>
  <c r="CO148" i="15"/>
  <c r="CP148" i="15"/>
  <c r="CQ148" i="15"/>
  <c r="CR148" i="15"/>
  <c r="CS148" i="15"/>
  <c r="CT148" i="15"/>
  <c r="CV148" i="15"/>
  <c r="CW148" i="15"/>
  <c r="CX148" i="15"/>
  <c r="CY148" i="15"/>
  <c r="CZ148" i="15"/>
  <c r="DA148" i="15"/>
  <c r="DB148" i="15"/>
  <c r="DC148" i="15"/>
  <c r="DD148" i="15"/>
  <c r="DF148" i="15"/>
  <c r="DG148" i="15"/>
  <c r="DH148" i="15"/>
  <c r="DI148" i="15"/>
  <c r="DJ148" i="15"/>
  <c r="DK148" i="15"/>
  <c r="DL148" i="15"/>
  <c r="DM148" i="15"/>
  <c r="DN148" i="15"/>
  <c r="DP148" i="15"/>
  <c r="DQ148" i="15"/>
  <c r="DR148" i="15"/>
  <c r="DS148" i="15"/>
  <c r="DT148" i="15"/>
  <c r="DU148" i="15"/>
  <c r="DV148" i="15"/>
  <c r="DW148" i="15"/>
  <c r="DX148" i="15"/>
  <c r="DY148" i="15"/>
  <c r="DZ148" i="15"/>
  <c r="EA148" i="15"/>
  <c r="EC148" i="15"/>
  <c r="ED148" i="15"/>
  <c r="EE148" i="15"/>
  <c r="EF148" i="15"/>
  <c r="EG148" i="15"/>
  <c r="EH148" i="15"/>
  <c r="EI148" i="15"/>
  <c r="EJ148" i="15"/>
  <c r="EK148" i="15"/>
  <c r="EL148" i="15"/>
  <c r="EM148" i="15"/>
  <c r="EN148" i="15"/>
  <c r="EO148" i="15"/>
  <c r="EP148" i="15"/>
  <c r="ER148" i="15"/>
  <c r="ES148" i="15"/>
  <c r="ET148" i="15"/>
  <c r="EU148" i="15"/>
  <c r="EV148" i="15"/>
  <c r="EW148" i="15"/>
  <c r="EX148" i="15"/>
  <c r="EY148" i="15"/>
  <c r="EZ148" i="15"/>
  <c r="FA148" i="15"/>
  <c r="FB148" i="15"/>
  <c r="FC148" i="15"/>
  <c r="FD148" i="15"/>
  <c r="E149" i="15"/>
  <c r="K149" i="15"/>
  <c r="L149" i="15"/>
  <c r="M149" i="15"/>
  <c r="N149" i="15"/>
  <c r="O149" i="15"/>
  <c r="P149" i="15"/>
  <c r="Q149" i="15"/>
  <c r="R149" i="15"/>
  <c r="U149" i="15"/>
  <c r="V149" i="15"/>
  <c r="AC149" i="15"/>
  <c r="AD149" i="15"/>
  <c r="AE149" i="15"/>
  <c r="AF149" i="15"/>
  <c r="AG149" i="15"/>
  <c r="AH149" i="15"/>
  <c r="AI149" i="15"/>
  <c r="AJ149" i="15"/>
  <c r="AN149" i="15"/>
  <c r="AO149" i="15"/>
  <c r="AP149" i="15"/>
  <c r="AQ149" i="15"/>
  <c r="AR149" i="15"/>
  <c r="AS149" i="15"/>
  <c r="AT149" i="15"/>
  <c r="AU149" i="15"/>
  <c r="AV149" i="15"/>
  <c r="AX149" i="15"/>
  <c r="AY149" i="15"/>
  <c r="AZ149" i="15"/>
  <c r="BA149" i="15"/>
  <c r="BB149" i="15"/>
  <c r="BC149" i="15"/>
  <c r="BD149" i="15"/>
  <c r="BE149" i="15"/>
  <c r="BF149" i="15"/>
  <c r="BH149" i="15"/>
  <c r="BI149" i="15"/>
  <c r="BJ149" i="15"/>
  <c r="BK149" i="15"/>
  <c r="BL149" i="15"/>
  <c r="BM149" i="15"/>
  <c r="BN149" i="15"/>
  <c r="BO149" i="15"/>
  <c r="BP149" i="15"/>
  <c r="BR149" i="15"/>
  <c r="BS149" i="15"/>
  <c r="BT149" i="15"/>
  <c r="BU149" i="15"/>
  <c r="BV149" i="15"/>
  <c r="BW149" i="15"/>
  <c r="BX149" i="15"/>
  <c r="BY149" i="15"/>
  <c r="BZ149" i="15"/>
  <c r="CB149" i="15"/>
  <c r="CC149" i="15"/>
  <c r="CD149" i="15"/>
  <c r="CE149" i="15"/>
  <c r="CF149" i="15"/>
  <c r="CG149" i="15"/>
  <c r="CH149" i="15"/>
  <c r="CI149" i="15"/>
  <c r="CJ149" i="15"/>
  <c r="CL149" i="15"/>
  <c r="CM149" i="15"/>
  <c r="CN149" i="15"/>
  <c r="CO149" i="15"/>
  <c r="CP149" i="15"/>
  <c r="CQ149" i="15"/>
  <c r="CR149" i="15"/>
  <c r="CS149" i="15"/>
  <c r="CT149" i="15"/>
  <c r="CV149" i="15"/>
  <c r="CW149" i="15"/>
  <c r="CX149" i="15"/>
  <c r="CY149" i="15"/>
  <c r="CZ149" i="15"/>
  <c r="DA149" i="15"/>
  <c r="DB149" i="15"/>
  <c r="DC149" i="15"/>
  <c r="DD149" i="15"/>
  <c r="DF149" i="15"/>
  <c r="DG149" i="15"/>
  <c r="DH149" i="15"/>
  <c r="DI149" i="15"/>
  <c r="DJ149" i="15"/>
  <c r="DK149" i="15"/>
  <c r="DL149" i="15"/>
  <c r="DM149" i="15"/>
  <c r="DN149" i="15"/>
  <c r="DP149" i="15"/>
  <c r="DQ149" i="15"/>
  <c r="DR149" i="15"/>
  <c r="DS149" i="15"/>
  <c r="DT149" i="15"/>
  <c r="DU149" i="15"/>
  <c r="DV149" i="15"/>
  <c r="DW149" i="15"/>
  <c r="DX149" i="15"/>
  <c r="DZ149" i="15"/>
  <c r="EA149" i="15"/>
  <c r="EC149" i="15"/>
  <c r="ED149" i="15"/>
  <c r="EE149" i="15"/>
  <c r="EF149" i="15"/>
  <c r="EG149" i="15"/>
  <c r="EH149" i="15"/>
  <c r="EI149" i="15"/>
  <c r="EJ149" i="15"/>
  <c r="EK149" i="15"/>
  <c r="EL149" i="15"/>
  <c r="EM149" i="15"/>
  <c r="EN149" i="15"/>
  <c r="EO149" i="15"/>
  <c r="EP149" i="15"/>
  <c r="ES149" i="15"/>
  <c r="ET149" i="15"/>
  <c r="EU149" i="15"/>
  <c r="EV149" i="15"/>
  <c r="EW149" i="15"/>
  <c r="EX149" i="15"/>
  <c r="EY149" i="15"/>
  <c r="EZ149" i="15"/>
  <c r="FA149" i="15"/>
  <c r="FB149" i="15"/>
  <c r="FC149" i="15"/>
  <c r="FD149" i="15"/>
  <c r="FF149" i="15"/>
  <c r="E153" i="15"/>
  <c r="K153" i="15"/>
  <c r="L153" i="15"/>
  <c r="M153" i="15"/>
  <c r="N153" i="15"/>
  <c r="O153" i="15"/>
  <c r="P153" i="15"/>
  <c r="Q153" i="15"/>
  <c r="R153" i="15"/>
  <c r="U153" i="15"/>
  <c r="V153" i="15"/>
  <c r="AC153" i="15"/>
  <c r="AD153" i="15"/>
  <c r="AE153" i="15"/>
  <c r="AF153" i="15"/>
  <c r="AG153" i="15"/>
  <c r="AH153" i="15"/>
  <c r="AI153" i="15"/>
  <c r="AJ153" i="15"/>
  <c r="AN153" i="15"/>
  <c r="AO153" i="15"/>
  <c r="AP153" i="15"/>
  <c r="AQ153" i="15"/>
  <c r="AR153" i="15"/>
  <c r="AS153" i="15"/>
  <c r="AT153" i="15"/>
  <c r="AU153" i="15"/>
  <c r="AV153" i="15"/>
  <c r="AX153" i="15"/>
  <c r="AY153" i="15"/>
  <c r="AZ153" i="15"/>
  <c r="BA153" i="15"/>
  <c r="BB153" i="15"/>
  <c r="BC153" i="15"/>
  <c r="BD153" i="15"/>
  <c r="BE153" i="15"/>
  <c r="BF153" i="15"/>
  <c r="BH153" i="15"/>
  <c r="BI153" i="15"/>
  <c r="BJ153" i="15"/>
  <c r="BK153" i="15"/>
  <c r="BL153" i="15"/>
  <c r="BM153" i="15"/>
  <c r="BN153" i="15"/>
  <c r="BO153" i="15"/>
  <c r="BP153" i="15"/>
  <c r="BR153" i="15"/>
  <c r="BS153" i="15"/>
  <c r="BT153" i="15"/>
  <c r="BU153" i="15"/>
  <c r="BV153" i="15"/>
  <c r="BW153" i="15"/>
  <c r="BX153" i="15"/>
  <c r="BY153" i="15"/>
  <c r="BZ153" i="15"/>
  <c r="CB153" i="15"/>
  <c r="CC153" i="15"/>
  <c r="CD153" i="15"/>
  <c r="CE153" i="15"/>
  <c r="CF153" i="15"/>
  <c r="CG153" i="15"/>
  <c r="CH153" i="15"/>
  <c r="CI153" i="15"/>
  <c r="CJ153" i="15"/>
  <c r="CL153" i="15"/>
  <c r="CM153" i="15"/>
  <c r="CN153" i="15"/>
  <c r="CO153" i="15"/>
  <c r="CP153" i="15"/>
  <c r="CQ153" i="15"/>
  <c r="CR153" i="15"/>
  <c r="CS153" i="15"/>
  <c r="CT153" i="15"/>
  <c r="CV153" i="15"/>
  <c r="CW153" i="15"/>
  <c r="CX153" i="15"/>
  <c r="CY153" i="15"/>
  <c r="CZ153" i="15"/>
  <c r="DA153" i="15"/>
  <c r="DB153" i="15"/>
  <c r="DC153" i="15"/>
  <c r="DD153" i="15"/>
  <c r="DF153" i="15"/>
  <c r="DG153" i="15"/>
  <c r="DH153" i="15"/>
  <c r="DI153" i="15"/>
  <c r="DJ153" i="15"/>
  <c r="DK153" i="15"/>
  <c r="DL153" i="15"/>
  <c r="DM153" i="15"/>
  <c r="DN153" i="15"/>
  <c r="DP153" i="15"/>
  <c r="DQ153" i="15"/>
  <c r="DR153" i="15"/>
  <c r="DS153" i="15"/>
  <c r="DT153" i="15"/>
  <c r="DU153" i="15"/>
  <c r="DV153" i="15"/>
  <c r="DW153" i="15"/>
  <c r="DX153" i="15"/>
  <c r="DZ153" i="15"/>
  <c r="EA153" i="15"/>
  <c r="EC153" i="15"/>
  <c r="ED153" i="15"/>
  <c r="EE153" i="15"/>
  <c r="EF153" i="15"/>
  <c r="EG153" i="15"/>
  <c r="EH153" i="15"/>
  <c r="EI153" i="15"/>
  <c r="EJ153" i="15"/>
  <c r="EK153" i="15"/>
  <c r="EL153" i="15"/>
  <c r="EM153" i="15"/>
  <c r="EN153" i="15"/>
  <c r="EO153" i="15"/>
  <c r="EP153" i="15"/>
  <c r="ER153" i="15"/>
  <c r="ES153" i="15"/>
  <c r="ET153" i="15"/>
  <c r="EU153" i="15"/>
  <c r="EV153" i="15"/>
  <c r="EW153" i="15"/>
  <c r="EX153" i="15"/>
  <c r="EY153" i="15"/>
  <c r="EZ153" i="15"/>
  <c r="FA153" i="15"/>
  <c r="FB153" i="15"/>
  <c r="FC153" i="15"/>
  <c r="FD153" i="15"/>
  <c r="FO153" i="15"/>
  <c r="FM148" i="15" l="1"/>
  <c r="FK146" i="15"/>
  <c r="FP145" i="15"/>
  <c r="FL149" i="15"/>
  <c r="FJ147" i="15"/>
  <c r="AB153" i="15"/>
  <c r="EB148" i="15"/>
  <c r="EB147" i="15"/>
  <c r="AB147" i="15"/>
  <c r="AB146" i="15"/>
  <c r="FP149" i="15"/>
  <c r="FN147" i="15"/>
  <c r="FL143" i="15"/>
  <c r="FQ148" i="15"/>
  <c r="FO146" i="15"/>
  <c r="FK153" i="15"/>
  <c r="FI148" i="15"/>
  <c r="DY153" i="15"/>
  <c r="J149" i="15"/>
  <c r="J147" i="15"/>
  <c r="FL145" i="15"/>
  <c r="FQ146" i="15"/>
  <c r="FO148" i="15"/>
  <c r="FM146" i="15"/>
  <c r="FK148" i="15"/>
  <c r="FI146" i="15"/>
  <c r="FP143" i="15"/>
  <c r="FN145" i="15"/>
  <c r="FL144" i="15"/>
  <c r="FJ145" i="15"/>
  <c r="FQ153" i="15"/>
  <c r="FM153" i="15"/>
  <c r="FI153" i="15"/>
  <c r="EB153" i="15"/>
  <c r="BU156" i="15"/>
  <c r="BH156" i="15"/>
  <c r="AT155" i="15"/>
  <c r="FN149" i="15"/>
  <c r="FJ149" i="15"/>
  <c r="EB149" i="15"/>
  <c r="AB149" i="15"/>
  <c r="AB148" i="15"/>
  <c r="FP147" i="15"/>
  <c r="FL147" i="15"/>
  <c r="EB146" i="15"/>
  <c r="EB145" i="15"/>
  <c r="AB145" i="15"/>
  <c r="EB144" i="15"/>
  <c r="CD156" i="15"/>
  <c r="AB143" i="15"/>
  <c r="FR143" i="15"/>
  <c r="FP146" i="15"/>
  <c r="FN143" i="15"/>
  <c r="FL146" i="15"/>
  <c r="FJ143" i="15"/>
  <c r="FQ145" i="15"/>
  <c r="FO145" i="15"/>
  <c r="FM145" i="15"/>
  <c r="FK145" i="15"/>
  <c r="BY156" i="15"/>
  <c r="BS154" i="15"/>
  <c r="BN156" i="15"/>
  <c r="AY156" i="15"/>
  <c r="AV154" i="15"/>
  <c r="AP156" i="15"/>
  <c r="FI145" i="15"/>
  <c r="FP153" i="15"/>
  <c r="FP156" i="15" s="1"/>
  <c r="FN153" i="15"/>
  <c r="FN155" i="15" s="1"/>
  <c r="FL153" i="15"/>
  <c r="FJ153" i="15"/>
  <c r="FF153" i="15"/>
  <c r="FF155" i="15" s="1"/>
  <c r="J153" i="15"/>
  <c r="FQ149" i="15"/>
  <c r="FQ150" i="15" s="1"/>
  <c r="FO149" i="15"/>
  <c r="FO150" i="15" s="1"/>
  <c r="FM149" i="15"/>
  <c r="FK149" i="15"/>
  <c r="FK156" i="15" s="1"/>
  <c r="FI149" i="15"/>
  <c r="FI150" i="15" s="1"/>
  <c r="ER149" i="15"/>
  <c r="ER155" i="15" s="1"/>
  <c r="DY149" i="15"/>
  <c r="FP148" i="15"/>
  <c r="FN148" i="15"/>
  <c r="FL148" i="15"/>
  <c r="FJ148" i="15"/>
  <c r="FF148" i="15"/>
  <c r="J148" i="15"/>
  <c r="FQ147" i="15"/>
  <c r="FO147" i="15"/>
  <c r="FM147" i="15"/>
  <c r="FK147" i="15"/>
  <c r="FI147" i="15"/>
  <c r="ER147" i="15"/>
  <c r="DY147" i="15"/>
  <c r="FN146" i="15"/>
  <c r="FJ146" i="15"/>
  <c r="FF146" i="15"/>
  <c r="J146" i="15"/>
  <c r="FN144" i="15"/>
  <c r="FJ144" i="15"/>
  <c r="FS143" i="15"/>
  <c r="FQ143" i="15"/>
  <c r="FO143" i="15"/>
  <c r="FM143" i="15"/>
  <c r="FK143" i="15"/>
  <c r="FI143" i="15"/>
  <c r="DI156" i="15"/>
  <c r="CB155" i="15"/>
  <c r="BS156" i="15"/>
  <c r="BL156" i="15"/>
  <c r="BH154" i="15"/>
  <c r="AV156" i="15"/>
  <c r="AR155" i="15"/>
  <c r="CQ154" i="15"/>
  <c r="BW156" i="15"/>
  <c r="BE156" i="15"/>
  <c r="CB156" i="15"/>
  <c r="FD156" i="15"/>
  <c r="FB156" i="15"/>
  <c r="EX156" i="15"/>
  <c r="ET154" i="15"/>
  <c r="DW155" i="15"/>
  <c r="DS155" i="15"/>
  <c r="DA155" i="15"/>
  <c r="CY155" i="15"/>
  <c r="CG156" i="15"/>
  <c r="CE155" i="15"/>
  <c r="BV155" i="15"/>
  <c r="BO155" i="15"/>
  <c r="BK155" i="15"/>
  <c r="BD155" i="15"/>
  <c r="AQ154" i="15"/>
  <c r="AO155" i="15"/>
  <c r="U155" i="15"/>
  <c r="Q156" i="15"/>
  <c r="O155" i="15"/>
  <c r="EP156" i="15"/>
  <c r="EN155" i="15"/>
  <c r="DK156" i="15"/>
  <c r="DG155" i="15"/>
  <c r="CV155" i="15"/>
  <c r="CS155" i="15"/>
  <c r="BW154" i="15"/>
  <c r="FQ144" i="15"/>
  <c r="FO144" i="15"/>
  <c r="FM144" i="15"/>
  <c r="FK144" i="15"/>
  <c r="FI144" i="15"/>
  <c r="ER144" i="15"/>
  <c r="ER143" i="15"/>
  <c r="BL154" i="15"/>
  <c r="BJ156" i="15"/>
  <c r="BI155" i="15"/>
  <c r="ED156" i="15"/>
  <c r="DT156" i="15"/>
  <c r="DN155" i="15"/>
  <c r="DX156" i="15"/>
  <c r="AT156" i="15"/>
  <c r="EN156" i="15"/>
  <c r="EH156" i="15"/>
  <c r="AD154" i="15"/>
  <c r="R154" i="15"/>
  <c r="O156" i="15"/>
  <c r="DP156" i="15"/>
  <c r="FA154" i="15"/>
  <c r="EZ156" i="15"/>
  <c r="EW155" i="15"/>
  <c r="EU156" i="15"/>
  <c r="DR156" i="15"/>
  <c r="DG154" i="15"/>
  <c r="Q155" i="15"/>
  <c r="FA155" i="15"/>
  <c r="ES155" i="15"/>
  <c r="EL156" i="15"/>
  <c r="EF155" i="15"/>
  <c r="EB156" i="15"/>
  <c r="DV156" i="15"/>
  <c r="EF156" i="15"/>
  <c r="BN154" i="15"/>
  <c r="BL155" i="15"/>
  <c r="BH155" i="15"/>
  <c r="AV155" i="15"/>
  <c r="AT154" i="15"/>
  <c r="AR154" i="15"/>
  <c r="AP151" i="15"/>
  <c r="V154" i="15"/>
  <c r="R155" i="15"/>
  <c r="P151" i="15"/>
  <c r="N154" i="15"/>
  <c r="L154" i="15"/>
  <c r="CI155" i="15"/>
  <c r="M154" i="15"/>
  <c r="K156" i="15"/>
  <c r="E154" i="15"/>
  <c r="U156" i="15"/>
  <c r="AD72" i="2"/>
  <c r="AC72" i="2"/>
  <c r="E84" i="2"/>
  <c r="L84" i="2" s="1"/>
  <c r="E74" i="2"/>
  <c r="L74" i="2" s="1"/>
  <c r="AG155" i="15"/>
  <c r="Y73" i="2"/>
  <c r="Y71" i="2"/>
  <c r="E85" i="2"/>
  <c r="L85" i="2" s="1"/>
  <c r="E83" i="2"/>
  <c r="L83" i="2" s="1"/>
  <c r="E73" i="2"/>
  <c r="L73" i="2" s="1"/>
  <c r="BB156" i="15"/>
  <c r="AG156" i="15"/>
  <c r="AB156" i="15"/>
  <c r="FC154" i="15"/>
  <c r="FA156" i="15"/>
  <c r="EY155" i="15"/>
  <c r="EW154" i="15"/>
  <c r="ES156" i="15"/>
  <c r="EP155" i="15"/>
  <c r="EN154" i="15"/>
  <c r="EL154" i="15"/>
  <c r="EJ154" i="15"/>
  <c r="EH154" i="15"/>
  <c r="EF154" i="15"/>
  <c r="ED154" i="15"/>
  <c r="DX155" i="15"/>
  <c r="DV154" i="15"/>
  <c r="DT154" i="15"/>
  <c r="DR154" i="15"/>
  <c r="DP155" i="15"/>
  <c r="DK155" i="15"/>
  <c r="DI154" i="15"/>
  <c r="DG156" i="15"/>
  <c r="DD154" i="15"/>
  <c r="DB154" i="15"/>
  <c r="CZ154" i="15"/>
  <c r="CX154" i="15"/>
  <c r="CV154" i="15"/>
  <c r="CS154" i="15"/>
  <c r="CO154" i="15"/>
  <c r="CM154" i="15"/>
  <c r="CJ154" i="15"/>
  <c r="CH154" i="15"/>
  <c r="CF154" i="15"/>
  <c r="CD155" i="15"/>
  <c r="CB154" i="15"/>
  <c r="BY154" i="15"/>
  <c r="BW155" i="15"/>
  <c r="BU154" i="15"/>
  <c r="BP154" i="15"/>
  <c r="BJ154" i="15"/>
  <c r="DQ155" i="15"/>
  <c r="DC155" i="15"/>
  <c r="BS155" i="15"/>
  <c r="BM155" i="15"/>
  <c r="AR156" i="15"/>
  <c r="AI155" i="15"/>
  <c r="AD156" i="15"/>
  <c r="BF155" i="15"/>
  <c r="BC154" i="15"/>
  <c r="BA154" i="15"/>
  <c r="AZ155" i="15"/>
  <c r="DM154" i="15"/>
  <c r="DF156" i="15"/>
  <c r="CP155" i="15"/>
  <c r="CN156" i="15"/>
  <c r="AI156" i="15"/>
  <c r="EU154" i="15"/>
  <c r="CP156" i="15"/>
  <c r="CN155" i="15"/>
  <c r="CL155" i="15"/>
  <c r="BX155" i="15"/>
  <c r="BT155" i="15"/>
  <c r="BB154" i="15"/>
  <c r="AH154" i="15"/>
  <c r="DA156" i="15"/>
  <c r="CG155" i="15"/>
  <c r="DU155" i="15"/>
  <c r="CT156" i="15"/>
  <c r="BR155" i="15"/>
  <c r="CI156" i="15"/>
  <c r="EH155" i="15"/>
  <c r="CL156" i="15"/>
  <c r="BE154" i="15"/>
  <c r="AI154" i="15"/>
  <c r="AG154" i="15"/>
  <c r="AE154" i="15"/>
  <c r="DC156" i="15"/>
  <c r="CY156" i="15"/>
  <c r="AE155" i="15"/>
  <c r="M156" i="15"/>
  <c r="M155" i="15"/>
  <c r="EO156" i="15"/>
  <c r="DN156" i="15"/>
  <c r="DJ156" i="15"/>
  <c r="CT155" i="15"/>
  <c r="CR155" i="15"/>
  <c r="BZ156" i="15"/>
  <c r="BX154" i="15"/>
  <c r="BV154" i="15"/>
  <c r="BT154" i="15"/>
  <c r="BR156" i="15"/>
  <c r="BF154" i="15"/>
  <c r="BD154" i="15"/>
  <c r="BB155" i="15"/>
  <c r="AZ154" i="15"/>
  <c r="AX154" i="15"/>
  <c r="AJ154" i="15"/>
  <c r="AH155" i="15"/>
  <c r="AF154" i="15"/>
  <c r="EM156" i="15"/>
  <c r="EK156" i="15"/>
  <c r="EJ156" i="15"/>
  <c r="EJ155" i="15"/>
  <c r="EI155" i="15"/>
  <c r="EG155" i="15"/>
  <c r="EE155" i="15"/>
  <c r="ED155" i="15"/>
  <c r="EC155" i="15"/>
  <c r="EA155" i="15"/>
  <c r="DX154" i="15"/>
  <c r="DW156" i="15"/>
  <c r="DU156" i="15"/>
  <c r="DS156" i="15"/>
  <c r="DQ156" i="15"/>
  <c r="DP154" i="15"/>
  <c r="CW155" i="15"/>
  <c r="CE156" i="15"/>
  <c r="CD154" i="15"/>
  <c r="CC155" i="15"/>
  <c r="BP156" i="15"/>
  <c r="BO154" i="15"/>
  <c r="BM156" i="15"/>
  <c r="BK154" i="15"/>
  <c r="BI154" i="15"/>
  <c r="AU156" i="15"/>
  <c r="AS154" i="15"/>
  <c r="AQ155" i="15"/>
  <c r="AO154" i="15"/>
  <c r="AC155" i="15"/>
  <c r="U154" i="15"/>
  <c r="Q154" i="15"/>
  <c r="O154" i="15"/>
  <c r="K155" i="15"/>
  <c r="E156" i="15"/>
  <c r="E155" i="15"/>
  <c r="FC156" i="15"/>
  <c r="EY156" i="15"/>
  <c r="EW156" i="15"/>
  <c r="EI156" i="15"/>
  <c r="EG156" i="15"/>
  <c r="EE156" i="15"/>
  <c r="EC156" i="15"/>
  <c r="EA156" i="15"/>
  <c r="DD156" i="15"/>
  <c r="DB156" i="15"/>
  <c r="CZ156" i="15"/>
  <c r="CV156" i="15"/>
  <c r="CS156" i="15"/>
  <c r="CO156" i="15"/>
  <c r="CM156" i="15"/>
  <c r="CJ156" i="15"/>
  <c r="CH156" i="15"/>
  <c r="CC156" i="15"/>
  <c r="BX156" i="15"/>
  <c r="BV156" i="15"/>
  <c r="BT156" i="15"/>
  <c r="BO156" i="15"/>
  <c r="BK156" i="15"/>
  <c r="BI156" i="15"/>
  <c r="BF156" i="15"/>
  <c r="BD156" i="15"/>
  <c r="AZ156" i="15"/>
  <c r="AX156" i="15"/>
  <c r="AS156" i="15"/>
  <c r="AQ156" i="15"/>
  <c r="AO156" i="15"/>
  <c r="AH156" i="15"/>
  <c r="AF156" i="15"/>
  <c r="AC156" i="15"/>
  <c r="V156" i="15"/>
  <c r="R156" i="15"/>
  <c r="P156" i="15"/>
  <c r="N156" i="15"/>
  <c r="L156" i="15"/>
  <c r="FC155" i="15"/>
  <c r="EU155" i="15"/>
  <c r="EL155" i="15"/>
  <c r="DV155" i="15"/>
  <c r="DT155" i="15"/>
  <c r="DR155" i="15"/>
  <c r="DI155" i="15"/>
  <c r="DD155" i="15"/>
  <c r="DB155" i="15"/>
  <c r="CZ155" i="15"/>
  <c r="CO155" i="15"/>
  <c r="CM155" i="15"/>
  <c r="CJ155" i="15"/>
  <c r="CH155" i="15"/>
  <c r="CF155" i="15"/>
  <c r="BY155" i="15"/>
  <c r="BU155" i="15"/>
  <c r="BP155" i="15"/>
  <c r="BN155" i="15"/>
  <c r="BJ155" i="15"/>
  <c r="BE155" i="15"/>
  <c r="AS155" i="15"/>
  <c r="AJ155" i="15"/>
  <c r="AF155" i="15"/>
  <c r="V155" i="15"/>
  <c r="P155" i="15"/>
  <c r="N155" i="15"/>
  <c r="L155" i="15"/>
  <c r="DK154" i="15"/>
  <c r="P154" i="15"/>
  <c r="K154" i="15"/>
  <c r="EY150" i="15"/>
  <c r="EY154" i="15"/>
  <c r="EP150" i="15"/>
  <c r="EP154" i="15"/>
  <c r="FD150" i="15"/>
  <c r="FB150" i="15"/>
  <c r="EZ150" i="15"/>
  <c r="EX150" i="15"/>
  <c r="ET150" i="15"/>
  <c r="EO150" i="15"/>
  <c r="EM150" i="15"/>
  <c r="EK150" i="15"/>
  <c r="EI150" i="15"/>
  <c r="EG150" i="15"/>
  <c r="EE150" i="15"/>
  <c r="EC150" i="15"/>
  <c r="EA150" i="15"/>
  <c r="DW150" i="15"/>
  <c r="DU154" i="15"/>
  <c r="DS150" i="15"/>
  <c r="DQ150" i="15"/>
  <c r="DN150" i="15"/>
  <c r="DJ150" i="15"/>
  <c r="DH155" i="15"/>
  <c r="DC150" i="15"/>
  <c r="DA150" i="15"/>
  <c r="CY150" i="15"/>
  <c r="CW154" i="15"/>
  <c r="CR154" i="15"/>
  <c r="CP154" i="15"/>
  <c r="CI150" i="15"/>
  <c r="CG150" i="15"/>
  <c r="CC150" i="15"/>
  <c r="BX150" i="15"/>
  <c r="BO150" i="15"/>
  <c r="BK150" i="15"/>
  <c r="BI150" i="15"/>
  <c r="AS150" i="15"/>
  <c r="DZ155" i="15"/>
  <c r="DZ154" i="15"/>
  <c r="DL154" i="15"/>
  <c r="DF155" i="15"/>
  <c r="CT154" i="15"/>
  <c r="ET156" i="15"/>
  <c r="DJ155" i="15"/>
  <c r="AJ156" i="15"/>
  <c r="BD150" i="15"/>
  <c r="BC156" i="15"/>
  <c r="BC155" i="15"/>
  <c r="ET155" i="15"/>
  <c r="EO155" i="15"/>
  <c r="EM155" i="15"/>
  <c r="EK155" i="15"/>
  <c r="CR156" i="15"/>
  <c r="BM154" i="15"/>
  <c r="BM150" i="15"/>
  <c r="AC154" i="15"/>
  <c r="BR154" i="15"/>
  <c r="AX155" i="15"/>
  <c r="ES154" i="15"/>
  <c r="AN154" i="15"/>
  <c r="DZ156" i="15"/>
  <c r="DF154" i="15"/>
  <c r="BV150" i="15"/>
  <c r="BF150" i="15"/>
  <c r="AN156" i="15"/>
  <c r="AN155" i="15"/>
  <c r="FD155" i="15"/>
  <c r="FB155" i="15"/>
  <c r="EZ155" i="15"/>
  <c r="EX155" i="15"/>
  <c r="EO154" i="15"/>
  <c r="EM154" i="15"/>
  <c r="EK154" i="15"/>
  <c r="EI154" i="15"/>
  <c r="DN154" i="15"/>
  <c r="DJ154" i="15"/>
  <c r="DM155" i="15"/>
  <c r="CQ155" i="15"/>
  <c r="DM156" i="15"/>
  <c r="CX156" i="15"/>
  <c r="CX155" i="15"/>
  <c r="CQ156" i="15"/>
  <c r="CF156" i="15"/>
  <c r="CE150" i="15"/>
  <c r="FD154" i="15"/>
  <c r="FB154" i="15"/>
  <c r="EZ154" i="15"/>
  <c r="EX154" i="15"/>
  <c r="EV154" i="15"/>
  <c r="BZ155" i="15"/>
  <c r="AU154" i="15"/>
  <c r="AE156" i="15"/>
  <c r="EV156" i="15"/>
  <c r="EV155" i="15"/>
  <c r="EV150" i="15"/>
  <c r="CT150" i="15"/>
  <c r="CR150" i="15"/>
  <c r="CP150" i="15"/>
  <c r="CN150" i="15"/>
  <c r="CL150" i="15"/>
  <c r="BZ150" i="15"/>
  <c r="AZ150" i="15"/>
  <c r="AY154" i="15"/>
  <c r="AU155" i="15"/>
  <c r="AU150" i="15"/>
  <c r="DC154" i="15"/>
  <c r="DA154" i="15"/>
  <c r="CY154" i="15"/>
  <c r="CN154" i="15"/>
  <c r="CL154" i="15"/>
  <c r="CI154" i="15"/>
  <c r="CG154" i="15"/>
  <c r="CE154" i="15"/>
  <c r="CC154" i="15"/>
  <c r="BZ154" i="15"/>
  <c r="CW156" i="15"/>
  <c r="BA155" i="15"/>
  <c r="DF150" i="15"/>
  <c r="CW150" i="15"/>
  <c r="BA156" i="15"/>
  <c r="AP155" i="15"/>
  <c r="AP154" i="15"/>
  <c r="AE151" i="15"/>
  <c r="EG154" i="15"/>
  <c r="EE154" i="15"/>
  <c r="EC154" i="15"/>
  <c r="EA154" i="15"/>
  <c r="DW154" i="15"/>
  <c r="DS154" i="15"/>
  <c r="DQ154" i="15"/>
  <c r="DL155" i="15"/>
  <c r="DH154" i="15"/>
  <c r="AD155" i="15"/>
  <c r="FV4" i="15"/>
  <c r="DU150" i="15"/>
  <c r="DL156" i="15"/>
  <c r="DL150" i="15"/>
  <c r="DH156" i="15"/>
  <c r="DH150" i="15"/>
  <c r="BT150" i="15"/>
  <c r="BR150" i="15"/>
  <c r="BB150" i="15"/>
  <c r="AY155" i="15"/>
  <c r="AX150" i="15"/>
  <c r="FV5" i="15"/>
  <c r="AQ150" i="15"/>
  <c r="AQ151" i="15"/>
  <c r="AO150" i="15"/>
  <c r="AO151" i="15"/>
  <c r="AJ150" i="15"/>
  <c r="AJ151" i="15"/>
  <c r="AH150" i="15"/>
  <c r="AH151" i="15"/>
  <c r="AF150" i="15"/>
  <c r="AF151" i="15"/>
  <c r="AD150" i="15"/>
  <c r="AD151" i="15"/>
  <c r="AB151" i="15"/>
  <c r="U150" i="15"/>
  <c r="U151" i="15"/>
  <c r="Q150" i="15"/>
  <c r="Q151" i="15"/>
  <c r="O150" i="15"/>
  <c r="O151" i="15"/>
  <c r="M150" i="15"/>
  <c r="M151" i="15"/>
  <c r="K150" i="15"/>
  <c r="K151" i="15"/>
  <c r="E150" i="15"/>
  <c r="E151" i="15"/>
  <c r="FD152" i="15"/>
  <c r="EZ152" i="15"/>
  <c r="EV152" i="15"/>
  <c r="EM152" i="15"/>
  <c r="EI152" i="15"/>
  <c r="EE152" i="15"/>
  <c r="EA152" i="15"/>
  <c r="DW152" i="15"/>
  <c r="DS152" i="15"/>
  <c r="DN152" i="15"/>
  <c r="DJ152" i="15"/>
  <c r="DF152" i="15"/>
  <c r="DA152" i="15"/>
  <c r="CW152" i="15"/>
  <c r="CR152" i="15"/>
  <c r="CN152" i="15"/>
  <c r="CI152" i="15"/>
  <c r="CE152" i="15"/>
  <c r="BZ152" i="15"/>
  <c r="BV152" i="15"/>
  <c r="BR152" i="15"/>
  <c r="BM152" i="15"/>
  <c r="BI152" i="15"/>
  <c r="BD152" i="15"/>
  <c r="AZ152" i="15"/>
  <c r="AU152" i="15"/>
  <c r="AQ152" i="15"/>
  <c r="AJ152" i="15"/>
  <c r="AF152" i="15"/>
  <c r="AB152" i="15"/>
  <c r="Q152" i="15"/>
  <c r="M152" i="15"/>
  <c r="E152" i="15"/>
  <c r="FD151" i="15"/>
  <c r="EZ151" i="15"/>
  <c r="EV151" i="15"/>
  <c r="EM151" i="15"/>
  <c r="EI151" i="15"/>
  <c r="EE151" i="15"/>
  <c r="EA151" i="15"/>
  <c r="DW151" i="15"/>
  <c r="DS151" i="15"/>
  <c r="DN151" i="15"/>
  <c r="DJ151" i="15"/>
  <c r="DF151" i="15"/>
  <c r="DA151" i="15"/>
  <c r="CW151" i="15"/>
  <c r="CR151" i="15"/>
  <c r="CN151" i="15"/>
  <c r="CI151" i="15"/>
  <c r="CE151" i="15"/>
  <c r="BZ151" i="15"/>
  <c r="BV151" i="15"/>
  <c r="BR151" i="15"/>
  <c r="BM151" i="15"/>
  <c r="BI151" i="15"/>
  <c r="BD151" i="15"/>
  <c r="AZ151" i="15"/>
  <c r="AU151" i="15"/>
  <c r="FP151" i="15"/>
  <c r="FC151" i="15"/>
  <c r="FC152" i="15"/>
  <c r="FA150" i="15"/>
  <c r="FA151" i="15"/>
  <c r="FA152" i="15"/>
  <c r="EY151" i="15"/>
  <c r="EY152" i="15"/>
  <c r="EW150" i="15"/>
  <c r="EW151" i="15"/>
  <c r="EW152" i="15"/>
  <c r="EU151" i="15"/>
  <c r="EU152" i="15"/>
  <c r="ES150" i="15"/>
  <c r="ES151" i="15"/>
  <c r="ES152" i="15"/>
  <c r="EP151" i="15"/>
  <c r="EP152" i="15"/>
  <c r="EN150" i="15"/>
  <c r="EN151" i="15"/>
  <c r="EN152" i="15"/>
  <c r="EL151" i="15"/>
  <c r="EL152" i="15"/>
  <c r="EJ150" i="15"/>
  <c r="EJ151" i="15"/>
  <c r="EJ152" i="15"/>
  <c r="EH151" i="15"/>
  <c r="EH152" i="15"/>
  <c r="EH150" i="15"/>
  <c r="EF150" i="15"/>
  <c r="EF151" i="15"/>
  <c r="EF152" i="15"/>
  <c r="ED151" i="15"/>
  <c r="ED152" i="15"/>
  <c r="ED150" i="15"/>
  <c r="DZ151" i="15"/>
  <c r="DZ152" i="15"/>
  <c r="DZ150" i="15"/>
  <c r="DX150" i="15"/>
  <c r="DX151" i="15"/>
  <c r="DX152" i="15"/>
  <c r="DV151" i="15"/>
  <c r="DV152" i="15"/>
  <c r="DV150" i="15"/>
  <c r="DT150" i="15"/>
  <c r="DT151" i="15"/>
  <c r="DT152" i="15"/>
  <c r="DR151" i="15"/>
  <c r="DR152" i="15"/>
  <c r="DR150" i="15"/>
  <c r="DP150" i="15"/>
  <c r="DP151" i="15"/>
  <c r="DP152" i="15"/>
  <c r="DM151" i="15"/>
  <c r="DM152" i="15"/>
  <c r="DM150" i="15"/>
  <c r="DK150" i="15"/>
  <c r="DK151" i="15"/>
  <c r="DK152" i="15"/>
  <c r="DI151" i="15"/>
  <c r="DI152" i="15"/>
  <c r="DI150" i="15"/>
  <c r="DG150" i="15"/>
  <c r="DG151" i="15"/>
  <c r="DG152" i="15"/>
  <c r="DD151" i="15"/>
  <c r="DD152" i="15"/>
  <c r="DD150" i="15"/>
  <c r="DB150" i="15"/>
  <c r="DB151" i="15"/>
  <c r="DB152" i="15"/>
  <c r="CZ151" i="15"/>
  <c r="CZ152" i="15"/>
  <c r="CZ150" i="15"/>
  <c r="CX150" i="15"/>
  <c r="CX151" i="15"/>
  <c r="CX152" i="15"/>
  <c r="CV151" i="15"/>
  <c r="CV152" i="15"/>
  <c r="CV150" i="15"/>
  <c r="CS150" i="15"/>
  <c r="CS151" i="15"/>
  <c r="CS152" i="15"/>
  <c r="CQ151" i="15"/>
  <c r="CQ152" i="15"/>
  <c r="CQ150" i="15"/>
  <c r="CO150" i="15"/>
  <c r="CO151" i="15"/>
  <c r="CO152" i="15"/>
  <c r="CM151" i="15"/>
  <c r="CM152" i="15"/>
  <c r="CM150" i="15"/>
  <c r="CJ150" i="15"/>
  <c r="CJ151" i="15"/>
  <c r="CJ152" i="15"/>
  <c r="CH151" i="15"/>
  <c r="CH152" i="15"/>
  <c r="CH150" i="15"/>
  <c r="CF150" i="15"/>
  <c r="CF151" i="15"/>
  <c r="CF152" i="15"/>
  <c r="CD151" i="15"/>
  <c r="CD152" i="15"/>
  <c r="CD150" i="15"/>
  <c r="CB150" i="15"/>
  <c r="CB151" i="15"/>
  <c r="CB152" i="15"/>
  <c r="BY151" i="15"/>
  <c r="BY152" i="15"/>
  <c r="BY150" i="15"/>
  <c r="BW150" i="15"/>
  <c r="BW151" i="15"/>
  <c r="BW152" i="15"/>
  <c r="BU151" i="15"/>
  <c r="BU152" i="15"/>
  <c r="BU150" i="15"/>
  <c r="BS150" i="15"/>
  <c r="BS151" i="15"/>
  <c r="BS152" i="15"/>
  <c r="BP151" i="15"/>
  <c r="BP152" i="15"/>
  <c r="BP150" i="15"/>
  <c r="BN150" i="15"/>
  <c r="BN151" i="15"/>
  <c r="BN152" i="15"/>
  <c r="BL151" i="15"/>
  <c r="BL152" i="15"/>
  <c r="BL150" i="15"/>
  <c r="BJ150" i="15"/>
  <c r="BJ151" i="15"/>
  <c r="BJ152" i="15"/>
  <c r="BH151" i="15"/>
  <c r="BH152" i="15"/>
  <c r="BH150" i="15"/>
  <c r="BE150" i="15"/>
  <c r="BE151" i="15"/>
  <c r="BE152" i="15"/>
  <c r="BC151" i="15"/>
  <c r="BC152" i="15"/>
  <c r="BC150" i="15"/>
  <c r="BA150" i="15"/>
  <c r="BA151" i="15"/>
  <c r="BA152" i="15"/>
  <c r="AY151" i="15"/>
  <c r="AY152" i="15"/>
  <c r="AY150" i="15"/>
  <c r="AV150" i="15"/>
  <c r="AV151" i="15"/>
  <c r="AV152" i="15"/>
  <c r="AT151" i="15"/>
  <c r="AT152" i="15"/>
  <c r="AT150" i="15"/>
  <c r="AR150" i="15"/>
  <c r="AR151" i="15"/>
  <c r="AR152" i="15"/>
  <c r="AP152" i="15"/>
  <c r="AP150" i="15"/>
  <c r="AN150" i="15"/>
  <c r="AN151" i="15"/>
  <c r="AN152" i="15"/>
  <c r="AI152" i="15"/>
  <c r="AI150" i="15"/>
  <c r="AG150" i="15"/>
  <c r="AG151" i="15"/>
  <c r="AG152" i="15"/>
  <c r="AE152" i="15"/>
  <c r="AE150" i="15"/>
  <c r="AC150" i="15"/>
  <c r="AC151" i="15"/>
  <c r="AC152" i="15"/>
  <c r="V152" i="15"/>
  <c r="V150" i="15"/>
  <c r="R150" i="15"/>
  <c r="R151" i="15"/>
  <c r="R152" i="15"/>
  <c r="P152" i="15"/>
  <c r="P150" i="15"/>
  <c r="N150" i="15"/>
  <c r="N151" i="15"/>
  <c r="N152" i="15"/>
  <c r="L152" i="15"/>
  <c r="L150" i="15"/>
  <c r="FI152" i="15"/>
  <c r="FB152" i="15"/>
  <c r="EX152" i="15"/>
  <c r="ET152" i="15"/>
  <c r="EO152" i="15"/>
  <c r="EK152" i="15"/>
  <c r="EG152" i="15"/>
  <c r="EC152" i="15"/>
  <c r="DU152" i="15"/>
  <c r="DQ152" i="15"/>
  <c r="DL152" i="15"/>
  <c r="DH152" i="15"/>
  <c r="DC152" i="15"/>
  <c r="CY152" i="15"/>
  <c r="CT152" i="15"/>
  <c r="CP152" i="15"/>
  <c r="CL152" i="15"/>
  <c r="CG152" i="15"/>
  <c r="CC152" i="15"/>
  <c r="BX152" i="15"/>
  <c r="BT152" i="15"/>
  <c r="BO152" i="15"/>
  <c r="BK152" i="15"/>
  <c r="BF152" i="15"/>
  <c r="BB152" i="15"/>
  <c r="AX152" i="15"/>
  <c r="AS152" i="15"/>
  <c r="AO152" i="15"/>
  <c r="AH152" i="15"/>
  <c r="AD152" i="15"/>
  <c r="U152" i="15"/>
  <c r="O152" i="15"/>
  <c r="K152" i="15"/>
  <c r="FB151" i="15"/>
  <c r="EX151" i="15"/>
  <c r="ET151" i="15"/>
  <c r="EO151" i="15"/>
  <c r="EK151" i="15"/>
  <c r="EG151" i="15"/>
  <c r="EC151" i="15"/>
  <c r="DU151" i="15"/>
  <c r="DQ151" i="15"/>
  <c r="DL151" i="15"/>
  <c r="DH151" i="15"/>
  <c r="DC151" i="15"/>
  <c r="CY151" i="15"/>
  <c r="CT151" i="15"/>
  <c r="CP151" i="15"/>
  <c r="CL151" i="15"/>
  <c r="CG151" i="15"/>
  <c r="CC151" i="15"/>
  <c r="BX151" i="15"/>
  <c r="BT151" i="15"/>
  <c r="BO151" i="15"/>
  <c r="BK151" i="15"/>
  <c r="BF151" i="15"/>
  <c r="BB151" i="15"/>
  <c r="AX151" i="15"/>
  <c r="AS151" i="15"/>
  <c r="AI151" i="15"/>
  <c r="V151" i="15"/>
  <c r="L151" i="15"/>
  <c r="FC150" i="15"/>
  <c r="EU150" i="15"/>
  <c r="EL150" i="15"/>
  <c r="AC92" i="1"/>
  <c r="FN92" i="1"/>
  <c r="FO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I92" i="1"/>
  <c r="K116" i="2"/>
  <c r="K115" i="2"/>
  <c r="J116" i="2"/>
  <c r="J115" i="2"/>
  <c r="I116" i="2"/>
  <c r="I115" i="2"/>
  <c r="H116" i="2"/>
  <c r="H115" i="2"/>
  <c r="G116" i="2"/>
  <c r="G115" i="2"/>
  <c r="F116" i="2"/>
  <c r="F115" i="2"/>
  <c r="E116" i="2"/>
  <c r="E115" i="2"/>
  <c r="D116" i="2"/>
  <c r="D115" i="2"/>
  <c r="C116" i="2"/>
  <c r="C115" i="2"/>
  <c r="K99" i="2"/>
  <c r="K98" i="2"/>
  <c r="J99" i="2"/>
  <c r="J98" i="2"/>
  <c r="I99" i="2"/>
  <c r="I98" i="2"/>
  <c r="H99" i="2"/>
  <c r="H98" i="2"/>
  <c r="G99" i="2"/>
  <c r="G98" i="2"/>
  <c r="F99" i="2"/>
  <c r="F98" i="2"/>
  <c r="E99" i="2"/>
  <c r="E98" i="2"/>
  <c r="D99" i="2"/>
  <c r="D98" i="2"/>
  <c r="C99" i="2"/>
  <c r="C98" i="2"/>
  <c r="K65" i="2"/>
  <c r="K64" i="2"/>
  <c r="J65" i="2"/>
  <c r="J64" i="2"/>
  <c r="I65" i="2"/>
  <c r="I64" i="2"/>
  <c r="H65" i="2"/>
  <c r="H64" i="2"/>
  <c r="G65" i="2"/>
  <c r="G64" i="2"/>
  <c r="F65" i="2"/>
  <c r="F64" i="2"/>
  <c r="E65" i="2"/>
  <c r="E64" i="2"/>
  <c r="D65" i="2"/>
  <c r="D64" i="2"/>
  <c r="C65" i="2"/>
  <c r="C64" i="2"/>
  <c r="K48" i="2"/>
  <c r="K47" i="2"/>
  <c r="J48" i="2"/>
  <c r="J47" i="2"/>
  <c r="I48" i="2"/>
  <c r="I47" i="2"/>
  <c r="H48" i="2"/>
  <c r="H47" i="2"/>
  <c r="G48" i="2"/>
  <c r="G47" i="2"/>
  <c r="F48" i="2"/>
  <c r="F47" i="2"/>
  <c r="D48" i="2"/>
  <c r="D47" i="2"/>
  <c r="C48" i="2"/>
  <c r="C47" i="2"/>
  <c r="K31" i="2"/>
  <c r="K30" i="2"/>
  <c r="J31" i="2"/>
  <c r="J30" i="2"/>
  <c r="I31" i="2"/>
  <c r="I30" i="2"/>
  <c r="H31" i="2"/>
  <c r="H30" i="2"/>
  <c r="G31" i="2"/>
  <c r="G30" i="2"/>
  <c r="F31" i="2"/>
  <c r="F30" i="2"/>
  <c r="E31" i="2"/>
  <c r="E30" i="2"/>
  <c r="D31" i="2"/>
  <c r="D30" i="2"/>
  <c r="C31" i="2"/>
  <c r="C30" i="2"/>
  <c r="K14" i="2"/>
  <c r="K13" i="2"/>
  <c r="J14" i="2"/>
  <c r="J13" i="2"/>
  <c r="I14" i="2"/>
  <c r="I13" i="2"/>
  <c r="H14" i="2"/>
  <c r="H13" i="2"/>
  <c r="G14" i="2"/>
  <c r="G13" i="2"/>
  <c r="F14" i="2"/>
  <c r="F13" i="2"/>
  <c r="E14" i="2"/>
  <c r="E13" i="2"/>
  <c r="D14" i="2"/>
  <c r="D13" i="2"/>
  <c r="C14" i="2"/>
  <c r="C13" i="2"/>
  <c r="ET25" i="9"/>
  <c r="FL25" i="9" s="1"/>
  <c r="FJ25" i="9"/>
  <c r="FK25" i="9" s="1"/>
  <c r="FG26" i="7"/>
  <c r="FH26" i="7"/>
  <c r="AB29" i="4"/>
  <c r="J29" i="4"/>
  <c r="FG29" i="4"/>
  <c r="FH29" i="4"/>
  <c r="EB93" i="14"/>
  <c r="DY93" i="14"/>
  <c r="FT93" i="14"/>
  <c r="FS93" i="14"/>
  <c r="AB92" i="12"/>
  <c r="J92" i="12"/>
  <c r="FK92" i="12"/>
  <c r="FL92" i="12"/>
  <c r="EQ94" i="11"/>
  <c r="FF94" i="11" s="1"/>
  <c r="FD94" i="11"/>
  <c r="FE94" i="11" s="1"/>
  <c r="EB154" i="15" l="1"/>
  <c r="AB155" i="15"/>
  <c r="FL155" i="15"/>
  <c r="FI156" i="15"/>
  <c r="FI151" i="15"/>
  <c r="AB150" i="15"/>
  <c r="AB154" i="15"/>
  <c r="FJ150" i="15"/>
  <c r="FF151" i="15"/>
  <c r="EB150" i="15"/>
  <c r="FJ155" i="15"/>
  <c r="J155" i="15"/>
  <c r="FL151" i="15"/>
  <c r="FL156" i="15"/>
  <c r="FJ152" i="15"/>
  <c r="J152" i="15"/>
  <c r="FO155" i="15"/>
  <c r="FM152" i="15"/>
  <c r="FK151" i="15"/>
  <c r="FO154" i="15"/>
  <c r="FK150" i="15"/>
  <c r="DY156" i="15"/>
  <c r="EB152" i="15"/>
  <c r="FM156" i="15"/>
  <c r="ER156" i="15"/>
  <c r="ER150" i="15"/>
  <c r="FN156" i="15"/>
  <c r="EB155" i="15"/>
  <c r="J150" i="15"/>
  <c r="J151" i="15"/>
  <c r="EB151" i="15"/>
  <c r="FJ151" i="15"/>
  <c r="FO151" i="15"/>
  <c r="FK152" i="15"/>
  <c r="FO152" i="15"/>
  <c r="FK154" i="15"/>
  <c r="FK155" i="15"/>
  <c r="FO156" i="15"/>
  <c r="J156" i="15"/>
  <c r="FJ156" i="15"/>
  <c r="FJ154" i="15"/>
  <c r="FN151" i="15"/>
  <c r="J154" i="15"/>
  <c r="FM150" i="15"/>
  <c r="FN150" i="15"/>
  <c r="FN152" i="15"/>
  <c r="ER151" i="15"/>
  <c r="ER152" i="15"/>
  <c r="ER154" i="15"/>
  <c r="FN154" i="15"/>
  <c r="DY151" i="15"/>
  <c r="DY152" i="15"/>
  <c r="DY150" i="15"/>
  <c r="DY155" i="15"/>
  <c r="FF156" i="15"/>
  <c r="FF154" i="15"/>
  <c r="FQ151" i="15"/>
  <c r="FQ152" i="15"/>
  <c r="FQ156" i="15"/>
  <c r="FM151" i="15"/>
  <c r="FL152" i="15"/>
  <c r="FP152" i="15"/>
  <c r="FF152" i="15"/>
  <c r="FF150" i="15"/>
  <c r="FL150" i="15"/>
  <c r="FP150" i="15"/>
  <c r="DY154" i="15"/>
  <c r="FI154" i="15"/>
  <c r="FM154" i="15"/>
  <c r="FQ154" i="15"/>
  <c r="FI155" i="15"/>
  <c r="FM155" i="15"/>
  <c r="FQ155" i="15"/>
  <c r="FP155" i="15"/>
  <c r="FL154" i="15"/>
  <c r="FP154" i="15"/>
  <c r="AC71" i="2"/>
  <c r="AD71" i="2"/>
  <c r="AD73" i="2"/>
  <c r="AC73" i="2"/>
  <c r="FV143" i="15"/>
  <c r="FV144" i="15"/>
  <c r="FV145" i="15"/>
  <c r="FV146" i="15"/>
  <c r="FV147" i="15"/>
  <c r="FV148" i="15"/>
  <c r="FV149" i="15"/>
  <c r="FV153" i="15"/>
  <c r="L116" i="2"/>
  <c r="L115" i="2"/>
  <c r="L99" i="2"/>
  <c r="L98" i="2"/>
  <c r="L65" i="2"/>
  <c r="L64" i="2"/>
  <c r="L31" i="2"/>
  <c r="L30" i="2"/>
  <c r="L14" i="2"/>
  <c r="L13" i="2"/>
  <c r="FK91" i="12"/>
  <c r="FL91" i="12"/>
  <c r="EB90" i="12"/>
  <c r="DY90" i="12"/>
  <c r="FL90" i="12"/>
  <c r="FK90" i="12"/>
  <c r="FK89" i="12"/>
  <c r="FL89" i="12"/>
  <c r="AB88" i="12"/>
  <c r="J88" i="12"/>
  <c r="FK88" i="12"/>
  <c r="FL88" i="12"/>
  <c r="EB87" i="12"/>
  <c r="DY87" i="12"/>
  <c r="AB87" i="12"/>
  <c r="J87" i="12"/>
  <c r="FK87" i="12"/>
  <c r="FL87" i="12"/>
  <c r="FK86" i="12"/>
  <c r="FL86" i="12"/>
  <c r="AB85" i="12"/>
  <c r="E48" i="2" s="1"/>
  <c r="L48" i="2" s="1"/>
  <c r="J85" i="12"/>
  <c r="E47" i="2" s="1"/>
  <c r="L47" i="2" s="1"/>
  <c r="FK85" i="12"/>
  <c r="FL85" i="12"/>
  <c r="EB84" i="12"/>
  <c r="DY84" i="12"/>
  <c r="AB84" i="12"/>
  <c r="J84" i="12"/>
  <c r="FK84" i="12"/>
  <c r="FL84" i="12"/>
  <c r="FK83" i="12"/>
  <c r="FL83" i="12"/>
  <c r="AB82" i="12"/>
  <c r="J82" i="12"/>
  <c r="FL82" i="12"/>
  <c r="FK82" i="12"/>
  <c r="AB81" i="12"/>
  <c r="J81" i="12"/>
  <c r="FK81" i="12"/>
  <c r="FL81" i="12"/>
  <c r="FK80" i="12"/>
  <c r="FL80" i="12"/>
  <c r="FK79" i="12"/>
  <c r="FL79" i="12"/>
  <c r="AB78" i="12"/>
  <c r="J78" i="12"/>
  <c r="FK78" i="12"/>
  <c r="FL78" i="12"/>
  <c r="EB77" i="12"/>
  <c r="DY77" i="12"/>
  <c r="FL77" i="12"/>
  <c r="FK77" i="12"/>
  <c r="EB76" i="12"/>
  <c r="DY76" i="12"/>
  <c r="FK76" i="12"/>
  <c r="FL76" i="12"/>
  <c r="FK75" i="12"/>
  <c r="FL75" i="12"/>
  <c r="FK74" i="12"/>
  <c r="FL74" i="12"/>
  <c r="EB73" i="12"/>
  <c r="DY73" i="12"/>
  <c r="FK73" i="12"/>
  <c r="FL73" i="12"/>
  <c r="EB72" i="12"/>
  <c r="DY72" i="12"/>
  <c r="FK72" i="12"/>
  <c r="FL72" i="12"/>
  <c r="EB71" i="12"/>
  <c r="DY71" i="12"/>
  <c r="AB71" i="12"/>
  <c r="J71" i="12"/>
  <c r="FK71" i="12"/>
  <c r="FL71" i="12"/>
  <c r="AB70" i="12"/>
  <c r="J70" i="12"/>
  <c r="FL70" i="12"/>
  <c r="FK70" i="12"/>
  <c r="EB69" i="12"/>
  <c r="DY69" i="12"/>
  <c r="AB69" i="12"/>
  <c r="J69" i="12"/>
  <c r="FL69" i="12"/>
  <c r="FK69" i="12"/>
  <c r="EB68" i="12"/>
  <c r="DY68" i="12"/>
  <c r="AB68" i="12"/>
  <c r="J68" i="12"/>
  <c r="FK68" i="12"/>
  <c r="FL68" i="12"/>
  <c r="FL67" i="12"/>
  <c r="FK67" i="12"/>
  <c r="FL66" i="12"/>
  <c r="FK66" i="12"/>
  <c r="FL65" i="12"/>
  <c r="FK65" i="12"/>
  <c r="EB64" i="12"/>
  <c r="FL64" i="12"/>
  <c r="FK64" i="12"/>
  <c r="EB63" i="12"/>
  <c r="AB63" i="12"/>
  <c r="J63" i="12"/>
  <c r="FL63" i="12"/>
  <c r="FK63" i="12"/>
  <c r="EB62" i="12"/>
  <c r="DY62" i="12"/>
  <c r="AB62" i="12"/>
  <c r="J62" i="12"/>
  <c r="FK62" i="12"/>
  <c r="FL62" i="12"/>
  <c r="AB61" i="12"/>
  <c r="J61" i="12"/>
  <c r="FK61" i="12"/>
  <c r="FL61" i="12"/>
  <c r="AB60" i="12"/>
  <c r="J60" i="12"/>
  <c r="FK60" i="12"/>
  <c r="FL60" i="12"/>
  <c r="EB59" i="12"/>
  <c r="DY59" i="12"/>
  <c r="FL59" i="12"/>
  <c r="FK59" i="12"/>
  <c r="FK58" i="12"/>
  <c r="FL58" i="12"/>
  <c r="FK57" i="12"/>
  <c r="FL57" i="12"/>
  <c r="FL56" i="12"/>
  <c r="FK56" i="12"/>
  <c r="ET24" i="9"/>
  <c r="FL24" i="9" s="1"/>
  <c r="FJ24" i="9"/>
  <c r="FK24" i="9" s="1"/>
  <c r="ET23" i="9"/>
  <c r="FL23" i="9" s="1"/>
  <c r="FJ23" i="9"/>
  <c r="FK23" i="9" s="1"/>
  <c r="ET22" i="9"/>
  <c r="FJ22" i="9"/>
  <c r="FK22" i="9" s="1"/>
  <c r="FL22" i="9"/>
  <c r="FG25" i="7"/>
  <c r="FH25" i="7"/>
  <c r="AB24" i="7"/>
  <c r="FH24" i="7"/>
  <c r="FG24" i="7"/>
  <c r="AB23" i="7"/>
  <c r="J23" i="7"/>
  <c r="FG23" i="7"/>
  <c r="FH23" i="7"/>
  <c r="FG28" i="4"/>
  <c r="FH28" i="4"/>
  <c r="FH27" i="4"/>
  <c r="FG27" i="4"/>
  <c r="FG26" i="4"/>
  <c r="FH26" i="4"/>
  <c r="FT92" i="14"/>
  <c r="FS92" i="14"/>
  <c r="AB91" i="14"/>
  <c r="J91" i="14"/>
  <c r="FT91" i="14"/>
  <c r="FS91" i="14"/>
  <c r="EB90" i="14"/>
  <c r="FT90" i="14"/>
  <c r="FS90" i="14"/>
  <c r="EB89" i="14"/>
  <c r="DY89" i="14"/>
  <c r="FT89" i="14"/>
  <c r="FS89" i="14"/>
  <c r="FT88" i="14"/>
  <c r="FS88" i="14"/>
  <c r="FT87" i="14"/>
  <c r="FS87" i="14"/>
  <c r="AB86" i="14"/>
  <c r="J86" i="14"/>
  <c r="FT86" i="14"/>
  <c r="FS86" i="14"/>
  <c r="EB85" i="14"/>
  <c r="DY85" i="14"/>
  <c r="AB85" i="14"/>
  <c r="J85" i="14"/>
  <c r="FT85" i="14"/>
  <c r="FS85" i="14"/>
  <c r="FT84" i="14"/>
  <c r="FS84" i="14"/>
  <c r="FT83" i="14"/>
  <c r="FS83" i="14"/>
  <c r="FV151" i="15" l="1"/>
  <c r="FV154" i="15"/>
  <c r="FV155" i="15"/>
  <c r="FV156" i="15"/>
  <c r="FV150" i="15"/>
  <c r="FV152" i="15"/>
  <c r="FT82" i="14"/>
  <c r="FS82" i="14"/>
  <c r="AB81" i="14"/>
  <c r="J81" i="14"/>
  <c r="FT81" i="14"/>
  <c r="FS81" i="14"/>
  <c r="AB80" i="14"/>
  <c r="J80" i="14"/>
  <c r="FT80" i="14"/>
  <c r="FS80" i="14"/>
  <c r="AI55" i="2"/>
  <c r="AI54" i="2"/>
  <c r="AI56" i="2"/>
  <c r="AH56" i="2"/>
  <c r="AJ56" i="2" s="1"/>
  <c r="AH55" i="2"/>
  <c r="AJ55" i="2" s="1"/>
  <c r="AH54" i="2"/>
  <c r="AJ54" i="2" s="1"/>
  <c r="AG56" i="2"/>
  <c r="AG55" i="2"/>
  <c r="AG54" i="2"/>
  <c r="AA56" i="2"/>
  <c r="AA55" i="2"/>
  <c r="AA54" i="2"/>
  <c r="Z54" i="2"/>
  <c r="Z55" i="2"/>
  <c r="Z56" i="2"/>
  <c r="U63" i="2"/>
  <c r="U62" i="2"/>
  <c r="U61" i="2"/>
  <c r="U60" i="2"/>
  <c r="U59" i="2"/>
  <c r="U58" i="2"/>
  <c r="U57" i="2"/>
  <c r="U56" i="2"/>
  <c r="U55" i="2"/>
  <c r="U54" i="2"/>
  <c r="T63" i="2"/>
  <c r="T62" i="2"/>
  <c r="T61" i="2"/>
  <c r="T60" i="2"/>
  <c r="T59" i="2"/>
  <c r="T58" i="2"/>
  <c r="V58" i="2" s="1"/>
  <c r="T57" i="2"/>
  <c r="T56" i="2"/>
  <c r="V56" i="2" s="1"/>
  <c r="T55" i="2"/>
  <c r="T54" i="2"/>
  <c r="S63" i="2"/>
  <c r="S62" i="2"/>
  <c r="S61" i="2"/>
  <c r="S60" i="2"/>
  <c r="S59" i="2"/>
  <c r="S58" i="2"/>
  <c r="S57" i="2"/>
  <c r="S56" i="2"/>
  <c r="S55" i="2"/>
  <c r="S54" i="2"/>
  <c r="R63" i="2"/>
  <c r="R62" i="2"/>
  <c r="R61" i="2"/>
  <c r="R60" i="2"/>
  <c r="R59" i="2"/>
  <c r="R58" i="2"/>
  <c r="R57" i="2"/>
  <c r="R56" i="2"/>
  <c r="R55" i="2"/>
  <c r="R54" i="2"/>
  <c r="Q63" i="2"/>
  <c r="Q62" i="2"/>
  <c r="Q61" i="2"/>
  <c r="Q60" i="2"/>
  <c r="Q59" i="2"/>
  <c r="Q58" i="2"/>
  <c r="Q57" i="2"/>
  <c r="Q56" i="2"/>
  <c r="Q55" i="2"/>
  <c r="Q54" i="2"/>
  <c r="P63" i="2"/>
  <c r="P62" i="2"/>
  <c r="P61" i="2"/>
  <c r="P60" i="2"/>
  <c r="P59" i="2"/>
  <c r="P58" i="2"/>
  <c r="P57" i="2"/>
  <c r="P56" i="2"/>
  <c r="P55" i="2"/>
  <c r="P54" i="2"/>
  <c r="O62" i="2"/>
  <c r="O61" i="2"/>
  <c r="O60" i="2"/>
  <c r="O59" i="2"/>
  <c r="O58" i="2"/>
  <c r="O57" i="2"/>
  <c r="O56" i="2"/>
  <c r="O55" i="2"/>
  <c r="K68" i="2"/>
  <c r="K67" i="2"/>
  <c r="K66" i="2"/>
  <c r="K63" i="2"/>
  <c r="K62" i="2"/>
  <c r="K61" i="2"/>
  <c r="K60" i="2"/>
  <c r="K59" i="2"/>
  <c r="K58" i="2"/>
  <c r="K57" i="2"/>
  <c r="K56" i="2"/>
  <c r="K55" i="2"/>
  <c r="K54" i="2"/>
  <c r="J68" i="2"/>
  <c r="J67" i="2"/>
  <c r="J66" i="2"/>
  <c r="J63" i="2"/>
  <c r="J62" i="2"/>
  <c r="J61" i="2"/>
  <c r="J60" i="2"/>
  <c r="J59" i="2"/>
  <c r="J58" i="2"/>
  <c r="J57" i="2"/>
  <c r="J56" i="2"/>
  <c r="J55" i="2"/>
  <c r="J54" i="2"/>
  <c r="I68" i="2"/>
  <c r="I67" i="2"/>
  <c r="I66" i="2"/>
  <c r="I63" i="2"/>
  <c r="I62" i="2"/>
  <c r="I61" i="2"/>
  <c r="I60" i="2"/>
  <c r="I59" i="2"/>
  <c r="I58" i="2"/>
  <c r="I57" i="2"/>
  <c r="I56" i="2"/>
  <c r="I55" i="2"/>
  <c r="I54" i="2"/>
  <c r="H68" i="2"/>
  <c r="H67" i="2"/>
  <c r="H66" i="2"/>
  <c r="H63" i="2"/>
  <c r="H62" i="2"/>
  <c r="H61" i="2"/>
  <c r="H60" i="2"/>
  <c r="H59" i="2"/>
  <c r="H58" i="2"/>
  <c r="H57" i="2"/>
  <c r="H56" i="2"/>
  <c r="H55" i="2"/>
  <c r="H54" i="2"/>
  <c r="G68" i="2"/>
  <c r="G67" i="2"/>
  <c r="G66" i="2"/>
  <c r="G63" i="2"/>
  <c r="G62" i="2"/>
  <c r="G61" i="2"/>
  <c r="G60" i="2"/>
  <c r="G59" i="2"/>
  <c r="G58" i="2"/>
  <c r="G57" i="2"/>
  <c r="G56" i="2"/>
  <c r="G55" i="2"/>
  <c r="G54" i="2"/>
  <c r="F68" i="2"/>
  <c r="F67" i="2"/>
  <c r="F66" i="2"/>
  <c r="F63" i="2"/>
  <c r="F62" i="2"/>
  <c r="F61" i="2"/>
  <c r="F60" i="2"/>
  <c r="F59" i="2"/>
  <c r="F58" i="2"/>
  <c r="F57" i="2"/>
  <c r="F56" i="2"/>
  <c r="F55" i="2"/>
  <c r="F54" i="2"/>
  <c r="D68" i="2"/>
  <c r="D67" i="2"/>
  <c r="D66" i="2"/>
  <c r="D63" i="2"/>
  <c r="D62" i="2"/>
  <c r="D61" i="2"/>
  <c r="D60" i="2"/>
  <c r="D59" i="2"/>
  <c r="D58" i="2"/>
  <c r="D57" i="2"/>
  <c r="D56" i="2"/>
  <c r="D55" i="2"/>
  <c r="D54" i="2"/>
  <c r="C68" i="2"/>
  <c r="C67" i="2"/>
  <c r="C66" i="2"/>
  <c r="C63" i="2"/>
  <c r="C62" i="2"/>
  <c r="C61" i="2"/>
  <c r="C60" i="2"/>
  <c r="C59" i="2"/>
  <c r="C58" i="2"/>
  <c r="C57" i="2"/>
  <c r="C56" i="2"/>
  <c r="C55" i="2"/>
  <c r="C54" i="2"/>
  <c r="O54" i="2"/>
  <c r="V62" i="2"/>
  <c r="FS4" i="14"/>
  <c r="FS5" i="14"/>
  <c r="FS6" i="14"/>
  <c r="FS7" i="14"/>
  <c r="FS8" i="14"/>
  <c r="FS9" i="14"/>
  <c r="FS10" i="14"/>
  <c r="FS11" i="14"/>
  <c r="FS12" i="14"/>
  <c r="FS13" i="14"/>
  <c r="FS14" i="14"/>
  <c r="FS15" i="14"/>
  <c r="FS16" i="14"/>
  <c r="FS17" i="14"/>
  <c r="FS18" i="14"/>
  <c r="FS19" i="14"/>
  <c r="FS20" i="14"/>
  <c r="FS21" i="14"/>
  <c r="FS22" i="14"/>
  <c r="FS23" i="14"/>
  <c r="FS24" i="14"/>
  <c r="FS25" i="14"/>
  <c r="FS26" i="14"/>
  <c r="FS27" i="14"/>
  <c r="FS28" i="14"/>
  <c r="FS29" i="14"/>
  <c r="FS30" i="14"/>
  <c r="FS31" i="14"/>
  <c r="FS32" i="14"/>
  <c r="FS33" i="14"/>
  <c r="FS34" i="14"/>
  <c r="FS35" i="14"/>
  <c r="FS36" i="14"/>
  <c r="FS37" i="14"/>
  <c r="FS38" i="14"/>
  <c r="FS39" i="14"/>
  <c r="FS40" i="14"/>
  <c r="FS41" i="14"/>
  <c r="FS42" i="14"/>
  <c r="FS43" i="14"/>
  <c r="FS44" i="14"/>
  <c r="FS45" i="14"/>
  <c r="FS46" i="14"/>
  <c r="FS47" i="14"/>
  <c r="FS48" i="14"/>
  <c r="FS49" i="14"/>
  <c r="FS50" i="14"/>
  <c r="FS51" i="14"/>
  <c r="FS52" i="14"/>
  <c r="FS53" i="14"/>
  <c r="FS54" i="14"/>
  <c r="FS55" i="14"/>
  <c r="FS56" i="14"/>
  <c r="FS57" i="14"/>
  <c r="FS58" i="14"/>
  <c r="FS59" i="14"/>
  <c r="FS60" i="14"/>
  <c r="FS61" i="14"/>
  <c r="FS62" i="14"/>
  <c r="FS63" i="14"/>
  <c r="FS64" i="14"/>
  <c r="FS65" i="14"/>
  <c r="FS66" i="14"/>
  <c r="FS67" i="14"/>
  <c r="FS68" i="14"/>
  <c r="FS69" i="14"/>
  <c r="FS70" i="14"/>
  <c r="FS71" i="14"/>
  <c r="FS72" i="14"/>
  <c r="FS73" i="14"/>
  <c r="FS74" i="14"/>
  <c r="FS75" i="14"/>
  <c r="FS76" i="14"/>
  <c r="FS77" i="14"/>
  <c r="FS78" i="14"/>
  <c r="FS79" i="14"/>
  <c r="FT4" i="14"/>
  <c r="FT5" i="14"/>
  <c r="FT6" i="14"/>
  <c r="FT7" i="14"/>
  <c r="FT8" i="14"/>
  <c r="FT9" i="14"/>
  <c r="FT10" i="14"/>
  <c r="FT11" i="14"/>
  <c r="FT12" i="14"/>
  <c r="FT13" i="14"/>
  <c r="FT14" i="14"/>
  <c r="FT15" i="14"/>
  <c r="FT16" i="14"/>
  <c r="FT17" i="14"/>
  <c r="FT18" i="14"/>
  <c r="FT19" i="14"/>
  <c r="FT20" i="14"/>
  <c r="FT21" i="14"/>
  <c r="FT22" i="14"/>
  <c r="FT23" i="14"/>
  <c r="FT24" i="14"/>
  <c r="FT25" i="14"/>
  <c r="FT26" i="14"/>
  <c r="FT27" i="14"/>
  <c r="FT28" i="14"/>
  <c r="FT29" i="14"/>
  <c r="FT30" i="14"/>
  <c r="FT31" i="14"/>
  <c r="FT32" i="14"/>
  <c r="FT33" i="14"/>
  <c r="FT34" i="14"/>
  <c r="FT35" i="14"/>
  <c r="FT36" i="14"/>
  <c r="FT37" i="14"/>
  <c r="FT38" i="14"/>
  <c r="FT39" i="14"/>
  <c r="FT40" i="14"/>
  <c r="FT41" i="14"/>
  <c r="FT42" i="14"/>
  <c r="FT43" i="14"/>
  <c r="FT44" i="14"/>
  <c r="FT45" i="14"/>
  <c r="FT46" i="14"/>
  <c r="FT47" i="14"/>
  <c r="FT48" i="14"/>
  <c r="FT49" i="14"/>
  <c r="FT50" i="14"/>
  <c r="FT51" i="14"/>
  <c r="FT52" i="14"/>
  <c r="FT53" i="14"/>
  <c r="FT54" i="14"/>
  <c r="FT55" i="14"/>
  <c r="FT56" i="14"/>
  <c r="FT57" i="14"/>
  <c r="FT58" i="14"/>
  <c r="FT59" i="14"/>
  <c r="FT60" i="14"/>
  <c r="FT61" i="14"/>
  <c r="FT62" i="14"/>
  <c r="FT63" i="14"/>
  <c r="FT64" i="14"/>
  <c r="FT65" i="14"/>
  <c r="FT66" i="14"/>
  <c r="FT67" i="14"/>
  <c r="FT68" i="14"/>
  <c r="FT69" i="14"/>
  <c r="FT70" i="14"/>
  <c r="FT71" i="14"/>
  <c r="FT72" i="14"/>
  <c r="FT73" i="14"/>
  <c r="FT74" i="14"/>
  <c r="FT75" i="14"/>
  <c r="FT76" i="14"/>
  <c r="FT77" i="14"/>
  <c r="FT78" i="14"/>
  <c r="FT79" i="14"/>
  <c r="J79" i="14"/>
  <c r="AB75" i="14"/>
  <c r="J75" i="14"/>
  <c r="EB74" i="14"/>
  <c r="DY74" i="14"/>
  <c r="J74" i="14"/>
  <c r="EB73" i="14"/>
  <c r="DY73" i="14"/>
  <c r="EB70" i="14"/>
  <c r="DY70" i="14"/>
  <c r="EB69" i="14"/>
  <c r="DY69" i="14"/>
  <c r="AB67" i="14"/>
  <c r="J67" i="14"/>
  <c r="EB66" i="14"/>
  <c r="DY66" i="14"/>
  <c r="EB65" i="14"/>
  <c r="DY65" i="14"/>
  <c r="EB64" i="14"/>
  <c r="DY64" i="14"/>
  <c r="AB60" i="14"/>
  <c r="J60" i="14"/>
  <c r="DY59" i="14"/>
  <c r="EB57" i="14"/>
  <c r="DY57" i="14"/>
  <c r="AB56" i="14"/>
  <c r="J56" i="14"/>
  <c r="EB55" i="14"/>
  <c r="DY55" i="14"/>
  <c r="EB53" i="14"/>
  <c r="DY53" i="14"/>
  <c r="EB46" i="14"/>
  <c r="DY46" i="14"/>
  <c r="DY45" i="14"/>
  <c r="EB44" i="14"/>
  <c r="DY44" i="14"/>
  <c r="AB44" i="14"/>
  <c r="J44" i="14"/>
  <c r="AB43" i="14"/>
  <c r="J43" i="14"/>
  <c r="AB42" i="14"/>
  <c r="E59" i="2" s="1"/>
  <c r="J42" i="14"/>
  <c r="E58" i="2" s="1"/>
  <c r="AB41" i="14"/>
  <c r="J41" i="14"/>
  <c r="AB38" i="14"/>
  <c r="J38" i="14"/>
  <c r="AB35" i="14"/>
  <c r="J35" i="14"/>
  <c r="EB33" i="14"/>
  <c r="DY33" i="14"/>
  <c r="AB33" i="14"/>
  <c r="J33" i="14"/>
  <c r="AB32" i="14"/>
  <c r="E61" i="2" s="1"/>
  <c r="J32" i="14"/>
  <c r="E60" i="2" s="1"/>
  <c r="AB30" i="14"/>
  <c r="J30" i="14"/>
  <c r="EB28" i="14"/>
  <c r="DY28" i="14"/>
  <c r="AB28" i="14"/>
  <c r="J28" i="14"/>
  <c r="EB27" i="14"/>
  <c r="DY27" i="14"/>
  <c r="AB25" i="14"/>
  <c r="J25" i="14"/>
  <c r="AB23" i="14"/>
  <c r="J23" i="14"/>
  <c r="EB20" i="14"/>
  <c r="DY20" i="14"/>
  <c r="EB15" i="14"/>
  <c r="DY15" i="14"/>
  <c r="AB14" i="14"/>
  <c r="J14" i="14"/>
  <c r="AB13" i="14"/>
  <c r="E63" i="2" s="1"/>
  <c r="EB12" i="14"/>
  <c r="EB11" i="14"/>
  <c r="DY11" i="14"/>
  <c r="EB9" i="14"/>
  <c r="DY9" i="14"/>
  <c r="AB5" i="14"/>
  <c r="J5" i="14"/>
  <c r="FK153" i="14"/>
  <c r="FJ153" i="14"/>
  <c r="FI153" i="14"/>
  <c r="FH153" i="14"/>
  <c r="FG153" i="14"/>
  <c r="FF153" i="14"/>
  <c r="FE153" i="14"/>
  <c r="FD153" i="14"/>
  <c r="FC153" i="14"/>
  <c r="FB153" i="14"/>
  <c r="FA153" i="14"/>
  <c r="EZ153" i="14"/>
  <c r="EY153" i="14"/>
  <c r="EQ153" i="14"/>
  <c r="EP153" i="14"/>
  <c r="EO153" i="14"/>
  <c r="EN153" i="14"/>
  <c r="EM153" i="14"/>
  <c r="EL153" i="14"/>
  <c r="EK153" i="14"/>
  <c r="EJ153" i="14"/>
  <c r="EI153" i="14"/>
  <c r="EH153" i="14"/>
  <c r="EG153" i="14"/>
  <c r="EF153" i="14"/>
  <c r="EE153" i="14"/>
  <c r="ED153" i="14"/>
  <c r="EC153" i="14"/>
  <c r="EA153" i="14"/>
  <c r="DZ153" i="14"/>
  <c r="DX153" i="14"/>
  <c r="DW153" i="14"/>
  <c r="DV153" i="14"/>
  <c r="DU153" i="14"/>
  <c r="DT153" i="14"/>
  <c r="DS153" i="14"/>
  <c r="DR153" i="14"/>
  <c r="DQ153" i="14"/>
  <c r="DP153" i="14"/>
  <c r="DN153" i="14"/>
  <c r="DM153" i="14"/>
  <c r="DL153" i="14"/>
  <c r="DK153" i="14"/>
  <c r="DJ153" i="14"/>
  <c r="DI153" i="14"/>
  <c r="DH153" i="14"/>
  <c r="DG153" i="14"/>
  <c r="DF153" i="14"/>
  <c r="DD153" i="14"/>
  <c r="DC153" i="14"/>
  <c r="DB153" i="14"/>
  <c r="DA153" i="14"/>
  <c r="CZ153" i="14"/>
  <c r="CY153" i="14"/>
  <c r="CX153" i="14"/>
  <c r="CW153" i="14"/>
  <c r="CV153" i="14"/>
  <c r="CT153" i="14"/>
  <c r="CS153" i="14"/>
  <c r="CR153" i="14"/>
  <c r="CQ153" i="14"/>
  <c r="CP153" i="14"/>
  <c r="CO153" i="14"/>
  <c r="CN153" i="14"/>
  <c r="CM153" i="14"/>
  <c r="CL153" i="14"/>
  <c r="CJ153" i="14"/>
  <c r="CI153" i="14"/>
  <c r="CH153" i="14"/>
  <c r="CG153" i="14"/>
  <c r="CF153" i="14"/>
  <c r="CE153" i="14"/>
  <c r="CD153" i="14"/>
  <c r="CC153" i="14"/>
  <c r="CB153" i="14"/>
  <c r="BZ153" i="14"/>
  <c r="BY153" i="14"/>
  <c r="BX153" i="14"/>
  <c r="BW153" i="14"/>
  <c r="BV153" i="14"/>
  <c r="BU153" i="14"/>
  <c r="BT153" i="14"/>
  <c r="BS153" i="14"/>
  <c r="BR153" i="14"/>
  <c r="BP153" i="14"/>
  <c r="BO153" i="14"/>
  <c r="BN153" i="14"/>
  <c r="BM153" i="14"/>
  <c r="BL153" i="14"/>
  <c r="BK153" i="14"/>
  <c r="BJ153" i="14"/>
  <c r="BI153" i="14"/>
  <c r="BH153" i="14"/>
  <c r="BF153" i="14"/>
  <c r="BE153" i="14"/>
  <c r="BD153" i="14"/>
  <c r="BC153" i="14"/>
  <c r="BB153" i="14"/>
  <c r="BA153" i="14"/>
  <c r="AZ153" i="14"/>
  <c r="AY153" i="14"/>
  <c r="AX153" i="14"/>
  <c r="AV153" i="14"/>
  <c r="AU153" i="14"/>
  <c r="AT153" i="14"/>
  <c r="AS153" i="14"/>
  <c r="AR153" i="14"/>
  <c r="AQ153" i="14"/>
  <c r="AP153" i="14"/>
  <c r="AO153" i="14"/>
  <c r="AN153" i="14"/>
  <c r="AJ153" i="14"/>
  <c r="AI153" i="14"/>
  <c r="AH153" i="14"/>
  <c r="AG153" i="14"/>
  <c r="AF153" i="14"/>
  <c r="AE153" i="14"/>
  <c r="AD153" i="14"/>
  <c r="AC153" i="14"/>
  <c r="V153" i="14"/>
  <c r="U153" i="14"/>
  <c r="R153" i="14"/>
  <c r="Q153" i="14"/>
  <c r="P153" i="14"/>
  <c r="O153" i="14"/>
  <c r="N153" i="14"/>
  <c r="M153" i="14"/>
  <c r="L153" i="14"/>
  <c r="K153" i="14"/>
  <c r="E153" i="14"/>
  <c r="FK149" i="14"/>
  <c r="FK152" i="14" s="1"/>
  <c r="FJ149" i="14"/>
  <c r="FJ152" i="14" s="1"/>
  <c r="FI149" i="14"/>
  <c r="FI152" i="14" s="1"/>
  <c r="FH149" i="14"/>
  <c r="FH152" i="14" s="1"/>
  <c r="FG149" i="14"/>
  <c r="FG152" i="14" s="1"/>
  <c r="FF149" i="14"/>
  <c r="FE149" i="14"/>
  <c r="FD149" i="14"/>
  <c r="FD152" i="14" s="1"/>
  <c r="FC149" i="14"/>
  <c r="FB149" i="14"/>
  <c r="FB152" i="14" s="1"/>
  <c r="FA149" i="14"/>
  <c r="FA152" i="14" s="1"/>
  <c r="EZ149" i="14"/>
  <c r="EZ152" i="14" s="1"/>
  <c r="EY149" i="14"/>
  <c r="EY152" i="14" s="1"/>
  <c r="EQ149" i="14"/>
  <c r="EQ152" i="14" s="1"/>
  <c r="EP149" i="14"/>
  <c r="EP152" i="14" s="1"/>
  <c r="EO149" i="14"/>
  <c r="EO152" i="14" s="1"/>
  <c r="EN149" i="14"/>
  <c r="EN152" i="14" s="1"/>
  <c r="EM149" i="14"/>
  <c r="EM152" i="14" s="1"/>
  <c r="EL149" i="14"/>
  <c r="EL152" i="14" s="1"/>
  <c r="EK149" i="14"/>
  <c r="EK152" i="14" s="1"/>
  <c r="EJ149" i="14"/>
  <c r="EJ152" i="14" s="1"/>
  <c r="EI149" i="14"/>
  <c r="EI152" i="14" s="1"/>
  <c r="EH149" i="14"/>
  <c r="EG149" i="14"/>
  <c r="EG152" i="14" s="1"/>
  <c r="EF149" i="14"/>
  <c r="EF152" i="14" s="1"/>
  <c r="EE149" i="14"/>
  <c r="EE152" i="14" s="1"/>
  <c r="ED149" i="14"/>
  <c r="ED152" i="14" s="1"/>
  <c r="EC149" i="14"/>
  <c r="EC152" i="14" s="1"/>
  <c r="EA149" i="14"/>
  <c r="EA152" i="14" s="1"/>
  <c r="DZ149" i="14"/>
  <c r="DZ152" i="14" s="1"/>
  <c r="DX149" i="14"/>
  <c r="DX152" i="14" s="1"/>
  <c r="DW149" i="14"/>
  <c r="DW152" i="14" s="1"/>
  <c r="DV149" i="14"/>
  <c r="DV152" i="14" s="1"/>
  <c r="DU149" i="14"/>
  <c r="DU152" i="14" s="1"/>
  <c r="DT149" i="14"/>
  <c r="DT152" i="14" s="1"/>
  <c r="DS149" i="14"/>
  <c r="DS152" i="14" s="1"/>
  <c r="DR149" i="14"/>
  <c r="DR152" i="14" s="1"/>
  <c r="DQ149" i="14"/>
  <c r="DQ152" i="14" s="1"/>
  <c r="DP149" i="14"/>
  <c r="DP152" i="14" s="1"/>
  <c r="DN149" i="14"/>
  <c r="DN152" i="14" s="1"/>
  <c r="DM149" i="14"/>
  <c r="DM152" i="14" s="1"/>
  <c r="DL149" i="14"/>
  <c r="DL152" i="14" s="1"/>
  <c r="DK149" i="14"/>
  <c r="DK152" i="14" s="1"/>
  <c r="DJ149" i="14"/>
  <c r="DJ152" i="14" s="1"/>
  <c r="DI149" i="14"/>
  <c r="DI152" i="14" s="1"/>
  <c r="DH149" i="14"/>
  <c r="DH152" i="14" s="1"/>
  <c r="DG149" i="14"/>
  <c r="DG152" i="14" s="1"/>
  <c r="DF149" i="14"/>
  <c r="DF152" i="14" s="1"/>
  <c r="DD149" i="14"/>
  <c r="DC149" i="14"/>
  <c r="DC152" i="14" s="1"/>
  <c r="DB149" i="14"/>
  <c r="DB152" i="14" s="1"/>
  <c r="DA149" i="14"/>
  <c r="DA152" i="14" s="1"/>
  <c r="CZ149" i="14"/>
  <c r="CZ152" i="14" s="1"/>
  <c r="CY149" i="14"/>
  <c r="CY152" i="14" s="1"/>
  <c r="CX149" i="14"/>
  <c r="CX152" i="14" s="1"/>
  <c r="CW149" i="14"/>
  <c r="CW152" i="14" s="1"/>
  <c r="CV149" i="14"/>
  <c r="CV152" i="14" s="1"/>
  <c r="CT149" i="14"/>
  <c r="CT152" i="14" s="1"/>
  <c r="CS149" i="14"/>
  <c r="CS152" i="14" s="1"/>
  <c r="CR149" i="14"/>
  <c r="CR152" i="14" s="1"/>
  <c r="CQ149" i="14"/>
  <c r="CQ152" i="14" s="1"/>
  <c r="CP149" i="14"/>
  <c r="CP152" i="14" s="1"/>
  <c r="CO149" i="14"/>
  <c r="CO152" i="14" s="1"/>
  <c r="CN149" i="14"/>
  <c r="CN152" i="14" s="1"/>
  <c r="CM149" i="14"/>
  <c r="CL149" i="14"/>
  <c r="CL152" i="14" s="1"/>
  <c r="CJ149" i="14"/>
  <c r="CJ152" i="14" s="1"/>
  <c r="CI149" i="14"/>
  <c r="CI152" i="14" s="1"/>
  <c r="CH149" i="14"/>
  <c r="CH152" i="14" s="1"/>
  <c r="CG149" i="14"/>
  <c r="CG152" i="14" s="1"/>
  <c r="CF149" i="14"/>
  <c r="CF152" i="14" s="1"/>
  <c r="CE149" i="14"/>
  <c r="CE152" i="14" s="1"/>
  <c r="CD149" i="14"/>
  <c r="CD152" i="14" s="1"/>
  <c r="CC149" i="14"/>
  <c r="CC152" i="14" s="1"/>
  <c r="CB149" i="14"/>
  <c r="CB152" i="14" s="1"/>
  <c r="BZ149" i="14"/>
  <c r="BZ152" i="14" s="1"/>
  <c r="BY149" i="14"/>
  <c r="BY152" i="14" s="1"/>
  <c r="BX149" i="14"/>
  <c r="BX152" i="14" s="1"/>
  <c r="BW149" i="14"/>
  <c r="BW152" i="14" s="1"/>
  <c r="BV149" i="14"/>
  <c r="BV152" i="14" s="1"/>
  <c r="BU149" i="14"/>
  <c r="BU152" i="14" s="1"/>
  <c r="BT149" i="14"/>
  <c r="BT152" i="14" s="1"/>
  <c r="BS149" i="14"/>
  <c r="BS152" i="14" s="1"/>
  <c r="BR149" i="14"/>
  <c r="BR152" i="14" s="1"/>
  <c r="BP149" i="14"/>
  <c r="BP152" i="14" s="1"/>
  <c r="BO149" i="14"/>
  <c r="BO152" i="14" s="1"/>
  <c r="BN149" i="14"/>
  <c r="BN152" i="14" s="1"/>
  <c r="BM149" i="14"/>
  <c r="BL149" i="14"/>
  <c r="BL152" i="14" s="1"/>
  <c r="BK149" i="14"/>
  <c r="BK152" i="14" s="1"/>
  <c r="BJ149" i="14"/>
  <c r="BJ152" i="14" s="1"/>
  <c r="BI149" i="14"/>
  <c r="BI152" i="14" s="1"/>
  <c r="BH149" i="14"/>
  <c r="BH152" i="14" s="1"/>
  <c r="BF149" i="14"/>
  <c r="BF152" i="14" s="1"/>
  <c r="BE149" i="14"/>
  <c r="BE152" i="14" s="1"/>
  <c r="BD149" i="14"/>
  <c r="BD152" i="14" s="1"/>
  <c r="BC149" i="14"/>
  <c r="BC152" i="14" s="1"/>
  <c r="BB149" i="14"/>
  <c r="BB152" i="14" s="1"/>
  <c r="BA149" i="14"/>
  <c r="BA152" i="14" s="1"/>
  <c r="AZ149" i="14"/>
  <c r="AZ152" i="14" s="1"/>
  <c r="AY149" i="14"/>
  <c r="AY152" i="14" s="1"/>
  <c r="AX149" i="14"/>
  <c r="AX151" i="14" s="1"/>
  <c r="AV149" i="14"/>
  <c r="AV152" i="14" s="1"/>
  <c r="AU149" i="14"/>
  <c r="AU152" i="14" s="1"/>
  <c r="AT149" i="14"/>
  <c r="AT152" i="14" s="1"/>
  <c r="AS149" i="14"/>
  <c r="AS151" i="14" s="1"/>
  <c r="AR149" i="14"/>
  <c r="AR152" i="14" s="1"/>
  <c r="AQ149" i="14"/>
  <c r="AQ152" i="14" s="1"/>
  <c r="AP149" i="14"/>
  <c r="AP152" i="14" s="1"/>
  <c r="AO149" i="14"/>
  <c r="AO151" i="14" s="1"/>
  <c r="AN149" i="14"/>
  <c r="AN152" i="14" s="1"/>
  <c r="AJ149" i="14"/>
  <c r="AJ151" i="14" s="1"/>
  <c r="AI149" i="14"/>
  <c r="AI152" i="14" s="1"/>
  <c r="AH149" i="14"/>
  <c r="AH152" i="14" s="1"/>
  <c r="AG149" i="14"/>
  <c r="AG152" i="14" s="1"/>
  <c r="AF149" i="14"/>
  <c r="AF151" i="14" s="1"/>
  <c r="AE149" i="14"/>
  <c r="AE152" i="14" s="1"/>
  <c r="AD149" i="14"/>
  <c r="AD152" i="14" s="1"/>
  <c r="AC149" i="14"/>
  <c r="AC152" i="14" s="1"/>
  <c r="V149" i="14"/>
  <c r="V152" i="14" s="1"/>
  <c r="U149" i="14"/>
  <c r="U152" i="14" s="1"/>
  <c r="R149" i="14"/>
  <c r="R152" i="14" s="1"/>
  <c r="Q149" i="14"/>
  <c r="P149" i="14"/>
  <c r="P152" i="14" s="1"/>
  <c r="O149" i="14"/>
  <c r="O152" i="14" s="1"/>
  <c r="N149" i="14"/>
  <c r="N152" i="14" s="1"/>
  <c r="M149" i="14"/>
  <c r="M152" i="14" s="1"/>
  <c r="L149" i="14"/>
  <c r="L152" i="14" s="1"/>
  <c r="K149" i="14"/>
  <c r="K152" i="14" s="1"/>
  <c r="E149" i="14"/>
  <c r="E152" i="14" s="1"/>
  <c r="FK148" i="14"/>
  <c r="FJ148" i="14"/>
  <c r="FI148" i="14"/>
  <c r="FH148" i="14"/>
  <c r="FG148" i="14"/>
  <c r="FF148" i="14"/>
  <c r="FE148" i="14"/>
  <c r="FD148" i="14"/>
  <c r="FC148" i="14"/>
  <c r="FB148" i="14"/>
  <c r="FA148" i="14"/>
  <c r="EZ148" i="14"/>
  <c r="EY148" i="14"/>
  <c r="EQ148" i="14"/>
  <c r="EP148" i="14"/>
  <c r="EO148" i="14"/>
  <c r="EN148" i="14"/>
  <c r="EM148" i="14"/>
  <c r="EL148" i="14"/>
  <c r="EK148" i="14"/>
  <c r="EJ148" i="14"/>
  <c r="EI148" i="14"/>
  <c r="EH148" i="14"/>
  <c r="EG148" i="14"/>
  <c r="EF148" i="14"/>
  <c r="EE148" i="14"/>
  <c r="ED148" i="14"/>
  <c r="EC148" i="14"/>
  <c r="EA148" i="14"/>
  <c r="DZ148" i="14"/>
  <c r="DX148" i="14"/>
  <c r="DW148" i="14"/>
  <c r="DV148" i="14"/>
  <c r="DU148" i="14"/>
  <c r="DT148" i="14"/>
  <c r="DS148" i="14"/>
  <c r="DR148" i="14"/>
  <c r="DQ148" i="14"/>
  <c r="DP148" i="14"/>
  <c r="DN148" i="14"/>
  <c r="DM148" i="14"/>
  <c r="DL148" i="14"/>
  <c r="DK148" i="14"/>
  <c r="DJ148" i="14"/>
  <c r="DI148" i="14"/>
  <c r="DH148" i="14"/>
  <c r="DG148" i="14"/>
  <c r="DF148" i="14"/>
  <c r="DD148" i="14"/>
  <c r="DC148" i="14"/>
  <c r="DB148" i="14"/>
  <c r="DA148" i="14"/>
  <c r="CZ148" i="14"/>
  <c r="CY148" i="14"/>
  <c r="CX148" i="14"/>
  <c r="CW148" i="14"/>
  <c r="CV148" i="14"/>
  <c r="CT148" i="14"/>
  <c r="CS148" i="14"/>
  <c r="CR148" i="14"/>
  <c r="CQ148" i="14"/>
  <c r="CP148" i="14"/>
  <c r="CO148" i="14"/>
  <c r="CN148" i="14"/>
  <c r="CM148" i="14"/>
  <c r="CL148" i="14"/>
  <c r="CJ148" i="14"/>
  <c r="CI148" i="14"/>
  <c r="CH148" i="14"/>
  <c r="CG148" i="14"/>
  <c r="CF148" i="14"/>
  <c r="CE148" i="14"/>
  <c r="CD148" i="14"/>
  <c r="CC148" i="14"/>
  <c r="CB148" i="14"/>
  <c r="BZ148" i="14"/>
  <c r="BY148" i="14"/>
  <c r="BX148" i="14"/>
  <c r="BW148" i="14"/>
  <c r="BV148" i="14"/>
  <c r="BU148" i="14"/>
  <c r="BT148" i="14"/>
  <c r="BS148" i="14"/>
  <c r="BR148" i="14"/>
  <c r="BP148" i="14"/>
  <c r="BO148" i="14"/>
  <c r="BN148" i="14"/>
  <c r="BM148" i="14"/>
  <c r="BL148" i="14"/>
  <c r="BK148" i="14"/>
  <c r="BJ148" i="14"/>
  <c r="BI148" i="14"/>
  <c r="BH148" i="14"/>
  <c r="BF148" i="14"/>
  <c r="BE148" i="14"/>
  <c r="BD148" i="14"/>
  <c r="BC148" i="14"/>
  <c r="BB148" i="14"/>
  <c r="BA148" i="14"/>
  <c r="AZ148" i="14"/>
  <c r="AY148" i="14"/>
  <c r="AX148" i="14"/>
  <c r="AV148" i="14"/>
  <c r="AU148" i="14"/>
  <c r="AT148" i="14"/>
  <c r="AS148" i="14"/>
  <c r="AR148" i="14"/>
  <c r="AQ148" i="14"/>
  <c r="AP148" i="14"/>
  <c r="AO148" i="14"/>
  <c r="AN148" i="14"/>
  <c r="AJ148" i="14"/>
  <c r="AI148" i="14"/>
  <c r="AH148" i="14"/>
  <c r="AG148" i="14"/>
  <c r="AF148" i="14"/>
  <c r="AE148" i="14"/>
  <c r="AD148" i="14"/>
  <c r="AC148" i="14"/>
  <c r="V148" i="14"/>
  <c r="U148" i="14"/>
  <c r="R148" i="14"/>
  <c r="Q148" i="14"/>
  <c r="P148" i="14"/>
  <c r="O148" i="14"/>
  <c r="N148" i="14"/>
  <c r="M148" i="14"/>
  <c r="L148" i="14"/>
  <c r="K148" i="14"/>
  <c r="E148" i="14"/>
  <c r="FK147" i="14"/>
  <c r="FJ147" i="14"/>
  <c r="FI147" i="14"/>
  <c r="FH147" i="14"/>
  <c r="FG147" i="14"/>
  <c r="FF147" i="14"/>
  <c r="FE147" i="14"/>
  <c r="FD147" i="14"/>
  <c r="FC147" i="14"/>
  <c r="FB147" i="14"/>
  <c r="FA147" i="14"/>
  <c r="EZ147" i="14"/>
  <c r="EY147" i="14"/>
  <c r="EQ147" i="14"/>
  <c r="EP147" i="14"/>
  <c r="EO147" i="14"/>
  <c r="EN147" i="14"/>
  <c r="EM147" i="14"/>
  <c r="EL147" i="14"/>
  <c r="EK147" i="14"/>
  <c r="EJ147" i="14"/>
  <c r="EI147" i="14"/>
  <c r="EH147" i="14"/>
  <c r="EG147" i="14"/>
  <c r="EF147" i="14"/>
  <c r="EE147" i="14"/>
  <c r="ED147" i="14"/>
  <c r="EC147" i="14"/>
  <c r="EA147" i="14"/>
  <c r="DZ147" i="14"/>
  <c r="DX147" i="14"/>
  <c r="DW147" i="14"/>
  <c r="DV147" i="14"/>
  <c r="DU147" i="14"/>
  <c r="DT147" i="14"/>
  <c r="DS147" i="14"/>
  <c r="DR147" i="14"/>
  <c r="DQ147" i="14"/>
  <c r="DP147" i="14"/>
  <c r="DN147" i="14"/>
  <c r="DM147" i="14"/>
  <c r="DL147" i="14"/>
  <c r="DK147" i="14"/>
  <c r="DJ147" i="14"/>
  <c r="DI147" i="14"/>
  <c r="DH147" i="14"/>
  <c r="DG147" i="14"/>
  <c r="DF147" i="14"/>
  <c r="DD147" i="14"/>
  <c r="DC147" i="14"/>
  <c r="DB147" i="14"/>
  <c r="DA147" i="14"/>
  <c r="CZ147" i="14"/>
  <c r="CY147" i="14"/>
  <c r="CX147" i="14"/>
  <c r="CW147" i="14"/>
  <c r="CV147" i="14"/>
  <c r="CT147" i="14"/>
  <c r="CS147" i="14"/>
  <c r="CR147" i="14"/>
  <c r="CQ147" i="14"/>
  <c r="CP147" i="14"/>
  <c r="CO147" i="14"/>
  <c r="CN147" i="14"/>
  <c r="CM147" i="14"/>
  <c r="CL147" i="14"/>
  <c r="CJ147" i="14"/>
  <c r="CI147" i="14"/>
  <c r="CH147" i="14"/>
  <c r="CG147" i="14"/>
  <c r="CF147" i="14"/>
  <c r="CE147" i="14"/>
  <c r="CD147" i="14"/>
  <c r="CC147" i="14"/>
  <c r="CB147" i="14"/>
  <c r="BZ147" i="14"/>
  <c r="BY147" i="14"/>
  <c r="BX147" i="14"/>
  <c r="BW147" i="14"/>
  <c r="BV147" i="14"/>
  <c r="BU147" i="14"/>
  <c r="BT147" i="14"/>
  <c r="BS147" i="14"/>
  <c r="BR147" i="14"/>
  <c r="BP147" i="14"/>
  <c r="BO147" i="14"/>
  <c r="BN147" i="14"/>
  <c r="BM147" i="14"/>
  <c r="BL147" i="14"/>
  <c r="BK147" i="14"/>
  <c r="BJ147" i="14"/>
  <c r="BI147" i="14"/>
  <c r="BH147" i="14"/>
  <c r="BF147" i="14"/>
  <c r="BE147" i="14"/>
  <c r="BD147" i="14"/>
  <c r="BC147" i="14"/>
  <c r="BB147" i="14"/>
  <c r="BA147" i="14"/>
  <c r="AZ147" i="14"/>
  <c r="AY147" i="14"/>
  <c r="AX147" i="14"/>
  <c r="AV147" i="14"/>
  <c r="AU147" i="14"/>
  <c r="AT147" i="14"/>
  <c r="AS147" i="14"/>
  <c r="AR147" i="14"/>
  <c r="AQ147" i="14"/>
  <c r="AP147" i="14"/>
  <c r="AO147" i="14"/>
  <c r="AN147" i="14"/>
  <c r="AJ147" i="14"/>
  <c r="AI147" i="14"/>
  <c r="AH147" i="14"/>
  <c r="AG147" i="14"/>
  <c r="AF147" i="14"/>
  <c r="AE147" i="14"/>
  <c r="AD147" i="14"/>
  <c r="AC147" i="14"/>
  <c r="V147" i="14"/>
  <c r="U147" i="14"/>
  <c r="R147" i="14"/>
  <c r="Q147" i="14"/>
  <c r="P147" i="14"/>
  <c r="O147" i="14"/>
  <c r="N147" i="14"/>
  <c r="M147" i="14"/>
  <c r="L147" i="14"/>
  <c r="K147" i="14"/>
  <c r="E147" i="14"/>
  <c r="FK146" i="14"/>
  <c r="FJ146" i="14"/>
  <c r="FI146" i="14"/>
  <c r="FH146" i="14"/>
  <c r="FG146" i="14"/>
  <c r="FF146" i="14"/>
  <c r="FE146" i="14"/>
  <c r="FD146" i="14"/>
  <c r="FC146" i="14"/>
  <c r="FB146" i="14"/>
  <c r="FA146" i="14"/>
  <c r="EZ146" i="14"/>
  <c r="EY146" i="14"/>
  <c r="EQ146" i="14"/>
  <c r="EP146" i="14"/>
  <c r="EO146" i="14"/>
  <c r="EN146" i="14"/>
  <c r="EM146" i="14"/>
  <c r="EL146" i="14"/>
  <c r="EK146" i="14"/>
  <c r="EJ146" i="14"/>
  <c r="EI146" i="14"/>
  <c r="EH146" i="14"/>
  <c r="EG146" i="14"/>
  <c r="EF146" i="14"/>
  <c r="EE146" i="14"/>
  <c r="ED146" i="14"/>
  <c r="EC146" i="14"/>
  <c r="EA146" i="14"/>
  <c r="DZ146" i="14"/>
  <c r="DX146" i="14"/>
  <c r="DW146" i="14"/>
  <c r="DV146" i="14"/>
  <c r="DU146" i="14"/>
  <c r="DT146" i="14"/>
  <c r="DS146" i="14"/>
  <c r="DR146" i="14"/>
  <c r="DQ146" i="14"/>
  <c r="DP146" i="14"/>
  <c r="DN146" i="14"/>
  <c r="DM146" i="14"/>
  <c r="DL146" i="14"/>
  <c r="DK146" i="14"/>
  <c r="DJ146" i="14"/>
  <c r="DI146" i="14"/>
  <c r="DH146" i="14"/>
  <c r="DG146" i="14"/>
  <c r="DF146" i="14"/>
  <c r="DD146" i="14"/>
  <c r="DC146" i="14"/>
  <c r="DB146" i="14"/>
  <c r="DA146" i="14"/>
  <c r="CZ146" i="14"/>
  <c r="CY146" i="14"/>
  <c r="CX146" i="14"/>
  <c r="CW146" i="14"/>
  <c r="CV146" i="14"/>
  <c r="CT146" i="14"/>
  <c r="CS146" i="14"/>
  <c r="CR146" i="14"/>
  <c r="CQ146" i="14"/>
  <c r="CP146" i="14"/>
  <c r="CO146" i="14"/>
  <c r="CN146" i="14"/>
  <c r="CM146" i="14"/>
  <c r="CL146" i="14"/>
  <c r="CJ146" i="14"/>
  <c r="CI146" i="14"/>
  <c r="CH146" i="14"/>
  <c r="CG146" i="14"/>
  <c r="CF146" i="14"/>
  <c r="CE146" i="14"/>
  <c r="CD146" i="14"/>
  <c r="CC146" i="14"/>
  <c r="CB146" i="14"/>
  <c r="BZ146" i="14"/>
  <c r="BY146" i="14"/>
  <c r="BX146" i="14"/>
  <c r="BW146" i="14"/>
  <c r="BV146" i="14"/>
  <c r="BU146" i="14"/>
  <c r="BT146" i="14"/>
  <c r="BS146" i="14"/>
  <c r="BR146" i="14"/>
  <c r="BP146" i="14"/>
  <c r="BO146" i="14"/>
  <c r="BN146" i="14"/>
  <c r="BM146" i="14"/>
  <c r="BL146" i="14"/>
  <c r="BK146" i="14"/>
  <c r="BJ146" i="14"/>
  <c r="BI146" i="14"/>
  <c r="BH146" i="14"/>
  <c r="BF146" i="14"/>
  <c r="BE146" i="14"/>
  <c r="BD146" i="14"/>
  <c r="BC146" i="14"/>
  <c r="BB146" i="14"/>
  <c r="BA146" i="14"/>
  <c r="AZ146" i="14"/>
  <c r="AY146" i="14"/>
  <c r="AX146" i="14"/>
  <c r="AV146" i="14"/>
  <c r="AU146" i="14"/>
  <c r="AT146" i="14"/>
  <c r="AS146" i="14"/>
  <c r="AR146" i="14"/>
  <c r="AQ146" i="14"/>
  <c r="AP146" i="14"/>
  <c r="AO146" i="14"/>
  <c r="AN146" i="14"/>
  <c r="AJ146" i="14"/>
  <c r="AI146" i="14"/>
  <c r="AH146" i="14"/>
  <c r="AG146" i="14"/>
  <c r="AF146" i="14"/>
  <c r="AE146" i="14"/>
  <c r="AD146" i="14"/>
  <c r="AC146" i="14"/>
  <c r="V146" i="14"/>
  <c r="U146" i="14"/>
  <c r="R146" i="14"/>
  <c r="Q146" i="14"/>
  <c r="P146" i="14"/>
  <c r="O146" i="14"/>
  <c r="N146" i="14"/>
  <c r="M146" i="14"/>
  <c r="L146" i="14"/>
  <c r="K146" i="14"/>
  <c r="E146" i="14"/>
  <c r="FK145" i="14"/>
  <c r="FJ145" i="14"/>
  <c r="FI145" i="14"/>
  <c r="FH145" i="14"/>
  <c r="FG145" i="14"/>
  <c r="FF145" i="14"/>
  <c r="FE145" i="14"/>
  <c r="FD145" i="14"/>
  <c r="FC145" i="14"/>
  <c r="FB145" i="14"/>
  <c r="FA145" i="14"/>
  <c r="EZ145" i="14"/>
  <c r="EY145" i="14"/>
  <c r="EQ145" i="14"/>
  <c r="EP145" i="14"/>
  <c r="EO145" i="14"/>
  <c r="EN145" i="14"/>
  <c r="EM145" i="14"/>
  <c r="EL145" i="14"/>
  <c r="EK145" i="14"/>
  <c r="EJ145" i="14"/>
  <c r="EI145" i="14"/>
  <c r="EH145" i="14"/>
  <c r="EG145" i="14"/>
  <c r="EF145" i="14"/>
  <c r="EE145" i="14"/>
  <c r="ED145" i="14"/>
  <c r="EC145" i="14"/>
  <c r="EA145" i="14"/>
  <c r="DZ145" i="14"/>
  <c r="DX145" i="14"/>
  <c r="DW145" i="14"/>
  <c r="DV145" i="14"/>
  <c r="DU145" i="14"/>
  <c r="DT145" i="14"/>
  <c r="DS145" i="14"/>
  <c r="DR145" i="14"/>
  <c r="DQ145" i="14"/>
  <c r="DP145" i="14"/>
  <c r="DN145" i="14"/>
  <c r="DM145" i="14"/>
  <c r="DL145" i="14"/>
  <c r="DK145" i="14"/>
  <c r="DJ145" i="14"/>
  <c r="DI145" i="14"/>
  <c r="DH145" i="14"/>
  <c r="DG145" i="14"/>
  <c r="DF145" i="14"/>
  <c r="DD145" i="14"/>
  <c r="DC145" i="14"/>
  <c r="DB145" i="14"/>
  <c r="DA145" i="14"/>
  <c r="CZ145" i="14"/>
  <c r="CY145" i="14"/>
  <c r="CX145" i="14"/>
  <c r="CW145" i="14"/>
  <c r="CV145" i="14"/>
  <c r="CT145" i="14"/>
  <c r="CS145" i="14"/>
  <c r="CR145" i="14"/>
  <c r="CQ145" i="14"/>
  <c r="CP145" i="14"/>
  <c r="CO145" i="14"/>
  <c r="CN145" i="14"/>
  <c r="CM145" i="14"/>
  <c r="CL145" i="14"/>
  <c r="CJ145" i="14"/>
  <c r="CI145" i="14"/>
  <c r="CH145" i="14"/>
  <c r="CG145" i="14"/>
  <c r="CF145" i="14"/>
  <c r="CE145" i="14"/>
  <c r="CD145" i="14"/>
  <c r="CC145" i="14"/>
  <c r="CB145" i="14"/>
  <c r="BZ145" i="14"/>
  <c r="BY145" i="14"/>
  <c r="BX145" i="14"/>
  <c r="BW145" i="14"/>
  <c r="BV145" i="14"/>
  <c r="BU145" i="14"/>
  <c r="BT145" i="14"/>
  <c r="BS145" i="14"/>
  <c r="BR145" i="14"/>
  <c r="BP145" i="14"/>
  <c r="BO145" i="14"/>
  <c r="BN145" i="14"/>
  <c r="BM145" i="14"/>
  <c r="BL145" i="14"/>
  <c r="BK145" i="14"/>
  <c r="BJ145" i="14"/>
  <c r="BI145" i="14"/>
  <c r="BH145" i="14"/>
  <c r="BF145" i="14"/>
  <c r="BE145" i="14"/>
  <c r="BD145" i="14"/>
  <c r="BC145" i="14"/>
  <c r="BB145" i="14"/>
  <c r="BA145" i="14"/>
  <c r="AZ145" i="14"/>
  <c r="AY145" i="14"/>
  <c r="AX145" i="14"/>
  <c r="AV145" i="14"/>
  <c r="AU145" i="14"/>
  <c r="AT145" i="14"/>
  <c r="AS145" i="14"/>
  <c r="AR145" i="14"/>
  <c r="AQ145" i="14"/>
  <c r="AP145" i="14"/>
  <c r="AO145" i="14"/>
  <c r="AN145" i="14"/>
  <c r="AJ145" i="14"/>
  <c r="AI145" i="14"/>
  <c r="AH145" i="14"/>
  <c r="AG145" i="14"/>
  <c r="AF145" i="14"/>
  <c r="AE145" i="14"/>
  <c r="AD145" i="14"/>
  <c r="AC145" i="14"/>
  <c r="V145" i="14"/>
  <c r="U145" i="14"/>
  <c r="R145" i="14"/>
  <c r="Q145" i="14"/>
  <c r="P145" i="14"/>
  <c r="O145" i="14"/>
  <c r="N145" i="14"/>
  <c r="M145" i="14"/>
  <c r="L145" i="14"/>
  <c r="K145" i="14"/>
  <c r="E145" i="14"/>
  <c r="FK144" i="14"/>
  <c r="FJ144" i="14"/>
  <c r="FI144" i="14"/>
  <c r="FH144" i="14"/>
  <c r="FG144" i="14"/>
  <c r="FF144" i="14"/>
  <c r="FE144" i="14"/>
  <c r="FD144" i="14"/>
  <c r="FC144" i="14"/>
  <c r="FB144" i="14"/>
  <c r="FA144" i="14"/>
  <c r="EZ144" i="14"/>
  <c r="EY144" i="14"/>
  <c r="EQ144" i="14"/>
  <c r="EP144" i="14"/>
  <c r="EO144" i="14"/>
  <c r="EN144" i="14"/>
  <c r="EM144" i="14"/>
  <c r="EL144" i="14"/>
  <c r="EK144" i="14"/>
  <c r="EJ144" i="14"/>
  <c r="EI144" i="14"/>
  <c r="EH144" i="14"/>
  <c r="EG144" i="14"/>
  <c r="EF144" i="14"/>
  <c r="EE144" i="14"/>
  <c r="ED144" i="14"/>
  <c r="EC144" i="14"/>
  <c r="EA144" i="14"/>
  <c r="DZ144" i="14"/>
  <c r="DX144" i="14"/>
  <c r="DW144" i="14"/>
  <c r="DV144" i="14"/>
  <c r="DU144" i="14"/>
  <c r="DT144" i="14"/>
  <c r="DS144" i="14"/>
  <c r="DR144" i="14"/>
  <c r="DQ144" i="14"/>
  <c r="DP144" i="14"/>
  <c r="DN144" i="14"/>
  <c r="DM144" i="14"/>
  <c r="DL144" i="14"/>
  <c r="DK144" i="14"/>
  <c r="DJ144" i="14"/>
  <c r="DI144" i="14"/>
  <c r="DH144" i="14"/>
  <c r="DG144" i="14"/>
  <c r="DF144" i="14"/>
  <c r="DD144" i="14"/>
  <c r="DC144" i="14"/>
  <c r="DB144" i="14"/>
  <c r="DA144" i="14"/>
  <c r="CZ144" i="14"/>
  <c r="CY144" i="14"/>
  <c r="CX144" i="14"/>
  <c r="CW144" i="14"/>
  <c r="CV144" i="14"/>
  <c r="CT144" i="14"/>
  <c r="CS144" i="14"/>
  <c r="CR144" i="14"/>
  <c r="CQ144" i="14"/>
  <c r="CP144" i="14"/>
  <c r="CO144" i="14"/>
  <c r="CN144" i="14"/>
  <c r="CM144" i="14"/>
  <c r="CL144" i="14"/>
  <c r="CJ144" i="14"/>
  <c r="CI144" i="14"/>
  <c r="CH144" i="14"/>
  <c r="CG144" i="14"/>
  <c r="CF144" i="14"/>
  <c r="CE144" i="14"/>
  <c r="CD144" i="14"/>
  <c r="CC144" i="14"/>
  <c r="CB144" i="14"/>
  <c r="BZ144" i="14"/>
  <c r="BY144" i="14"/>
  <c r="BX144" i="14"/>
  <c r="BW144" i="14"/>
  <c r="BV144" i="14"/>
  <c r="BU144" i="14"/>
  <c r="BT144" i="14"/>
  <c r="BS144" i="14"/>
  <c r="BR144" i="14"/>
  <c r="BP144" i="14"/>
  <c r="BO144" i="14"/>
  <c r="BN144" i="14"/>
  <c r="BM144" i="14"/>
  <c r="BL144" i="14"/>
  <c r="BK144" i="14"/>
  <c r="BJ144" i="14"/>
  <c r="BI144" i="14"/>
  <c r="BH144" i="14"/>
  <c r="BF144" i="14"/>
  <c r="BE144" i="14"/>
  <c r="BD144" i="14"/>
  <c r="BC144" i="14"/>
  <c r="BB144" i="14"/>
  <c r="BA144" i="14"/>
  <c r="AZ144" i="14"/>
  <c r="AY144" i="14"/>
  <c r="AX144" i="14"/>
  <c r="AV144" i="14"/>
  <c r="AU144" i="14"/>
  <c r="AT144" i="14"/>
  <c r="AS144" i="14"/>
  <c r="AR144" i="14"/>
  <c r="AQ144" i="14"/>
  <c r="AP144" i="14"/>
  <c r="AO144" i="14"/>
  <c r="AN144" i="14"/>
  <c r="AJ144" i="14"/>
  <c r="AI144" i="14"/>
  <c r="AH144" i="14"/>
  <c r="AG144" i="14"/>
  <c r="AF144" i="14"/>
  <c r="AE144" i="14"/>
  <c r="AD144" i="14"/>
  <c r="AC144" i="14"/>
  <c r="V144" i="14"/>
  <c r="U144" i="14"/>
  <c r="R144" i="14"/>
  <c r="Q144" i="14"/>
  <c r="P144" i="14"/>
  <c r="O144" i="14"/>
  <c r="N144" i="14"/>
  <c r="M144" i="14"/>
  <c r="L144" i="14"/>
  <c r="K144" i="14"/>
  <c r="E144" i="14"/>
  <c r="FK143" i="14"/>
  <c r="FJ143" i="14"/>
  <c r="FI143" i="14"/>
  <c r="FH143" i="14"/>
  <c r="FG143" i="14"/>
  <c r="FF143" i="14"/>
  <c r="FE143" i="14"/>
  <c r="FD143" i="14"/>
  <c r="FC143" i="14"/>
  <c r="FB143" i="14"/>
  <c r="FA143" i="14"/>
  <c r="EZ143" i="14"/>
  <c r="EY143" i="14"/>
  <c r="EQ143" i="14"/>
  <c r="EP143" i="14"/>
  <c r="EO143" i="14"/>
  <c r="EN143" i="14"/>
  <c r="EM143" i="14"/>
  <c r="EL143" i="14"/>
  <c r="EK143" i="14"/>
  <c r="EJ143" i="14"/>
  <c r="EI143" i="14"/>
  <c r="EH143" i="14"/>
  <c r="EG143" i="14"/>
  <c r="EF143" i="14"/>
  <c r="EE143" i="14"/>
  <c r="ED143" i="14"/>
  <c r="EC143" i="14"/>
  <c r="EA143" i="14"/>
  <c r="DZ143" i="14"/>
  <c r="DX143" i="14"/>
  <c r="DW143" i="14"/>
  <c r="DV143" i="14"/>
  <c r="DU143" i="14"/>
  <c r="DT143" i="14"/>
  <c r="DS143" i="14"/>
  <c r="DR143" i="14"/>
  <c r="DQ143" i="14"/>
  <c r="DP143" i="14"/>
  <c r="DO143" i="14"/>
  <c r="DN143" i="14"/>
  <c r="DM143" i="14"/>
  <c r="DL143" i="14"/>
  <c r="DK143" i="14"/>
  <c r="DJ143" i="14"/>
  <c r="DI143" i="14"/>
  <c r="DH143" i="14"/>
  <c r="DG143" i="14"/>
  <c r="DF143" i="14"/>
  <c r="DE143" i="14"/>
  <c r="DD143" i="14"/>
  <c r="DC143" i="14"/>
  <c r="DB143" i="14"/>
  <c r="DA143" i="14"/>
  <c r="CZ143" i="14"/>
  <c r="CY143" i="14"/>
  <c r="CX143" i="14"/>
  <c r="CW143" i="14"/>
  <c r="CV143" i="14"/>
  <c r="CU143" i="14"/>
  <c r="CT143" i="14"/>
  <c r="CS143" i="14"/>
  <c r="CR143" i="14"/>
  <c r="CQ143" i="14"/>
  <c r="CP143" i="14"/>
  <c r="CO143" i="14"/>
  <c r="CN143" i="14"/>
  <c r="CM143" i="14"/>
  <c r="CL143" i="14"/>
  <c r="CK143" i="14"/>
  <c r="CJ143" i="14"/>
  <c r="CI143" i="14"/>
  <c r="CH143" i="14"/>
  <c r="CG143" i="14"/>
  <c r="CF143" i="14"/>
  <c r="CE143" i="14"/>
  <c r="CD143" i="14"/>
  <c r="CC143" i="14"/>
  <c r="CB143" i="14"/>
  <c r="CA143" i="14"/>
  <c r="BZ143" i="14"/>
  <c r="BY143" i="14"/>
  <c r="BX143" i="14"/>
  <c r="BW143" i="14"/>
  <c r="BV143" i="14"/>
  <c r="BU143" i="14"/>
  <c r="BT143" i="14"/>
  <c r="BS143" i="14"/>
  <c r="BR143" i="14"/>
  <c r="BQ143" i="14"/>
  <c r="BP143" i="14"/>
  <c r="BO143" i="14"/>
  <c r="BN143" i="14"/>
  <c r="BM143" i="14"/>
  <c r="BL143" i="14"/>
  <c r="BK143" i="14"/>
  <c r="BJ143" i="14"/>
  <c r="BI143" i="14"/>
  <c r="BH143" i="14"/>
  <c r="BG143" i="14"/>
  <c r="BF143" i="14"/>
  <c r="BE143" i="14"/>
  <c r="BD143" i="14"/>
  <c r="BC143" i="14"/>
  <c r="BB143" i="14"/>
  <c r="BA143" i="14"/>
  <c r="AZ143" i="14"/>
  <c r="AY143" i="14"/>
  <c r="AX143" i="14"/>
  <c r="AW143" i="14"/>
  <c r="AV143" i="14"/>
  <c r="AU143" i="14"/>
  <c r="AT143" i="14"/>
  <c r="AS143" i="14"/>
  <c r="AR143" i="14"/>
  <c r="AQ143" i="14"/>
  <c r="AP143" i="14"/>
  <c r="AO143" i="14"/>
  <c r="AN143" i="14"/>
  <c r="AM143" i="14"/>
  <c r="AL143" i="14"/>
  <c r="AK143" i="14"/>
  <c r="AJ143" i="14"/>
  <c r="AI143" i="14"/>
  <c r="AH143" i="14"/>
  <c r="AG143" i="14"/>
  <c r="AF143" i="14"/>
  <c r="AE143" i="14"/>
  <c r="AD143" i="14"/>
  <c r="AC143" i="14"/>
  <c r="AA143" i="14"/>
  <c r="Z143" i="14"/>
  <c r="Y143" i="14"/>
  <c r="X143" i="14"/>
  <c r="W143" i="14"/>
  <c r="V143" i="14"/>
  <c r="U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E143" i="14"/>
  <c r="A143" i="14"/>
  <c r="DY146" i="14"/>
  <c r="BM152" i="14" l="1"/>
  <c r="V57" i="2"/>
  <c r="EH152" i="14"/>
  <c r="FF152" i="14"/>
  <c r="Q152" i="14"/>
  <c r="V61" i="2"/>
  <c r="CM152" i="14"/>
  <c r="E54" i="2"/>
  <c r="E62" i="2"/>
  <c r="L62" i="2" s="1"/>
  <c r="E55" i="2"/>
  <c r="L55" i="2" s="1"/>
  <c r="FE152" i="14"/>
  <c r="E67" i="2"/>
  <c r="L67" i="2" s="1"/>
  <c r="Y55" i="2"/>
  <c r="AC55" i="2" s="1"/>
  <c r="L60" i="2"/>
  <c r="FC152" i="14"/>
  <c r="DD152" i="14"/>
  <c r="Y56" i="2"/>
  <c r="AC56" i="2" s="1"/>
  <c r="E68" i="2"/>
  <c r="L68" i="2" s="1"/>
  <c r="E56" i="2"/>
  <c r="L56" i="2" s="1"/>
  <c r="E66" i="2"/>
  <c r="L66" i="2" s="1"/>
  <c r="V55" i="2"/>
  <c r="V59" i="2"/>
  <c r="Y54" i="2"/>
  <c r="AC54" i="2" s="1"/>
  <c r="E57" i="2"/>
  <c r="L57" i="2" s="1"/>
  <c r="L58" i="2"/>
  <c r="V60" i="2"/>
  <c r="AB54" i="2"/>
  <c r="AB55" i="2"/>
  <c r="V63" i="2"/>
  <c r="V54" i="2"/>
  <c r="L63" i="2"/>
  <c r="L61" i="2"/>
  <c r="L59" i="2"/>
  <c r="L54" i="2"/>
  <c r="AB56" i="2"/>
  <c r="FR153" i="14"/>
  <c r="FR149" i="14"/>
  <c r="FR148" i="14"/>
  <c r="FR147" i="14"/>
  <c r="AB153" i="14"/>
  <c r="AB149" i="14"/>
  <c r="AB148" i="14"/>
  <c r="AB147" i="14"/>
  <c r="DY143" i="14"/>
  <c r="AB144" i="14"/>
  <c r="DY144" i="14"/>
  <c r="AB145" i="14"/>
  <c r="DY145" i="14"/>
  <c r="AB146" i="14"/>
  <c r="EB153" i="14"/>
  <c r="EB149" i="14"/>
  <c r="EB148" i="14"/>
  <c r="EB147" i="14"/>
  <c r="EX153" i="14"/>
  <c r="EX149" i="14"/>
  <c r="EX148" i="14"/>
  <c r="EX147" i="14"/>
  <c r="DY153" i="14"/>
  <c r="DY149" i="14"/>
  <c r="DY148" i="14"/>
  <c r="DY147" i="14"/>
  <c r="J153" i="14"/>
  <c r="J149" i="14"/>
  <c r="J148" i="14"/>
  <c r="J147" i="14"/>
  <c r="J143" i="14"/>
  <c r="AB143" i="14"/>
  <c r="EB143" i="14"/>
  <c r="EX143" i="14"/>
  <c r="FR143" i="14"/>
  <c r="J144" i="14"/>
  <c r="EB144" i="14"/>
  <c r="EX144" i="14"/>
  <c r="FR144" i="14"/>
  <c r="J145" i="14"/>
  <c r="EB145" i="14"/>
  <c r="EX145" i="14"/>
  <c r="FR145" i="14"/>
  <c r="J146" i="14"/>
  <c r="EB146" i="14"/>
  <c r="EX146" i="14"/>
  <c r="FR146" i="14"/>
  <c r="L150" i="14"/>
  <c r="N150" i="14"/>
  <c r="P150" i="14"/>
  <c r="R150" i="14"/>
  <c r="V150" i="14"/>
  <c r="AC150" i="14"/>
  <c r="AE150" i="14"/>
  <c r="AG150" i="14"/>
  <c r="AI150" i="14"/>
  <c r="AN150" i="14"/>
  <c r="AP150" i="14"/>
  <c r="AR150" i="14"/>
  <c r="AT150" i="14"/>
  <c r="AV150" i="14"/>
  <c r="AY150" i="14"/>
  <c r="BA150" i="14"/>
  <c r="BC150" i="14"/>
  <c r="BE150" i="14"/>
  <c r="BH150" i="14"/>
  <c r="BJ150" i="14"/>
  <c r="BL150" i="14"/>
  <c r="BN150" i="14"/>
  <c r="BP150" i="14"/>
  <c r="BS150" i="14"/>
  <c r="BU150" i="14"/>
  <c r="BW150" i="14"/>
  <c r="BY150" i="14"/>
  <c r="CB150" i="14"/>
  <c r="CD150" i="14"/>
  <c r="CF150" i="14"/>
  <c r="CH150" i="14"/>
  <c r="CJ150" i="14"/>
  <c r="CM150" i="14"/>
  <c r="CO150" i="14"/>
  <c r="CQ150" i="14"/>
  <c r="CS150" i="14"/>
  <c r="CV150" i="14"/>
  <c r="CX150" i="14"/>
  <c r="CZ150" i="14"/>
  <c r="DB150" i="14"/>
  <c r="DD150" i="14"/>
  <c r="DG150" i="14"/>
  <c r="DI150" i="14"/>
  <c r="DK150" i="14"/>
  <c r="DM150" i="14"/>
  <c r="DP150" i="14"/>
  <c r="DR150" i="14"/>
  <c r="DT150" i="14"/>
  <c r="DV150" i="14"/>
  <c r="DX150" i="14"/>
  <c r="DZ150" i="14"/>
  <c r="ED150" i="14"/>
  <c r="EF150" i="14"/>
  <c r="EH150" i="14"/>
  <c r="EJ150" i="14"/>
  <c r="EL150" i="14"/>
  <c r="EN150" i="14"/>
  <c r="EP150" i="14"/>
  <c r="EZ150" i="14"/>
  <c r="FB150" i="14"/>
  <c r="FD150" i="14"/>
  <c r="FF150" i="14"/>
  <c r="FH150" i="14"/>
  <c r="FJ150" i="14"/>
  <c r="L151" i="14"/>
  <c r="N151" i="14"/>
  <c r="P151" i="14"/>
  <c r="R151" i="14"/>
  <c r="V151" i="14"/>
  <c r="AC151" i="14"/>
  <c r="AE151" i="14"/>
  <c r="AG151" i="14"/>
  <c r="AI151" i="14"/>
  <c r="AN151" i="14"/>
  <c r="AP151" i="14"/>
  <c r="AR151" i="14"/>
  <c r="AT151" i="14"/>
  <c r="AV151" i="14"/>
  <c r="AY151" i="14"/>
  <c r="BA151" i="14"/>
  <c r="BC151" i="14"/>
  <c r="BE151" i="14"/>
  <c r="BH151" i="14"/>
  <c r="BJ151" i="14"/>
  <c r="BL151" i="14"/>
  <c r="BN151" i="14"/>
  <c r="BP151" i="14"/>
  <c r="BS151" i="14"/>
  <c r="BU151" i="14"/>
  <c r="BW151" i="14"/>
  <c r="BY151" i="14"/>
  <c r="CB151" i="14"/>
  <c r="CD151" i="14"/>
  <c r="CF151" i="14"/>
  <c r="CH151" i="14"/>
  <c r="CJ151" i="14"/>
  <c r="CM151" i="14"/>
  <c r="CO151" i="14"/>
  <c r="CQ151" i="14"/>
  <c r="CS151" i="14"/>
  <c r="CV151" i="14"/>
  <c r="CX151" i="14"/>
  <c r="CZ151" i="14"/>
  <c r="DB151" i="14"/>
  <c r="DD151" i="14"/>
  <c r="DG151" i="14"/>
  <c r="DI151" i="14"/>
  <c r="DK151" i="14"/>
  <c r="DM151" i="14"/>
  <c r="DP151" i="14"/>
  <c r="DR151" i="14"/>
  <c r="DT151" i="14"/>
  <c r="DV151" i="14"/>
  <c r="DX151" i="14"/>
  <c r="DZ151" i="14"/>
  <c r="ED151" i="14"/>
  <c r="EF151" i="14"/>
  <c r="EH151" i="14"/>
  <c r="EJ151" i="14"/>
  <c r="EL151" i="14"/>
  <c r="EN151" i="14"/>
  <c r="EP151" i="14"/>
  <c r="EZ151" i="14"/>
  <c r="FB151" i="14"/>
  <c r="FD151" i="14"/>
  <c r="FF151" i="14"/>
  <c r="FH151" i="14"/>
  <c r="FJ151" i="14"/>
  <c r="AF152" i="14"/>
  <c r="AJ152" i="14"/>
  <c r="AO152" i="14"/>
  <c r="AS152" i="14"/>
  <c r="AX152" i="14"/>
  <c r="N155" i="14"/>
  <c r="R155" i="14"/>
  <c r="V155" i="14"/>
  <c r="FB154" i="14"/>
  <c r="FF154" i="14"/>
  <c r="FJ154" i="14"/>
  <c r="E150" i="14"/>
  <c r="K150" i="14"/>
  <c r="M150" i="14"/>
  <c r="O150" i="14"/>
  <c r="Q150" i="14"/>
  <c r="U150" i="14"/>
  <c r="AD150" i="14"/>
  <c r="AF150" i="14"/>
  <c r="AH150" i="14"/>
  <c r="AJ150" i="14"/>
  <c r="AO150" i="14"/>
  <c r="AQ150" i="14"/>
  <c r="AS150" i="14"/>
  <c r="AU150" i="14"/>
  <c r="AX150" i="14"/>
  <c r="AZ150" i="14"/>
  <c r="BB150" i="14"/>
  <c r="BD150" i="14"/>
  <c r="BF150" i="14"/>
  <c r="BI150" i="14"/>
  <c r="BK150" i="14"/>
  <c r="BM150" i="14"/>
  <c r="BO150" i="14"/>
  <c r="BR150" i="14"/>
  <c r="BT150" i="14"/>
  <c r="BV150" i="14"/>
  <c r="BX150" i="14"/>
  <c r="BZ150" i="14"/>
  <c r="CC150" i="14"/>
  <c r="CE150" i="14"/>
  <c r="CG150" i="14"/>
  <c r="CI150" i="14"/>
  <c r="CL150" i="14"/>
  <c r="CN150" i="14"/>
  <c r="CP150" i="14"/>
  <c r="CR150" i="14"/>
  <c r="CT150" i="14"/>
  <c r="CW150" i="14"/>
  <c r="CY150" i="14"/>
  <c r="DA150" i="14"/>
  <c r="DC150" i="14"/>
  <c r="DF150" i="14"/>
  <c r="DH150" i="14"/>
  <c r="DJ150" i="14"/>
  <c r="DL150" i="14"/>
  <c r="DN150" i="14"/>
  <c r="DQ150" i="14"/>
  <c r="DS150" i="14"/>
  <c r="DU150" i="14"/>
  <c r="DW150" i="14"/>
  <c r="EA150" i="14"/>
  <c r="EC150" i="14"/>
  <c r="EE150" i="14"/>
  <c r="EG150" i="14"/>
  <c r="EI150" i="14"/>
  <c r="EK150" i="14"/>
  <c r="EM150" i="14"/>
  <c r="EO150" i="14"/>
  <c r="EQ150" i="14"/>
  <c r="EY150" i="14"/>
  <c r="FA150" i="14"/>
  <c r="FC150" i="14"/>
  <c r="FE150" i="14"/>
  <c r="FG150" i="14"/>
  <c r="FI150" i="14"/>
  <c r="FK150" i="14"/>
  <c r="E151" i="14"/>
  <c r="K151" i="14"/>
  <c r="M151" i="14"/>
  <c r="O151" i="14"/>
  <c r="Q151" i="14"/>
  <c r="U151" i="14"/>
  <c r="AD151" i="14"/>
  <c r="AH151" i="14"/>
  <c r="AQ151" i="14"/>
  <c r="AU151" i="14"/>
  <c r="AZ151" i="14"/>
  <c r="BB151" i="14"/>
  <c r="BD151" i="14"/>
  <c r="BF151" i="14"/>
  <c r="BI151" i="14"/>
  <c r="BK151" i="14"/>
  <c r="BM151" i="14"/>
  <c r="BO151" i="14"/>
  <c r="BR151" i="14"/>
  <c r="BT151" i="14"/>
  <c r="BV151" i="14"/>
  <c r="BX151" i="14"/>
  <c r="BZ151" i="14"/>
  <c r="CC151" i="14"/>
  <c r="CE151" i="14"/>
  <c r="CG151" i="14"/>
  <c r="CI151" i="14"/>
  <c r="CL151" i="14"/>
  <c r="CN151" i="14"/>
  <c r="CP151" i="14"/>
  <c r="CR151" i="14"/>
  <c r="CT151" i="14"/>
  <c r="CW151" i="14"/>
  <c r="CY151" i="14"/>
  <c r="DA151" i="14"/>
  <c r="DC151" i="14"/>
  <c r="DF151" i="14"/>
  <c r="DH151" i="14"/>
  <c r="DJ151" i="14"/>
  <c r="DL151" i="14"/>
  <c r="DN151" i="14"/>
  <c r="DQ151" i="14"/>
  <c r="DS151" i="14"/>
  <c r="DU151" i="14"/>
  <c r="DW151" i="14"/>
  <c r="EA151" i="14"/>
  <c r="EC151" i="14"/>
  <c r="EE151" i="14"/>
  <c r="EG151" i="14"/>
  <c r="EI151" i="14"/>
  <c r="EK151" i="14"/>
  <c r="EM151" i="14"/>
  <c r="EO151" i="14"/>
  <c r="EQ151" i="14"/>
  <c r="EY151" i="14"/>
  <c r="FA151" i="14"/>
  <c r="FC151" i="14"/>
  <c r="FE151" i="14"/>
  <c r="FG151" i="14"/>
  <c r="FI151" i="14"/>
  <c r="FK151" i="14"/>
  <c r="AE155" i="14"/>
  <c r="AI155" i="14"/>
  <c r="E155" i="14"/>
  <c r="E156" i="14"/>
  <c r="K156" i="14"/>
  <c r="K155" i="14"/>
  <c r="M155" i="14"/>
  <c r="M156" i="14"/>
  <c r="O156" i="14"/>
  <c r="O155" i="14"/>
  <c r="Q155" i="14"/>
  <c r="Q156" i="14"/>
  <c r="U155" i="14"/>
  <c r="U156" i="14"/>
  <c r="AD155" i="14"/>
  <c r="AD156" i="14"/>
  <c r="AF156" i="14"/>
  <c r="AF155" i="14"/>
  <c r="AH155" i="14"/>
  <c r="AH156" i="14"/>
  <c r="AJ156" i="14"/>
  <c r="AJ155" i="14"/>
  <c r="AO156" i="14"/>
  <c r="AO155" i="14"/>
  <c r="AQ155" i="14"/>
  <c r="AQ156" i="14"/>
  <c r="AS156" i="14"/>
  <c r="AS155" i="14"/>
  <c r="AU155" i="14"/>
  <c r="AU156" i="14"/>
  <c r="AX156" i="14"/>
  <c r="AX155" i="14"/>
  <c r="AZ155" i="14"/>
  <c r="AZ156" i="14"/>
  <c r="BB156" i="14"/>
  <c r="BB155" i="14"/>
  <c r="BD155" i="14"/>
  <c r="BD156" i="14"/>
  <c r="BF156" i="14"/>
  <c r="BF155" i="14"/>
  <c r="BI155" i="14"/>
  <c r="BI156" i="14"/>
  <c r="BK156" i="14"/>
  <c r="BK155" i="14"/>
  <c r="BM155" i="14"/>
  <c r="BM156" i="14"/>
  <c r="BO156" i="14"/>
  <c r="BO155" i="14"/>
  <c r="BR155" i="14"/>
  <c r="BR156" i="14"/>
  <c r="BT156" i="14"/>
  <c r="BT155" i="14"/>
  <c r="BV155" i="14"/>
  <c r="BV156" i="14"/>
  <c r="BX156" i="14"/>
  <c r="BX155" i="14"/>
  <c r="BZ155" i="14"/>
  <c r="BZ156" i="14"/>
  <c r="CC156" i="14"/>
  <c r="CC155" i="14"/>
  <c r="CE155" i="14"/>
  <c r="CE156" i="14"/>
  <c r="CG156" i="14"/>
  <c r="CG155" i="14"/>
  <c r="CI155" i="14"/>
  <c r="CI156" i="14"/>
  <c r="CL156" i="14"/>
  <c r="CL155" i="14"/>
  <c r="CN155" i="14"/>
  <c r="CN156" i="14"/>
  <c r="CP156" i="14"/>
  <c r="CP155" i="14"/>
  <c r="CR155" i="14"/>
  <c r="CR156" i="14"/>
  <c r="CT156" i="14"/>
  <c r="CT155" i="14"/>
  <c r="CW155" i="14"/>
  <c r="CW156" i="14"/>
  <c r="CY156" i="14"/>
  <c r="CY155" i="14"/>
  <c r="DA155" i="14"/>
  <c r="DA156" i="14"/>
  <c r="DC156" i="14"/>
  <c r="DC155" i="14"/>
  <c r="DF155" i="14"/>
  <c r="DF156" i="14"/>
  <c r="DH156" i="14"/>
  <c r="DH155" i="14"/>
  <c r="DJ155" i="14"/>
  <c r="DJ156" i="14"/>
  <c r="DL156" i="14"/>
  <c r="DL155" i="14"/>
  <c r="DN155" i="14"/>
  <c r="DN156" i="14"/>
  <c r="DQ156" i="14"/>
  <c r="DQ155" i="14"/>
  <c r="DS155" i="14"/>
  <c r="DS156" i="14"/>
  <c r="DU156" i="14"/>
  <c r="DU155" i="14"/>
  <c r="DW155" i="14"/>
  <c r="DW156" i="14"/>
  <c r="EA155" i="14"/>
  <c r="EA156" i="14"/>
  <c r="EC156" i="14"/>
  <c r="EC155" i="14"/>
  <c r="EE156" i="14"/>
  <c r="EE155" i="14"/>
  <c r="EG156" i="14"/>
  <c r="EG155" i="14"/>
  <c r="EI156" i="14"/>
  <c r="EI155" i="14"/>
  <c r="EK156" i="14"/>
  <c r="EK155" i="14"/>
  <c r="EM156" i="14"/>
  <c r="EM155" i="14"/>
  <c r="EO156" i="14"/>
  <c r="EO155" i="14"/>
  <c r="EQ156" i="14"/>
  <c r="EQ155" i="14"/>
  <c r="EY156" i="14"/>
  <c r="EY155" i="14"/>
  <c r="FA154" i="14"/>
  <c r="FA156" i="14"/>
  <c r="FA155" i="14"/>
  <c r="FC156" i="14"/>
  <c r="FC155" i="14"/>
  <c r="FC154" i="14"/>
  <c r="FE154" i="14"/>
  <c r="FE156" i="14"/>
  <c r="FE155" i="14"/>
  <c r="FG156" i="14"/>
  <c r="FG155" i="14"/>
  <c r="FG154" i="14"/>
  <c r="FI154" i="14"/>
  <c r="FI156" i="14"/>
  <c r="FI155" i="14"/>
  <c r="FK156" i="14"/>
  <c r="FK155" i="14"/>
  <c r="FK154" i="14"/>
  <c r="E154" i="14"/>
  <c r="K154" i="14"/>
  <c r="M154" i="14"/>
  <c r="O154" i="14"/>
  <c r="Q154" i="14"/>
  <c r="U154" i="14"/>
  <c r="AD154" i="14"/>
  <c r="AF154" i="14"/>
  <c r="AH154" i="14"/>
  <c r="AJ154" i="14"/>
  <c r="AO154" i="14"/>
  <c r="AQ154" i="14"/>
  <c r="AS154" i="14"/>
  <c r="AU154" i="14"/>
  <c r="AX154" i="14"/>
  <c r="AZ154" i="14"/>
  <c r="BB154" i="14"/>
  <c r="BD154" i="14"/>
  <c r="BF154" i="14"/>
  <c r="BI154" i="14"/>
  <c r="BK154" i="14"/>
  <c r="BM154" i="14"/>
  <c r="BO154" i="14"/>
  <c r="BR154" i="14"/>
  <c r="BT154" i="14"/>
  <c r="BV154" i="14"/>
  <c r="BX154" i="14"/>
  <c r="BZ154" i="14"/>
  <c r="CC154" i="14"/>
  <c r="CE154" i="14"/>
  <c r="CG154" i="14"/>
  <c r="CI154" i="14"/>
  <c r="CL154" i="14"/>
  <c r="CN154" i="14"/>
  <c r="CP154" i="14"/>
  <c r="CR154" i="14"/>
  <c r="CT154" i="14"/>
  <c r="CW154" i="14"/>
  <c r="CY154" i="14"/>
  <c r="DA154" i="14"/>
  <c r="DC154" i="14"/>
  <c r="DF154" i="14"/>
  <c r="DH154" i="14"/>
  <c r="DJ154" i="14"/>
  <c r="DL154" i="14"/>
  <c r="DN154" i="14"/>
  <c r="DQ154" i="14"/>
  <c r="DS154" i="14"/>
  <c r="DU154" i="14"/>
  <c r="DW154" i="14"/>
  <c r="EA154" i="14"/>
  <c r="EC154" i="14"/>
  <c r="EE154" i="14"/>
  <c r="EG154" i="14"/>
  <c r="EI154" i="14"/>
  <c r="EK154" i="14"/>
  <c r="EM154" i="14"/>
  <c r="EO154" i="14"/>
  <c r="EQ154" i="14"/>
  <c r="EY154" i="14"/>
  <c r="L156" i="14"/>
  <c r="N156" i="14"/>
  <c r="P156" i="14"/>
  <c r="R156" i="14"/>
  <c r="V156" i="14"/>
  <c r="AC156" i="14"/>
  <c r="AE156" i="14"/>
  <c r="AG156" i="14"/>
  <c r="AI156" i="14"/>
  <c r="AN156" i="14"/>
  <c r="AN155" i="14"/>
  <c r="AP156" i="14"/>
  <c r="AP155" i="14"/>
  <c r="AR156" i="14"/>
  <c r="AR155" i="14"/>
  <c r="AT156" i="14"/>
  <c r="AT155" i="14"/>
  <c r="AV156" i="14"/>
  <c r="AV155" i="14"/>
  <c r="AY156" i="14"/>
  <c r="AY155" i="14"/>
  <c r="BA156" i="14"/>
  <c r="BA155" i="14"/>
  <c r="BC156" i="14"/>
  <c r="BC155" i="14"/>
  <c r="BE156" i="14"/>
  <c r="BE155" i="14"/>
  <c r="BH156" i="14"/>
  <c r="BH155" i="14"/>
  <c r="BJ156" i="14"/>
  <c r="BJ155" i="14"/>
  <c r="BL156" i="14"/>
  <c r="BL155" i="14"/>
  <c r="BN156" i="14"/>
  <c r="BN155" i="14"/>
  <c r="BP156" i="14"/>
  <c r="BP155" i="14"/>
  <c r="BS156" i="14"/>
  <c r="BS155" i="14"/>
  <c r="BU156" i="14"/>
  <c r="BU155" i="14"/>
  <c r="BW156" i="14"/>
  <c r="BW155" i="14"/>
  <c r="BY156" i="14"/>
  <c r="BY155" i="14"/>
  <c r="CB156" i="14"/>
  <c r="CB155" i="14"/>
  <c r="CD156" i="14"/>
  <c r="CD155" i="14"/>
  <c r="CF156" i="14"/>
  <c r="CF155" i="14"/>
  <c r="CH156" i="14"/>
  <c r="CH155" i="14"/>
  <c r="CJ156" i="14"/>
  <c r="CJ155" i="14"/>
  <c r="CM156" i="14"/>
  <c r="CM155" i="14"/>
  <c r="CO156" i="14"/>
  <c r="CO155" i="14"/>
  <c r="CQ156" i="14"/>
  <c r="CQ155" i="14"/>
  <c r="CS156" i="14"/>
  <c r="CS155" i="14"/>
  <c r="CV156" i="14"/>
  <c r="CV155" i="14"/>
  <c r="CX156" i="14"/>
  <c r="CX155" i="14"/>
  <c r="CZ156" i="14"/>
  <c r="CZ155" i="14"/>
  <c r="DB156" i="14"/>
  <c r="DB155" i="14"/>
  <c r="DD156" i="14"/>
  <c r="DD155" i="14"/>
  <c r="DG156" i="14"/>
  <c r="DG155" i="14"/>
  <c r="DI156" i="14"/>
  <c r="DI155" i="14"/>
  <c r="DK156" i="14"/>
  <c r="DK155" i="14"/>
  <c r="DM156" i="14"/>
  <c r="DM155" i="14"/>
  <c r="DP156" i="14"/>
  <c r="DP155" i="14"/>
  <c r="DR156" i="14"/>
  <c r="DR155" i="14"/>
  <c r="DT156" i="14"/>
  <c r="DT155" i="14"/>
  <c r="DV156" i="14"/>
  <c r="DV155" i="14"/>
  <c r="DX156" i="14"/>
  <c r="DX155" i="14"/>
  <c r="DZ156" i="14"/>
  <c r="DZ155" i="14"/>
  <c r="ED156" i="14"/>
  <c r="ED155" i="14"/>
  <c r="EF156" i="14"/>
  <c r="EF155" i="14"/>
  <c r="EH156" i="14"/>
  <c r="EH155" i="14"/>
  <c r="EJ156" i="14"/>
  <c r="EJ155" i="14"/>
  <c r="EL156" i="14"/>
  <c r="EL155" i="14"/>
  <c r="EN156" i="14"/>
  <c r="EN155" i="14"/>
  <c r="EP156" i="14"/>
  <c r="EP155" i="14"/>
  <c r="EZ156" i="14"/>
  <c r="EZ155" i="14"/>
  <c r="FB156" i="14"/>
  <c r="FB155" i="14"/>
  <c r="FD156" i="14"/>
  <c r="FD155" i="14"/>
  <c r="FF156" i="14"/>
  <c r="FF155" i="14"/>
  <c r="FH156" i="14"/>
  <c r="FH155" i="14"/>
  <c r="FJ156" i="14"/>
  <c r="FJ155" i="14"/>
  <c r="L154" i="14"/>
  <c r="N154" i="14"/>
  <c r="P154" i="14"/>
  <c r="R154" i="14"/>
  <c r="V154" i="14"/>
  <c r="AC154" i="14"/>
  <c r="AE154" i="14"/>
  <c r="AG154" i="14"/>
  <c r="AI154" i="14"/>
  <c r="AN154" i="14"/>
  <c r="AP154" i="14"/>
  <c r="AR154" i="14"/>
  <c r="AT154" i="14"/>
  <c r="AV154" i="14"/>
  <c r="AY154" i="14"/>
  <c r="BA154" i="14"/>
  <c r="BC154" i="14"/>
  <c r="BE154" i="14"/>
  <c r="BH154" i="14"/>
  <c r="BJ154" i="14"/>
  <c r="BL154" i="14"/>
  <c r="BN154" i="14"/>
  <c r="BP154" i="14"/>
  <c r="BS154" i="14"/>
  <c r="BU154" i="14"/>
  <c r="BW154" i="14"/>
  <c r="BY154" i="14"/>
  <c r="CB154" i="14"/>
  <c r="CD154" i="14"/>
  <c r="CF154" i="14"/>
  <c r="CH154" i="14"/>
  <c r="CJ154" i="14"/>
  <c r="CM154" i="14"/>
  <c r="CO154" i="14"/>
  <c r="CQ154" i="14"/>
  <c r="CS154" i="14"/>
  <c r="CV154" i="14"/>
  <c r="CX154" i="14"/>
  <c r="CZ154" i="14"/>
  <c r="DB154" i="14"/>
  <c r="DD154" i="14"/>
  <c r="DG154" i="14"/>
  <c r="DI154" i="14"/>
  <c r="DK154" i="14"/>
  <c r="DM154" i="14"/>
  <c r="DP154" i="14"/>
  <c r="DR154" i="14"/>
  <c r="DT154" i="14"/>
  <c r="DV154" i="14"/>
  <c r="DX154" i="14"/>
  <c r="DZ154" i="14"/>
  <c r="ED154" i="14"/>
  <c r="EF154" i="14"/>
  <c r="EH154" i="14"/>
  <c r="EJ154" i="14"/>
  <c r="EL154" i="14"/>
  <c r="EN154" i="14"/>
  <c r="EP154" i="14"/>
  <c r="EZ154" i="14"/>
  <c r="FD154" i="14"/>
  <c r="FH154" i="14"/>
  <c r="L155" i="14"/>
  <c r="P155" i="14"/>
  <c r="AC155" i="14"/>
  <c r="AG155" i="14"/>
  <c r="FL55" i="12"/>
  <c r="FK55" i="12"/>
  <c r="FL54" i="12"/>
  <c r="FK54" i="12"/>
  <c r="FL53" i="12"/>
  <c r="FK53" i="12"/>
  <c r="AB52" i="12"/>
  <c r="J52" i="12"/>
  <c r="FL52" i="12"/>
  <c r="FK52" i="12"/>
  <c r="FK51" i="12"/>
  <c r="FL51" i="12"/>
  <c r="FL50" i="12"/>
  <c r="FK50" i="12"/>
  <c r="EB49" i="12"/>
  <c r="DY49" i="12"/>
  <c r="FK49" i="12"/>
  <c r="FL49" i="12"/>
  <c r="AB48" i="12"/>
  <c r="J48" i="12"/>
  <c r="FK48" i="12"/>
  <c r="FL48" i="12"/>
  <c r="EB47" i="12"/>
  <c r="DY47" i="12"/>
  <c r="AB47" i="12"/>
  <c r="J47" i="12"/>
  <c r="FL47" i="12"/>
  <c r="FK47" i="12"/>
  <c r="FL46" i="12"/>
  <c r="FK46" i="12"/>
  <c r="FL45" i="12"/>
  <c r="FK45" i="12"/>
  <c r="FL44" i="12"/>
  <c r="FK44" i="12"/>
  <c r="AD55" i="2" l="1"/>
  <c r="AD56" i="2"/>
  <c r="AD54" i="2"/>
  <c r="J156" i="14"/>
  <c r="J154" i="14"/>
  <c r="J155" i="14"/>
  <c r="J152" i="14"/>
  <c r="J151" i="14"/>
  <c r="J150" i="14"/>
  <c r="DY156" i="14"/>
  <c r="DY155" i="14"/>
  <c r="DY154" i="14"/>
  <c r="DY152" i="14"/>
  <c r="DY151" i="14"/>
  <c r="DY150" i="14"/>
  <c r="EX156" i="14"/>
  <c r="EX155" i="14"/>
  <c r="EX154" i="14"/>
  <c r="EX152" i="14"/>
  <c r="EX151" i="14"/>
  <c r="EX150" i="14"/>
  <c r="EB156" i="14"/>
  <c r="EB155" i="14"/>
  <c r="EB154" i="14"/>
  <c r="EB152" i="14"/>
  <c r="EB151" i="14"/>
  <c r="EB150" i="14"/>
  <c r="AB156" i="14"/>
  <c r="AB155" i="14"/>
  <c r="AB154" i="14"/>
  <c r="AB151" i="14"/>
  <c r="AB150" i="14"/>
  <c r="AB152" i="14"/>
  <c r="FR156" i="14"/>
  <c r="FR155" i="14"/>
  <c r="FR154" i="14"/>
  <c r="FR152" i="14"/>
  <c r="FR151" i="14"/>
  <c r="FR150" i="14"/>
  <c r="EB25" i="4"/>
  <c r="DY25" i="4"/>
  <c r="FH25" i="4"/>
  <c r="FG25" i="4"/>
  <c r="AB93" i="11"/>
  <c r="J93" i="11"/>
  <c r="EQ93" i="11"/>
  <c r="FD93" i="11"/>
  <c r="FE93" i="11" s="1"/>
  <c r="FF93" i="11"/>
  <c r="FK43" i="12" l="1"/>
  <c r="FL43" i="12"/>
  <c r="FL42" i="12"/>
  <c r="FK42" i="12"/>
  <c r="FK41" i="12"/>
  <c r="FL41" i="12"/>
  <c r="AB40" i="12"/>
  <c r="FL40" i="12"/>
  <c r="FK40" i="12"/>
  <c r="AB39" i="12"/>
  <c r="J39" i="12"/>
  <c r="FL39" i="12"/>
  <c r="FK39" i="12"/>
  <c r="EB38" i="12"/>
  <c r="DY38" i="12"/>
  <c r="FL38" i="12"/>
  <c r="FK38" i="12"/>
  <c r="EC91" i="1" l="1"/>
  <c r="DZ91" i="1"/>
  <c r="FO91" i="1"/>
  <c r="FN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FK37" i="12"/>
  <c r="FL37" i="12"/>
  <c r="FK36" i="12"/>
  <c r="FL36" i="12"/>
  <c r="EB35" i="12"/>
  <c r="DY35" i="12"/>
  <c r="FL35" i="12"/>
  <c r="FK35" i="12"/>
  <c r="GI91" i="1" l="1"/>
  <c r="EB92" i="11"/>
  <c r="DY92" i="11"/>
  <c r="EQ92" i="11"/>
  <c r="FD92" i="11"/>
  <c r="FE92" i="11" s="1"/>
  <c r="FF92" i="11"/>
  <c r="EB24" i="4"/>
  <c r="DY24" i="4"/>
  <c r="AB24" i="4"/>
  <c r="J24" i="4"/>
  <c r="FG24" i="4"/>
  <c r="FH24" i="4"/>
  <c r="FG36" i="9"/>
  <c r="FH36" i="9"/>
  <c r="FI36" i="9"/>
  <c r="FG37" i="9"/>
  <c r="FH37" i="9"/>
  <c r="FI37" i="9"/>
  <c r="FG38" i="9"/>
  <c r="FH38" i="9"/>
  <c r="FI38" i="9"/>
  <c r="FG39" i="9"/>
  <c r="FH39" i="9"/>
  <c r="FI39" i="9"/>
  <c r="FG40" i="9"/>
  <c r="FH40" i="9"/>
  <c r="FI40" i="9"/>
  <c r="FG41" i="9"/>
  <c r="FH41" i="9"/>
  <c r="FI41" i="9"/>
  <c r="FG45" i="9"/>
  <c r="FG42" i="9" s="1"/>
  <c r="FH45" i="9"/>
  <c r="FH43" i="9" s="1"/>
  <c r="FI45" i="9"/>
  <c r="FI42" i="9" s="1"/>
  <c r="FG46" i="9"/>
  <c r="FH46" i="9"/>
  <c r="FG47" i="9"/>
  <c r="FH47" i="9"/>
  <c r="FI47" i="9"/>
  <c r="FG48" i="9"/>
  <c r="FH48" i="9"/>
  <c r="FI48" i="9"/>
  <c r="EQ36" i="9"/>
  <c r="ER36" i="9"/>
  <c r="ES36" i="9"/>
  <c r="EQ37" i="9"/>
  <c r="ER37" i="9"/>
  <c r="ES37" i="9"/>
  <c r="EQ38" i="9"/>
  <c r="ER38" i="9"/>
  <c r="ES38" i="9"/>
  <c r="EQ39" i="9"/>
  <c r="ER39" i="9"/>
  <c r="ES39" i="9"/>
  <c r="EQ40" i="9"/>
  <c r="ER40" i="9"/>
  <c r="ES40" i="9"/>
  <c r="EQ41" i="9"/>
  <c r="ER41" i="9"/>
  <c r="ES41" i="9"/>
  <c r="EQ45" i="9"/>
  <c r="EQ42" i="9" s="1"/>
  <c r="ER45" i="9"/>
  <c r="ER43" i="9" s="1"/>
  <c r="ES45" i="9"/>
  <c r="ES46" i="9" s="1"/>
  <c r="EQ46" i="9"/>
  <c r="ER46" i="9"/>
  <c r="EQ47" i="9"/>
  <c r="ER47" i="9"/>
  <c r="EQ48" i="9"/>
  <c r="ER48" i="9"/>
  <c r="ES48" i="9"/>
  <c r="ES35" i="9"/>
  <c r="ER35" i="9"/>
  <c r="EQ35" i="9"/>
  <c r="FI35" i="9"/>
  <c r="FH35" i="9"/>
  <c r="FG35" i="9"/>
  <c r="FJ4" i="9"/>
  <c r="FJ5" i="9"/>
  <c r="FJ6" i="9"/>
  <c r="FJ7" i="9"/>
  <c r="FJ8" i="9"/>
  <c r="FJ9" i="9"/>
  <c r="FJ10" i="9"/>
  <c r="FJ11" i="9"/>
  <c r="FJ12" i="9"/>
  <c r="FJ13" i="9"/>
  <c r="FJ14" i="9"/>
  <c r="FJ15" i="9"/>
  <c r="FJ16" i="9"/>
  <c r="FJ17" i="9"/>
  <c r="FK17" i="9" s="1"/>
  <c r="FJ18" i="9"/>
  <c r="FJ19" i="9"/>
  <c r="FK19" i="9" s="1"/>
  <c r="FJ20" i="9"/>
  <c r="FJ21" i="9"/>
  <c r="FK21" i="9" s="1"/>
  <c r="ET4" i="9"/>
  <c r="ET5" i="9"/>
  <c r="ET6" i="9"/>
  <c r="ET7" i="9"/>
  <c r="ET8" i="9"/>
  <c r="ET9" i="9"/>
  <c r="ET10" i="9"/>
  <c r="ET11" i="9"/>
  <c r="ET12" i="9"/>
  <c r="ET13" i="9"/>
  <c r="ET14" i="9"/>
  <c r="ET15" i="9"/>
  <c r="ET16" i="9"/>
  <c r="ET17" i="9"/>
  <c r="ET18" i="9"/>
  <c r="ET19" i="9"/>
  <c r="ET20" i="9"/>
  <c r="ET21" i="9"/>
  <c r="FL21" i="9" s="1"/>
  <c r="EB20" i="9"/>
  <c r="FL20" i="9"/>
  <c r="FK20" i="9"/>
  <c r="FL19" i="9"/>
  <c r="FK18" i="9"/>
  <c r="FL18" i="9"/>
  <c r="FL17" i="9"/>
  <c r="FK16" i="9"/>
  <c r="FL16" i="9"/>
  <c r="EB22" i="7"/>
  <c r="DY22" i="7"/>
  <c r="FH22" i="7"/>
  <c r="FG22" i="7"/>
  <c r="ES47" i="9" l="1"/>
  <c r="FI46" i="9"/>
  <c r="ES42" i="9"/>
  <c r="FH44" i="9"/>
  <c r="FI43" i="9"/>
  <c r="FG43" i="9"/>
  <c r="FH42" i="9"/>
  <c r="FI44" i="9"/>
  <c r="FG44" i="9"/>
  <c r="ER44" i="9"/>
  <c r="ES43" i="9"/>
  <c r="EQ43" i="9"/>
  <c r="ER42" i="9"/>
  <c r="ES44" i="9"/>
  <c r="EQ44" i="9"/>
  <c r="EC90" i="1"/>
  <c r="DZ90" i="1"/>
  <c r="FN90" i="1"/>
  <c r="FO90" i="1"/>
  <c r="FV90" i="1"/>
  <c r="FW90" i="1"/>
  <c r="FX90" i="1"/>
  <c r="FY90" i="1"/>
  <c r="FZ90" i="1"/>
  <c r="GA90" i="1"/>
  <c r="GB90" i="1"/>
  <c r="GC90" i="1"/>
  <c r="GD90" i="1"/>
  <c r="GE90" i="1"/>
  <c r="GF90" i="1"/>
  <c r="GG90" i="1"/>
  <c r="GI90" i="1" l="1"/>
  <c r="FK34" i="12"/>
  <c r="FL34" i="12"/>
  <c r="FK33" i="12"/>
  <c r="FL33" i="12"/>
  <c r="FK32" i="12"/>
  <c r="FL32" i="12"/>
  <c r="FK31" i="12"/>
  <c r="FL31" i="12"/>
  <c r="FK30" i="12"/>
  <c r="FL30" i="12"/>
  <c r="AB29" i="12"/>
  <c r="J29" i="12"/>
  <c r="FK29" i="12"/>
  <c r="FL29" i="12"/>
  <c r="EB28" i="12"/>
  <c r="DY28" i="12"/>
  <c r="AB28" i="12"/>
  <c r="J28" i="12"/>
  <c r="FK28" i="12"/>
  <c r="FL28" i="12"/>
  <c r="FK27" i="12"/>
  <c r="FL27" i="12"/>
  <c r="FH21" i="7" l="1"/>
  <c r="FG21" i="7"/>
  <c r="AB20" i="7"/>
  <c r="J20" i="7"/>
  <c r="FH20" i="7"/>
  <c r="FG20" i="7"/>
  <c r="FG19" i="7"/>
  <c r="FH19" i="7"/>
  <c r="EB18" i="7"/>
  <c r="FG18" i="7"/>
  <c r="FH18" i="7"/>
  <c r="FG17" i="7"/>
  <c r="FH17" i="7"/>
  <c r="EB23" i="4"/>
  <c r="FH23" i="4"/>
  <c r="FG23" i="4"/>
  <c r="AB91" i="11"/>
  <c r="J91" i="11"/>
  <c r="EQ91" i="11"/>
  <c r="FF91" i="11" s="1"/>
  <c r="FD91" i="11"/>
  <c r="FE91" i="11" s="1"/>
  <c r="AC89" i="1"/>
  <c r="K89" i="1"/>
  <c r="FO89" i="1"/>
  <c r="FN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I89" i="1"/>
  <c r="EB90" i="11" l="1"/>
  <c r="DY90" i="11"/>
  <c r="AB90" i="11"/>
  <c r="J90" i="11"/>
  <c r="EQ90" i="11"/>
  <c r="FF90" i="11" s="1"/>
  <c r="FD90" i="11"/>
  <c r="FE90" i="11" s="1"/>
  <c r="AB22" i="4"/>
  <c r="J22" i="4"/>
  <c r="FH22" i="4"/>
  <c r="FG22" i="4"/>
  <c r="AB21" i="4"/>
  <c r="FH21" i="4"/>
  <c r="FG21" i="4"/>
  <c r="FH20" i="4"/>
  <c r="FG20" i="4"/>
  <c r="FN88" i="1" l="1"/>
  <c r="FO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I88" i="1"/>
  <c r="AB89" i="11"/>
  <c r="J89" i="11"/>
  <c r="EQ89" i="11"/>
  <c r="FF89" i="11" s="1"/>
  <c r="FD89" i="11"/>
  <c r="FE89" i="11" s="1"/>
  <c r="AB88" i="11"/>
  <c r="J88" i="11"/>
  <c r="EQ88" i="11"/>
  <c r="FF88" i="11" s="1"/>
  <c r="FD88" i="11"/>
  <c r="FE88" i="11" s="1"/>
  <c r="AC87" i="1" l="1"/>
  <c r="K87" i="1"/>
  <c r="FN87" i="1"/>
  <c r="FO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I87" i="1"/>
  <c r="EC86" i="1" l="1"/>
  <c r="DZ86" i="1"/>
  <c r="FN86" i="1"/>
  <c r="FO86" i="1"/>
  <c r="FV86" i="1"/>
  <c r="FW86" i="1"/>
  <c r="FX86" i="1"/>
  <c r="FY86" i="1"/>
  <c r="FZ86" i="1"/>
  <c r="GA86" i="1"/>
  <c r="GB86" i="1"/>
  <c r="GC86" i="1"/>
  <c r="GD86" i="1"/>
  <c r="GE86" i="1"/>
  <c r="GF86" i="1"/>
  <c r="GG86" i="1"/>
  <c r="GI86" i="1"/>
  <c r="EQ87" i="11" l="1"/>
  <c r="FF87" i="11" s="1"/>
  <c r="FD87" i="11"/>
  <c r="FE87" i="11" s="1"/>
  <c r="FN85" i="1" l="1"/>
  <c r="FO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I85" i="1"/>
  <c r="FK26" i="12" l="1"/>
  <c r="FL26" i="12"/>
  <c r="FK25" i="12"/>
  <c r="FL25" i="12"/>
  <c r="FK24" i="12"/>
  <c r="FL24" i="12"/>
  <c r="EB23" i="12"/>
  <c r="DY23" i="12"/>
  <c r="AB23" i="12"/>
  <c r="J23" i="12"/>
  <c r="FK23" i="12"/>
  <c r="FL23" i="12"/>
  <c r="EB22" i="12"/>
  <c r="DY22" i="12"/>
  <c r="AB22" i="12"/>
  <c r="J22" i="12"/>
  <c r="FL22" i="12"/>
  <c r="FK22" i="12"/>
  <c r="AB21" i="12" l="1"/>
  <c r="J21" i="12"/>
  <c r="FK21" i="12"/>
  <c r="FL21" i="12"/>
  <c r="FK20" i="12"/>
  <c r="FL20" i="12"/>
  <c r="FK19" i="12"/>
  <c r="FL19" i="12"/>
  <c r="FK18" i="12"/>
  <c r="FL18" i="12"/>
  <c r="AB17" i="12"/>
  <c r="FK17" i="12"/>
  <c r="FL17" i="12"/>
  <c r="AB16" i="12"/>
  <c r="J16" i="12"/>
  <c r="FK16" i="12"/>
  <c r="FL16" i="12"/>
  <c r="FL15" i="12"/>
  <c r="FK15" i="12"/>
  <c r="FL14" i="12"/>
  <c r="FK14" i="12"/>
  <c r="C37" i="2" l="1"/>
  <c r="D37" i="2"/>
  <c r="E37" i="2"/>
  <c r="F37" i="2"/>
  <c r="G37" i="2"/>
  <c r="H37" i="2"/>
  <c r="I37" i="2"/>
  <c r="J37" i="2"/>
  <c r="K37" i="2"/>
  <c r="O37" i="2"/>
  <c r="P37" i="2"/>
  <c r="Q37" i="2"/>
  <c r="R37" i="2"/>
  <c r="S37" i="2"/>
  <c r="T37" i="2"/>
  <c r="U37" i="2"/>
  <c r="Z37" i="2"/>
  <c r="AA37" i="2"/>
  <c r="AG37" i="2"/>
  <c r="AH37" i="2"/>
  <c r="AJ37" i="2" s="1"/>
  <c r="AI37" i="2"/>
  <c r="C38" i="2"/>
  <c r="D38" i="2"/>
  <c r="E38" i="2"/>
  <c r="F38" i="2"/>
  <c r="G38" i="2"/>
  <c r="H38" i="2"/>
  <c r="I38" i="2"/>
  <c r="J38" i="2"/>
  <c r="K38" i="2"/>
  <c r="O38" i="2"/>
  <c r="P38" i="2"/>
  <c r="Q38" i="2"/>
  <c r="R38" i="2"/>
  <c r="S38" i="2"/>
  <c r="T38" i="2"/>
  <c r="U38" i="2"/>
  <c r="Z38" i="2"/>
  <c r="AA38" i="2"/>
  <c r="AG38" i="2"/>
  <c r="AH38" i="2"/>
  <c r="AJ38" i="2" s="1"/>
  <c r="AI38" i="2"/>
  <c r="C39" i="2"/>
  <c r="D39" i="2"/>
  <c r="E39" i="2"/>
  <c r="F39" i="2"/>
  <c r="G39" i="2"/>
  <c r="H39" i="2"/>
  <c r="I39" i="2"/>
  <c r="J39" i="2"/>
  <c r="K39" i="2"/>
  <c r="O39" i="2"/>
  <c r="P39" i="2"/>
  <c r="Q39" i="2"/>
  <c r="R39" i="2"/>
  <c r="S39" i="2"/>
  <c r="T39" i="2"/>
  <c r="U39" i="2"/>
  <c r="Z39" i="2"/>
  <c r="AA39" i="2"/>
  <c r="AG39" i="2"/>
  <c r="AH39" i="2"/>
  <c r="AJ39" i="2" s="1"/>
  <c r="AI39" i="2"/>
  <c r="C40" i="2"/>
  <c r="D40" i="2"/>
  <c r="E40" i="2"/>
  <c r="F40" i="2"/>
  <c r="G40" i="2"/>
  <c r="H40" i="2"/>
  <c r="I40" i="2"/>
  <c r="J40" i="2"/>
  <c r="K40" i="2"/>
  <c r="O40" i="2"/>
  <c r="P40" i="2"/>
  <c r="Q40" i="2"/>
  <c r="R40" i="2"/>
  <c r="S40" i="2"/>
  <c r="T40" i="2"/>
  <c r="U40" i="2"/>
  <c r="C41" i="2"/>
  <c r="D41" i="2"/>
  <c r="F41" i="2"/>
  <c r="G41" i="2"/>
  <c r="H41" i="2"/>
  <c r="I41" i="2"/>
  <c r="J41" i="2"/>
  <c r="K41" i="2"/>
  <c r="O41" i="2"/>
  <c r="P41" i="2"/>
  <c r="Q41" i="2"/>
  <c r="R41" i="2"/>
  <c r="S41" i="2"/>
  <c r="T41" i="2"/>
  <c r="U41" i="2"/>
  <c r="C42" i="2"/>
  <c r="D42" i="2"/>
  <c r="F42" i="2"/>
  <c r="G42" i="2"/>
  <c r="H42" i="2"/>
  <c r="I42" i="2"/>
  <c r="J42" i="2"/>
  <c r="K42" i="2"/>
  <c r="O42" i="2"/>
  <c r="P42" i="2"/>
  <c r="Q42" i="2"/>
  <c r="R42" i="2"/>
  <c r="S42" i="2"/>
  <c r="T42" i="2"/>
  <c r="U42" i="2"/>
  <c r="C43" i="2"/>
  <c r="D43" i="2"/>
  <c r="E43" i="2"/>
  <c r="F43" i="2"/>
  <c r="G43" i="2"/>
  <c r="H43" i="2"/>
  <c r="I43" i="2"/>
  <c r="J43" i="2"/>
  <c r="K43" i="2"/>
  <c r="O43" i="2"/>
  <c r="P43" i="2"/>
  <c r="Q43" i="2"/>
  <c r="R43" i="2"/>
  <c r="S43" i="2"/>
  <c r="T43" i="2"/>
  <c r="U43" i="2"/>
  <c r="C44" i="2"/>
  <c r="D44" i="2"/>
  <c r="E44" i="2"/>
  <c r="F44" i="2"/>
  <c r="G44" i="2"/>
  <c r="H44" i="2"/>
  <c r="I44" i="2"/>
  <c r="J44" i="2"/>
  <c r="K44" i="2"/>
  <c r="O44" i="2"/>
  <c r="P44" i="2"/>
  <c r="Q44" i="2"/>
  <c r="R44" i="2"/>
  <c r="S44" i="2"/>
  <c r="T44" i="2"/>
  <c r="U44" i="2"/>
  <c r="C45" i="2"/>
  <c r="D45" i="2"/>
  <c r="E45" i="2"/>
  <c r="F45" i="2"/>
  <c r="G45" i="2"/>
  <c r="H45" i="2"/>
  <c r="I45" i="2"/>
  <c r="J45" i="2"/>
  <c r="K45" i="2"/>
  <c r="O45" i="2"/>
  <c r="P45" i="2"/>
  <c r="Q45" i="2"/>
  <c r="R45" i="2"/>
  <c r="S45" i="2"/>
  <c r="T45" i="2"/>
  <c r="U45" i="2"/>
  <c r="C46" i="2"/>
  <c r="D46" i="2"/>
  <c r="E46" i="2"/>
  <c r="F46" i="2"/>
  <c r="G46" i="2"/>
  <c r="H46" i="2"/>
  <c r="I46" i="2"/>
  <c r="J46" i="2"/>
  <c r="K46" i="2"/>
  <c r="P46" i="2"/>
  <c r="Q46" i="2"/>
  <c r="R46" i="2"/>
  <c r="S46" i="2"/>
  <c r="T46" i="2"/>
  <c r="U46" i="2"/>
  <c r="C49" i="2"/>
  <c r="D49" i="2"/>
  <c r="F49" i="2"/>
  <c r="G49" i="2"/>
  <c r="H49" i="2"/>
  <c r="I49" i="2"/>
  <c r="J49" i="2"/>
  <c r="K49" i="2"/>
  <c r="C50" i="2"/>
  <c r="D50" i="2"/>
  <c r="F50" i="2"/>
  <c r="G50" i="2"/>
  <c r="H50" i="2"/>
  <c r="I50" i="2"/>
  <c r="J50" i="2"/>
  <c r="K50" i="2"/>
  <c r="C51" i="2"/>
  <c r="D51" i="2"/>
  <c r="F51" i="2"/>
  <c r="G51" i="2"/>
  <c r="H51" i="2"/>
  <c r="I51" i="2"/>
  <c r="J51" i="2"/>
  <c r="K51" i="2"/>
  <c r="F13" i="3"/>
  <c r="FL4" i="12"/>
  <c r="FK4" i="12"/>
  <c r="DY5" i="12"/>
  <c r="EB5" i="12"/>
  <c r="FL5" i="12"/>
  <c r="FK5" i="12"/>
  <c r="FL6" i="12"/>
  <c r="FK6" i="12"/>
  <c r="EB7" i="12"/>
  <c r="FK7" i="12"/>
  <c r="FL7" i="12"/>
  <c r="EB8" i="12"/>
  <c r="FL8" i="12"/>
  <c r="FK8" i="12"/>
  <c r="DY9" i="12"/>
  <c r="EB9" i="12"/>
  <c r="FK9" i="12"/>
  <c r="FL9" i="12"/>
  <c r="DY10" i="12"/>
  <c r="EB10" i="12"/>
  <c r="FK10" i="12"/>
  <c r="FL10" i="12"/>
  <c r="J11" i="12"/>
  <c r="J142" i="12" s="1"/>
  <c r="AB11" i="12"/>
  <c r="E50" i="2" s="1"/>
  <c r="FK11" i="12"/>
  <c r="FL11" i="12"/>
  <c r="DY12" i="12"/>
  <c r="EB12" i="12"/>
  <c r="FK12" i="12"/>
  <c r="FL12" i="12"/>
  <c r="FK13" i="12"/>
  <c r="FL13" i="12"/>
  <c r="A142" i="12"/>
  <c r="E142" i="12"/>
  <c r="H142" i="12"/>
  <c r="I142" i="12"/>
  <c r="K142" i="12"/>
  <c r="L142" i="12"/>
  <c r="M142" i="12"/>
  <c r="N142" i="12"/>
  <c r="O142" i="12"/>
  <c r="P142" i="12"/>
  <c r="Q142" i="12"/>
  <c r="R142" i="12"/>
  <c r="S142" i="12"/>
  <c r="T142" i="12"/>
  <c r="U142" i="12"/>
  <c r="V142" i="12"/>
  <c r="W142" i="12"/>
  <c r="X142" i="12"/>
  <c r="Y142" i="12"/>
  <c r="Z142" i="12"/>
  <c r="AA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U142" i="12"/>
  <c r="AV142" i="12"/>
  <c r="AW142" i="12"/>
  <c r="AX142" i="12"/>
  <c r="AY142" i="12"/>
  <c r="AZ142" i="12"/>
  <c r="BA142" i="12"/>
  <c r="BB142" i="12"/>
  <c r="BC142" i="12"/>
  <c r="BD142" i="12"/>
  <c r="BE142" i="12"/>
  <c r="BF142" i="12"/>
  <c r="BG142" i="12"/>
  <c r="BH142" i="12"/>
  <c r="BI142" i="12"/>
  <c r="BJ142" i="12"/>
  <c r="BK142" i="12"/>
  <c r="BL142" i="12"/>
  <c r="BM142" i="12"/>
  <c r="BN142" i="12"/>
  <c r="BO142" i="12"/>
  <c r="BP142" i="12"/>
  <c r="BQ142" i="12"/>
  <c r="BR142" i="12"/>
  <c r="BS142" i="12"/>
  <c r="BT142" i="12"/>
  <c r="BU142" i="12"/>
  <c r="BV142" i="12"/>
  <c r="BW142" i="12"/>
  <c r="BX142" i="12"/>
  <c r="BY142" i="12"/>
  <c r="BZ142" i="12"/>
  <c r="CA142" i="12"/>
  <c r="CB142" i="12"/>
  <c r="CC142" i="12"/>
  <c r="CD142" i="12"/>
  <c r="CE142" i="12"/>
  <c r="CF142" i="12"/>
  <c r="CG142" i="12"/>
  <c r="CH142" i="12"/>
  <c r="CI142" i="12"/>
  <c r="CJ142" i="12"/>
  <c r="CK142" i="12"/>
  <c r="CL142" i="12"/>
  <c r="CM142" i="12"/>
  <c r="CN142" i="12"/>
  <c r="CO142" i="12"/>
  <c r="CP142" i="12"/>
  <c r="CQ142" i="12"/>
  <c r="CR142" i="12"/>
  <c r="CS142" i="12"/>
  <c r="CT142" i="12"/>
  <c r="CU142" i="12"/>
  <c r="CV142" i="12"/>
  <c r="CW142" i="12"/>
  <c r="CX142" i="12"/>
  <c r="CY142" i="12"/>
  <c r="CZ142" i="12"/>
  <c r="DA142" i="12"/>
  <c r="DB142" i="12"/>
  <c r="DC142" i="12"/>
  <c r="DD142" i="12"/>
  <c r="DE142" i="12"/>
  <c r="DF142" i="12"/>
  <c r="DG142" i="12"/>
  <c r="DH142" i="12"/>
  <c r="DI142" i="12"/>
  <c r="DJ142" i="12"/>
  <c r="DK142" i="12"/>
  <c r="DL142" i="12"/>
  <c r="DM142" i="12"/>
  <c r="DN142" i="12"/>
  <c r="DO142" i="12"/>
  <c r="DP142" i="12"/>
  <c r="DQ142" i="12"/>
  <c r="DR142" i="12"/>
  <c r="DS142" i="12"/>
  <c r="DT142" i="12"/>
  <c r="DU142" i="12"/>
  <c r="DV142" i="12"/>
  <c r="DW142" i="12"/>
  <c r="DX142" i="12"/>
  <c r="DY142" i="12"/>
  <c r="DZ142" i="12"/>
  <c r="EA142" i="12"/>
  <c r="EC142" i="12"/>
  <c r="ED142" i="12"/>
  <c r="EE142" i="12"/>
  <c r="EF142" i="12"/>
  <c r="EG142" i="12"/>
  <c r="EH142" i="12"/>
  <c r="EI142" i="12"/>
  <c r="EJ142" i="12"/>
  <c r="EK142" i="12"/>
  <c r="EL142" i="12"/>
  <c r="EM142" i="12"/>
  <c r="EN142" i="12"/>
  <c r="EO142" i="12"/>
  <c r="EP142" i="12"/>
  <c r="EQ142" i="12"/>
  <c r="EU142" i="12"/>
  <c r="EV142" i="12"/>
  <c r="EW142" i="12"/>
  <c r="EX142" i="12"/>
  <c r="EY142" i="12"/>
  <c r="EZ142" i="12"/>
  <c r="FA142" i="12"/>
  <c r="FB142" i="12"/>
  <c r="FC142" i="12"/>
  <c r="FD142" i="12"/>
  <c r="FE142" i="12"/>
  <c r="FF142" i="12"/>
  <c r="FG142" i="12"/>
  <c r="E143" i="12"/>
  <c r="J143" i="12"/>
  <c r="K143" i="12"/>
  <c r="L143" i="12"/>
  <c r="M143" i="12"/>
  <c r="N143" i="12"/>
  <c r="O143" i="12"/>
  <c r="P143" i="12"/>
  <c r="Q143" i="12"/>
  <c r="R143" i="12"/>
  <c r="S143" i="12"/>
  <c r="T143" i="12"/>
  <c r="U143" i="12"/>
  <c r="V143" i="12"/>
  <c r="AC143" i="12"/>
  <c r="AD143" i="12"/>
  <c r="AE143" i="12"/>
  <c r="AF143" i="12"/>
  <c r="AG143" i="12"/>
  <c r="AH143" i="12"/>
  <c r="AI143" i="12"/>
  <c r="AJ143" i="12"/>
  <c r="AK143" i="12"/>
  <c r="AL143" i="12"/>
  <c r="AN143" i="12"/>
  <c r="AO143" i="12"/>
  <c r="AP143" i="12"/>
  <c r="AQ143" i="12"/>
  <c r="AR143" i="12"/>
  <c r="AS143" i="12"/>
  <c r="AT143" i="12"/>
  <c r="AU143" i="12"/>
  <c r="AV143" i="12"/>
  <c r="AX143" i="12"/>
  <c r="AY143" i="12"/>
  <c r="AZ143" i="12"/>
  <c r="BA143" i="12"/>
  <c r="BB143" i="12"/>
  <c r="BC143" i="12"/>
  <c r="BD143" i="12"/>
  <c r="BE143" i="12"/>
  <c r="BF143" i="12"/>
  <c r="BH143" i="12"/>
  <c r="BI143" i="12"/>
  <c r="BJ143" i="12"/>
  <c r="BK143" i="12"/>
  <c r="BL143" i="12"/>
  <c r="BM143" i="12"/>
  <c r="BN143" i="12"/>
  <c r="BO143" i="12"/>
  <c r="BP143" i="12"/>
  <c r="BR143" i="12"/>
  <c r="BS143" i="12"/>
  <c r="BT143" i="12"/>
  <c r="BU143" i="12"/>
  <c r="BV143" i="12"/>
  <c r="BW143" i="12"/>
  <c r="BX143" i="12"/>
  <c r="BY143" i="12"/>
  <c r="BZ143" i="12"/>
  <c r="CB143" i="12"/>
  <c r="CC143" i="12"/>
  <c r="CD143" i="12"/>
  <c r="CE143" i="12"/>
  <c r="CF143" i="12"/>
  <c r="CG143" i="12"/>
  <c r="CH143" i="12"/>
  <c r="CI143" i="12"/>
  <c r="CJ143" i="12"/>
  <c r="CL143" i="12"/>
  <c r="CM143" i="12"/>
  <c r="CN143" i="12"/>
  <c r="CO143" i="12"/>
  <c r="CP143" i="12"/>
  <c r="CQ143" i="12"/>
  <c r="CR143" i="12"/>
  <c r="CS143" i="12"/>
  <c r="CT143" i="12"/>
  <c r="CV143" i="12"/>
  <c r="CW143" i="12"/>
  <c r="CX143" i="12"/>
  <c r="CY143" i="12"/>
  <c r="CZ143" i="12"/>
  <c r="DA143" i="12"/>
  <c r="DB143" i="12"/>
  <c r="DC143" i="12"/>
  <c r="DD143" i="12"/>
  <c r="DF143" i="12"/>
  <c r="DG143" i="12"/>
  <c r="DH143" i="12"/>
  <c r="DI143" i="12"/>
  <c r="DJ143" i="12"/>
  <c r="DK143" i="12"/>
  <c r="DL143" i="12"/>
  <c r="DM143" i="12"/>
  <c r="DN143" i="12"/>
  <c r="DP143" i="12"/>
  <c r="DQ143" i="12"/>
  <c r="DR143" i="12"/>
  <c r="DS143" i="12"/>
  <c r="DT143" i="12"/>
  <c r="DU143" i="12"/>
  <c r="DV143" i="12"/>
  <c r="DW143" i="12"/>
  <c r="DX143" i="12"/>
  <c r="DZ143" i="12"/>
  <c r="EA143" i="12"/>
  <c r="EC143" i="12"/>
  <c r="ED143" i="12"/>
  <c r="EE143" i="12"/>
  <c r="EF143" i="12"/>
  <c r="EG143" i="12"/>
  <c r="EH143" i="12"/>
  <c r="EI143" i="12"/>
  <c r="EJ143" i="12"/>
  <c r="EK143" i="12"/>
  <c r="EL143" i="12"/>
  <c r="EM143" i="12"/>
  <c r="EN143" i="12"/>
  <c r="EO143" i="12"/>
  <c r="EP143" i="12"/>
  <c r="EQ143" i="12"/>
  <c r="EU143" i="12"/>
  <c r="EV143" i="12"/>
  <c r="EW143" i="12"/>
  <c r="EX143" i="12"/>
  <c r="EY143" i="12"/>
  <c r="EZ143" i="12"/>
  <c r="FA143" i="12"/>
  <c r="FB143" i="12"/>
  <c r="FC143" i="12"/>
  <c r="FD143" i="12"/>
  <c r="FE143" i="12"/>
  <c r="FF143" i="12"/>
  <c r="FG143" i="12"/>
  <c r="E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AC144" i="12"/>
  <c r="AD144" i="12"/>
  <c r="AE144" i="12"/>
  <c r="AF144" i="12"/>
  <c r="AG144" i="12"/>
  <c r="AH144" i="12"/>
  <c r="AI144" i="12"/>
  <c r="AJ144" i="12"/>
  <c r="AK144" i="12"/>
  <c r="AL144" i="12"/>
  <c r="AN144" i="12"/>
  <c r="AO144" i="12"/>
  <c r="AP144" i="12"/>
  <c r="AQ144" i="12"/>
  <c r="AR144" i="12"/>
  <c r="AS144" i="12"/>
  <c r="AT144" i="12"/>
  <c r="AU144" i="12"/>
  <c r="AV144" i="12"/>
  <c r="AX144" i="12"/>
  <c r="AY144" i="12"/>
  <c r="AZ144" i="12"/>
  <c r="BA144" i="12"/>
  <c r="BB144" i="12"/>
  <c r="BC144" i="12"/>
  <c r="BD144" i="12"/>
  <c r="BE144" i="12"/>
  <c r="BF144" i="12"/>
  <c r="BH144" i="12"/>
  <c r="BI144" i="12"/>
  <c r="BJ144" i="12"/>
  <c r="BK144" i="12"/>
  <c r="BL144" i="12"/>
  <c r="BM144" i="12"/>
  <c r="BN144" i="12"/>
  <c r="BO144" i="12"/>
  <c r="BP144" i="12"/>
  <c r="BR144" i="12"/>
  <c r="BS144" i="12"/>
  <c r="BT144" i="12"/>
  <c r="BU144" i="12"/>
  <c r="BV144" i="12"/>
  <c r="BW144" i="12"/>
  <c r="BX144" i="12"/>
  <c r="BY144" i="12"/>
  <c r="BZ144" i="12"/>
  <c r="CB144" i="12"/>
  <c r="CC144" i="12"/>
  <c r="CD144" i="12"/>
  <c r="CE144" i="12"/>
  <c r="CF144" i="12"/>
  <c r="CG144" i="12"/>
  <c r="CH144" i="12"/>
  <c r="CI144" i="12"/>
  <c r="CJ144" i="12"/>
  <c r="CL144" i="12"/>
  <c r="CM144" i="12"/>
  <c r="CN144" i="12"/>
  <c r="CO144" i="12"/>
  <c r="CP144" i="12"/>
  <c r="CQ144" i="12"/>
  <c r="CR144" i="12"/>
  <c r="CS144" i="12"/>
  <c r="CT144" i="12"/>
  <c r="CV144" i="12"/>
  <c r="CW144" i="12"/>
  <c r="CX144" i="12"/>
  <c r="CY144" i="12"/>
  <c r="CZ144" i="12"/>
  <c r="DA144" i="12"/>
  <c r="DB144" i="12"/>
  <c r="DC144" i="12"/>
  <c r="DD144" i="12"/>
  <c r="DF144" i="12"/>
  <c r="DG144" i="12"/>
  <c r="DH144" i="12"/>
  <c r="DI144" i="12"/>
  <c r="DJ144" i="12"/>
  <c r="DK144" i="12"/>
  <c r="DL144" i="12"/>
  <c r="DM144" i="12"/>
  <c r="DN144" i="12"/>
  <c r="DP144" i="12"/>
  <c r="DQ144" i="12"/>
  <c r="DR144" i="12"/>
  <c r="DS144" i="12"/>
  <c r="DT144" i="12"/>
  <c r="DU144" i="12"/>
  <c r="DV144" i="12"/>
  <c r="DW144" i="12"/>
  <c r="DX144" i="12"/>
  <c r="DY144" i="12"/>
  <c r="DZ144" i="12"/>
  <c r="EA144" i="12"/>
  <c r="EC144" i="12"/>
  <c r="ED144" i="12"/>
  <c r="EE144" i="12"/>
  <c r="EF144" i="12"/>
  <c r="EG144" i="12"/>
  <c r="EH144" i="12"/>
  <c r="EI144" i="12"/>
  <c r="EJ144" i="12"/>
  <c r="EK144" i="12"/>
  <c r="EL144" i="12"/>
  <c r="EM144" i="12"/>
  <c r="EN144" i="12"/>
  <c r="EO144" i="12"/>
  <c r="EP144" i="12"/>
  <c r="EQ144" i="12"/>
  <c r="EU144" i="12"/>
  <c r="EV144" i="12"/>
  <c r="EW144" i="12"/>
  <c r="EX144" i="12"/>
  <c r="EY144" i="12"/>
  <c r="EZ144" i="12"/>
  <c r="FA144" i="12"/>
  <c r="FB144" i="12"/>
  <c r="FC144" i="12"/>
  <c r="FD144" i="12"/>
  <c r="FE144" i="12"/>
  <c r="FF144" i="12"/>
  <c r="FG144" i="12"/>
  <c r="E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N145" i="12"/>
  <c r="AO145" i="12"/>
  <c r="AP145" i="12"/>
  <c r="AQ145" i="12"/>
  <c r="AR145" i="12"/>
  <c r="AS145" i="12"/>
  <c r="AT145" i="12"/>
  <c r="AU145" i="12"/>
  <c r="AV145" i="12"/>
  <c r="AX145" i="12"/>
  <c r="AY145" i="12"/>
  <c r="AZ145" i="12"/>
  <c r="BA145" i="12"/>
  <c r="BB145" i="12"/>
  <c r="BC145" i="12"/>
  <c r="BD145" i="12"/>
  <c r="BE145" i="12"/>
  <c r="BF145" i="12"/>
  <c r="BH145" i="12"/>
  <c r="BI145" i="12"/>
  <c r="BJ145" i="12"/>
  <c r="BK145" i="12"/>
  <c r="BL145" i="12"/>
  <c r="BM145" i="12"/>
  <c r="BN145" i="12"/>
  <c r="BO145" i="12"/>
  <c r="BP145" i="12"/>
  <c r="BR145" i="12"/>
  <c r="BS145" i="12"/>
  <c r="BT145" i="12"/>
  <c r="BU145" i="12"/>
  <c r="BV145" i="12"/>
  <c r="BW145" i="12"/>
  <c r="BX145" i="12"/>
  <c r="BY145" i="12"/>
  <c r="BZ145" i="12"/>
  <c r="CB145" i="12"/>
  <c r="CC145" i="12"/>
  <c r="CD145" i="12"/>
  <c r="CE145" i="12"/>
  <c r="CF145" i="12"/>
  <c r="CG145" i="12"/>
  <c r="CH145" i="12"/>
  <c r="CI145" i="12"/>
  <c r="CJ145" i="12"/>
  <c r="CL145" i="12"/>
  <c r="CM145" i="12"/>
  <c r="CN145" i="12"/>
  <c r="CO145" i="12"/>
  <c r="CP145" i="12"/>
  <c r="CQ145" i="12"/>
  <c r="CR145" i="12"/>
  <c r="CS145" i="12"/>
  <c r="CT145" i="12"/>
  <c r="CV145" i="12"/>
  <c r="CW145" i="12"/>
  <c r="CX145" i="12"/>
  <c r="CY145" i="12"/>
  <c r="CZ145" i="12"/>
  <c r="DA145" i="12"/>
  <c r="DB145" i="12"/>
  <c r="DC145" i="12"/>
  <c r="DD145" i="12"/>
  <c r="DF145" i="12"/>
  <c r="DG145" i="12"/>
  <c r="DH145" i="12"/>
  <c r="DI145" i="12"/>
  <c r="DJ145" i="12"/>
  <c r="DK145" i="12"/>
  <c r="DL145" i="12"/>
  <c r="DM145" i="12"/>
  <c r="DN145" i="12"/>
  <c r="DP145" i="12"/>
  <c r="DQ145" i="12"/>
  <c r="DR145" i="12"/>
  <c r="DS145" i="12"/>
  <c r="DT145" i="12"/>
  <c r="DU145" i="12"/>
  <c r="DV145" i="12"/>
  <c r="DW145" i="12"/>
  <c r="DX145" i="12"/>
  <c r="DY145" i="12"/>
  <c r="DZ145" i="12"/>
  <c r="EA145" i="12"/>
  <c r="EC145" i="12"/>
  <c r="ED145" i="12"/>
  <c r="EE145" i="12"/>
  <c r="EF145" i="12"/>
  <c r="EG145" i="12"/>
  <c r="EH145" i="12"/>
  <c r="EI145" i="12"/>
  <c r="EJ145" i="12"/>
  <c r="EK145" i="12"/>
  <c r="EL145" i="12"/>
  <c r="EM145" i="12"/>
  <c r="EN145" i="12"/>
  <c r="EO145" i="12"/>
  <c r="EP145" i="12"/>
  <c r="EQ145" i="12"/>
  <c r="EU145" i="12"/>
  <c r="EV145" i="12"/>
  <c r="EW145" i="12"/>
  <c r="EX145" i="12"/>
  <c r="EY145" i="12"/>
  <c r="EZ145" i="12"/>
  <c r="FA145" i="12"/>
  <c r="FB145" i="12"/>
  <c r="FC145" i="12"/>
  <c r="FD145" i="12"/>
  <c r="FE145" i="12"/>
  <c r="FF145" i="12"/>
  <c r="FG145" i="12"/>
  <c r="E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N146" i="12"/>
  <c r="AO146" i="12"/>
  <c r="AP146" i="12"/>
  <c r="AQ146" i="12"/>
  <c r="AR146" i="12"/>
  <c r="AS146" i="12"/>
  <c r="AT146" i="12"/>
  <c r="AU146" i="12"/>
  <c r="AV146" i="12"/>
  <c r="AX146" i="12"/>
  <c r="AY146" i="12"/>
  <c r="AZ146" i="12"/>
  <c r="BA146" i="12"/>
  <c r="BB146" i="12"/>
  <c r="BC146" i="12"/>
  <c r="BD146" i="12"/>
  <c r="BE146" i="12"/>
  <c r="BF146" i="12"/>
  <c r="BH146" i="12"/>
  <c r="BI146" i="12"/>
  <c r="BJ146" i="12"/>
  <c r="BK146" i="12"/>
  <c r="BL146" i="12"/>
  <c r="BM146" i="12"/>
  <c r="BN146" i="12"/>
  <c r="BO146" i="12"/>
  <c r="BP146" i="12"/>
  <c r="BR146" i="12"/>
  <c r="BS146" i="12"/>
  <c r="BT146" i="12"/>
  <c r="BU146" i="12"/>
  <c r="BV146" i="12"/>
  <c r="BW146" i="12"/>
  <c r="BX146" i="12"/>
  <c r="BY146" i="12"/>
  <c r="BZ146" i="12"/>
  <c r="CB146" i="12"/>
  <c r="CC146" i="12"/>
  <c r="CD146" i="12"/>
  <c r="CE146" i="12"/>
  <c r="CF146" i="12"/>
  <c r="CG146" i="12"/>
  <c r="CH146" i="12"/>
  <c r="CI146" i="12"/>
  <c r="CJ146" i="12"/>
  <c r="CL146" i="12"/>
  <c r="CM146" i="12"/>
  <c r="CN146" i="12"/>
  <c r="CO146" i="12"/>
  <c r="CP146" i="12"/>
  <c r="CQ146" i="12"/>
  <c r="CR146" i="12"/>
  <c r="CS146" i="12"/>
  <c r="CT146" i="12"/>
  <c r="CV146" i="12"/>
  <c r="CW146" i="12"/>
  <c r="CX146" i="12"/>
  <c r="CY146" i="12"/>
  <c r="CZ146" i="12"/>
  <c r="DA146" i="12"/>
  <c r="DB146" i="12"/>
  <c r="DC146" i="12"/>
  <c r="DD146" i="12"/>
  <c r="DF146" i="12"/>
  <c r="DG146" i="12"/>
  <c r="DH146" i="12"/>
  <c r="DI146" i="12"/>
  <c r="DJ146" i="12"/>
  <c r="DK146" i="12"/>
  <c r="DL146" i="12"/>
  <c r="DM146" i="12"/>
  <c r="DN146" i="12"/>
  <c r="DP146" i="12"/>
  <c r="DQ146" i="12"/>
  <c r="DR146" i="12"/>
  <c r="DS146" i="12"/>
  <c r="DT146" i="12"/>
  <c r="DU146" i="12"/>
  <c r="DV146" i="12"/>
  <c r="DW146" i="12"/>
  <c r="DX146" i="12"/>
  <c r="DY146" i="12"/>
  <c r="DZ146" i="12"/>
  <c r="EA146" i="12"/>
  <c r="EC146" i="12"/>
  <c r="ED146" i="12"/>
  <c r="EE146" i="12"/>
  <c r="EF146" i="12"/>
  <c r="EG146" i="12"/>
  <c r="EH146" i="12"/>
  <c r="EI146" i="12"/>
  <c r="EJ146" i="12"/>
  <c r="EK146" i="12"/>
  <c r="EL146" i="12"/>
  <c r="EM146" i="12"/>
  <c r="EN146" i="12"/>
  <c r="EO146" i="12"/>
  <c r="EP146" i="12"/>
  <c r="EQ146" i="12"/>
  <c r="EU146" i="12"/>
  <c r="EV146" i="12"/>
  <c r="EW146" i="12"/>
  <c r="EX146" i="12"/>
  <c r="EY146" i="12"/>
  <c r="EZ146" i="12"/>
  <c r="FA146" i="12"/>
  <c r="FB146" i="12"/>
  <c r="FC146" i="12"/>
  <c r="FD146" i="12"/>
  <c r="FE146" i="12"/>
  <c r="FF146" i="12"/>
  <c r="FG146" i="12"/>
  <c r="E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N147" i="12"/>
  <c r="AO147" i="12"/>
  <c r="AP147" i="12"/>
  <c r="AQ147" i="12"/>
  <c r="AR147" i="12"/>
  <c r="AS147" i="12"/>
  <c r="AT147" i="12"/>
  <c r="AU147" i="12"/>
  <c r="AV147" i="12"/>
  <c r="AX147" i="12"/>
  <c r="AY147" i="12"/>
  <c r="AZ147" i="12"/>
  <c r="BA147" i="12"/>
  <c r="BB147" i="12"/>
  <c r="BC147" i="12"/>
  <c r="BD147" i="12"/>
  <c r="BE147" i="12"/>
  <c r="BF147" i="12"/>
  <c r="BH147" i="12"/>
  <c r="BI147" i="12"/>
  <c r="BJ147" i="12"/>
  <c r="BK147" i="12"/>
  <c r="BL147" i="12"/>
  <c r="BM147" i="12"/>
  <c r="BN147" i="12"/>
  <c r="BO147" i="12"/>
  <c r="BP147" i="12"/>
  <c r="BR147" i="12"/>
  <c r="BS147" i="12"/>
  <c r="BT147" i="12"/>
  <c r="BU147" i="12"/>
  <c r="BV147" i="12"/>
  <c r="BW147" i="12"/>
  <c r="BX147" i="12"/>
  <c r="BY147" i="12"/>
  <c r="BZ147" i="12"/>
  <c r="CB147" i="12"/>
  <c r="CC147" i="12"/>
  <c r="CD147" i="12"/>
  <c r="CE147" i="12"/>
  <c r="CF147" i="12"/>
  <c r="CG147" i="12"/>
  <c r="CH147" i="12"/>
  <c r="CI147" i="12"/>
  <c r="CJ147" i="12"/>
  <c r="CL147" i="12"/>
  <c r="CM147" i="12"/>
  <c r="CN147" i="12"/>
  <c r="CO147" i="12"/>
  <c r="CP147" i="12"/>
  <c r="CQ147" i="12"/>
  <c r="CR147" i="12"/>
  <c r="CS147" i="12"/>
  <c r="CT147" i="12"/>
  <c r="CV147" i="12"/>
  <c r="CW147" i="12"/>
  <c r="CX147" i="12"/>
  <c r="CY147" i="12"/>
  <c r="CZ147" i="12"/>
  <c r="DA147" i="12"/>
  <c r="DB147" i="12"/>
  <c r="DC147" i="12"/>
  <c r="DD147" i="12"/>
  <c r="DF147" i="12"/>
  <c r="DG147" i="12"/>
  <c r="DH147" i="12"/>
  <c r="DI147" i="12"/>
  <c r="DJ147" i="12"/>
  <c r="DK147" i="12"/>
  <c r="DL147" i="12"/>
  <c r="DM147" i="12"/>
  <c r="DN147" i="12"/>
  <c r="DP147" i="12"/>
  <c r="DQ147" i="12"/>
  <c r="DR147" i="12"/>
  <c r="DS147" i="12"/>
  <c r="DT147" i="12"/>
  <c r="DU147" i="12"/>
  <c r="DV147" i="12"/>
  <c r="DW147" i="12"/>
  <c r="DX147" i="12"/>
  <c r="DY147" i="12"/>
  <c r="DZ147" i="12"/>
  <c r="EA147" i="12"/>
  <c r="EB147" i="12"/>
  <c r="EC147" i="12"/>
  <c r="ED147" i="12"/>
  <c r="EE147" i="12"/>
  <c r="EF147" i="12"/>
  <c r="EG147" i="12"/>
  <c r="EH147" i="12"/>
  <c r="EI147" i="12"/>
  <c r="EJ147" i="12"/>
  <c r="EK147" i="12"/>
  <c r="EL147" i="12"/>
  <c r="EM147" i="12"/>
  <c r="EN147" i="12"/>
  <c r="EO147" i="12"/>
  <c r="EP147" i="12"/>
  <c r="EQ147" i="12"/>
  <c r="ET147" i="12"/>
  <c r="EU147" i="12"/>
  <c r="EV147" i="12"/>
  <c r="EW147" i="12"/>
  <c r="EX147" i="12"/>
  <c r="EY147" i="12"/>
  <c r="EZ147" i="12"/>
  <c r="FA147" i="12"/>
  <c r="FB147" i="12"/>
  <c r="FC147" i="12"/>
  <c r="FD147" i="12"/>
  <c r="FE147" i="12"/>
  <c r="FF147" i="12"/>
  <c r="FG147" i="12"/>
  <c r="FJ147" i="12"/>
  <c r="E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N148" i="12"/>
  <c r="AO148" i="12"/>
  <c r="AP148" i="12"/>
  <c r="AQ148" i="12"/>
  <c r="AR148" i="12"/>
  <c r="AS148" i="12"/>
  <c r="AT148" i="12"/>
  <c r="AU148" i="12"/>
  <c r="AV148" i="12"/>
  <c r="AX148" i="12"/>
  <c r="AY148" i="12"/>
  <c r="AZ148" i="12"/>
  <c r="BA148" i="12"/>
  <c r="BB148" i="12"/>
  <c r="BC148" i="12"/>
  <c r="BD148" i="12"/>
  <c r="BE148" i="12"/>
  <c r="BF148" i="12"/>
  <c r="BH148" i="12"/>
  <c r="BI148" i="12"/>
  <c r="BJ148" i="12"/>
  <c r="BK148" i="12"/>
  <c r="BL148" i="12"/>
  <c r="BM148" i="12"/>
  <c r="BN148" i="12"/>
  <c r="BO148" i="12"/>
  <c r="BP148" i="12"/>
  <c r="BR148" i="12"/>
  <c r="BS148" i="12"/>
  <c r="BT148" i="12"/>
  <c r="BU148" i="12"/>
  <c r="BV148" i="12"/>
  <c r="BW148" i="12"/>
  <c r="BX148" i="12"/>
  <c r="BY148" i="12"/>
  <c r="BZ148" i="12"/>
  <c r="CB148" i="12"/>
  <c r="CC148" i="12"/>
  <c r="CD148" i="12"/>
  <c r="CE148" i="12"/>
  <c r="CF148" i="12"/>
  <c r="CG148" i="12"/>
  <c r="CH148" i="12"/>
  <c r="CI148" i="12"/>
  <c r="CJ148" i="12"/>
  <c r="CL148" i="12"/>
  <c r="CM148" i="12"/>
  <c r="CN148" i="12"/>
  <c r="CO148" i="12"/>
  <c r="CP148" i="12"/>
  <c r="CQ148" i="12"/>
  <c r="CR148" i="12"/>
  <c r="CS148" i="12"/>
  <c r="CT148" i="12"/>
  <c r="CV148" i="12"/>
  <c r="CW148" i="12"/>
  <c r="CX148" i="12"/>
  <c r="CY148" i="12"/>
  <c r="CZ148" i="12"/>
  <c r="DA148" i="12"/>
  <c r="DB148" i="12"/>
  <c r="DC148" i="12"/>
  <c r="DD148" i="12"/>
  <c r="DF148" i="12"/>
  <c r="DG148" i="12"/>
  <c r="DH148" i="12"/>
  <c r="DI148" i="12"/>
  <c r="DJ148" i="12"/>
  <c r="DK148" i="12"/>
  <c r="DL148" i="12"/>
  <c r="DM148" i="12"/>
  <c r="DN148" i="12"/>
  <c r="DP148" i="12"/>
  <c r="DQ148" i="12"/>
  <c r="DR148" i="12"/>
  <c r="DS148" i="12"/>
  <c r="DT148" i="12"/>
  <c r="DU148" i="12"/>
  <c r="DV148" i="12"/>
  <c r="DW148" i="12"/>
  <c r="DX148" i="12"/>
  <c r="DY148" i="12"/>
  <c r="DZ148" i="12"/>
  <c r="EA148" i="12"/>
  <c r="EB148" i="12"/>
  <c r="EC148" i="12"/>
  <c r="ED148" i="12"/>
  <c r="EE148" i="12"/>
  <c r="EF148" i="12"/>
  <c r="EG148" i="12"/>
  <c r="EH148" i="12"/>
  <c r="EI148" i="12"/>
  <c r="EJ148" i="12"/>
  <c r="EK148" i="12"/>
  <c r="EL148" i="12"/>
  <c r="EM148" i="12"/>
  <c r="EN148" i="12"/>
  <c r="EO148" i="12"/>
  <c r="EP148" i="12"/>
  <c r="EQ148" i="12"/>
  <c r="ET148" i="12"/>
  <c r="EU148" i="12"/>
  <c r="EV148" i="12"/>
  <c r="EW148" i="12"/>
  <c r="EX148" i="12"/>
  <c r="EY148" i="12"/>
  <c r="EZ148" i="12"/>
  <c r="FA148" i="12"/>
  <c r="FB148" i="12"/>
  <c r="FC148" i="12"/>
  <c r="FD148" i="12"/>
  <c r="FE148" i="12"/>
  <c r="FF148" i="12"/>
  <c r="FG148" i="12"/>
  <c r="FJ148" i="12"/>
  <c r="E152" i="12"/>
  <c r="J152" i="12"/>
  <c r="J153" i="12" s="1"/>
  <c r="K152" i="12"/>
  <c r="L152" i="12"/>
  <c r="L155" i="12" s="1"/>
  <c r="M152" i="12"/>
  <c r="N152" i="12"/>
  <c r="O152" i="12"/>
  <c r="P152" i="12"/>
  <c r="Q152" i="12"/>
  <c r="R152" i="12"/>
  <c r="R153" i="12" s="1"/>
  <c r="S152" i="12"/>
  <c r="T152" i="12"/>
  <c r="U152" i="12"/>
  <c r="V152" i="12"/>
  <c r="AB152" i="12"/>
  <c r="AC152" i="12"/>
  <c r="AC155" i="12" s="1"/>
  <c r="AD152" i="12"/>
  <c r="AE152" i="12"/>
  <c r="AF152" i="12"/>
  <c r="AG152" i="12"/>
  <c r="AG154" i="12" s="1"/>
  <c r="AH152" i="12"/>
  <c r="AI152" i="12"/>
  <c r="AI154" i="12" s="1"/>
  <c r="AJ152" i="12"/>
  <c r="AJ149" i="12" s="1"/>
  <c r="AK152" i="12"/>
  <c r="AK154" i="12" s="1"/>
  <c r="AL152" i="12"/>
  <c r="AL149" i="12" s="1"/>
  <c r="AN152" i="12"/>
  <c r="AO152" i="12"/>
  <c r="AP152" i="12"/>
  <c r="AP153" i="12" s="1"/>
  <c r="AQ152" i="12"/>
  <c r="AR152" i="12"/>
  <c r="AR155" i="12" s="1"/>
  <c r="AS152" i="12"/>
  <c r="AT152" i="12"/>
  <c r="AU152" i="12"/>
  <c r="AU149" i="12" s="1"/>
  <c r="AV152" i="12"/>
  <c r="AX152" i="12"/>
  <c r="AY152" i="12"/>
  <c r="AZ152" i="12"/>
  <c r="BA152" i="12"/>
  <c r="BB152" i="12"/>
  <c r="BB149" i="12" s="1"/>
  <c r="BC152" i="12"/>
  <c r="BC155" i="12" s="1"/>
  <c r="BD152" i="12"/>
  <c r="BD149" i="12" s="1"/>
  <c r="BE152" i="12"/>
  <c r="BE155" i="12" s="1"/>
  <c r="BF152" i="12"/>
  <c r="BH152" i="12"/>
  <c r="BH155" i="12" s="1"/>
  <c r="BI152" i="12"/>
  <c r="BJ152" i="12"/>
  <c r="BK152" i="12"/>
  <c r="BL152" i="12"/>
  <c r="BL155" i="12" s="1"/>
  <c r="BM152" i="12"/>
  <c r="BN152" i="12"/>
  <c r="BN155" i="12" s="1"/>
  <c r="BO152" i="12"/>
  <c r="BO149" i="12" s="1"/>
  <c r="BP152" i="12"/>
  <c r="BR152" i="12"/>
  <c r="BR150" i="12" s="1"/>
  <c r="BS152" i="12"/>
  <c r="BT152" i="12"/>
  <c r="BU152" i="12"/>
  <c r="BV152" i="12"/>
  <c r="BV149" i="12" s="1"/>
  <c r="BW152" i="12"/>
  <c r="BX152" i="12"/>
  <c r="BX149" i="12" s="1"/>
  <c r="BY152" i="12"/>
  <c r="BY155" i="12" s="1"/>
  <c r="BZ152" i="12"/>
  <c r="CB152" i="12"/>
  <c r="CB155" i="12" s="1"/>
  <c r="CC152" i="12"/>
  <c r="CD152" i="12"/>
  <c r="CE152" i="12"/>
  <c r="CF152" i="12"/>
  <c r="CF155" i="12" s="1"/>
  <c r="CG152" i="12"/>
  <c r="CH152" i="12"/>
  <c r="CH155" i="12" s="1"/>
  <c r="CI152" i="12"/>
  <c r="CI150" i="12" s="1"/>
  <c r="CJ152" i="12"/>
  <c r="CJ154" i="12" s="1"/>
  <c r="CL152" i="12"/>
  <c r="CL149" i="12" s="1"/>
  <c r="CM152" i="12"/>
  <c r="CN152" i="12"/>
  <c r="CN149" i="12" s="1"/>
  <c r="CO152" i="12"/>
  <c r="CP152" i="12"/>
  <c r="CP149" i="12" s="1"/>
  <c r="CQ152" i="12"/>
  <c r="CQ153" i="12" s="1"/>
  <c r="CR152" i="12"/>
  <c r="CR150" i="12" s="1"/>
  <c r="CS152" i="12"/>
  <c r="CS155" i="12" s="1"/>
  <c r="CT152" i="12"/>
  <c r="CV152" i="12"/>
  <c r="CW152" i="12"/>
  <c r="CX152" i="12"/>
  <c r="CX155" i="12" s="1"/>
  <c r="CY152" i="12"/>
  <c r="CY149" i="12" s="1"/>
  <c r="CZ152" i="12"/>
  <c r="CZ155" i="12" s="1"/>
  <c r="DA152" i="12"/>
  <c r="DB152" i="12"/>
  <c r="DB153" i="12" s="1"/>
  <c r="DC152" i="12"/>
  <c r="DC149" i="12" s="1"/>
  <c r="DD152" i="12"/>
  <c r="DD154" i="12" s="1"/>
  <c r="DF152" i="12"/>
  <c r="DF149" i="12" s="1"/>
  <c r="DG152" i="12"/>
  <c r="DH152" i="12"/>
  <c r="DH149" i="12" s="1"/>
  <c r="DI152" i="12"/>
  <c r="DI155" i="12" s="1"/>
  <c r="DJ152" i="12"/>
  <c r="DJ150" i="12" s="1"/>
  <c r="DK152" i="12"/>
  <c r="DK155" i="12" s="1"/>
  <c r="DL152" i="12"/>
  <c r="DL149" i="12" s="1"/>
  <c r="DM152" i="12"/>
  <c r="DM155" i="12" s="1"/>
  <c r="DN152" i="12"/>
  <c r="DP152" i="12"/>
  <c r="DP155" i="12" s="1"/>
  <c r="DQ152" i="12"/>
  <c r="DR152" i="12"/>
  <c r="DR155" i="12" s="1"/>
  <c r="DS152" i="12"/>
  <c r="DS150" i="12" s="1"/>
  <c r="DT152" i="12"/>
  <c r="DT155" i="12" s="1"/>
  <c r="DU152" i="12"/>
  <c r="DV152" i="12"/>
  <c r="DV153" i="12" s="1"/>
  <c r="DW152" i="12"/>
  <c r="DW149" i="12" s="1"/>
  <c r="DX152" i="12"/>
  <c r="DY152" i="12"/>
  <c r="DY149" i="12" s="1"/>
  <c r="DZ152" i="12"/>
  <c r="DZ155" i="12" s="1"/>
  <c r="EA152" i="12"/>
  <c r="EA153" i="12" s="1"/>
  <c r="EB152" i="12"/>
  <c r="EC152" i="12"/>
  <c r="EC149" i="12" s="1"/>
  <c r="ED152" i="12"/>
  <c r="ED149" i="12" s="1"/>
  <c r="EE152" i="12"/>
  <c r="EE149" i="12" s="1"/>
  <c r="EF152" i="12"/>
  <c r="EF149" i="12" s="1"/>
  <c r="EG152" i="12"/>
  <c r="EG149" i="12" s="1"/>
  <c r="EH152" i="12"/>
  <c r="EH149" i="12" s="1"/>
  <c r="EI152" i="12"/>
  <c r="EI149" i="12" s="1"/>
  <c r="EJ152" i="12"/>
  <c r="EK152" i="12"/>
  <c r="EK149" i="12" s="1"/>
  <c r="EL152" i="12"/>
  <c r="EM152" i="12"/>
  <c r="EM149" i="12" s="1"/>
  <c r="EN152" i="12"/>
  <c r="EN149" i="12" s="1"/>
  <c r="EO152" i="12"/>
  <c r="EO149" i="12" s="1"/>
  <c r="EP152" i="12"/>
  <c r="EP149" i="12" s="1"/>
  <c r="EQ152" i="12"/>
  <c r="EQ149" i="12" s="1"/>
  <c r="ET152" i="12"/>
  <c r="ET149" i="12" s="1"/>
  <c r="EU152" i="12"/>
  <c r="EV152" i="12"/>
  <c r="EV149" i="12" s="1"/>
  <c r="EW152" i="12"/>
  <c r="EW149" i="12" s="1"/>
  <c r="EX152" i="12"/>
  <c r="EX149" i="12" s="1"/>
  <c r="EY152" i="12"/>
  <c r="EY149" i="12" s="1"/>
  <c r="EZ152" i="12"/>
  <c r="EZ149" i="12" s="1"/>
  <c r="FA152" i="12"/>
  <c r="FB152" i="12"/>
  <c r="FB149" i="12" s="1"/>
  <c r="FC152" i="12"/>
  <c r="FC149" i="12" s="1"/>
  <c r="FD152" i="12"/>
  <c r="FD149" i="12" s="1"/>
  <c r="FE152" i="12"/>
  <c r="FE149" i="12" s="1"/>
  <c r="FF152" i="12"/>
  <c r="FF149" i="12" s="1"/>
  <c r="FG152" i="12"/>
  <c r="FG149" i="12" s="1"/>
  <c r="FJ152" i="12"/>
  <c r="E153" i="12"/>
  <c r="L153" i="12"/>
  <c r="BD153" i="12"/>
  <c r="BE153" i="12"/>
  <c r="BF153" i="12"/>
  <c r="EP153" i="12"/>
  <c r="DX154" i="12" l="1"/>
  <c r="M153" i="12"/>
  <c r="EL149" i="12"/>
  <c r="CT149" i="12"/>
  <c r="DN149" i="12"/>
  <c r="CD155" i="12"/>
  <c r="BI153" i="12"/>
  <c r="CC149" i="12"/>
  <c r="CO155" i="12"/>
  <c r="BH153" i="12"/>
  <c r="K155" i="12"/>
  <c r="K153" i="12"/>
  <c r="FJ149" i="12"/>
  <c r="DQ149" i="12"/>
  <c r="CW149" i="12"/>
  <c r="AF153" i="12"/>
  <c r="AK153" i="12"/>
  <c r="BZ150" i="12"/>
  <c r="BF149" i="12"/>
  <c r="BA153" i="12"/>
  <c r="AE153" i="12"/>
  <c r="Q153" i="12"/>
  <c r="P154" i="12"/>
  <c r="AB144" i="12"/>
  <c r="EU149" i="12"/>
  <c r="S153" i="12"/>
  <c r="DU149" i="12"/>
  <c r="AX149" i="12"/>
  <c r="DA150" i="12"/>
  <c r="CE153" i="12"/>
  <c r="BP154" i="12"/>
  <c r="EQ153" i="12"/>
  <c r="EO153" i="12"/>
  <c r="DX153" i="12"/>
  <c r="O154" i="12"/>
  <c r="AV154" i="12"/>
  <c r="BK149" i="12"/>
  <c r="BC153" i="12"/>
  <c r="BB153" i="12"/>
  <c r="AR153" i="12"/>
  <c r="AQ153" i="12"/>
  <c r="BS155" i="12"/>
  <c r="AX153" i="12"/>
  <c r="AI153" i="12"/>
  <c r="AV153" i="12"/>
  <c r="AS149" i="12"/>
  <c r="CM155" i="12"/>
  <c r="AU153" i="12"/>
  <c r="AL153" i="12"/>
  <c r="AJ153" i="12"/>
  <c r="AZ153" i="12"/>
  <c r="AY153" i="12"/>
  <c r="BT149" i="12"/>
  <c r="BM149" i="12"/>
  <c r="AY155" i="12"/>
  <c r="FG153" i="12"/>
  <c r="CG149" i="12"/>
  <c r="FE153" i="12"/>
  <c r="DW153" i="12"/>
  <c r="DS153" i="12"/>
  <c r="DL153" i="12"/>
  <c r="DJ153" i="12"/>
  <c r="DH153" i="12"/>
  <c r="DG154" i="12"/>
  <c r="DF153" i="12"/>
  <c r="DC153" i="12"/>
  <c r="CR153" i="12"/>
  <c r="CP153" i="12"/>
  <c r="CN153" i="12"/>
  <c r="CL153" i="12"/>
  <c r="CI153" i="12"/>
  <c r="CG153" i="12"/>
  <c r="CE149" i="12"/>
  <c r="BX153" i="12"/>
  <c r="BV153" i="12"/>
  <c r="AZ150" i="12"/>
  <c r="AQ150" i="12"/>
  <c r="E149" i="12"/>
  <c r="AB143" i="12"/>
  <c r="BA155" i="12"/>
  <c r="BI155" i="12"/>
  <c r="DT153" i="12"/>
  <c r="BT153" i="12"/>
  <c r="BW155" i="12"/>
  <c r="AH153" i="12"/>
  <c r="CT153" i="12"/>
  <c r="BR153" i="12"/>
  <c r="AG153" i="12"/>
  <c r="CM153" i="12"/>
  <c r="CJ153" i="12"/>
  <c r="FC153" i="12"/>
  <c r="CS153" i="12"/>
  <c r="BO153" i="12"/>
  <c r="EB155" i="12"/>
  <c r="BJ155" i="12"/>
  <c r="J155" i="12"/>
  <c r="BU155" i="12"/>
  <c r="BS153" i="12"/>
  <c r="BP153" i="12"/>
  <c r="CH153" i="12"/>
  <c r="BK153" i="12"/>
  <c r="AO149" i="12"/>
  <c r="CF153" i="12"/>
  <c r="CD153" i="12"/>
  <c r="BN153" i="12"/>
  <c r="BJ153" i="12"/>
  <c r="CO153" i="12"/>
  <c r="AP155" i="12"/>
  <c r="AE155" i="12"/>
  <c r="O153" i="12"/>
  <c r="FF153" i="12"/>
  <c r="FD153" i="12"/>
  <c r="EU153" i="12"/>
  <c r="P153" i="12"/>
  <c r="N153" i="12"/>
  <c r="N155" i="12"/>
  <c r="CC153" i="12"/>
  <c r="CB153" i="12"/>
  <c r="BZ153" i="12"/>
  <c r="AH150" i="12"/>
  <c r="N154" i="12"/>
  <c r="BW153" i="12"/>
  <c r="BY153" i="12"/>
  <c r="BU153" i="12"/>
  <c r="EF153" i="12"/>
  <c r="EE153" i="12"/>
  <c r="EH153" i="12"/>
  <c r="EG153" i="12"/>
  <c r="T155" i="12"/>
  <c r="DM153" i="12"/>
  <c r="DK153" i="12"/>
  <c r="EN153" i="12"/>
  <c r="EM153" i="12"/>
  <c r="EZ153" i="12"/>
  <c r="EL153" i="12"/>
  <c r="ET153" i="12"/>
  <c r="EI153" i="12"/>
  <c r="ED153" i="12"/>
  <c r="DR153" i="12"/>
  <c r="DQ153" i="12"/>
  <c r="DG153" i="12"/>
  <c r="DD153" i="12"/>
  <c r="DI153" i="12"/>
  <c r="CY153" i="12"/>
  <c r="AF155" i="12"/>
  <c r="AD149" i="12"/>
  <c r="AN153" i="12"/>
  <c r="DY143" i="12"/>
  <c r="AO153" i="12"/>
  <c r="AN155" i="12"/>
  <c r="J144" i="12"/>
  <c r="AT155" i="12"/>
  <c r="CZ153" i="12"/>
  <c r="CW153" i="12"/>
  <c r="CV153" i="12"/>
  <c r="CX153" i="12"/>
  <c r="CV155" i="12"/>
  <c r="AB155" i="12"/>
  <c r="CQ155" i="12"/>
  <c r="FD155" i="12"/>
  <c r="AV155" i="12"/>
  <c r="EJ149" i="12"/>
  <c r="CJ155" i="12"/>
  <c r="FD154" i="12"/>
  <c r="EB142" i="12"/>
  <c r="FJ146" i="12"/>
  <c r="ET146" i="12"/>
  <c r="EB146" i="12"/>
  <c r="FJ145" i="12"/>
  <c r="ET145" i="12"/>
  <c r="EB145" i="12"/>
  <c r="FJ144" i="12"/>
  <c r="ET144" i="12"/>
  <c r="EB144" i="12"/>
  <c r="FJ143" i="12"/>
  <c r="ET143" i="12"/>
  <c r="EB143" i="12"/>
  <c r="FJ142" i="12"/>
  <c r="ET142" i="12"/>
  <c r="AB142" i="12"/>
  <c r="CM154" i="12"/>
  <c r="BS154" i="12"/>
  <c r="AY154" i="12"/>
  <c r="FF155" i="12"/>
  <c r="EP155" i="12"/>
  <c r="BP155" i="12"/>
  <c r="FF154" i="12"/>
  <c r="EP154" i="12"/>
  <c r="DP153" i="12"/>
  <c r="DN153" i="12"/>
  <c r="AD153" i="12"/>
  <c r="AC153" i="12"/>
  <c r="M150" i="12"/>
  <c r="FA153" i="12"/>
  <c r="FG154" i="12"/>
  <c r="FE154" i="12"/>
  <c r="FC154" i="12"/>
  <c r="FB154" i="12"/>
  <c r="FB153" i="12"/>
  <c r="FA149" i="12"/>
  <c r="FA154" i="12"/>
  <c r="AG155" i="12"/>
  <c r="Q155" i="12"/>
  <c r="FG155" i="12"/>
  <c r="FE155" i="12"/>
  <c r="FC155" i="12"/>
  <c r="EW154" i="12"/>
  <c r="EF155" i="12"/>
  <c r="DK154" i="12"/>
  <c r="DI154" i="12"/>
  <c r="DG155" i="12"/>
  <c r="AT153" i="12"/>
  <c r="AS153" i="12"/>
  <c r="AN154" i="12"/>
  <c r="AK155" i="12"/>
  <c r="AI155" i="12"/>
  <c r="P155" i="12"/>
  <c r="FA155" i="12"/>
  <c r="EY154" i="12"/>
  <c r="V153" i="12"/>
  <c r="FB155" i="12"/>
  <c r="EZ155" i="12"/>
  <c r="EZ154" i="12"/>
  <c r="EY155" i="12"/>
  <c r="EY153" i="12"/>
  <c r="EX154" i="12"/>
  <c r="EN155" i="12"/>
  <c r="EN154" i="12"/>
  <c r="EH154" i="12"/>
  <c r="EF154" i="12"/>
  <c r="EA150" i="12"/>
  <c r="DZ154" i="12"/>
  <c r="DX155" i="12"/>
  <c r="DT154" i="12"/>
  <c r="DR154" i="12"/>
  <c r="DP154" i="12"/>
  <c r="DM154" i="12"/>
  <c r="DD155" i="12"/>
  <c r="CZ154" i="12"/>
  <c r="CX154" i="12"/>
  <c r="CV154" i="12"/>
  <c r="CS154" i="12"/>
  <c r="CQ154" i="12"/>
  <c r="CO154" i="12"/>
  <c r="CH154" i="12"/>
  <c r="CF154" i="12"/>
  <c r="CD154" i="12"/>
  <c r="CB154" i="12"/>
  <c r="BY154" i="12"/>
  <c r="BW154" i="12"/>
  <c r="BU154" i="12"/>
  <c r="BN154" i="12"/>
  <c r="BM153" i="12"/>
  <c r="BL154" i="12"/>
  <c r="BL153" i="12"/>
  <c r="BJ154" i="12"/>
  <c r="BH154" i="12"/>
  <c r="BE154" i="12"/>
  <c r="BC154" i="12"/>
  <c r="BA154" i="12"/>
  <c r="AT154" i="12"/>
  <c r="AR154" i="12"/>
  <c r="AP154" i="12"/>
  <c r="AE154" i="12"/>
  <c r="AC154" i="12"/>
  <c r="AB153" i="12"/>
  <c r="R154" i="12"/>
  <c r="L154" i="12"/>
  <c r="J154" i="12"/>
  <c r="EQ155" i="12"/>
  <c r="EO155" i="12"/>
  <c r="EM155" i="12"/>
  <c r="AJ155" i="12"/>
  <c r="AH155" i="12"/>
  <c r="AD155" i="12"/>
  <c r="O155" i="12"/>
  <c r="EI154" i="12"/>
  <c r="EG154" i="12"/>
  <c r="EE154" i="12"/>
  <c r="DU154" i="12"/>
  <c r="DS154" i="12"/>
  <c r="DQ154" i="12"/>
  <c r="DN154" i="12"/>
  <c r="DL154" i="12"/>
  <c r="DJ154" i="12"/>
  <c r="DH154" i="12"/>
  <c r="DA154" i="12"/>
  <c r="CY154" i="12"/>
  <c r="CW154" i="12"/>
  <c r="CT154" i="12"/>
  <c r="CR154" i="12"/>
  <c r="CP154" i="12"/>
  <c r="CN154" i="12"/>
  <c r="CL154" i="12"/>
  <c r="CI154" i="12"/>
  <c r="CG154" i="12"/>
  <c r="CE154" i="12"/>
  <c r="CC154" i="12"/>
  <c r="BZ154" i="12"/>
  <c r="BX154" i="12"/>
  <c r="BV154" i="12"/>
  <c r="BT154" i="12"/>
  <c r="BR154" i="12"/>
  <c r="BO154" i="12"/>
  <c r="BM154" i="12"/>
  <c r="BK154" i="12"/>
  <c r="BI154" i="12"/>
  <c r="BF154" i="12"/>
  <c r="BD154" i="12"/>
  <c r="BB154" i="12"/>
  <c r="AZ154" i="12"/>
  <c r="AX154" i="12"/>
  <c r="AU154" i="12"/>
  <c r="AS154" i="12"/>
  <c r="AQ154" i="12"/>
  <c r="AO154" i="12"/>
  <c r="AL154" i="12"/>
  <c r="AJ154" i="12"/>
  <c r="AH154" i="12"/>
  <c r="AF154" i="12"/>
  <c r="AD154" i="12"/>
  <c r="AB154" i="12"/>
  <c r="Q154" i="12"/>
  <c r="M154" i="12"/>
  <c r="K154" i="12"/>
  <c r="E154" i="12"/>
  <c r="EW153" i="12"/>
  <c r="FJ153" i="12"/>
  <c r="EX153" i="12"/>
  <c r="EV153" i="12"/>
  <c r="EW155" i="12"/>
  <c r="EQ154" i="12"/>
  <c r="EO154" i="12"/>
  <c r="EM154" i="12"/>
  <c r="EX155" i="12"/>
  <c r="EJ155" i="12"/>
  <c r="EH155" i="12"/>
  <c r="M155" i="12"/>
  <c r="EU155" i="12"/>
  <c r="EK155" i="12"/>
  <c r="EI155" i="12"/>
  <c r="EG155" i="12"/>
  <c r="EE155" i="12"/>
  <c r="DU155" i="12"/>
  <c r="DS155" i="12"/>
  <c r="DQ155" i="12"/>
  <c r="DH155" i="12"/>
  <c r="DF155" i="12"/>
  <c r="DC155" i="12"/>
  <c r="BR155" i="12"/>
  <c r="BO155" i="12"/>
  <c r="BM155" i="12"/>
  <c r="BK155" i="12"/>
  <c r="BF155" i="12"/>
  <c r="BD155" i="12"/>
  <c r="BB155" i="12"/>
  <c r="AZ155" i="12"/>
  <c r="AX155" i="12"/>
  <c r="AU155" i="12"/>
  <c r="AS155" i="12"/>
  <c r="AQ155" i="12"/>
  <c r="AO155" i="12"/>
  <c r="AL155" i="12"/>
  <c r="EU154" i="12"/>
  <c r="EK154" i="12"/>
  <c r="FJ155" i="12"/>
  <c r="EV155" i="12"/>
  <c r="FJ154" i="12"/>
  <c r="EV154" i="12"/>
  <c r="ET155" i="12"/>
  <c r="EL155" i="12"/>
  <c r="ET154" i="12"/>
  <c r="EL154" i="12"/>
  <c r="EK153" i="12"/>
  <c r="EJ154" i="12"/>
  <c r="EJ153" i="12"/>
  <c r="DN155" i="12"/>
  <c r="DL155" i="12"/>
  <c r="DJ155" i="12"/>
  <c r="DA155" i="12"/>
  <c r="CY155" i="12"/>
  <c r="CW155" i="12"/>
  <c r="CT155" i="12"/>
  <c r="CR155" i="12"/>
  <c r="CP155" i="12"/>
  <c r="CN155" i="12"/>
  <c r="CL155" i="12"/>
  <c r="CI155" i="12"/>
  <c r="CG155" i="12"/>
  <c r="CE155" i="12"/>
  <c r="CC155" i="12"/>
  <c r="BZ155" i="12"/>
  <c r="BX155" i="12"/>
  <c r="BV155" i="12"/>
  <c r="BT155" i="12"/>
  <c r="DF154" i="12"/>
  <c r="BI150" i="12"/>
  <c r="L43" i="2"/>
  <c r="E155" i="12"/>
  <c r="DC154" i="12"/>
  <c r="L50" i="2"/>
  <c r="ED154" i="12"/>
  <c r="EC154" i="12"/>
  <c r="EC153" i="12"/>
  <c r="EA154" i="12"/>
  <c r="DZ153" i="12"/>
  <c r="EB154" i="12"/>
  <c r="EB153" i="12"/>
  <c r="DY153" i="12"/>
  <c r="R155" i="12"/>
  <c r="ED155" i="12"/>
  <c r="DB155" i="12"/>
  <c r="DB154" i="12"/>
  <c r="DA153" i="12"/>
  <c r="DW155" i="12"/>
  <c r="AB37" i="2"/>
  <c r="EA155" i="12"/>
  <c r="DY155" i="12"/>
  <c r="DY154" i="12"/>
  <c r="DW154" i="12"/>
  <c r="EC155" i="12"/>
  <c r="DV155" i="12"/>
  <c r="DV154" i="12"/>
  <c r="DU153" i="12"/>
  <c r="V154" i="12"/>
  <c r="T153" i="12"/>
  <c r="T154" i="12"/>
  <c r="S155" i="12"/>
  <c r="S154" i="12"/>
  <c r="V155" i="12"/>
  <c r="U153" i="12"/>
  <c r="U155" i="12"/>
  <c r="U154" i="12"/>
  <c r="V45" i="2"/>
  <c r="V43" i="2"/>
  <c r="L45" i="2"/>
  <c r="Y38" i="2"/>
  <c r="AD38" i="2" s="1"/>
  <c r="V44" i="2"/>
  <c r="V41" i="2"/>
  <c r="L40" i="2"/>
  <c r="V39" i="2"/>
  <c r="V37" i="2"/>
  <c r="Y37" i="2"/>
  <c r="AD37" i="2" s="1"/>
  <c r="V42" i="2"/>
  <c r="V40" i="2"/>
  <c r="L39" i="2"/>
  <c r="AB38" i="2"/>
  <c r="V38" i="2"/>
  <c r="L44" i="2"/>
  <c r="L38" i="2"/>
  <c r="L46" i="2"/>
  <c r="U150" i="12"/>
  <c r="Q149" i="12"/>
  <c r="L37" i="2"/>
  <c r="E51" i="2"/>
  <c r="L51" i="2" s="1"/>
  <c r="E49" i="2"/>
  <c r="L49" i="2" s="1"/>
  <c r="E42" i="2"/>
  <c r="L42" i="2" s="1"/>
  <c r="E41" i="2"/>
  <c r="L41" i="2" s="1"/>
  <c r="AB39" i="2"/>
  <c r="Y39" i="2"/>
  <c r="V46" i="2"/>
  <c r="AF149" i="12"/>
  <c r="AF150" i="12"/>
  <c r="AB149" i="12"/>
  <c r="AB150" i="12"/>
  <c r="S149" i="12"/>
  <c r="S150" i="12"/>
  <c r="O149" i="12"/>
  <c r="O150" i="12"/>
  <c r="K149" i="12"/>
  <c r="K150" i="12"/>
  <c r="FG151" i="12"/>
  <c r="FE151" i="12"/>
  <c r="FC151" i="12"/>
  <c r="FA151" i="12"/>
  <c r="EY151" i="12"/>
  <c r="EW151" i="12"/>
  <c r="EU151" i="12"/>
  <c r="EQ151" i="12"/>
  <c r="EO151" i="12"/>
  <c r="EM151" i="12"/>
  <c r="EK151" i="12"/>
  <c r="EI151" i="12"/>
  <c r="EG151" i="12"/>
  <c r="EE151" i="12"/>
  <c r="EC151" i="12"/>
  <c r="EA151" i="12"/>
  <c r="DY151" i="12"/>
  <c r="DW151" i="12"/>
  <c r="DU151" i="12"/>
  <c r="DS151" i="12"/>
  <c r="DQ151" i="12"/>
  <c r="DN151" i="12"/>
  <c r="DL151" i="12"/>
  <c r="DJ151" i="12"/>
  <c r="DH151" i="12"/>
  <c r="DF151" i="12"/>
  <c r="DC151" i="12"/>
  <c r="DA151" i="12"/>
  <c r="CY151" i="12"/>
  <c r="CW151" i="12"/>
  <c r="CT151" i="12"/>
  <c r="CR151" i="12"/>
  <c r="CP151" i="12"/>
  <c r="CN151" i="12"/>
  <c r="CL151" i="12"/>
  <c r="CI151" i="12"/>
  <c r="CG151" i="12"/>
  <c r="CE151" i="12"/>
  <c r="CC151" i="12"/>
  <c r="BZ151" i="12"/>
  <c r="BX151" i="12"/>
  <c r="BV151" i="12"/>
  <c r="BT151" i="12"/>
  <c r="BR151" i="12"/>
  <c r="BO151" i="12"/>
  <c r="BM151" i="12"/>
  <c r="BK151" i="12"/>
  <c r="BI151" i="12"/>
  <c r="BF151" i="12"/>
  <c r="BD151" i="12"/>
  <c r="BB151" i="12"/>
  <c r="AZ151" i="12"/>
  <c r="AX151" i="12"/>
  <c r="AU151" i="12"/>
  <c r="AS151" i="12"/>
  <c r="AQ151" i="12"/>
  <c r="AO151" i="12"/>
  <c r="AL151" i="12"/>
  <c r="AJ151" i="12"/>
  <c r="AH151" i="12"/>
  <c r="AF151" i="12"/>
  <c r="AD151" i="12"/>
  <c r="AB151" i="12"/>
  <c r="U151" i="12"/>
  <c r="S151" i="12"/>
  <c r="Q151" i="12"/>
  <c r="O151" i="12"/>
  <c r="M151" i="12"/>
  <c r="K151" i="12"/>
  <c r="E151" i="12"/>
  <c r="FG150" i="12"/>
  <c r="FE150" i="12"/>
  <c r="FC150" i="12"/>
  <c r="FA150" i="12"/>
  <c r="EY150" i="12"/>
  <c r="EW150" i="12"/>
  <c r="EU150" i="12"/>
  <c r="EQ150" i="12"/>
  <c r="EO150" i="12"/>
  <c r="EM150" i="12"/>
  <c r="EK150" i="12"/>
  <c r="EI150" i="12"/>
  <c r="EG150" i="12"/>
  <c r="EE150" i="12"/>
  <c r="EC150" i="12"/>
  <c r="DY150" i="12"/>
  <c r="DU150" i="12"/>
  <c r="DQ150" i="12"/>
  <c r="DL150" i="12"/>
  <c r="DH150" i="12"/>
  <c r="DC150" i="12"/>
  <c r="CY150" i="12"/>
  <c r="CT150" i="12"/>
  <c r="CP150" i="12"/>
  <c r="CL150" i="12"/>
  <c r="CG150" i="12"/>
  <c r="CC150" i="12"/>
  <c r="BX150" i="12"/>
  <c r="BT150" i="12"/>
  <c r="BO150" i="12"/>
  <c r="BK150" i="12"/>
  <c r="BF150" i="12"/>
  <c r="BB150" i="12"/>
  <c r="AX150" i="12"/>
  <c r="AS150" i="12"/>
  <c r="AO150" i="12"/>
  <c r="AJ150" i="12"/>
  <c r="AD150" i="12"/>
  <c r="Q150" i="12"/>
  <c r="E150" i="12"/>
  <c r="EA149" i="12"/>
  <c r="DS149" i="12"/>
  <c r="DJ149" i="12"/>
  <c r="DA149" i="12"/>
  <c r="CR149" i="12"/>
  <c r="CI149" i="12"/>
  <c r="BZ149" i="12"/>
  <c r="BR149" i="12"/>
  <c r="BI149" i="12"/>
  <c r="AZ149" i="12"/>
  <c r="AQ149" i="12"/>
  <c r="AH149" i="12"/>
  <c r="U149" i="12"/>
  <c r="M149" i="12"/>
  <c r="EB149" i="12"/>
  <c r="EB150" i="12"/>
  <c r="DZ149" i="12"/>
  <c r="DZ150" i="12"/>
  <c r="DX149" i="12"/>
  <c r="DX150" i="12"/>
  <c r="DV149" i="12"/>
  <c r="DV150" i="12"/>
  <c r="DT149" i="12"/>
  <c r="DT150" i="12"/>
  <c r="DR149" i="12"/>
  <c r="DR150" i="12"/>
  <c r="DP149" i="12"/>
  <c r="DP150" i="12"/>
  <c r="DM149" i="12"/>
  <c r="DM150" i="12"/>
  <c r="DK149" i="12"/>
  <c r="DK150" i="12"/>
  <c r="DI149" i="12"/>
  <c r="DI150" i="12"/>
  <c r="DG149" i="12"/>
  <c r="DG150" i="12"/>
  <c r="DD149" i="12"/>
  <c r="DD150" i="12"/>
  <c r="DB149" i="12"/>
  <c r="DB150" i="12"/>
  <c r="CZ149" i="12"/>
  <c r="CZ150" i="12"/>
  <c r="CX149" i="12"/>
  <c r="CX150" i="12"/>
  <c r="CV149" i="12"/>
  <c r="CV150" i="12"/>
  <c r="CS149" i="12"/>
  <c r="CS150" i="12"/>
  <c r="CQ149" i="12"/>
  <c r="CQ150" i="12"/>
  <c r="CO149" i="12"/>
  <c r="CO150" i="12"/>
  <c r="CM149" i="12"/>
  <c r="CM150" i="12"/>
  <c r="CJ149" i="12"/>
  <c r="CJ150" i="12"/>
  <c r="CH149" i="12"/>
  <c r="CH150" i="12"/>
  <c r="CF149" i="12"/>
  <c r="CF150" i="12"/>
  <c r="CD149" i="12"/>
  <c r="CD150" i="12"/>
  <c r="CB149" i="12"/>
  <c r="CB150" i="12"/>
  <c r="BY149" i="12"/>
  <c r="BY150" i="12"/>
  <c r="BW149" i="12"/>
  <c r="BW150" i="12"/>
  <c r="BU149" i="12"/>
  <c r="BU150" i="12"/>
  <c r="BS149" i="12"/>
  <c r="BS150" i="12"/>
  <c r="BP149" i="12"/>
  <c r="BP150" i="12"/>
  <c r="BN149" i="12"/>
  <c r="BN150" i="12"/>
  <c r="BL149" i="12"/>
  <c r="BL150" i="12"/>
  <c r="BJ149" i="12"/>
  <c r="BJ150" i="12"/>
  <c r="BH149" i="12"/>
  <c r="BH150" i="12"/>
  <c r="BE149" i="12"/>
  <c r="BE150" i="12"/>
  <c r="BC149" i="12"/>
  <c r="BC150" i="12"/>
  <c r="BA149" i="12"/>
  <c r="BA150" i="12"/>
  <c r="AY149" i="12"/>
  <c r="AY150" i="12"/>
  <c r="AV149" i="12"/>
  <c r="AV150" i="12"/>
  <c r="AT149" i="12"/>
  <c r="AT150" i="12"/>
  <c r="AR149" i="12"/>
  <c r="AR150" i="12"/>
  <c r="AP149" i="12"/>
  <c r="AP150" i="12"/>
  <c r="AN149" i="12"/>
  <c r="AN150" i="12"/>
  <c r="AK149" i="12"/>
  <c r="AK150" i="12"/>
  <c r="AI149" i="12"/>
  <c r="AI150" i="12"/>
  <c r="AG149" i="12"/>
  <c r="AG150" i="12"/>
  <c r="AE149" i="12"/>
  <c r="AE150" i="12"/>
  <c r="AC149" i="12"/>
  <c r="AC150" i="12"/>
  <c r="V149" i="12"/>
  <c r="V150" i="12"/>
  <c r="T149" i="12"/>
  <c r="T150" i="12"/>
  <c r="R149" i="12"/>
  <c r="R150" i="12"/>
  <c r="P149" i="12"/>
  <c r="P150" i="12"/>
  <c r="N149" i="12"/>
  <c r="N150" i="12"/>
  <c r="L149" i="12"/>
  <c r="L150" i="12"/>
  <c r="J149" i="12"/>
  <c r="J150" i="12"/>
  <c r="FJ151" i="12"/>
  <c r="FF151" i="12"/>
  <c r="FD151" i="12"/>
  <c r="FB151" i="12"/>
  <c r="EZ151" i="12"/>
  <c r="EX151" i="12"/>
  <c r="EV151" i="12"/>
  <c r="ET151" i="12"/>
  <c r="EP151" i="12"/>
  <c r="EN151" i="12"/>
  <c r="EL151" i="12"/>
  <c r="EJ151" i="12"/>
  <c r="EH151" i="12"/>
  <c r="EF151" i="12"/>
  <c r="ED151" i="12"/>
  <c r="EB151" i="12"/>
  <c r="DZ151" i="12"/>
  <c r="DX151" i="12"/>
  <c r="DV151" i="12"/>
  <c r="DT151" i="12"/>
  <c r="DR151" i="12"/>
  <c r="DP151" i="12"/>
  <c r="DM151" i="12"/>
  <c r="DK151" i="12"/>
  <c r="DI151" i="12"/>
  <c r="DG151" i="12"/>
  <c r="DD151" i="12"/>
  <c r="DB151" i="12"/>
  <c r="CZ151" i="12"/>
  <c r="CX151" i="12"/>
  <c r="CV151" i="12"/>
  <c r="CS151" i="12"/>
  <c r="CQ151" i="12"/>
  <c r="CO151" i="12"/>
  <c r="CM151" i="12"/>
  <c r="CJ151" i="12"/>
  <c r="CH151" i="12"/>
  <c r="CF151" i="12"/>
  <c r="CD151" i="12"/>
  <c r="CB151" i="12"/>
  <c r="BY151" i="12"/>
  <c r="BW151" i="12"/>
  <c r="BU151" i="12"/>
  <c r="BS151" i="12"/>
  <c r="BP151" i="12"/>
  <c r="BN151" i="12"/>
  <c r="BL151" i="12"/>
  <c r="BJ151" i="12"/>
  <c r="BH151" i="12"/>
  <c r="BE151" i="12"/>
  <c r="BC151" i="12"/>
  <c r="BA151" i="12"/>
  <c r="AY151" i="12"/>
  <c r="AV151" i="12"/>
  <c r="AT151" i="12"/>
  <c r="AR151" i="12"/>
  <c r="AP151" i="12"/>
  <c r="AN151" i="12"/>
  <c r="AK151" i="12"/>
  <c r="AI151" i="12"/>
  <c r="AG151" i="12"/>
  <c r="AE151" i="12"/>
  <c r="AC151" i="12"/>
  <c r="V151" i="12"/>
  <c r="T151" i="12"/>
  <c r="R151" i="12"/>
  <c r="P151" i="12"/>
  <c r="N151" i="12"/>
  <c r="L151" i="12"/>
  <c r="J151" i="12"/>
  <c r="FJ150" i="12"/>
  <c r="FF150" i="12"/>
  <c r="FD150" i="12"/>
  <c r="FB150" i="12"/>
  <c r="EZ150" i="12"/>
  <c r="EX150" i="12"/>
  <c r="EV150" i="12"/>
  <c r="ET150" i="12"/>
  <c r="EP150" i="12"/>
  <c r="EN150" i="12"/>
  <c r="EL150" i="12"/>
  <c r="EJ150" i="12"/>
  <c r="EH150" i="12"/>
  <c r="EF150" i="12"/>
  <c r="ED150" i="12"/>
  <c r="DW150" i="12"/>
  <c r="DN150" i="12"/>
  <c r="DF150" i="12"/>
  <c r="CW150" i="12"/>
  <c r="CN150" i="12"/>
  <c r="CE150" i="12"/>
  <c r="BV150" i="12"/>
  <c r="BM150" i="12"/>
  <c r="BD150" i="12"/>
  <c r="AU150" i="12"/>
  <c r="AL150" i="12"/>
  <c r="F11" i="3"/>
  <c r="AC37" i="2" l="1"/>
  <c r="AC38" i="2"/>
  <c r="AC39" i="2"/>
  <c r="AD39" i="2"/>
  <c r="C20" i="2"/>
  <c r="D20" i="2"/>
  <c r="F20" i="2"/>
  <c r="G20" i="2"/>
  <c r="H20" i="2"/>
  <c r="I20" i="2"/>
  <c r="J20" i="2"/>
  <c r="K20" i="2"/>
  <c r="O20" i="2"/>
  <c r="P20" i="2"/>
  <c r="Q20" i="2"/>
  <c r="R20" i="2"/>
  <c r="S20" i="2"/>
  <c r="T20" i="2"/>
  <c r="U20" i="2"/>
  <c r="Z20" i="2"/>
  <c r="AA20" i="2"/>
  <c r="AG20" i="2"/>
  <c r="AH20" i="2"/>
  <c r="AJ20" i="2" s="1"/>
  <c r="AI20" i="2"/>
  <c r="C21" i="2"/>
  <c r="D21" i="2"/>
  <c r="F21" i="2"/>
  <c r="G21" i="2"/>
  <c r="H21" i="2"/>
  <c r="I21" i="2"/>
  <c r="J21" i="2"/>
  <c r="K21" i="2"/>
  <c r="O21" i="2"/>
  <c r="P21" i="2"/>
  <c r="Q21" i="2"/>
  <c r="R21" i="2"/>
  <c r="S21" i="2"/>
  <c r="T21" i="2"/>
  <c r="U21" i="2"/>
  <c r="Z21" i="2"/>
  <c r="AA21" i="2"/>
  <c r="AG21" i="2"/>
  <c r="AH21" i="2"/>
  <c r="AJ21" i="2" s="1"/>
  <c r="AI21" i="2"/>
  <c r="C22" i="2"/>
  <c r="D22" i="2"/>
  <c r="F22" i="2"/>
  <c r="G22" i="2"/>
  <c r="H22" i="2"/>
  <c r="I22" i="2"/>
  <c r="J22" i="2"/>
  <c r="K22" i="2"/>
  <c r="O22" i="2"/>
  <c r="P22" i="2"/>
  <c r="Q22" i="2"/>
  <c r="R22" i="2"/>
  <c r="S22" i="2"/>
  <c r="T22" i="2"/>
  <c r="U22" i="2"/>
  <c r="Z22" i="2"/>
  <c r="AA22" i="2"/>
  <c r="AG22" i="2"/>
  <c r="AH22" i="2"/>
  <c r="AI22" i="2"/>
  <c r="AJ22" i="2"/>
  <c r="C23" i="2"/>
  <c r="D23" i="2"/>
  <c r="F23" i="2"/>
  <c r="G23" i="2"/>
  <c r="H23" i="2"/>
  <c r="I23" i="2"/>
  <c r="J23" i="2"/>
  <c r="K23" i="2"/>
  <c r="O23" i="2"/>
  <c r="P23" i="2"/>
  <c r="Q23" i="2"/>
  <c r="R23" i="2"/>
  <c r="S23" i="2"/>
  <c r="T23" i="2"/>
  <c r="U23" i="2"/>
  <c r="C24" i="2"/>
  <c r="D24" i="2"/>
  <c r="F24" i="2"/>
  <c r="G24" i="2"/>
  <c r="H24" i="2"/>
  <c r="I24" i="2"/>
  <c r="J24" i="2"/>
  <c r="K24" i="2"/>
  <c r="O24" i="2"/>
  <c r="P24" i="2"/>
  <c r="Q24" i="2"/>
  <c r="R24" i="2"/>
  <c r="S24" i="2"/>
  <c r="T24" i="2"/>
  <c r="U24" i="2"/>
  <c r="C25" i="2"/>
  <c r="D25" i="2"/>
  <c r="F25" i="2"/>
  <c r="G25" i="2"/>
  <c r="H25" i="2"/>
  <c r="I25" i="2"/>
  <c r="J25" i="2"/>
  <c r="K25" i="2"/>
  <c r="O25" i="2"/>
  <c r="P25" i="2"/>
  <c r="Q25" i="2"/>
  <c r="R25" i="2"/>
  <c r="S25" i="2"/>
  <c r="T25" i="2"/>
  <c r="U25" i="2"/>
  <c r="C26" i="2"/>
  <c r="D26" i="2"/>
  <c r="F26" i="2"/>
  <c r="G26" i="2"/>
  <c r="H26" i="2"/>
  <c r="I26" i="2"/>
  <c r="J26" i="2"/>
  <c r="K26" i="2"/>
  <c r="O26" i="2"/>
  <c r="P26" i="2"/>
  <c r="Q26" i="2"/>
  <c r="R26" i="2"/>
  <c r="S26" i="2"/>
  <c r="T26" i="2"/>
  <c r="U26" i="2"/>
  <c r="C27" i="2"/>
  <c r="D27" i="2"/>
  <c r="F27" i="2"/>
  <c r="G27" i="2"/>
  <c r="H27" i="2"/>
  <c r="I27" i="2"/>
  <c r="J27" i="2"/>
  <c r="K27" i="2"/>
  <c r="O27" i="2"/>
  <c r="P27" i="2"/>
  <c r="Q27" i="2"/>
  <c r="R27" i="2"/>
  <c r="S27" i="2"/>
  <c r="T27" i="2"/>
  <c r="U27" i="2"/>
  <c r="C28" i="2"/>
  <c r="D28" i="2"/>
  <c r="F28" i="2"/>
  <c r="G28" i="2"/>
  <c r="H28" i="2"/>
  <c r="I28" i="2"/>
  <c r="J28" i="2"/>
  <c r="K28" i="2"/>
  <c r="O28" i="2"/>
  <c r="P28" i="2"/>
  <c r="Q28" i="2"/>
  <c r="R28" i="2"/>
  <c r="S28" i="2"/>
  <c r="T28" i="2"/>
  <c r="U28" i="2"/>
  <c r="C29" i="2"/>
  <c r="D29" i="2"/>
  <c r="F29" i="2"/>
  <c r="G29" i="2"/>
  <c r="H29" i="2"/>
  <c r="I29" i="2"/>
  <c r="J29" i="2"/>
  <c r="K29" i="2"/>
  <c r="P29" i="2"/>
  <c r="Q29" i="2"/>
  <c r="R29" i="2"/>
  <c r="S29" i="2"/>
  <c r="T29" i="2"/>
  <c r="U29" i="2"/>
  <c r="C32" i="2"/>
  <c r="D32" i="2"/>
  <c r="F32" i="2"/>
  <c r="G32" i="2"/>
  <c r="H32" i="2"/>
  <c r="I32" i="2"/>
  <c r="J32" i="2"/>
  <c r="K32" i="2"/>
  <c r="C33" i="2"/>
  <c r="D33" i="2"/>
  <c r="F33" i="2"/>
  <c r="G33" i="2"/>
  <c r="H33" i="2"/>
  <c r="I33" i="2"/>
  <c r="J33" i="2"/>
  <c r="K33" i="2"/>
  <c r="C34" i="2"/>
  <c r="D34" i="2"/>
  <c r="F34" i="2"/>
  <c r="G34" i="2"/>
  <c r="H34" i="2"/>
  <c r="I34" i="2"/>
  <c r="J34" i="2"/>
  <c r="K34" i="2"/>
  <c r="EQ4" i="11"/>
  <c r="FD4" i="11"/>
  <c r="FE4" i="11" s="1"/>
  <c r="FF4" i="11"/>
  <c r="J5" i="11"/>
  <c r="AB5" i="11"/>
  <c r="EQ5" i="11"/>
  <c r="FD5" i="11"/>
  <c r="FE5" i="11" s="1"/>
  <c r="FF5" i="11"/>
  <c r="DY6" i="11"/>
  <c r="EB6" i="11"/>
  <c r="EQ6" i="11"/>
  <c r="FD6" i="11"/>
  <c r="FE6" i="11" s="1"/>
  <c r="FF6" i="11"/>
  <c r="J7" i="11"/>
  <c r="AB7" i="11"/>
  <c r="DY7" i="11"/>
  <c r="EB7" i="11"/>
  <c r="EQ7" i="11"/>
  <c r="FD7" i="11"/>
  <c r="FE7" i="11" s="1"/>
  <c r="FF7" i="11"/>
  <c r="EQ8" i="11"/>
  <c r="FD8" i="11"/>
  <c r="FE8" i="11" s="1"/>
  <c r="FF8" i="11"/>
  <c r="J9" i="11"/>
  <c r="AB9" i="11"/>
  <c r="DY9" i="11"/>
  <c r="EB9" i="11"/>
  <c r="EQ9" i="11"/>
  <c r="FD9" i="11"/>
  <c r="FE9" i="11" s="1"/>
  <c r="FF9" i="11"/>
  <c r="J10" i="11"/>
  <c r="AB10" i="11"/>
  <c r="EQ10" i="11"/>
  <c r="FD10" i="11"/>
  <c r="FE10" i="11" s="1"/>
  <c r="FF10" i="11"/>
  <c r="DY11" i="11"/>
  <c r="EB11" i="11"/>
  <c r="EQ11" i="11"/>
  <c r="FD11" i="11"/>
  <c r="FE11" i="11" s="1"/>
  <c r="FF11" i="11"/>
  <c r="DY12" i="11"/>
  <c r="EB12" i="11"/>
  <c r="EQ12" i="11"/>
  <c r="FD12" i="11"/>
  <c r="FE12" i="11" s="1"/>
  <c r="FF12" i="11"/>
  <c r="EQ13" i="11"/>
  <c r="FD13" i="11"/>
  <c r="FE13" i="11" s="1"/>
  <c r="FF13" i="11"/>
  <c r="J14" i="11"/>
  <c r="AB14" i="11"/>
  <c r="EQ14" i="11"/>
  <c r="FD14" i="11"/>
  <c r="FE14" i="11" s="1"/>
  <c r="FF14" i="11"/>
  <c r="J15" i="11"/>
  <c r="AB15" i="11"/>
  <c r="EQ15" i="11"/>
  <c r="FD15" i="11"/>
  <c r="FE15" i="11" s="1"/>
  <c r="FF15" i="11"/>
  <c r="EQ16" i="11"/>
  <c r="FD16" i="11"/>
  <c r="FE16" i="11" s="1"/>
  <c r="FF16" i="11"/>
  <c r="J17" i="11"/>
  <c r="AB17" i="11"/>
  <c r="EB17" i="11"/>
  <c r="EQ17" i="11"/>
  <c r="FF17" i="11" s="1"/>
  <c r="FD17" i="11"/>
  <c r="FE17" i="11" s="1"/>
  <c r="EQ18" i="11"/>
  <c r="FF18" i="11" s="1"/>
  <c r="FD18" i="11"/>
  <c r="FE18" i="11" s="1"/>
  <c r="J19" i="11"/>
  <c r="AB19" i="11"/>
  <c r="EQ19" i="11"/>
  <c r="FF19" i="11" s="1"/>
  <c r="FD19" i="11"/>
  <c r="FE19" i="11" s="1"/>
  <c r="EQ20" i="11"/>
  <c r="FF20" i="11" s="1"/>
  <c r="FD20" i="11"/>
  <c r="FE20" i="11" s="1"/>
  <c r="EQ21" i="11"/>
  <c r="FF21" i="11" s="1"/>
  <c r="FD21" i="11"/>
  <c r="FE21" i="11" s="1"/>
  <c r="EQ22" i="11"/>
  <c r="FF22" i="11" s="1"/>
  <c r="FD22" i="11"/>
  <c r="FE22" i="11" s="1"/>
  <c r="EQ23" i="11"/>
  <c r="FF23" i="11" s="1"/>
  <c r="FD23" i="11"/>
  <c r="FE23" i="11" s="1"/>
  <c r="J24" i="11"/>
  <c r="AB24" i="11"/>
  <c r="DY24" i="11"/>
  <c r="EB24" i="11"/>
  <c r="EQ24" i="11"/>
  <c r="FF24" i="11" s="1"/>
  <c r="FD24" i="11"/>
  <c r="FE24" i="11" s="1"/>
  <c r="EQ25" i="11"/>
  <c r="FF25" i="11" s="1"/>
  <c r="FD25" i="11"/>
  <c r="FE25" i="11" s="1"/>
  <c r="J26" i="11"/>
  <c r="AB26" i="11"/>
  <c r="DY26" i="11"/>
  <c r="EB26" i="11"/>
  <c r="EQ26" i="11"/>
  <c r="FF26" i="11" s="1"/>
  <c r="FD26" i="11"/>
  <c r="FE26" i="11" s="1"/>
  <c r="EQ27" i="11"/>
  <c r="FF27" i="11" s="1"/>
  <c r="FD27" i="11"/>
  <c r="FE27" i="11" s="1"/>
  <c r="AB28" i="11"/>
  <c r="EQ28" i="11"/>
  <c r="FD28" i="11"/>
  <c r="FE28" i="11" s="1"/>
  <c r="FF28" i="11"/>
  <c r="EQ29" i="11"/>
  <c r="FD29" i="11"/>
  <c r="FE29" i="11" s="1"/>
  <c r="FF29" i="11"/>
  <c r="DY30" i="11"/>
  <c r="EB30" i="11"/>
  <c r="EQ30" i="11"/>
  <c r="FD30" i="11"/>
  <c r="FE30" i="11" s="1"/>
  <c r="FF30" i="11"/>
  <c r="J31" i="11"/>
  <c r="AB31" i="11"/>
  <c r="EQ31" i="11"/>
  <c r="FD31" i="11"/>
  <c r="FE31" i="11" s="1"/>
  <c r="FF31" i="11"/>
  <c r="J32" i="11"/>
  <c r="AB32" i="11"/>
  <c r="DY32" i="11"/>
  <c r="EB32" i="11"/>
  <c r="EQ32" i="11"/>
  <c r="FD32" i="11"/>
  <c r="FE32" i="11" s="1"/>
  <c r="FF32" i="11"/>
  <c r="EQ33" i="11"/>
  <c r="FD33" i="11"/>
  <c r="FE33" i="11" s="1"/>
  <c r="FF33" i="11"/>
  <c r="DY34" i="11"/>
  <c r="EB34" i="11"/>
  <c r="EQ34" i="11"/>
  <c r="FD34" i="11"/>
  <c r="FE34" i="11" s="1"/>
  <c r="FF34" i="11"/>
  <c r="J35" i="11"/>
  <c r="AB35" i="11"/>
  <c r="DY35" i="11"/>
  <c r="EB35" i="11"/>
  <c r="EQ35" i="11"/>
  <c r="FF35" i="11" s="1"/>
  <c r="FD35" i="11"/>
  <c r="FE35" i="11" s="1"/>
  <c r="J36" i="11"/>
  <c r="AB36" i="11"/>
  <c r="EQ36" i="11"/>
  <c r="FD36" i="11"/>
  <c r="FE36" i="11" s="1"/>
  <c r="FF36" i="11"/>
  <c r="J37" i="11"/>
  <c r="AB37" i="11"/>
  <c r="EQ37" i="11"/>
  <c r="FD37" i="11"/>
  <c r="FE37" i="11" s="1"/>
  <c r="FF37" i="11"/>
  <c r="EQ38" i="11"/>
  <c r="FD38" i="11"/>
  <c r="FE38" i="11" s="1"/>
  <c r="FF38" i="11"/>
  <c r="EQ39" i="11"/>
  <c r="FF39" i="11" s="1"/>
  <c r="FD39" i="11"/>
  <c r="FE39" i="11" s="1"/>
  <c r="J40" i="11"/>
  <c r="AB40" i="11"/>
  <c r="EQ40" i="11"/>
  <c r="FD40" i="11"/>
  <c r="FE40" i="11" s="1"/>
  <c r="FF40" i="11"/>
  <c r="EQ41" i="11"/>
  <c r="FD41" i="11"/>
  <c r="FE41" i="11" s="1"/>
  <c r="FF41" i="11"/>
  <c r="DY42" i="11"/>
  <c r="EB42" i="11"/>
  <c r="EQ42" i="11"/>
  <c r="FD42" i="11"/>
  <c r="FE42" i="11" s="1"/>
  <c r="FF42" i="11"/>
  <c r="J43" i="11"/>
  <c r="AB43" i="11"/>
  <c r="EQ43" i="11"/>
  <c r="FF43" i="11" s="1"/>
  <c r="FD43" i="11"/>
  <c r="FE43" i="11" s="1"/>
  <c r="EQ44" i="11"/>
  <c r="FF44" i="11" s="1"/>
  <c r="FD44" i="11"/>
  <c r="FE44" i="11" s="1"/>
  <c r="EQ45" i="11"/>
  <c r="FD45" i="11"/>
  <c r="FE45" i="11" s="1"/>
  <c r="FF45" i="11"/>
  <c r="EQ46" i="11"/>
  <c r="FD46" i="11"/>
  <c r="FE46" i="11" s="1"/>
  <c r="FF46" i="11"/>
  <c r="EQ47" i="11"/>
  <c r="FF47" i="11" s="1"/>
  <c r="FD47" i="11"/>
  <c r="FE47" i="11" s="1"/>
  <c r="EQ48" i="11"/>
  <c r="FD48" i="11"/>
  <c r="FE48" i="11" s="1"/>
  <c r="FF48" i="11"/>
  <c r="DY49" i="11"/>
  <c r="EB49" i="11"/>
  <c r="EQ49" i="11"/>
  <c r="FD49" i="11"/>
  <c r="FE49" i="11" s="1"/>
  <c r="FF49" i="11"/>
  <c r="J50" i="11"/>
  <c r="AB50" i="11"/>
  <c r="DY50" i="11"/>
  <c r="EB50" i="11"/>
  <c r="EQ50" i="11"/>
  <c r="FD50" i="11"/>
  <c r="FE50" i="11" s="1"/>
  <c r="FF50" i="11"/>
  <c r="J51" i="11"/>
  <c r="AB51" i="11"/>
  <c r="DY51" i="11"/>
  <c r="EB51" i="11"/>
  <c r="EQ51" i="11"/>
  <c r="FF51" i="11" s="1"/>
  <c r="FD51" i="11"/>
  <c r="FE51" i="11" s="1"/>
  <c r="J52" i="11"/>
  <c r="AB52" i="11"/>
  <c r="EQ52" i="11"/>
  <c r="FD52" i="11"/>
  <c r="FE52" i="11" s="1"/>
  <c r="FF52" i="11"/>
  <c r="EQ53" i="11"/>
  <c r="FD53" i="11"/>
  <c r="FE53" i="11" s="1"/>
  <c r="FF53" i="11"/>
  <c r="J54" i="11"/>
  <c r="AB54" i="11"/>
  <c r="EQ54" i="11"/>
  <c r="FD54" i="11"/>
  <c r="FE54" i="11" s="1"/>
  <c r="FF54" i="11"/>
  <c r="DY55" i="11"/>
  <c r="EB55" i="11"/>
  <c r="EQ55" i="11"/>
  <c r="FF55" i="11" s="1"/>
  <c r="FD55" i="11"/>
  <c r="FE55" i="11" s="1"/>
  <c r="EQ56" i="11"/>
  <c r="FD56" i="11"/>
  <c r="FE56" i="11" s="1"/>
  <c r="FF56" i="11"/>
  <c r="DY57" i="11"/>
  <c r="EB57" i="11"/>
  <c r="EQ57" i="11"/>
  <c r="FD57" i="11"/>
  <c r="FE57" i="11" s="1"/>
  <c r="FF57" i="11"/>
  <c r="EQ58" i="11"/>
  <c r="FD58" i="11"/>
  <c r="FE58" i="11" s="1"/>
  <c r="FF58" i="11"/>
  <c r="EQ59" i="11"/>
  <c r="FF59" i="11" s="1"/>
  <c r="FD59" i="11"/>
  <c r="FE59" i="11" s="1"/>
  <c r="J60" i="11"/>
  <c r="AB60" i="11"/>
  <c r="EQ60" i="11"/>
  <c r="FD60" i="11"/>
  <c r="FE60" i="11" s="1"/>
  <c r="FF60" i="11"/>
  <c r="DY61" i="11"/>
  <c r="EB61" i="11"/>
  <c r="EQ61" i="11"/>
  <c r="FF61" i="11" s="1"/>
  <c r="FD61" i="11"/>
  <c r="FE61" i="11" s="1"/>
  <c r="EQ62" i="11"/>
  <c r="FD62" i="11"/>
  <c r="FE62" i="11" s="1"/>
  <c r="FF62" i="11"/>
  <c r="J63" i="11"/>
  <c r="AB63" i="11"/>
  <c r="EQ63" i="11"/>
  <c r="FD63" i="11"/>
  <c r="FE63" i="11" s="1"/>
  <c r="FF63" i="11"/>
  <c r="J64" i="11"/>
  <c r="AB64" i="11"/>
  <c r="EQ64" i="11"/>
  <c r="FD64" i="11"/>
  <c r="FE64" i="11" s="1"/>
  <c r="FF64" i="11"/>
  <c r="J65" i="11"/>
  <c r="AB65" i="11"/>
  <c r="DY65" i="11"/>
  <c r="EB65" i="11"/>
  <c r="EQ65" i="11"/>
  <c r="FF65" i="11" s="1"/>
  <c r="FD65" i="11"/>
  <c r="FE65" i="11" s="1"/>
  <c r="J66" i="11"/>
  <c r="AB66" i="11"/>
  <c r="EQ66" i="11"/>
  <c r="FD66" i="11"/>
  <c r="FE66" i="11" s="1"/>
  <c r="FF66" i="11"/>
  <c r="DY67" i="11"/>
  <c r="EB67" i="11"/>
  <c r="EQ67" i="11"/>
  <c r="FD67" i="11"/>
  <c r="FE67" i="11" s="1"/>
  <c r="FF67" i="11"/>
  <c r="EQ68" i="11"/>
  <c r="FD68" i="11"/>
  <c r="FE68" i="11" s="1"/>
  <c r="FF68" i="11"/>
  <c r="EQ69" i="11"/>
  <c r="FF69" i="11" s="1"/>
  <c r="FD69" i="11"/>
  <c r="FE69" i="11" s="1"/>
  <c r="DY70" i="11"/>
  <c r="EB70" i="11"/>
  <c r="EQ70" i="11"/>
  <c r="FD70" i="11"/>
  <c r="FE70" i="11" s="1"/>
  <c r="FF70" i="11"/>
  <c r="J71" i="11"/>
  <c r="AB71" i="11"/>
  <c r="DY71" i="11"/>
  <c r="EB71" i="11"/>
  <c r="EQ71" i="11"/>
  <c r="FD71" i="11"/>
  <c r="FE71" i="11" s="1"/>
  <c r="FF71" i="11"/>
  <c r="DY72" i="11"/>
  <c r="EB72" i="11"/>
  <c r="EQ72" i="11"/>
  <c r="FD72" i="11"/>
  <c r="FE72" i="11" s="1"/>
  <c r="FF72" i="11"/>
  <c r="EQ73" i="11"/>
  <c r="FF73" i="11" s="1"/>
  <c r="FD73" i="11"/>
  <c r="FE73" i="11" s="1"/>
  <c r="J74" i="11"/>
  <c r="AB74" i="11"/>
  <c r="EQ74" i="11"/>
  <c r="FD74" i="11"/>
  <c r="FE74" i="11" s="1"/>
  <c r="FF74" i="11"/>
  <c r="J75" i="11"/>
  <c r="AB75" i="11"/>
  <c r="DY75" i="11"/>
  <c r="EB75" i="11"/>
  <c r="EQ75" i="11"/>
  <c r="FD75" i="11"/>
  <c r="FE75" i="11" s="1"/>
  <c r="FF75" i="11"/>
  <c r="EQ76" i="11"/>
  <c r="FD76" i="11"/>
  <c r="FE76" i="11" s="1"/>
  <c r="FF76" i="11"/>
  <c r="EQ77" i="11"/>
  <c r="FD77" i="11"/>
  <c r="FE77" i="11" s="1"/>
  <c r="FF77" i="11"/>
  <c r="EQ78" i="11"/>
  <c r="FD78" i="11"/>
  <c r="FE78" i="11" s="1"/>
  <c r="FF78" i="11"/>
  <c r="EQ79" i="11"/>
  <c r="FF79" i="11" s="1"/>
  <c r="FD79" i="11"/>
  <c r="FE79" i="11" s="1"/>
  <c r="J80" i="11"/>
  <c r="AB80" i="11"/>
  <c r="EB80" i="11"/>
  <c r="EQ80" i="11"/>
  <c r="FF80" i="11" s="1"/>
  <c r="FD80" i="11"/>
  <c r="FE80" i="11" s="1"/>
  <c r="DY81" i="11"/>
  <c r="EB81" i="11"/>
  <c r="EQ81" i="11"/>
  <c r="FF81" i="11" s="1"/>
  <c r="FD81" i="11"/>
  <c r="FE81" i="11" s="1"/>
  <c r="EB82" i="11"/>
  <c r="EQ82" i="11"/>
  <c r="FD82" i="11"/>
  <c r="FE82" i="11" s="1"/>
  <c r="FF82" i="11"/>
  <c r="J83" i="11"/>
  <c r="AB83" i="11"/>
  <c r="EQ83" i="11"/>
  <c r="FD83" i="11"/>
  <c r="FE83" i="11" s="1"/>
  <c r="FF83" i="11"/>
  <c r="EQ84" i="11"/>
  <c r="FD84" i="11"/>
  <c r="FE84" i="11" s="1"/>
  <c r="FF84" i="11"/>
  <c r="EQ85" i="11"/>
  <c r="FF85" i="11" s="1"/>
  <c r="FD85" i="11"/>
  <c r="FE85" i="11" s="1"/>
  <c r="EQ86" i="11"/>
  <c r="FD86" i="11"/>
  <c r="FE86" i="11" s="1"/>
  <c r="FF86" i="11"/>
  <c r="A147" i="11"/>
  <c r="E147" i="11"/>
  <c r="H147" i="11"/>
  <c r="I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C147" i="11"/>
  <c r="AD147" i="11"/>
  <c r="AE147" i="11"/>
  <c r="AF147" i="11"/>
  <c r="AG147" i="11"/>
  <c r="AH147" i="11"/>
  <c r="AI147" i="11"/>
  <c r="AJ147" i="11"/>
  <c r="AK147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BK147" i="11"/>
  <c r="BL147" i="11"/>
  <c r="BM147" i="11"/>
  <c r="BN147" i="11"/>
  <c r="BO147" i="11"/>
  <c r="BP147" i="11"/>
  <c r="BQ147" i="11"/>
  <c r="BR147" i="11"/>
  <c r="BS147" i="11"/>
  <c r="BT147" i="11"/>
  <c r="BU147" i="11"/>
  <c r="BV147" i="11"/>
  <c r="BW147" i="11"/>
  <c r="BX147" i="11"/>
  <c r="BY147" i="11"/>
  <c r="BZ147" i="11"/>
  <c r="CA147" i="11"/>
  <c r="CB147" i="11"/>
  <c r="CC147" i="11"/>
  <c r="CD147" i="11"/>
  <c r="CE147" i="11"/>
  <c r="CF147" i="11"/>
  <c r="CG147" i="11"/>
  <c r="CH147" i="11"/>
  <c r="CI147" i="11"/>
  <c r="CJ147" i="11"/>
  <c r="CK147" i="11"/>
  <c r="CL147" i="11"/>
  <c r="CM147" i="11"/>
  <c r="CN147" i="11"/>
  <c r="CO147" i="11"/>
  <c r="CP147" i="11"/>
  <c r="CQ147" i="11"/>
  <c r="CR147" i="11"/>
  <c r="CS147" i="11"/>
  <c r="CT147" i="11"/>
  <c r="CU147" i="11"/>
  <c r="CV147" i="11"/>
  <c r="CW147" i="11"/>
  <c r="CX147" i="11"/>
  <c r="CY147" i="11"/>
  <c r="CZ147" i="11"/>
  <c r="DA147" i="11"/>
  <c r="DB147" i="11"/>
  <c r="DC147" i="11"/>
  <c r="DD147" i="11"/>
  <c r="DE147" i="11"/>
  <c r="DF147" i="11"/>
  <c r="DG147" i="11"/>
  <c r="DH147" i="11"/>
  <c r="DI147" i="11"/>
  <c r="DJ147" i="11"/>
  <c r="DK147" i="11"/>
  <c r="DL147" i="11"/>
  <c r="DM147" i="11"/>
  <c r="DN147" i="11"/>
  <c r="DO147" i="11"/>
  <c r="DP147" i="11"/>
  <c r="DQ147" i="11"/>
  <c r="DR147" i="11"/>
  <c r="DS147" i="11"/>
  <c r="DT147" i="11"/>
  <c r="DU147" i="11"/>
  <c r="DV147" i="11"/>
  <c r="DW147" i="11"/>
  <c r="DX147" i="11"/>
  <c r="DZ147" i="11"/>
  <c r="EA147" i="11"/>
  <c r="EC147" i="11"/>
  <c r="ED147" i="11"/>
  <c r="EE147" i="11"/>
  <c r="EF147" i="11"/>
  <c r="EG147" i="11"/>
  <c r="EH147" i="11"/>
  <c r="EI147" i="11"/>
  <c r="EJ147" i="11"/>
  <c r="EK147" i="11"/>
  <c r="EL147" i="11"/>
  <c r="EM147" i="11"/>
  <c r="EN147" i="11"/>
  <c r="EO147" i="11"/>
  <c r="EP147" i="11"/>
  <c r="ER147" i="11"/>
  <c r="ES147" i="11"/>
  <c r="ET147" i="11"/>
  <c r="EU147" i="11"/>
  <c r="EV147" i="11"/>
  <c r="EW147" i="11"/>
  <c r="EX147" i="11"/>
  <c r="EY147" i="11"/>
  <c r="EZ147" i="11"/>
  <c r="FA147" i="11"/>
  <c r="FB147" i="11"/>
  <c r="FC147" i="11"/>
  <c r="E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AC148" i="11"/>
  <c r="AD148" i="11"/>
  <c r="AE148" i="11"/>
  <c r="AF148" i="11"/>
  <c r="AG148" i="11"/>
  <c r="AH148" i="11"/>
  <c r="AI148" i="11"/>
  <c r="AJ148" i="11"/>
  <c r="AK148" i="11"/>
  <c r="AL148" i="11"/>
  <c r="AN148" i="11"/>
  <c r="AO148" i="11"/>
  <c r="AP148" i="11"/>
  <c r="AQ148" i="11"/>
  <c r="AR148" i="11"/>
  <c r="AS148" i="11"/>
  <c r="AT148" i="11"/>
  <c r="AU148" i="11"/>
  <c r="AV148" i="11"/>
  <c r="AX148" i="11"/>
  <c r="AY148" i="11"/>
  <c r="AZ148" i="11"/>
  <c r="BA148" i="11"/>
  <c r="BB148" i="11"/>
  <c r="BC148" i="11"/>
  <c r="BD148" i="11"/>
  <c r="BE148" i="11"/>
  <c r="BF148" i="11"/>
  <c r="BH148" i="11"/>
  <c r="BI148" i="11"/>
  <c r="BJ148" i="11"/>
  <c r="BK148" i="11"/>
  <c r="BL148" i="11"/>
  <c r="BM148" i="11"/>
  <c r="BN148" i="11"/>
  <c r="BO148" i="11"/>
  <c r="BP148" i="11"/>
  <c r="BR148" i="11"/>
  <c r="BS148" i="11"/>
  <c r="BT148" i="11"/>
  <c r="BU148" i="11"/>
  <c r="BV148" i="11"/>
  <c r="BW148" i="11"/>
  <c r="BX148" i="11"/>
  <c r="BY148" i="11"/>
  <c r="BZ148" i="11"/>
  <c r="CB148" i="11"/>
  <c r="CC148" i="11"/>
  <c r="CD148" i="11"/>
  <c r="CE148" i="11"/>
  <c r="CF148" i="11"/>
  <c r="CG148" i="11"/>
  <c r="CH148" i="11"/>
  <c r="CI148" i="11"/>
  <c r="CJ148" i="11"/>
  <c r="CL148" i="11"/>
  <c r="CM148" i="11"/>
  <c r="CN148" i="11"/>
  <c r="CO148" i="11"/>
  <c r="CP148" i="11"/>
  <c r="CQ148" i="11"/>
  <c r="CR148" i="11"/>
  <c r="CS148" i="11"/>
  <c r="CT148" i="11"/>
  <c r="CV148" i="11"/>
  <c r="CW148" i="11"/>
  <c r="CX148" i="11"/>
  <c r="CY148" i="11"/>
  <c r="CZ148" i="11"/>
  <c r="DA148" i="11"/>
  <c r="DB148" i="11"/>
  <c r="DC148" i="11"/>
  <c r="DD148" i="11"/>
  <c r="DF148" i="11"/>
  <c r="DG148" i="11"/>
  <c r="DH148" i="11"/>
  <c r="DI148" i="11"/>
  <c r="DJ148" i="11"/>
  <c r="DK148" i="11"/>
  <c r="DL148" i="11"/>
  <c r="DM148" i="11"/>
  <c r="DN148" i="11"/>
  <c r="DP148" i="11"/>
  <c r="DQ148" i="11"/>
  <c r="DR148" i="11"/>
  <c r="DS148" i="11"/>
  <c r="DT148" i="11"/>
  <c r="DU148" i="11"/>
  <c r="DV148" i="11"/>
  <c r="DW148" i="11"/>
  <c r="DX148" i="11"/>
  <c r="DZ148" i="11"/>
  <c r="EA148" i="11"/>
  <c r="EC148" i="11"/>
  <c r="ED148" i="11"/>
  <c r="EE148" i="11"/>
  <c r="EF148" i="11"/>
  <c r="EG148" i="11"/>
  <c r="EH148" i="11"/>
  <c r="EI148" i="11"/>
  <c r="EJ148" i="11"/>
  <c r="EK148" i="11"/>
  <c r="EL148" i="11"/>
  <c r="EM148" i="11"/>
  <c r="EN148" i="11"/>
  <c r="EO148" i="11"/>
  <c r="EP148" i="11"/>
  <c r="ER148" i="11"/>
  <c r="ES148" i="11"/>
  <c r="ET148" i="11"/>
  <c r="EU148" i="11"/>
  <c r="EV148" i="11"/>
  <c r="EW148" i="11"/>
  <c r="EX148" i="11"/>
  <c r="EY148" i="11"/>
  <c r="EZ148" i="11"/>
  <c r="FA148" i="11"/>
  <c r="FB148" i="11"/>
  <c r="FC148" i="11"/>
  <c r="E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AC149" i="11"/>
  <c r="AD149" i="11"/>
  <c r="AE149" i="11"/>
  <c r="AF149" i="11"/>
  <c r="AG149" i="11"/>
  <c r="AH149" i="11"/>
  <c r="AI149" i="11"/>
  <c r="AJ149" i="11"/>
  <c r="AK149" i="11"/>
  <c r="AL149" i="11"/>
  <c r="AN149" i="11"/>
  <c r="AO149" i="11"/>
  <c r="AP149" i="11"/>
  <c r="AQ149" i="11"/>
  <c r="AR149" i="11"/>
  <c r="AS149" i="11"/>
  <c r="AT149" i="11"/>
  <c r="AU149" i="11"/>
  <c r="AV149" i="11"/>
  <c r="AX149" i="11"/>
  <c r="AY149" i="11"/>
  <c r="AZ149" i="11"/>
  <c r="BA149" i="11"/>
  <c r="BB149" i="11"/>
  <c r="BC149" i="11"/>
  <c r="BD149" i="11"/>
  <c r="BE149" i="11"/>
  <c r="BF149" i="11"/>
  <c r="BH149" i="11"/>
  <c r="BI149" i="11"/>
  <c r="BJ149" i="11"/>
  <c r="BK149" i="11"/>
  <c r="BL149" i="11"/>
  <c r="BM149" i="11"/>
  <c r="BN149" i="11"/>
  <c r="BO149" i="11"/>
  <c r="BP149" i="11"/>
  <c r="BR149" i="11"/>
  <c r="BS149" i="11"/>
  <c r="BT149" i="11"/>
  <c r="BU149" i="11"/>
  <c r="BV149" i="11"/>
  <c r="BW149" i="11"/>
  <c r="BX149" i="11"/>
  <c r="BY149" i="11"/>
  <c r="BZ149" i="11"/>
  <c r="CB149" i="11"/>
  <c r="CC149" i="11"/>
  <c r="CD149" i="11"/>
  <c r="CE149" i="11"/>
  <c r="CF149" i="11"/>
  <c r="CG149" i="11"/>
  <c r="CH149" i="11"/>
  <c r="CI149" i="11"/>
  <c r="CJ149" i="11"/>
  <c r="CL149" i="11"/>
  <c r="CM149" i="11"/>
  <c r="CN149" i="11"/>
  <c r="CO149" i="11"/>
  <c r="CP149" i="11"/>
  <c r="CQ149" i="11"/>
  <c r="CR149" i="11"/>
  <c r="CS149" i="11"/>
  <c r="CT149" i="11"/>
  <c r="CV149" i="11"/>
  <c r="CW149" i="11"/>
  <c r="CX149" i="11"/>
  <c r="CY149" i="11"/>
  <c r="CZ149" i="11"/>
  <c r="DA149" i="11"/>
  <c r="DB149" i="11"/>
  <c r="DC149" i="11"/>
  <c r="DD149" i="11"/>
  <c r="DF149" i="11"/>
  <c r="DG149" i="11"/>
  <c r="DH149" i="11"/>
  <c r="DI149" i="11"/>
  <c r="DJ149" i="11"/>
  <c r="DK149" i="11"/>
  <c r="DL149" i="11"/>
  <c r="DM149" i="11"/>
  <c r="DN149" i="11"/>
  <c r="DP149" i="11"/>
  <c r="DQ149" i="11"/>
  <c r="DR149" i="11"/>
  <c r="DS149" i="11"/>
  <c r="DT149" i="11"/>
  <c r="DU149" i="11"/>
  <c r="DV149" i="11"/>
  <c r="DW149" i="11"/>
  <c r="DX149" i="11"/>
  <c r="DZ149" i="11"/>
  <c r="EA149" i="11"/>
  <c r="EC149" i="11"/>
  <c r="ED149" i="11"/>
  <c r="EE149" i="11"/>
  <c r="EF149" i="11"/>
  <c r="EG149" i="11"/>
  <c r="EH149" i="11"/>
  <c r="EI149" i="11"/>
  <c r="EJ149" i="11"/>
  <c r="EK149" i="11"/>
  <c r="EL149" i="11"/>
  <c r="EM149" i="11"/>
  <c r="EN149" i="11"/>
  <c r="EO149" i="11"/>
  <c r="EP149" i="11"/>
  <c r="ER149" i="11"/>
  <c r="ES149" i="11"/>
  <c r="ET149" i="11"/>
  <c r="EU149" i="11"/>
  <c r="EV149" i="11"/>
  <c r="EW149" i="11"/>
  <c r="EX149" i="11"/>
  <c r="EY149" i="11"/>
  <c r="EZ149" i="11"/>
  <c r="FA149" i="11"/>
  <c r="FB149" i="11"/>
  <c r="FC149" i="11"/>
  <c r="E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AC150" i="11"/>
  <c r="AD150" i="11"/>
  <c r="AE150" i="11"/>
  <c r="AF150" i="11"/>
  <c r="AG150" i="11"/>
  <c r="AH150" i="11"/>
  <c r="AI150" i="11"/>
  <c r="AJ150" i="11"/>
  <c r="AK150" i="11"/>
  <c r="AL150" i="11"/>
  <c r="AN150" i="11"/>
  <c r="AO150" i="11"/>
  <c r="AP150" i="11"/>
  <c r="AQ150" i="11"/>
  <c r="AR150" i="11"/>
  <c r="AS150" i="11"/>
  <c r="AT150" i="11"/>
  <c r="AU150" i="11"/>
  <c r="AV150" i="11"/>
  <c r="AX150" i="11"/>
  <c r="AY150" i="11"/>
  <c r="AZ150" i="11"/>
  <c r="BA150" i="11"/>
  <c r="BB150" i="11"/>
  <c r="BC150" i="11"/>
  <c r="BD150" i="11"/>
  <c r="BE150" i="11"/>
  <c r="BF150" i="11"/>
  <c r="BH150" i="11"/>
  <c r="BI150" i="11"/>
  <c r="BJ150" i="11"/>
  <c r="BK150" i="11"/>
  <c r="BL150" i="11"/>
  <c r="BM150" i="11"/>
  <c r="BN150" i="11"/>
  <c r="BO150" i="11"/>
  <c r="BP150" i="11"/>
  <c r="BR150" i="11"/>
  <c r="BS150" i="11"/>
  <c r="BT150" i="11"/>
  <c r="BU150" i="11"/>
  <c r="BV150" i="11"/>
  <c r="BW150" i="11"/>
  <c r="BX150" i="11"/>
  <c r="BY150" i="11"/>
  <c r="BZ150" i="11"/>
  <c r="CB150" i="11"/>
  <c r="CC150" i="11"/>
  <c r="CD150" i="11"/>
  <c r="CE150" i="11"/>
  <c r="CF150" i="11"/>
  <c r="CG150" i="11"/>
  <c r="CH150" i="11"/>
  <c r="CI150" i="11"/>
  <c r="CJ150" i="11"/>
  <c r="CL150" i="11"/>
  <c r="CM150" i="11"/>
  <c r="CN150" i="11"/>
  <c r="CO150" i="11"/>
  <c r="CP150" i="11"/>
  <c r="CQ150" i="11"/>
  <c r="CR150" i="11"/>
  <c r="CS150" i="11"/>
  <c r="CT150" i="11"/>
  <c r="CV150" i="11"/>
  <c r="CW150" i="11"/>
  <c r="CX150" i="11"/>
  <c r="CY150" i="11"/>
  <c r="CZ150" i="11"/>
  <c r="DA150" i="11"/>
  <c r="DB150" i="11"/>
  <c r="DC150" i="11"/>
  <c r="DD150" i="11"/>
  <c r="DF150" i="11"/>
  <c r="DG150" i="11"/>
  <c r="DH150" i="11"/>
  <c r="DI150" i="11"/>
  <c r="DJ150" i="11"/>
  <c r="DK150" i="11"/>
  <c r="DL150" i="11"/>
  <c r="DM150" i="11"/>
  <c r="DN150" i="11"/>
  <c r="DP150" i="11"/>
  <c r="DQ150" i="11"/>
  <c r="DR150" i="11"/>
  <c r="DS150" i="11"/>
  <c r="DT150" i="11"/>
  <c r="DU150" i="11"/>
  <c r="DV150" i="11"/>
  <c r="DW150" i="11"/>
  <c r="DX150" i="11"/>
  <c r="DZ150" i="11"/>
  <c r="EA150" i="11"/>
  <c r="EC150" i="11"/>
  <c r="ED150" i="11"/>
  <c r="EE150" i="11"/>
  <c r="EF150" i="11"/>
  <c r="EG150" i="11"/>
  <c r="EH150" i="11"/>
  <c r="EI150" i="11"/>
  <c r="EJ150" i="11"/>
  <c r="EK150" i="11"/>
  <c r="EL150" i="11"/>
  <c r="EM150" i="11"/>
  <c r="EN150" i="11"/>
  <c r="EO150" i="11"/>
  <c r="EP150" i="11"/>
  <c r="ER150" i="11"/>
  <c r="ES150" i="11"/>
  <c r="ET150" i="11"/>
  <c r="EU150" i="11"/>
  <c r="EV150" i="11"/>
  <c r="EW150" i="11"/>
  <c r="EX150" i="11"/>
  <c r="EY150" i="11"/>
  <c r="EZ150" i="11"/>
  <c r="FA150" i="11"/>
  <c r="FB150" i="11"/>
  <c r="FC150" i="11"/>
  <c r="E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AC151" i="11"/>
  <c r="AD151" i="11"/>
  <c r="AE151" i="11"/>
  <c r="AF151" i="11"/>
  <c r="AG151" i="11"/>
  <c r="AH151" i="11"/>
  <c r="AI151" i="11"/>
  <c r="AJ151" i="11"/>
  <c r="AK151" i="11"/>
  <c r="AL151" i="11"/>
  <c r="AN151" i="11"/>
  <c r="AO151" i="11"/>
  <c r="AP151" i="11"/>
  <c r="AQ151" i="11"/>
  <c r="AR151" i="11"/>
  <c r="AS151" i="11"/>
  <c r="AT151" i="11"/>
  <c r="AU151" i="11"/>
  <c r="AV151" i="11"/>
  <c r="AX151" i="11"/>
  <c r="AY151" i="11"/>
  <c r="AZ151" i="11"/>
  <c r="BA151" i="11"/>
  <c r="BB151" i="11"/>
  <c r="BC151" i="11"/>
  <c r="BD151" i="11"/>
  <c r="BE151" i="11"/>
  <c r="BF151" i="11"/>
  <c r="BH151" i="11"/>
  <c r="BI151" i="11"/>
  <c r="BJ151" i="11"/>
  <c r="BK151" i="11"/>
  <c r="BL151" i="11"/>
  <c r="BM151" i="11"/>
  <c r="BN151" i="11"/>
  <c r="BO151" i="11"/>
  <c r="BP151" i="11"/>
  <c r="BR151" i="11"/>
  <c r="BS151" i="11"/>
  <c r="BT151" i="11"/>
  <c r="BU151" i="11"/>
  <c r="BV151" i="11"/>
  <c r="BW151" i="11"/>
  <c r="BX151" i="11"/>
  <c r="BY151" i="11"/>
  <c r="BZ151" i="11"/>
  <c r="CB151" i="11"/>
  <c r="CC151" i="11"/>
  <c r="CD151" i="11"/>
  <c r="CE151" i="11"/>
  <c r="CF151" i="11"/>
  <c r="CG151" i="11"/>
  <c r="CH151" i="11"/>
  <c r="CI151" i="11"/>
  <c r="CJ151" i="11"/>
  <c r="CL151" i="11"/>
  <c r="CM151" i="11"/>
  <c r="CN151" i="11"/>
  <c r="CO151" i="11"/>
  <c r="CP151" i="11"/>
  <c r="CQ151" i="11"/>
  <c r="CR151" i="11"/>
  <c r="CS151" i="11"/>
  <c r="CT151" i="11"/>
  <c r="CV151" i="11"/>
  <c r="CW151" i="11"/>
  <c r="CX151" i="11"/>
  <c r="CY151" i="11"/>
  <c r="CZ151" i="11"/>
  <c r="DA151" i="11"/>
  <c r="DB151" i="11"/>
  <c r="DC151" i="11"/>
  <c r="DD151" i="11"/>
  <c r="DF151" i="11"/>
  <c r="DG151" i="11"/>
  <c r="DH151" i="11"/>
  <c r="DI151" i="11"/>
  <c r="DJ151" i="11"/>
  <c r="DK151" i="11"/>
  <c r="DL151" i="11"/>
  <c r="DM151" i="11"/>
  <c r="DN151" i="11"/>
  <c r="DP151" i="11"/>
  <c r="DQ151" i="11"/>
  <c r="DR151" i="11"/>
  <c r="DS151" i="11"/>
  <c r="DT151" i="11"/>
  <c r="DU151" i="11"/>
  <c r="DV151" i="11"/>
  <c r="DW151" i="11"/>
  <c r="DX151" i="11"/>
  <c r="DZ151" i="11"/>
  <c r="EA151" i="11"/>
  <c r="EC151" i="11"/>
  <c r="ED151" i="11"/>
  <c r="EE151" i="11"/>
  <c r="EF151" i="11"/>
  <c r="EG151" i="11"/>
  <c r="EH151" i="11"/>
  <c r="EI151" i="11"/>
  <c r="EJ151" i="11"/>
  <c r="EK151" i="11"/>
  <c r="EL151" i="11"/>
  <c r="EM151" i="11"/>
  <c r="EN151" i="11"/>
  <c r="EO151" i="11"/>
  <c r="EP151" i="11"/>
  <c r="ER151" i="11"/>
  <c r="ES151" i="11"/>
  <c r="ET151" i="11"/>
  <c r="EU151" i="11"/>
  <c r="EV151" i="11"/>
  <c r="EW151" i="11"/>
  <c r="EX151" i="11"/>
  <c r="EY151" i="11"/>
  <c r="EZ151" i="11"/>
  <c r="FA151" i="11"/>
  <c r="FB151" i="11"/>
  <c r="FC151" i="11"/>
  <c r="E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AC152" i="11"/>
  <c r="AD152" i="11"/>
  <c r="AE152" i="11"/>
  <c r="AF152" i="11"/>
  <c r="AG152" i="11"/>
  <c r="AH152" i="11"/>
  <c r="AI152" i="11"/>
  <c r="AJ152" i="11"/>
  <c r="AK152" i="11"/>
  <c r="AL152" i="11"/>
  <c r="AN152" i="11"/>
  <c r="AO152" i="11"/>
  <c r="AP152" i="11"/>
  <c r="AQ152" i="11"/>
  <c r="AR152" i="11"/>
  <c r="AS152" i="11"/>
  <c r="AT152" i="11"/>
  <c r="AU152" i="11"/>
  <c r="AV152" i="11"/>
  <c r="AX152" i="11"/>
  <c r="AY152" i="11"/>
  <c r="AZ152" i="11"/>
  <c r="BA152" i="11"/>
  <c r="BB152" i="11"/>
  <c r="BC152" i="11"/>
  <c r="BD152" i="11"/>
  <c r="BE152" i="11"/>
  <c r="BF152" i="11"/>
  <c r="BH152" i="11"/>
  <c r="BI152" i="11"/>
  <c r="BJ152" i="11"/>
  <c r="BK152" i="11"/>
  <c r="BL152" i="11"/>
  <c r="BM152" i="11"/>
  <c r="BN152" i="11"/>
  <c r="BO152" i="11"/>
  <c r="BP152" i="11"/>
  <c r="BR152" i="11"/>
  <c r="BS152" i="11"/>
  <c r="BT152" i="11"/>
  <c r="BU152" i="11"/>
  <c r="BV152" i="11"/>
  <c r="BW152" i="11"/>
  <c r="BX152" i="11"/>
  <c r="BY152" i="11"/>
  <c r="BZ152" i="11"/>
  <c r="CB152" i="11"/>
  <c r="CC152" i="11"/>
  <c r="CD152" i="11"/>
  <c r="CE152" i="11"/>
  <c r="CF152" i="11"/>
  <c r="CG152" i="11"/>
  <c r="CH152" i="11"/>
  <c r="CI152" i="11"/>
  <c r="CJ152" i="11"/>
  <c r="CL152" i="11"/>
  <c r="CM152" i="11"/>
  <c r="CN152" i="11"/>
  <c r="CO152" i="11"/>
  <c r="CP152" i="11"/>
  <c r="CQ152" i="11"/>
  <c r="CR152" i="11"/>
  <c r="CS152" i="11"/>
  <c r="CT152" i="11"/>
  <c r="CV152" i="11"/>
  <c r="CW152" i="11"/>
  <c r="CX152" i="11"/>
  <c r="CY152" i="11"/>
  <c r="CZ152" i="11"/>
  <c r="DA152" i="11"/>
  <c r="DB152" i="11"/>
  <c r="DC152" i="11"/>
  <c r="DD152" i="11"/>
  <c r="DF152" i="11"/>
  <c r="DG152" i="11"/>
  <c r="DH152" i="11"/>
  <c r="DI152" i="11"/>
  <c r="DJ152" i="11"/>
  <c r="DK152" i="11"/>
  <c r="DL152" i="11"/>
  <c r="DM152" i="11"/>
  <c r="DN152" i="11"/>
  <c r="DP152" i="11"/>
  <c r="DQ152" i="11"/>
  <c r="DR152" i="11"/>
  <c r="DS152" i="11"/>
  <c r="DT152" i="11"/>
  <c r="DU152" i="11"/>
  <c r="DV152" i="11"/>
  <c r="DW152" i="11"/>
  <c r="DX152" i="11"/>
  <c r="DZ152" i="11"/>
  <c r="EA152" i="11"/>
  <c r="EC152" i="11"/>
  <c r="ED152" i="11"/>
  <c r="EE152" i="11"/>
  <c r="EF152" i="11"/>
  <c r="EG152" i="11"/>
  <c r="EH152" i="11"/>
  <c r="EI152" i="11"/>
  <c r="EJ152" i="11"/>
  <c r="EK152" i="11"/>
  <c r="EL152" i="11"/>
  <c r="EM152" i="11"/>
  <c r="EN152" i="11"/>
  <c r="EO152" i="11"/>
  <c r="EP152" i="11"/>
  <c r="ER152" i="11"/>
  <c r="ES152" i="11"/>
  <c r="ET152" i="11"/>
  <c r="EU152" i="11"/>
  <c r="EV152" i="11"/>
  <c r="EW152" i="11"/>
  <c r="EX152" i="11"/>
  <c r="EY152" i="11"/>
  <c r="EZ152" i="11"/>
  <c r="FA152" i="11"/>
  <c r="FB152" i="11"/>
  <c r="FC152" i="11"/>
  <c r="E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AC153" i="11"/>
  <c r="AD153" i="11"/>
  <c r="AE153" i="11"/>
  <c r="AF153" i="11"/>
  <c r="AG153" i="11"/>
  <c r="AH153" i="11"/>
  <c r="AI153" i="11"/>
  <c r="AJ153" i="11"/>
  <c r="AK153" i="11"/>
  <c r="AL153" i="11"/>
  <c r="AN153" i="11"/>
  <c r="AO153" i="11"/>
  <c r="AP153" i="11"/>
  <c r="AQ153" i="11"/>
  <c r="AR153" i="11"/>
  <c r="AS153" i="11"/>
  <c r="AT153" i="11"/>
  <c r="AU153" i="11"/>
  <c r="AV153" i="11"/>
  <c r="AX153" i="11"/>
  <c r="AY153" i="11"/>
  <c r="AZ153" i="11"/>
  <c r="BA153" i="11"/>
  <c r="BB153" i="11"/>
  <c r="BC153" i="11"/>
  <c r="BD153" i="11"/>
  <c r="BE153" i="11"/>
  <c r="BF153" i="11"/>
  <c r="BH153" i="11"/>
  <c r="BI153" i="11"/>
  <c r="BJ153" i="11"/>
  <c r="BK153" i="11"/>
  <c r="BL153" i="11"/>
  <c r="BM153" i="11"/>
  <c r="BN153" i="11"/>
  <c r="BO153" i="11"/>
  <c r="BP153" i="11"/>
  <c r="BR153" i="11"/>
  <c r="BS153" i="11"/>
  <c r="BT153" i="11"/>
  <c r="BU153" i="11"/>
  <c r="BV153" i="11"/>
  <c r="BW153" i="11"/>
  <c r="BX153" i="11"/>
  <c r="BY153" i="11"/>
  <c r="BZ153" i="11"/>
  <c r="CB153" i="11"/>
  <c r="CC153" i="11"/>
  <c r="CD153" i="11"/>
  <c r="CE153" i="11"/>
  <c r="CF153" i="11"/>
  <c r="CG153" i="11"/>
  <c r="CH153" i="11"/>
  <c r="CI153" i="11"/>
  <c r="CJ153" i="11"/>
  <c r="CL153" i="11"/>
  <c r="CM153" i="11"/>
  <c r="CN153" i="11"/>
  <c r="CO153" i="11"/>
  <c r="CP153" i="11"/>
  <c r="CQ153" i="11"/>
  <c r="CR153" i="11"/>
  <c r="CS153" i="11"/>
  <c r="CT153" i="11"/>
  <c r="CV153" i="11"/>
  <c r="CW153" i="11"/>
  <c r="CX153" i="11"/>
  <c r="CY153" i="11"/>
  <c r="CZ153" i="11"/>
  <c r="DA153" i="11"/>
  <c r="DB153" i="11"/>
  <c r="DC153" i="11"/>
  <c r="DD153" i="11"/>
  <c r="DF153" i="11"/>
  <c r="DG153" i="11"/>
  <c r="DH153" i="11"/>
  <c r="DI153" i="11"/>
  <c r="DJ153" i="11"/>
  <c r="DK153" i="11"/>
  <c r="DL153" i="11"/>
  <c r="DM153" i="11"/>
  <c r="DN153" i="11"/>
  <c r="DP153" i="11"/>
  <c r="DQ153" i="11"/>
  <c r="DR153" i="11"/>
  <c r="DS153" i="11"/>
  <c r="DT153" i="11"/>
  <c r="DU153" i="11"/>
  <c r="DV153" i="11"/>
  <c r="DW153" i="11"/>
  <c r="DX153" i="11"/>
  <c r="DZ153" i="11"/>
  <c r="EA153" i="11"/>
  <c r="EC153" i="11"/>
  <c r="ED153" i="11"/>
  <c r="EE153" i="11"/>
  <c r="EF153" i="11"/>
  <c r="EG153" i="11"/>
  <c r="EH153" i="11"/>
  <c r="EI153" i="11"/>
  <c r="EJ153" i="11"/>
  <c r="EK153" i="11"/>
  <c r="EL153" i="11"/>
  <c r="EM153" i="11"/>
  <c r="EN153" i="11"/>
  <c r="EO153" i="11"/>
  <c r="EP153" i="11"/>
  <c r="EQ153" i="11"/>
  <c r="ER153" i="11"/>
  <c r="ES153" i="11"/>
  <c r="ET153" i="11"/>
  <c r="EU153" i="11"/>
  <c r="EV153" i="11"/>
  <c r="EW153" i="11"/>
  <c r="EX153" i="11"/>
  <c r="EY153" i="11"/>
  <c r="EZ153" i="11"/>
  <c r="FA153" i="11"/>
  <c r="FB153" i="11"/>
  <c r="FC153" i="11"/>
  <c r="E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AC157" i="11"/>
  <c r="AD157" i="11"/>
  <c r="AE157" i="11"/>
  <c r="AF157" i="11"/>
  <c r="AG157" i="11"/>
  <c r="AH157" i="11"/>
  <c r="AI157" i="11"/>
  <c r="AJ157" i="11"/>
  <c r="AK157" i="11"/>
  <c r="AL157" i="11"/>
  <c r="AN157" i="11"/>
  <c r="AO157" i="11"/>
  <c r="AP157" i="11"/>
  <c r="AQ157" i="11"/>
  <c r="AR157" i="11"/>
  <c r="AS157" i="11"/>
  <c r="AT157" i="11"/>
  <c r="AU157" i="11"/>
  <c r="AV157" i="11"/>
  <c r="AX157" i="11"/>
  <c r="AY157" i="11"/>
  <c r="AZ157" i="11"/>
  <c r="BA157" i="11"/>
  <c r="BB157" i="11"/>
  <c r="BC157" i="11"/>
  <c r="BD157" i="11"/>
  <c r="BE157" i="11"/>
  <c r="BF157" i="11"/>
  <c r="BH157" i="11"/>
  <c r="BI157" i="11"/>
  <c r="BJ157" i="11"/>
  <c r="BK157" i="11"/>
  <c r="BL157" i="11"/>
  <c r="BM157" i="11"/>
  <c r="BN157" i="11"/>
  <c r="BO157" i="11"/>
  <c r="BP157" i="11"/>
  <c r="BR157" i="11"/>
  <c r="BS157" i="11"/>
  <c r="BT157" i="11"/>
  <c r="BU157" i="11"/>
  <c r="BV157" i="11"/>
  <c r="BW157" i="11"/>
  <c r="BX157" i="11"/>
  <c r="BY157" i="11"/>
  <c r="BZ157" i="11"/>
  <c r="CB157" i="11"/>
  <c r="CC157" i="11"/>
  <c r="CD157" i="11"/>
  <c r="CE157" i="11"/>
  <c r="CF157" i="11"/>
  <c r="CG157" i="11"/>
  <c r="CH157" i="11"/>
  <c r="CI157" i="11"/>
  <c r="CJ157" i="11"/>
  <c r="CL157" i="11"/>
  <c r="CM157" i="11"/>
  <c r="CN157" i="11"/>
  <c r="CO157" i="11"/>
  <c r="CP157" i="11"/>
  <c r="CQ157" i="11"/>
  <c r="CR157" i="11"/>
  <c r="CS157" i="11"/>
  <c r="CT157" i="11"/>
  <c r="CV157" i="11"/>
  <c r="CW157" i="11"/>
  <c r="CX157" i="11"/>
  <c r="CY157" i="11"/>
  <c r="CZ157" i="11"/>
  <c r="DA157" i="11"/>
  <c r="DB157" i="11"/>
  <c r="DC157" i="11"/>
  <c r="DD157" i="11"/>
  <c r="DF157" i="11"/>
  <c r="DG157" i="11"/>
  <c r="DH157" i="11"/>
  <c r="DI157" i="11"/>
  <c r="DJ157" i="11"/>
  <c r="DK157" i="11"/>
  <c r="DL157" i="11"/>
  <c r="DM157" i="11"/>
  <c r="DN157" i="11"/>
  <c r="DP157" i="11"/>
  <c r="DQ157" i="11"/>
  <c r="DR157" i="11"/>
  <c r="DS157" i="11"/>
  <c r="DT157" i="11"/>
  <c r="DU157" i="11"/>
  <c r="DV157" i="11"/>
  <c r="DW157" i="11"/>
  <c r="DX157" i="11"/>
  <c r="DZ157" i="11"/>
  <c r="EA157" i="11"/>
  <c r="EB157" i="11"/>
  <c r="EC157" i="11"/>
  <c r="ED157" i="11"/>
  <c r="EE157" i="11"/>
  <c r="EF157" i="11"/>
  <c r="EG157" i="11"/>
  <c r="EH157" i="11"/>
  <c r="EI157" i="11"/>
  <c r="EJ157" i="11"/>
  <c r="EK157" i="11"/>
  <c r="EL157" i="11"/>
  <c r="EM157" i="11"/>
  <c r="EN157" i="11"/>
  <c r="EO157" i="11"/>
  <c r="EP157" i="11"/>
  <c r="ER157" i="11"/>
  <c r="ES157" i="11"/>
  <c r="ET157" i="11"/>
  <c r="EU157" i="11"/>
  <c r="EV157" i="11"/>
  <c r="EW157" i="11"/>
  <c r="EX157" i="11"/>
  <c r="EY157" i="11"/>
  <c r="EZ157" i="11"/>
  <c r="FA157" i="11"/>
  <c r="FB157" i="11"/>
  <c r="FB155" i="11" s="1"/>
  <c r="FC157" i="11"/>
  <c r="DY151" i="11" l="1"/>
  <c r="AB151" i="11"/>
  <c r="EQ150" i="11"/>
  <c r="DY149" i="11"/>
  <c r="AB153" i="11"/>
  <c r="EQ152" i="11"/>
  <c r="FD157" i="11"/>
  <c r="DY153" i="11"/>
  <c r="DY147" i="11"/>
  <c r="AB148" i="11"/>
  <c r="EQ149" i="11"/>
  <c r="DY152" i="11"/>
  <c r="AB152" i="11"/>
  <c r="EQ151" i="11"/>
  <c r="DY150" i="11"/>
  <c r="AB150" i="11"/>
  <c r="DY148" i="11"/>
  <c r="AB149" i="11"/>
  <c r="EQ148" i="11"/>
  <c r="EZ154" i="11"/>
  <c r="P155" i="11"/>
  <c r="EQ147" i="11"/>
  <c r="L158" i="11"/>
  <c r="DZ155" i="11"/>
  <c r="EZ160" i="11"/>
  <c r="FB158" i="11"/>
  <c r="J147" i="11"/>
  <c r="ET158" i="11"/>
  <c r="AT158" i="11"/>
  <c r="E154" i="11"/>
  <c r="EZ159" i="11"/>
  <c r="EP155" i="11"/>
  <c r="EN154" i="11"/>
  <c r="EJ154" i="11"/>
  <c r="EH155" i="11"/>
  <c r="EF154" i="11"/>
  <c r="DV158" i="11"/>
  <c r="BJ159" i="11"/>
  <c r="BH160" i="11"/>
  <c r="J148" i="11"/>
  <c r="EB147" i="11"/>
  <c r="EQ157" i="11"/>
  <c r="EQ159" i="11" s="1"/>
  <c r="ER159" i="11"/>
  <c r="EL155" i="11"/>
  <c r="EH160" i="11"/>
  <c r="DV155" i="11"/>
  <c r="DT154" i="11"/>
  <c r="DR155" i="11"/>
  <c r="DM155" i="11"/>
  <c r="DI155" i="11"/>
  <c r="DB154" i="11"/>
  <c r="CZ155" i="11"/>
  <c r="CX154" i="11"/>
  <c r="CS154" i="11"/>
  <c r="CH155" i="11"/>
  <c r="CF155" i="11"/>
  <c r="CD155" i="11"/>
  <c r="BY155" i="11"/>
  <c r="BU155" i="11"/>
  <c r="BN159" i="11"/>
  <c r="BL155" i="11"/>
  <c r="BE159" i="11"/>
  <c r="BA159" i="11"/>
  <c r="AT155" i="11"/>
  <c r="AR159" i="11"/>
  <c r="AG160" i="11"/>
  <c r="AC158" i="11"/>
  <c r="N159" i="11"/>
  <c r="E24" i="2"/>
  <c r="L24" i="2" s="1"/>
  <c r="E21" i="2"/>
  <c r="L21" i="2" s="1"/>
  <c r="E27" i="2"/>
  <c r="L27" i="2" s="1"/>
  <c r="Y22" i="2"/>
  <c r="AC22" i="2" s="1"/>
  <c r="E23" i="2"/>
  <c r="L23" i="2" s="1"/>
  <c r="EN160" i="11"/>
  <c r="CZ160" i="11"/>
  <c r="DM158" i="11"/>
  <c r="DY157" i="11"/>
  <c r="AB157" i="11"/>
  <c r="AB158" i="11" s="1"/>
  <c r="FD153" i="11"/>
  <c r="FD159" i="11" s="1"/>
  <c r="EV160" i="11"/>
  <c r="ER160" i="11"/>
  <c r="ED158" i="11"/>
  <c r="EB153" i="11"/>
  <c r="EB159" i="11" s="1"/>
  <c r="DK159" i="11"/>
  <c r="DD158" i="11"/>
  <c r="CV158" i="11"/>
  <c r="CQ160" i="11"/>
  <c r="CM158" i="11"/>
  <c r="CJ159" i="11"/>
  <c r="CB159" i="11"/>
  <c r="BS159" i="11"/>
  <c r="BP160" i="11"/>
  <c r="BC158" i="11"/>
  <c r="AY160" i="11"/>
  <c r="AP160" i="11"/>
  <c r="AK158" i="11"/>
  <c r="AI159" i="11"/>
  <c r="V159" i="11"/>
  <c r="T160" i="11"/>
  <c r="J153" i="11"/>
  <c r="J159" i="11" s="1"/>
  <c r="FD152" i="11"/>
  <c r="EB152" i="11"/>
  <c r="J152" i="11"/>
  <c r="FD151" i="11"/>
  <c r="EB151" i="11"/>
  <c r="J151" i="11"/>
  <c r="FD150" i="11"/>
  <c r="EB150" i="11"/>
  <c r="J150" i="11"/>
  <c r="FD149" i="11"/>
  <c r="EB149" i="11"/>
  <c r="J149" i="11"/>
  <c r="FD148" i="11"/>
  <c r="EB148" i="11"/>
  <c r="FD147" i="11"/>
  <c r="AB147" i="11"/>
  <c r="E28" i="2"/>
  <c r="L28" i="2" s="1"/>
  <c r="E29" i="2"/>
  <c r="L29" i="2" s="1"/>
  <c r="E25" i="2"/>
  <c r="L25" i="2" s="1"/>
  <c r="E20" i="2"/>
  <c r="L20" i="2" s="1"/>
  <c r="E26" i="2"/>
  <c r="L26" i="2" s="1"/>
  <c r="Y21" i="2"/>
  <c r="AC21" i="2" s="1"/>
  <c r="E32" i="2"/>
  <c r="L32" i="2" s="1"/>
  <c r="V28" i="2"/>
  <c r="V21" i="2"/>
  <c r="V20" i="2"/>
  <c r="FD160" i="11"/>
  <c r="EX155" i="11"/>
  <c r="EV154" i="11"/>
  <c r="ET155" i="11"/>
  <c r="FD154" i="11"/>
  <c r="ER154" i="11"/>
  <c r="EL158" i="11"/>
  <c r="EJ159" i="11"/>
  <c r="ED155" i="11"/>
  <c r="DZ160" i="11"/>
  <c r="AB22" i="2"/>
  <c r="DX154" i="11"/>
  <c r="DT159" i="11"/>
  <c r="DR160" i="11"/>
  <c r="DP154" i="11"/>
  <c r="DI160" i="11"/>
  <c r="V27" i="2"/>
  <c r="V26" i="2"/>
  <c r="V25" i="2"/>
  <c r="V24" i="2"/>
  <c r="DK154" i="11"/>
  <c r="DG154" i="11"/>
  <c r="DD155" i="11"/>
  <c r="DB159" i="11"/>
  <c r="CV155" i="11"/>
  <c r="CS159" i="11"/>
  <c r="CQ155" i="11"/>
  <c r="CO154" i="11"/>
  <c r="CM155" i="11"/>
  <c r="CJ154" i="11"/>
  <c r="CH160" i="11"/>
  <c r="CD158" i="11"/>
  <c r="BY160" i="11"/>
  <c r="BW159" i="11"/>
  <c r="BU158" i="11"/>
  <c r="V23" i="2"/>
  <c r="BP155" i="11"/>
  <c r="BL158" i="11"/>
  <c r="BH155" i="11"/>
  <c r="BC155" i="11"/>
  <c r="AY155" i="11"/>
  <c r="AV159" i="11"/>
  <c r="V29" i="2"/>
  <c r="AP155" i="11"/>
  <c r="AN159" i="11"/>
  <c r="AK155" i="11"/>
  <c r="AG155" i="11"/>
  <c r="AE159" i="11"/>
  <c r="AC155" i="11"/>
  <c r="T155" i="11"/>
  <c r="R159" i="11"/>
  <c r="P158" i="11"/>
  <c r="L160" i="11"/>
  <c r="V22" i="2"/>
  <c r="E22" i="2"/>
  <c r="L22" i="2" s="1"/>
  <c r="AB20" i="2"/>
  <c r="Y20" i="2"/>
  <c r="AD20" i="2" s="1"/>
  <c r="FB160" i="11"/>
  <c r="EX160" i="11"/>
  <c r="ET160" i="11"/>
  <c r="EP160" i="11"/>
  <c r="EL160" i="11"/>
  <c r="ED160" i="11"/>
  <c r="DV160" i="11"/>
  <c r="DM160" i="11"/>
  <c r="DD160" i="11"/>
  <c r="CV160" i="11"/>
  <c r="CM160" i="11"/>
  <c r="CD160" i="11"/>
  <c r="BU160" i="11"/>
  <c r="BL160" i="11"/>
  <c r="BC160" i="11"/>
  <c r="AT160" i="11"/>
  <c r="AK160" i="11"/>
  <c r="AC160" i="11"/>
  <c r="P160" i="11"/>
  <c r="EV159" i="11"/>
  <c r="EN159" i="11"/>
  <c r="EF159" i="11"/>
  <c r="DX159" i="11"/>
  <c r="DP159" i="11"/>
  <c r="DG159" i="11"/>
  <c r="CX159" i="11"/>
  <c r="CO159" i="11"/>
  <c r="CF159" i="11"/>
  <c r="EX158" i="11"/>
  <c r="EP158" i="11"/>
  <c r="EH158" i="11"/>
  <c r="DZ158" i="11"/>
  <c r="DR158" i="11"/>
  <c r="DI158" i="11"/>
  <c r="CZ158" i="11"/>
  <c r="CQ158" i="11"/>
  <c r="CH158" i="11"/>
  <c r="BY158" i="11"/>
  <c r="BP158" i="11"/>
  <c r="BH158" i="11"/>
  <c r="AY158" i="11"/>
  <c r="AP158" i="11"/>
  <c r="AG158" i="11"/>
  <c r="T158" i="11"/>
  <c r="E34" i="2"/>
  <c r="L34" i="2" s="1"/>
  <c r="E33" i="2"/>
  <c r="L33" i="2" s="1"/>
  <c r="AB21" i="2"/>
  <c r="BW154" i="11"/>
  <c r="BW156" i="11"/>
  <c r="BN154" i="11"/>
  <c r="BN156" i="11"/>
  <c r="BJ154" i="11"/>
  <c r="BJ156" i="11"/>
  <c r="BE154" i="11"/>
  <c r="BE156" i="11"/>
  <c r="BA154" i="11"/>
  <c r="BA156" i="11"/>
  <c r="AV154" i="11"/>
  <c r="AV156" i="11"/>
  <c r="AN154" i="11"/>
  <c r="AN156" i="11"/>
  <c r="AI154" i="11"/>
  <c r="AI156" i="11"/>
  <c r="AE154" i="11"/>
  <c r="AE156" i="11"/>
  <c r="V154" i="11"/>
  <c r="V156" i="11"/>
  <c r="R154" i="11"/>
  <c r="R156" i="11"/>
  <c r="N154" i="11"/>
  <c r="N156" i="11"/>
  <c r="L154" i="11"/>
  <c r="L155" i="11"/>
  <c r="EV156" i="11"/>
  <c r="EJ156" i="11"/>
  <c r="EB156" i="11"/>
  <c r="DT156" i="11"/>
  <c r="DK156" i="11"/>
  <c r="DB156" i="11"/>
  <c r="CS156" i="11"/>
  <c r="CJ156" i="11"/>
  <c r="BU156" i="11"/>
  <c r="BC156" i="11"/>
  <c r="AK156" i="11"/>
  <c r="P156" i="11"/>
  <c r="EN155" i="11"/>
  <c r="DX155" i="11"/>
  <c r="CX155" i="11"/>
  <c r="BN155" i="11"/>
  <c r="AN155" i="11"/>
  <c r="R155" i="11"/>
  <c r="EX154" i="11"/>
  <c r="EP154" i="11"/>
  <c r="DZ154" i="11"/>
  <c r="CZ154" i="11"/>
  <c r="CH154" i="11"/>
  <c r="BP154" i="11"/>
  <c r="AP154" i="11"/>
  <c r="T154" i="11"/>
  <c r="FC158" i="11"/>
  <c r="FC159" i="11"/>
  <c r="FA158" i="11"/>
  <c r="FA159" i="11"/>
  <c r="EW158" i="11"/>
  <c r="EW159" i="11"/>
  <c r="ES158" i="11"/>
  <c r="ES159" i="11"/>
  <c r="EO158" i="11"/>
  <c r="EO159" i="11"/>
  <c r="EM158" i="11"/>
  <c r="EM159" i="11"/>
  <c r="EG158" i="11"/>
  <c r="EG159" i="11"/>
  <c r="EG160" i="11"/>
  <c r="EE158" i="11"/>
  <c r="EE159" i="11"/>
  <c r="EE160" i="11"/>
  <c r="EA158" i="11"/>
  <c r="EA159" i="11"/>
  <c r="EA160" i="11"/>
  <c r="DW158" i="11"/>
  <c r="DW159" i="11"/>
  <c r="DW160" i="11"/>
  <c r="DS158" i="11"/>
  <c r="DS159" i="11"/>
  <c r="DS160" i="11"/>
  <c r="DN158" i="11"/>
  <c r="DN159" i="11"/>
  <c r="DN160" i="11"/>
  <c r="DJ158" i="11"/>
  <c r="DJ159" i="11"/>
  <c r="DJ160" i="11"/>
  <c r="DF158" i="11"/>
  <c r="DF159" i="11"/>
  <c r="DF160" i="11"/>
  <c r="DA158" i="11"/>
  <c r="DA159" i="11"/>
  <c r="DA160" i="11"/>
  <c r="CW158" i="11"/>
  <c r="CW159" i="11"/>
  <c r="CW160" i="11"/>
  <c r="CR158" i="11"/>
  <c r="CR159" i="11"/>
  <c r="CR160" i="11"/>
  <c r="CN158" i="11"/>
  <c r="CN159" i="11"/>
  <c r="CN160" i="11"/>
  <c r="CI158" i="11"/>
  <c r="CI159" i="11"/>
  <c r="CI160" i="11"/>
  <c r="CE158" i="11"/>
  <c r="CE159" i="11"/>
  <c r="CE160" i="11"/>
  <c r="BZ158" i="11"/>
  <c r="BZ159" i="11"/>
  <c r="BZ160" i="11"/>
  <c r="BV158" i="11"/>
  <c r="BV159" i="11"/>
  <c r="BV160" i="11"/>
  <c r="BR158" i="11"/>
  <c r="BR159" i="11"/>
  <c r="BR160" i="11"/>
  <c r="BM158" i="11"/>
  <c r="BM159" i="11"/>
  <c r="BM160" i="11"/>
  <c r="BI158" i="11"/>
  <c r="BI159" i="11"/>
  <c r="BI160" i="11"/>
  <c r="BD158" i="11"/>
  <c r="BD159" i="11"/>
  <c r="BD160" i="11"/>
  <c r="AZ158" i="11"/>
  <c r="AZ159" i="11"/>
  <c r="AZ160" i="11"/>
  <c r="AU158" i="11"/>
  <c r="AU159" i="11"/>
  <c r="AU160" i="11"/>
  <c r="AQ158" i="11"/>
  <c r="AQ159" i="11"/>
  <c r="AQ160" i="11"/>
  <c r="AL158" i="11"/>
  <c r="AL159" i="11"/>
  <c r="AL160" i="11"/>
  <c r="AH158" i="11"/>
  <c r="AH159" i="11"/>
  <c r="AH160" i="11"/>
  <c r="AD158" i="11"/>
  <c r="AD159" i="11"/>
  <c r="AD160" i="11"/>
  <c r="U158" i="11"/>
  <c r="U159" i="11"/>
  <c r="U160" i="11"/>
  <c r="Q158" i="11"/>
  <c r="Q159" i="11"/>
  <c r="Q160" i="11"/>
  <c r="M158" i="11"/>
  <c r="M159" i="11"/>
  <c r="M160" i="11"/>
  <c r="E158" i="11"/>
  <c r="E159" i="11"/>
  <c r="E160" i="11"/>
  <c r="CF154" i="11"/>
  <c r="CF156" i="11"/>
  <c r="CB154" i="11"/>
  <c r="CB156" i="11"/>
  <c r="BS154" i="11"/>
  <c r="BS156" i="11"/>
  <c r="AR154" i="11"/>
  <c r="AR156" i="11"/>
  <c r="EZ156" i="11"/>
  <c r="ER156" i="11"/>
  <c r="EN156" i="11"/>
  <c r="EF156" i="11"/>
  <c r="DX156" i="11"/>
  <c r="DP156" i="11"/>
  <c r="DG156" i="11"/>
  <c r="CX156" i="11"/>
  <c r="CO156" i="11"/>
  <c r="CD156" i="11"/>
  <c r="BL156" i="11"/>
  <c r="AT156" i="11"/>
  <c r="AC156" i="11"/>
  <c r="EV155" i="11"/>
  <c r="EF155" i="11"/>
  <c r="DP155" i="11"/>
  <c r="DG155" i="11"/>
  <c r="CO155" i="11"/>
  <c r="BW155" i="11"/>
  <c r="BE155" i="11"/>
  <c r="AV155" i="11"/>
  <c r="AE155" i="11"/>
  <c r="EH154" i="11"/>
  <c r="DR154" i="11"/>
  <c r="DI154" i="11"/>
  <c r="CQ154" i="11"/>
  <c r="BY154" i="11"/>
  <c r="BH154" i="11"/>
  <c r="AY154" i="11"/>
  <c r="AG154" i="11"/>
  <c r="EY158" i="11"/>
  <c r="EY159" i="11"/>
  <c r="EU158" i="11"/>
  <c r="EU159" i="11"/>
  <c r="EK158" i="11"/>
  <c r="EK159" i="11"/>
  <c r="EK160" i="11"/>
  <c r="EI158" i="11"/>
  <c r="EI159" i="11"/>
  <c r="EI160" i="11"/>
  <c r="EC158" i="11"/>
  <c r="EC159" i="11"/>
  <c r="EC160" i="11"/>
  <c r="DU158" i="11"/>
  <c r="DU159" i="11"/>
  <c r="DU160" i="11"/>
  <c r="DQ158" i="11"/>
  <c r="DQ159" i="11"/>
  <c r="DQ160" i="11"/>
  <c r="DL158" i="11"/>
  <c r="DL159" i="11"/>
  <c r="DL160" i="11"/>
  <c r="DH158" i="11"/>
  <c r="DH159" i="11"/>
  <c r="DH160" i="11"/>
  <c r="DC158" i="11"/>
  <c r="DC159" i="11"/>
  <c r="DC160" i="11"/>
  <c r="CY158" i="11"/>
  <c r="CY159" i="11"/>
  <c r="CY160" i="11"/>
  <c r="CT158" i="11"/>
  <c r="CT159" i="11"/>
  <c r="CT160" i="11"/>
  <c r="CP158" i="11"/>
  <c r="CP159" i="11"/>
  <c r="CP160" i="11"/>
  <c r="CL158" i="11"/>
  <c r="CL159" i="11"/>
  <c r="CL160" i="11"/>
  <c r="CG158" i="11"/>
  <c r="CG159" i="11"/>
  <c r="CG160" i="11"/>
  <c r="CC158" i="11"/>
  <c r="CC159" i="11"/>
  <c r="CC160" i="11"/>
  <c r="BX158" i="11"/>
  <c r="BX159" i="11"/>
  <c r="BX160" i="11"/>
  <c r="BT158" i="11"/>
  <c r="BT159" i="11"/>
  <c r="BT160" i="11"/>
  <c r="BO158" i="11"/>
  <c r="BO159" i="11"/>
  <c r="BO160" i="11"/>
  <c r="BK158" i="11"/>
  <c r="BK159" i="11"/>
  <c r="BK160" i="11"/>
  <c r="BF158" i="11"/>
  <c r="BF159" i="11"/>
  <c r="BF160" i="11"/>
  <c r="BB158" i="11"/>
  <c r="BB159" i="11"/>
  <c r="BB160" i="11"/>
  <c r="AX158" i="11"/>
  <c r="AX159" i="11"/>
  <c r="AX160" i="11"/>
  <c r="AS158" i="11"/>
  <c r="AS159" i="11"/>
  <c r="AS160" i="11"/>
  <c r="AO158" i="11"/>
  <c r="AO159" i="11"/>
  <c r="AO160" i="11"/>
  <c r="AJ158" i="11"/>
  <c r="AJ159" i="11"/>
  <c r="AJ160" i="11"/>
  <c r="AF158" i="11"/>
  <c r="AF159" i="11"/>
  <c r="AF160" i="11"/>
  <c r="AB159" i="11"/>
  <c r="S158" i="11"/>
  <c r="S159" i="11"/>
  <c r="S160" i="11"/>
  <c r="O158" i="11"/>
  <c r="O159" i="11"/>
  <c r="O160" i="11"/>
  <c r="K158" i="11"/>
  <c r="K159" i="11"/>
  <c r="K160" i="11"/>
  <c r="FC160" i="11"/>
  <c r="FA160" i="11"/>
  <c r="EY160" i="11"/>
  <c r="EW160" i="11"/>
  <c r="EU160" i="11"/>
  <c r="ES160" i="11"/>
  <c r="EO160" i="11"/>
  <c r="EM160" i="11"/>
  <c r="EJ160" i="11"/>
  <c r="EF160" i="11"/>
  <c r="DX160" i="11"/>
  <c r="DT160" i="11"/>
  <c r="DP160" i="11"/>
  <c r="DK160" i="11"/>
  <c r="DG160" i="11"/>
  <c r="DB160" i="11"/>
  <c r="CX160" i="11"/>
  <c r="CS160" i="11"/>
  <c r="CO160" i="11"/>
  <c r="CJ160" i="11"/>
  <c r="CF160" i="11"/>
  <c r="CB160" i="11"/>
  <c r="BW160" i="11"/>
  <c r="BS160" i="11"/>
  <c r="BN160" i="11"/>
  <c r="BJ160" i="11"/>
  <c r="BE160" i="11"/>
  <c r="BA160" i="11"/>
  <c r="AV160" i="11"/>
  <c r="AR160" i="11"/>
  <c r="AN160" i="11"/>
  <c r="AI160" i="11"/>
  <c r="AE160" i="11"/>
  <c r="V160" i="11"/>
  <c r="R160" i="11"/>
  <c r="N160" i="11"/>
  <c r="FB159" i="11"/>
  <c r="EX159" i="11"/>
  <c r="ET159" i="11"/>
  <c r="EP159" i="11"/>
  <c r="EL159" i="11"/>
  <c r="EH159" i="11"/>
  <c r="ED159" i="11"/>
  <c r="DZ159" i="11"/>
  <c r="DV159" i="11"/>
  <c r="DR159" i="11"/>
  <c r="DM159" i="11"/>
  <c r="DI159" i="11"/>
  <c r="DD159" i="11"/>
  <c r="CZ159" i="11"/>
  <c r="CV159" i="11"/>
  <c r="CQ159" i="11"/>
  <c r="CM159" i="11"/>
  <c r="CH159" i="11"/>
  <c r="CD159" i="11"/>
  <c r="BY159" i="11"/>
  <c r="BU159" i="11"/>
  <c r="BP159" i="11"/>
  <c r="BL159" i="11"/>
  <c r="BH159" i="11"/>
  <c r="BC159" i="11"/>
  <c r="AY159" i="11"/>
  <c r="AT159" i="11"/>
  <c r="AP159" i="11"/>
  <c r="AK159" i="11"/>
  <c r="AG159" i="11"/>
  <c r="AC159" i="11"/>
  <c r="T159" i="11"/>
  <c r="P159" i="11"/>
  <c r="L159" i="11"/>
  <c r="EZ158" i="11"/>
  <c r="EV158" i="11"/>
  <c r="ER158" i="11"/>
  <c r="EN158" i="11"/>
  <c r="EJ158" i="11"/>
  <c r="EF158" i="11"/>
  <c r="EB158" i="11"/>
  <c r="DX158" i="11"/>
  <c r="DT158" i="11"/>
  <c r="DP158" i="11"/>
  <c r="DK158" i="11"/>
  <c r="DG158" i="11"/>
  <c r="DB158" i="11"/>
  <c r="CX158" i="11"/>
  <c r="CS158" i="11"/>
  <c r="CO158" i="11"/>
  <c r="CJ158" i="11"/>
  <c r="CF158" i="11"/>
  <c r="CB158" i="11"/>
  <c r="BW158" i="11"/>
  <c r="BS158" i="11"/>
  <c r="BN158" i="11"/>
  <c r="BJ158" i="11"/>
  <c r="BE158" i="11"/>
  <c r="BA158" i="11"/>
  <c r="AV158" i="11"/>
  <c r="AR158" i="11"/>
  <c r="AN158" i="11"/>
  <c r="AI158" i="11"/>
  <c r="AE158" i="11"/>
  <c r="V158" i="11"/>
  <c r="R158" i="11"/>
  <c r="N158" i="11"/>
  <c r="FB156" i="11"/>
  <c r="EX156" i="11"/>
  <c r="ET156" i="11"/>
  <c r="EP156" i="11"/>
  <c r="EL156" i="11"/>
  <c r="EH156" i="11"/>
  <c r="ED156" i="11"/>
  <c r="DZ156" i="11"/>
  <c r="DV156" i="11"/>
  <c r="DR156" i="11"/>
  <c r="DM156" i="11"/>
  <c r="DI156" i="11"/>
  <c r="DD156" i="11"/>
  <c r="CZ156" i="11"/>
  <c r="CV156" i="11"/>
  <c r="CQ156" i="11"/>
  <c r="CM156" i="11"/>
  <c r="CH156" i="11"/>
  <c r="BY156" i="11"/>
  <c r="BP156" i="11"/>
  <c r="BH156" i="11"/>
  <c r="AY156" i="11"/>
  <c r="AP156" i="11"/>
  <c r="AG156" i="11"/>
  <c r="T156" i="11"/>
  <c r="L156" i="11"/>
  <c r="EZ155" i="11"/>
  <c r="ER155" i="11"/>
  <c r="EJ155" i="11"/>
  <c r="DT155" i="11"/>
  <c r="DK155" i="11"/>
  <c r="DB155" i="11"/>
  <c r="CS155" i="11"/>
  <c r="CJ155" i="11"/>
  <c r="CB155" i="11"/>
  <c r="BS155" i="11"/>
  <c r="BJ155" i="11"/>
  <c r="BA155" i="11"/>
  <c r="AR155" i="11"/>
  <c r="AI155" i="11"/>
  <c r="V155" i="11"/>
  <c r="N155" i="11"/>
  <c r="FB154" i="11"/>
  <c r="ET154" i="11"/>
  <c r="EL154" i="11"/>
  <c r="ED154" i="11"/>
  <c r="DV154" i="11"/>
  <c r="DM154" i="11"/>
  <c r="DD154" i="11"/>
  <c r="CV154" i="11"/>
  <c r="CM154" i="11"/>
  <c r="CD154" i="11"/>
  <c r="BU154" i="11"/>
  <c r="BL154" i="11"/>
  <c r="BC154" i="11"/>
  <c r="AT154" i="11"/>
  <c r="AK154" i="11"/>
  <c r="AC154" i="11"/>
  <c r="P154" i="11"/>
  <c r="FC154" i="11"/>
  <c r="FC155" i="11"/>
  <c r="FA154" i="11"/>
  <c r="FA155" i="11"/>
  <c r="EY154" i="11"/>
  <c r="EY155" i="11"/>
  <c r="EW154" i="11"/>
  <c r="EW155" i="11"/>
  <c r="EU154" i="11"/>
  <c r="EU155" i="11"/>
  <c r="ES154" i="11"/>
  <c r="ES155" i="11"/>
  <c r="EO154" i="11"/>
  <c r="EO155" i="11"/>
  <c r="EM154" i="11"/>
  <c r="EM155" i="11"/>
  <c r="EK154" i="11"/>
  <c r="EK155" i="11"/>
  <c r="EI154" i="11"/>
  <c r="EI155" i="11"/>
  <c r="EG154" i="11"/>
  <c r="EG155" i="11"/>
  <c r="EE154" i="11"/>
  <c r="EE155" i="11"/>
  <c r="EC154" i="11"/>
  <c r="EC155" i="11"/>
  <c r="EA154" i="11"/>
  <c r="EA155" i="11"/>
  <c r="DY154" i="11"/>
  <c r="DW154" i="11"/>
  <c r="DW155" i="11"/>
  <c r="DU154" i="11"/>
  <c r="DU155" i="11"/>
  <c r="DS154" i="11"/>
  <c r="DS155" i="11"/>
  <c r="DQ154" i="11"/>
  <c r="DQ155" i="11"/>
  <c r="DN154" i="11"/>
  <c r="DN155" i="11"/>
  <c r="DL154" i="11"/>
  <c r="DL155" i="11"/>
  <c r="DJ154" i="11"/>
  <c r="DJ155" i="11"/>
  <c r="DH154" i="11"/>
  <c r="DH155" i="11"/>
  <c r="DF154" i="11"/>
  <c r="DF155" i="11"/>
  <c r="DC154" i="11"/>
  <c r="DC155" i="11"/>
  <c r="DA154" i="11"/>
  <c r="DA155" i="11"/>
  <c r="CY154" i="11"/>
  <c r="CY155" i="11"/>
  <c r="CW154" i="11"/>
  <c r="CW155" i="11"/>
  <c r="CT154" i="11"/>
  <c r="CT155" i="11"/>
  <c r="CR154" i="11"/>
  <c r="CR155" i="11"/>
  <c r="CP154" i="11"/>
  <c r="CP155" i="11"/>
  <c r="CN154" i="11"/>
  <c r="CN155" i="11"/>
  <c r="CL154" i="11"/>
  <c r="CL155" i="11"/>
  <c r="CI154" i="11"/>
  <c r="CI155" i="11"/>
  <c r="CG154" i="11"/>
  <c r="CG155" i="11"/>
  <c r="CG156" i="11"/>
  <c r="CE154" i="11"/>
  <c r="CE155" i="11"/>
  <c r="CE156" i="11"/>
  <c r="CC154" i="11"/>
  <c r="CC155" i="11"/>
  <c r="CC156" i="11"/>
  <c r="BZ154" i="11"/>
  <c r="BZ155" i="11"/>
  <c r="BZ156" i="11"/>
  <c r="BX154" i="11"/>
  <c r="BX155" i="11"/>
  <c r="BX156" i="11"/>
  <c r="BV154" i="11"/>
  <c r="BV155" i="11"/>
  <c r="BV156" i="11"/>
  <c r="BT154" i="11"/>
  <c r="BT155" i="11"/>
  <c r="BT156" i="11"/>
  <c r="BR154" i="11"/>
  <c r="BR155" i="11"/>
  <c r="BR156" i="11"/>
  <c r="BO154" i="11"/>
  <c r="BO155" i="11"/>
  <c r="BO156" i="11"/>
  <c r="BM154" i="11"/>
  <c r="BM155" i="11"/>
  <c r="BM156" i="11"/>
  <c r="BK154" i="11"/>
  <c r="BK155" i="11"/>
  <c r="BK156" i="11"/>
  <c r="BI154" i="11"/>
  <c r="BI155" i="11"/>
  <c r="BI156" i="11"/>
  <c r="BF154" i="11"/>
  <c r="BF155" i="11"/>
  <c r="BF156" i="11"/>
  <c r="BD154" i="11"/>
  <c r="BD155" i="11"/>
  <c r="BD156" i="11"/>
  <c r="BB154" i="11"/>
  <c r="BB155" i="11"/>
  <c r="BB156" i="11"/>
  <c r="AZ154" i="11"/>
  <c r="AZ155" i="11"/>
  <c r="AZ156" i="11"/>
  <c r="AX154" i="11"/>
  <c r="AX155" i="11"/>
  <c r="AX156" i="11"/>
  <c r="AU154" i="11"/>
  <c r="AU155" i="11"/>
  <c r="AU156" i="11"/>
  <c r="AS154" i="11"/>
  <c r="AS155" i="11"/>
  <c r="AS156" i="11"/>
  <c r="AQ154" i="11"/>
  <c r="AQ155" i="11"/>
  <c r="AQ156" i="11"/>
  <c r="AO154" i="11"/>
  <c r="AO155" i="11"/>
  <c r="AO156" i="11"/>
  <c r="AL154" i="11"/>
  <c r="AL155" i="11"/>
  <c r="AL156" i="11"/>
  <c r="AJ154" i="11"/>
  <c r="AJ155" i="11"/>
  <c r="AJ156" i="11"/>
  <c r="AH154" i="11"/>
  <c r="AH155" i="11"/>
  <c r="AH156" i="11"/>
  <c r="AF154" i="11"/>
  <c r="AF155" i="11"/>
  <c r="AF156" i="11"/>
  <c r="AD154" i="11"/>
  <c r="AD155" i="11"/>
  <c r="AD156" i="11"/>
  <c r="U154" i="11"/>
  <c r="U155" i="11"/>
  <c r="U156" i="11"/>
  <c r="S154" i="11"/>
  <c r="S155" i="11"/>
  <c r="S156" i="11"/>
  <c r="Q154" i="11"/>
  <c r="Q155" i="11"/>
  <c r="Q156" i="11"/>
  <c r="O154" i="11"/>
  <c r="O155" i="11"/>
  <c r="O156" i="11"/>
  <c r="M155" i="11"/>
  <c r="M156" i="11"/>
  <c r="K154" i="11"/>
  <c r="K155" i="11"/>
  <c r="K156" i="11"/>
  <c r="E155" i="11"/>
  <c r="E156" i="11"/>
  <c r="FC156" i="11"/>
  <c r="FA156" i="11"/>
  <c r="EY156" i="11"/>
  <c r="EW156" i="11"/>
  <c r="EU156" i="11"/>
  <c r="ES156" i="11"/>
  <c r="EO156" i="11"/>
  <c r="EM156" i="11"/>
  <c r="EK156" i="11"/>
  <c r="EI156" i="11"/>
  <c r="EG156" i="11"/>
  <c r="EE156" i="11"/>
  <c r="EC156" i="11"/>
  <c r="EA156" i="11"/>
  <c r="DW156" i="11"/>
  <c r="DU156" i="11"/>
  <c r="DS156" i="11"/>
  <c r="DQ156" i="11"/>
  <c r="DN156" i="11"/>
  <c r="DL156" i="11"/>
  <c r="DJ156" i="11"/>
  <c r="DH156" i="11"/>
  <c r="DF156" i="11"/>
  <c r="DC156" i="11"/>
  <c r="DA156" i="11"/>
  <c r="CY156" i="11"/>
  <c r="CW156" i="11"/>
  <c r="CT156" i="11"/>
  <c r="CR156" i="11"/>
  <c r="CP156" i="11"/>
  <c r="CN156" i="11"/>
  <c r="CL156" i="11"/>
  <c r="CI156" i="11"/>
  <c r="M154" i="11"/>
  <c r="AB156" i="11" l="1"/>
  <c r="DY159" i="11"/>
  <c r="AB154" i="11"/>
  <c r="J156" i="11"/>
  <c r="DY158" i="11"/>
  <c r="AB155" i="11"/>
  <c r="AB160" i="11"/>
  <c r="AD22" i="2"/>
  <c r="EQ156" i="11"/>
  <c r="EQ155" i="11"/>
  <c r="EQ158" i="11"/>
  <c r="J158" i="11"/>
  <c r="J160" i="11"/>
  <c r="J155" i="11"/>
  <c r="J154" i="11"/>
  <c r="EQ160" i="11"/>
  <c r="EQ154" i="11"/>
  <c r="AD21" i="2"/>
  <c r="AC20" i="2"/>
  <c r="DY156" i="11"/>
  <c r="DY155" i="11"/>
  <c r="EB155" i="11"/>
  <c r="FD158" i="11"/>
  <c r="EB160" i="11"/>
  <c r="DY160" i="11"/>
  <c r="FD155" i="11"/>
  <c r="FD156" i="11"/>
  <c r="EB154" i="11"/>
  <c r="F23" i="3"/>
  <c r="O122" i="2"/>
  <c r="P122" i="2"/>
  <c r="Q122" i="2"/>
  <c r="R122" i="2"/>
  <c r="S122" i="2"/>
  <c r="T122" i="2"/>
  <c r="U122" i="2"/>
  <c r="Z122" i="2"/>
  <c r="AA122" i="2"/>
  <c r="O123" i="2"/>
  <c r="P123" i="2"/>
  <c r="Q123" i="2"/>
  <c r="R123" i="2"/>
  <c r="S123" i="2"/>
  <c r="T123" i="2"/>
  <c r="U123" i="2"/>
  <c r="Z123" i="2"/>
  <c r="AA123" i="2"/>
  <c r="O124" i="2"/>
  <c r="P124" i="2"/>
  <c r="Q124" i="2"/>
  <c r="R124" i="2"/>
  <c r="S124" i="2"/>
  <c r="T124" i="2"/>
  <c r="U124" i="2"/>
  <c r="Z124" i="2"/>
  <c r="AA124" i="2"/>
  <c r="O125" i="2"/>
  <c r="P125" i="2"/>
  <c r="Q125" i="2"/>
  <c r="R125" i="2"/>
  <c r="S125" i="2"/>
  <c r="T125" i="2"/>
  <c r="U125" i="2"/>
  <c r="O126" i="2"/>
  <c r="P126" i="2"/>
  <c r="Q126" i="2"/>
  <c r="R126" i="2"/>
  <c r="S126" i="2"/>
  <c r="T126" i="2"/>
  <c r="U126" i="2"/>
  <c r="O127" i="2"/>
  <c r="P127" i="2"/>
  <c r="Q127" i="2"/>
  <c r="R127" i="2"/>
  <c r="S127" i="2"/>
  <c r="T127" i="2"/>
  <c r="U127" i="2"/>
  <c r="O128" i="2"/>
  <c r="P128" i="2"/>
  <c r="Q128" i="2"/>
  <c r="R128" i="2"/>
  <c r="S128" i="2"/>
  <c r="T128" i="2"/>
  <c r="U128" i="2"/>
  <c r="O129" i="2"/>
  <c r="P129" i="2"/>
  <c r="Q129" i="2"/>
  <c r="R129" i="2"/>
  <c r="S129" i="2"/>
  <c r="T129" i="2"/>
  <c r="U129" i="2"/>
  <c r="O130" i="2"/>
  <c r="P130" i="2"/>
  <c r="Q130" i="2"/>
  <c r="R130" i="2"/>
  <c r="S130" i="2"/>
  <c r="T130" i="2"/>
  <c r="U130" i="2"/>
  <c r="P131" i="2"/>
  <c r="Q131" i="2"/>
  <c r="R131" i="2"/>
  <c r="S131" i="2"/>
  <c r="T131" i="2"/>
  <c r="U131" i="2"/>
  <c r="C122" i="2"/>
  <c r="D122" i="2"/>
  <c r="F122" i="2"/>
  <c r="G122" i="2"/>
  <c r="H122" i="2"/>
  <c r="I122" i="2"/>
  <c r="J122" i="2"/>
  <c r="K122" i="2"/>
  <c r="C123" i="2"/>
  <c r="D123" i="2"/>
  <c r="F123" i="2"/>
  <c r="G123" i="2"/>
  <c r="H123" i="2"/>
  <c r="I123" i="2"/>
  <c r="J123" i="2"/>
  <c r="K123" i="2"/>
  <c r="C124" i="2"/>
  <c r="D124" i="2"/>
  <c r="F124" i="2"/>
  <c r="G124" i="2"/>
  <c r="H124" i="2"/>
  <c r="I124" i="2"/>
  <c r="J124" i="2"/>
  <c r="K124" i="2"/>
  <c r="AB4" i="9"/>
  <c r="FK4" i="9"/>
  <c r="FL4" i="9"/>
  <c r="FK5" i="9"/>
  <c r="FL5" i="9"/>
  <c r="J6" i="9"/>
  <c r="AB6" i="9"/>
  <c r="DY6" i="9"/>
  <c r="EB6" i="9"/>
  <c r="FK6" i="9"/>
  <c r="FL6" i="9"/>
  <c r="FK7" i="9"/>
  <c r="FL7" i="9"/>
  <c r="J8" i="9"/>
  <c r="AB8" i="9"/>
  <c r="FK8" i="9"/>
  <c r="FL8" i="9"/>
  <c r="FK9" i="9"/>
  <c r="FL9" i="9"/>
  <c r="FK10" i="9"/>
  <c r="FL10" i="9"/>
  <c r="FK11" i="9"/>
  <c r="FL11" i="9"/>
  <c r="FK12" i="9"/>
  <c r="FL12" i="9"/>
  <c r="AB13" i="9"/>
  <c r="FL13" i="9"/>
  <c r="FK13" i="9"/>
  <c r="DY14" i="9"/>
  <c r="EB14" i="9"/>
  <c r="FL14" i="9"/>
  <c r="FK14" i="9"/>
  <c r="FL15" i="9"/>
  <c r="FK15" i="9"/>
  <c r="A35" i="9"/>
  <c r="H35" i="9"/>
  <c r="I35" i="9"/>
  <c r="K35" i="9"/>
  <c r="L35" i="9"/>
  <c r="M35" i="9"/>
  <c r="N35" i="9"/>
  <c r="O35" i="9"/>
  <c r="P35" i="9"/>
  <c r="Q35" i="9"/>
  <c r="R35" i="9"/>
  <c r="U35" i="9"/>
  <c r="V35" i="9"/>
  <c r="W35" i="9"/>
  <c r="X35" i="9"/>
  <c r="Y35" i="9"/>
  <c r="Z35" i="9"/>
  <c r="AA35" i="9"/>
  <c r="AC35" i="9"/>
  <c r="AD35" i="9"/>
  <c r="AE35" i="9"/>
  <c r="AF35" i="9"/>
  <c r="AG35" i="9"/>
  <c r="AH35" i="9"/>
  <c r="AI35" i="9"/>
  <c r="AJ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BC35" i="9"/>
  <c r="BD35" i="9"/>
  <c r="BE35" i="9"/>
  <c r="BF35" i="9"/>
  <c r="BG35" i="9"/>
  <c r="BH35" i="9"/>
  <c r="BI35" i="9"/>
  <c r="BJ35" i="9"/>
  <c r="BK35" i="9"/>
  <c r="BL35" i="9"/>
  <c r="BM35" i="9"/>
  <c r="BN35" i="9"/>
  <c r="BO35" i="9"/>
  <c r="BP35" i="9"/>
  <c r="BQ35" i="9"/>
  <c r="BR35" i="9"/>
  <c r="BS35" i="9"/>
  <c r="BT35" i="9"/>
  <c r="BU35" i="9"/>
  <c r="BV35" i="9"/>
  <c r="BW35" i="9"/>
  <c r="BX35" i="9"/>
  <c r="BY35" i="9"/>
  <c r="BZ35" i="9"/>
  <c r="CA35" i="9"/>
  <c r="CB35" i="9"/>
  <c r="CC35" i="9"/>
  <c r="CD35" i="9"/>
  <c r="CE35" i="9"/>
  <c r="CF35" i="9"/>
  <c r="CG35" i="9"/>
  <c r="CH35" i="9"/>
  <c r="CI35" i="9"/>
  <c r="CJ35" i="9"/>
  <c r="CK35" i="9"/>
  <c r="CL35" i="9"/>
  <c r="CM35" i="9"/>
  <c r="CN35" i="9"/>
  <c r="CO35" i="9"/>
  <c r="CP35" i="9"/>
  <c r="CQ35" i="9"/>
  <c r="CR35" i="9"/>
  <c r="CS35" i="9"/>
  <c r="CT35" i="9"/>
  <c r="CU35" i="9"/>
  <c r="CV35" i="9"/>
  <c r="CW35" i="9"/>
  <c r="CX35" i="9"/>
  <c r="CY35" i="9"/>
  <c r="CZ35" i="9"/>
  <c r="DA35" i="9"/>
  <c r="DB35" i="9"/>
  <c r="DC35" i="9"/>
  <c r="DD35" i="9"/>
  <c r="DE35" i="9"/>
  <c r="DF35" i="9"/>
  <c r="DG35" i="9"/>
  <c r="DH35" i="9"/>
  <c r="DI35" i="9"/>
  <c r="DJ35" i="9"/>
  <c r="DK35" i="9"/>
  <c r="DL35" i="9"/>
  <c r="DM35" i="9"/>
  <c r="DN35" i="9"/>
  <c r="DO35" i="9"/>
  <c r="DP35" i="9"/>
  <c r="DQ35" i="9"/>
  <c r="DR35" i="9"/>
  <c r="DS35" i="9"/>
  <c r="DT35" i="9"/>
  <c r="DU35" i="9"/>
  <c r="DV35" i="9"/>
  <c r="DW35" i="9"/>
  <c r="DX35" i="9"/>
  <c r="DY35" i="9"/>
  <c r="DZ35" i="9"/>
  <c r="EA35" i="9"/>
  <c r="EB35" i="9"/>
  <c r="EC35" i="9"/>
  <c r="ED35" i="9"/>
  <c r="EE35" i="9"/>
  <c r="EF35" i="9"/>
  <c r="EG35" i="9"/>
  <c r="EH35" i="9"/>
  <c r="EI35" i="9"/>
  <c r="EJ35" i="9"/>
  <c r="EK35" i="9"/>
  <c r="EL35" i="9"/>
  <c r="EM35" i="9"/>
  <c r="EN35" i="9"/>
  <c r="EO35" i="9"/>
  <c r="EP35" i="9"/>
  <c r="ET35" i="9"/>
  <c r="EU35" i="9"/>
  <c r="EV35" i="9"/>
  <c r="EW35" i="9"/>
  <c r="EX35" i="9"/>
  <c r="EY35" i="9"/>
  <c r="EZ35" i="9"/>
  <c r="FA35" i="9"/>
  <c r="FB35" i="9"/>
  <c r="FC35" i="9"/>
  <c r="FD35" i="9"/>
  <c r="FE35" i="9"/>
  <c r="FF35" i="9"/>
  <c r="FJ35" i="9"/>
  <c r="J36" i="9"/>
  <c r="K36" i="9"/>
  <c r="L36" i="9"/>
  <c r="M36" i="9"/>
  <c r="N36" i="9"/>
  <c r="O36" i="9"/>
  <c r="P36" i="9"/>
  <c r="Q36" i="9"/>
  <c r="R36" i="9"/>
  <c r="U36" i="9"/>
  <c r="V36" i="9"/>
  <c r="AB36" i="9"/>
  <c r="AC36" i="9"/>
  <c r="AD36" i="9"/>
  <c r="AE36" i="9"/>
  <c r="AF36" i="9"/>
  <c r="AG36" i="9"/>
  <c r="AH36" i="9"/>
  <c r="AI36" i="9"/>
  <c r="AJ36" i="9"/>
  <c r="AN36" i="9"/>
  <c r="AO36" i="9"/>
  <c r="AP36" i="9"/>
  <c r="AQ36" i="9"/>
  <c r="AR36" i="9"/>
  <c r="AS36" i="9"/>
  <c r="AT36" i="9"/>
  <c r="AU36" i="9"/>
  <c r="AV36" i="9"/>
  <c r="AX36" i="9"/>
  <c r="AY36" i="9"/>
  <c r="AZ36" i="9"/>
  <c r="BA36" i="9"/>
  <c r="BB36" i="9"/>
  <c r="BC36" i="9"/>
  <c r="BD36" i="9"/>
  <c r="BE36" i="9"/>
  <c r="BF36" i="9"/>
  <c r="BH36" i="9"/>
  <c r="BI36" i="9"/>
  <c r="BJ36" i="9"/>
  <c r="BK36" i="9"/>
  <c r="BL36" i="9"/>
  <c r="BM36" i="9"/>
  <c r="BN36" i="9"/>
  <c r="BO36" i="9"/>
  <c r="BP36" i="9"/>
  <c r="BR36" i="9"/>
  <c r="BS36" i="9"/>
  <c r="BT36" i="9"/>
  <c r="BU36" i="9"/>
  <c r="BV36" i="9"/>
  <c r="BW36" i="9"/>
  <c r="BX36" i="9"/>
  <c r="BY36" i="9"/>
  <c r="BZ36" i="9"/>
  <c r="CB36" i="9"/>
  <c r="CC36" i="9"/>
  <c r="CD36" i="9"/>
  <c r="CE36" i="9"/>
  <c r="CF36" i="9"/>
  <c r="CG36" i="9"/>
  <c r="CH36" i="9"/>
  <c r="CI36" i="9"/>
  <c r="CJ36" i="9"/>
  <c r="CL36" i="9"/>
  <c r="CM36" i="9"/>
  <c r="CN36" i="9"/>
  <c r="CO36" i="9"/>
  <c r="CP36" i="9"/>
  <c r="CQ36" i="9"/>
  <c r="CR36" i="9"/>
  <c r="CS36" i="9"/>
  <c r="CT36" i="9"/>
  <c r="CV36" i="9"/>
  <c r="CW36" i="9"/>
  <c r="CX36" i="9"/>
  <c r="CY36" i="9"/>
  <c r="CZ36" i="9"/>
  <c r="DA36" i="9"/>
  <c r="DB36" i="9"/>
  <c r="DC36" i="9"/>
  <c r="DD36" i="9"/>
  <c r="DF36" i="9"/>
  <c r="DG36" i="9"/>
  <c r="DH36" i="9"/>
  <c r="DI36" i="9"/>
  <c r="DJ36" i="9"/>
  <c r="DK36" i="9"/>
  <c r="DL36" i="9"/>
  <c r="DM36" i="9"/>
  <c r="DN36" i="9"/>
  <c r="DP36" i="9"/>
  <c r="DQ36" i="9"/>
  <c r="DR36" i="9"/>
  <c r="DS36" i="9"/>
  <c r="DT36" i="9"/>
  <c r="DU36" i="9"/>
  <c r="DV36" i="9"/>
  <c r="DW36" i="9"/>
  <c r="DX36" i="9"/>
  <c r="DY36" i="9"/>
  <c r="DZ36" i="9"/>
  <c r="EA36" i="9"/>
  <c r="EB36" i="9"/>
  <c r="EC36" i="9"/>
  <c r="ED36" i="9"/>
  <c r="EE36" i="9"/>
  <c r="EF36" i="9"/>
  <c r="EG36" i="9"/>
  <c r="EH36" i="9"/>
  <c r="EI36" i="9"/>
  <c r="EJ36" i="9"/>
  <c r="EK36" i="9"/>
  <c r="EL36" i="9"/>
  <c r="EM36" i="9"/>
  <c r="EN36" i="9"/>
  <c r="EO36" i="9"/>
  <c r="EP36" i="9"/>
  <c r="ET36" i="9"/>
  <c r="EU36" i="9"/>
  <c r="EV36" i="9"/>
  <c r="EW36" i="9"/>
  <c r="EX36" i="9"/>
  <c r="EY36" i="9"/>
  <c r="EZ36" i="9"/>
  <c r="FA36" i="9"/>
  <c r="FB36" i="9"/>
  <c r="FC36" i="9"/>
  <c r="FD36" i="9"/>
  <c r="FE36" i="9"/>
  <c r="FF36" i="9"/>
  <c r="FJ36" i="9"/>
  <c r="J37" i="9"/>
  <c r="K37" i="9"/>
  <c r="L37" i="9"/>
  <c r="M37" i="9"/>
  <c r="N37" i="9"/>
  <c r="O37" i="9"/>
  <c r="P37" i="9"/>
  <c r="Q37" i="9"/>
  <c r="R37" i="9"/>
  <c r="U37" i="9"/>
  <c r="V37" i="9"/>
  <c r="AB37" i="9"/>
  <c r="AC37" i="9"/>
  <c r="AD37" i="9"/>
  <c r="AE37" i="9"/>
  <c r="AF37" i="9"/>
  <c r="AG37" i="9"/>
  <c r="AH37" i="9"/>
  <c r="AI37" i="9"/>
  <c r="AJ37" i="9"/>
  <c r="AN37" i="9"/>
  <c r="AO37" i="9"/>
  <c r="AP37" i="9"/>
  <c r="AQ37" i="9"/>
  <c r="AR37" i="9"/>
  <c r="AS37" i="9"/>
  <c r="AT37" i="9"/>
  <c r="AU37" i="9"/>
  <c r="AV37" i="9"/>
  <c r="AX37" i="9"/>
  <c r="AY37" i="9"/>
  <c r="AZ37" i="9"/>
  <c r="BA37" i="9"/>
  <c r="BB37" i="9"/>
  <c r="BC37" i="9"/>
  <c r="BD37" i="9"/>
  <c r="BE37" i="9"/>
  <c r="BF37" i="9"/>
  <c r="BH37" i="9"/>
  <c r="BI37" i="9"/>
  <c r="BJ37" i="9"/>
  <c r="BK37" i="9"/>
  <c r="BL37" i="9"/>
  <c r="BM37" i="9"/>
  <c r="BN37" i="9"/>
  <c r="BO37" i="9"/>
  <c r="BP37" i="9"/>
  <c r="BR37" i="9"/>
  <c r="BS37" i="9"/>
  <c r="BT37" i="9"/>
  <c r="BU37" i="9"/>
  <c r="BV37" i="9"/>
  <c r="BW37" i="9"/>
  <c r="BX37" i="9"/>
  <c r="BY37" i="9"/>
  <c r="BZ37" i="9"/>
  <c r="CB37" i="9"/>
  <c r="CC37" i="9"/>
  <c r="CD37" i="9"/>
  <c r="CE37" i="9"/>
  <c r="CF37" i="9"/>
  <c r="CG37" i="9"/>
  <c r="CH37" i="9"/>
  <c r="CI37" i="9"/>
  <c r="CJ37" i="9"/>
  <c r="CL37" i="9"/>
  <c r="CM37" i="9"/>
  <c r="CN37" i="9"/>
  <c r="CO37" i="9"/>
  <c r="CP37" i="9"/>
  <c r="CQ37" i="9"/>
  <c r="CR37" i="9"/>
  <c r="CS37" i="9"/>
  <c r="CT37" i="9"/>
  <c r="CV37" i="9"/>
  <c r="CW37" i="9"/>
  <c r="CX37" i="9"/>
  <c r="CY37" i="9"/>
  <c r="CZ37" i="9"/>
  <c r="DA37" i="9"/>
  <c r="DB37" i="9"/>
  <c r="DC37" i="9"/>
  <c r="DD37" i="9"/>
  <c r="DF37" i="9"/>
  <c r="DG37" i="9"/>
  <c r="DH37" i="9"/>
  <c r="DI37" i="9"/>
  <c r="DJ37" i="9"/>
  <c r="DK37" i="9"/>
  <c r="DL37" i="9"/>
  <c r="DM37" i="9"/>
  <c r="DN37" i="9"/>
  <c r="DP37" i="9"/>
  <c r="DQ37" i="9"/>
  <c r="DR37" i="9"/>
  <c r="DS37" i="9"/>
  <c r="DT37" i="9"/>
  <c r="DU37" i="9"/>
  <c r="DV37" i="9"/>
  <c r="DW37" i="9"/>
  <c r="DX37" i="9"/>
  <c r="DY37" i="9"/>
  <c r="DZ37" i="9"/>
  <c r="EA37" i="9"/>
  <c r="EB37" i="9"/>
  <c r="EC37" i="9"/>
  <c r="ED37" i="9"/>
  <c r="EE37" i="9"/>
  <c r="EF37" i="9"/>
  <c r="EG37" i="9"/>
  <c r="EH37" i="9"/>
  <c r="EI37" i="9"/>
  <c r="EJ37" i="9"/>
  <c r="EK37" i="9"/>
  <c r="EL37" i="9"/>
  <c r="EM37" i="9"/>
  <c r="EN37" i="9"/>
  <c r="EO37" i="9"/>
  <c r="EP37" i="9"/>
  <c r="ET37" i="9"/>
  <c r="EU37" i="9"/>
  <c r="EV37" i="9"/>
  <c r="EW37" i="9"/>
  <c r="EX37" i="9"/>
  <c r="EY37" i="9"/>
  <c r="EZ37" i="9"/>
  <c r="FA37" i="9"/>
  <c r="FB37" i="9"/>
  <c r="FC37" i="9"/>
  <c r="FD37" i="9"/>
  <c r="FE37" i="9"/>
  <c r="FF37" i="9"/>
  <c r="FJ37" i="9"/>
  <c r="J38" i="9"/>
  <c r="K38" i="9"/>
  <c r="L38" i="9"/>
  <c r="M38" i="9"/>
  <c r="N38" i="9"/>
  <c r="O38" i="9"/>
  <c r="P38" i="9"/>
  <c r="Q38" i="9"/>
  <c r="R38" i="9"/>
  <c r="U38" i="9"/>
  <c r="V38" i="9"/>
  <c r="AB38" i="9"/>
  <c r="AC38" i="9"/>
  <c r="AD38" i="9"/>
  <c r="AE38" i="9"/>
  <c r="AF38" i="9"/>
  <c r="AG38" i="9"/>
  <c r="AH38" i="9"/>
  <c r="AI38" i="9"/>
  <c r="AJ38" i="9"/>
  <c r="AN38" i="9"/>
  <c r="AO38" i="9"/>
  <c r="AP38" i="9"/>
  <c r="AQ38" i="9"/>
  <c r="AR38" i="9"/>
  <c r="AS38" i="9"/>
  <c r="AT38" i="9"/>
  <c r="AU38" i="9"/>
  <c r="AV38" i="9"/>
  <c r="AX38" i="9"/>
  <c r="AY38" i="9"/>
  <c r="AZ38" i="9"/>
  <c r="BA38" i="9"/>
  <c r="BB38" i="9"/>
  <c r="BC38" i="9"/>
  <c r="BD38" i="9"/>
  <c r="BE38" i="9"/>
  <c r="BF38" i="9"/>
  <c r="BH38" i="9"/>
  <c r="BI38" i="9"/>
  <c r="BJ38" i="9"/>
  <c r="BK38" i="9"/>
  <c r="BL38" i="9"/>
  <c r="BM38" i="9"/>
  <c r="BN38" i="9"/>
  <c r="BO38" i="9"/>
  <c r="BP38" i="9"/>
  <c r="BR38" i="9"/>
  <c r="BS38" i="9"/>
  <c r="BT38" i="9"/>
  <c r="BU38" i="9"/>
  <c r="BV38" i="9"/>
  <c r="BW38" i="9"/>
  <c r="BX38" i="9"/>
  <c r="BY38" i="9"/>
  <c r="BZ38" i="9"/>
  <c r="CB38" i="9"/>
  <c r="CC38" i="9"/>
  <c r="CD38" i="9"/>
  <c r="CE38" i="9"/>
  <c r="CF38" i="9"/>
  <c r="CG38" i="9"/>
  <c r="CH38" i="9"/>
  <c r="CI38" i="9"/>
  <c r="CJ38" i="9"/>
  <c r="CL38" i="9"/>
  <c r="CM38" i="9"/>
  <c r="CN38" i="9"/>
  <c r="CO38" i="9"/>
  <c r="CP38" i="9"/>
  <c r="CQ38" i="9"/>
  <c r="CR38" i="9"/>
  <c r="CS38" i="9"/>
  <c r="CT38" i="9"/>
  <c r="CV38" i="9"/>
  <c r="CW38" i="9"/>
  <c r="CX38" i="9"/>
  <c r="CY38" i="9"/>
  <c r="CZ38" i="9"/>
  <c r="DA38" i="9"/>
  <c r="DB38" i="9"/>
  <c r="DC38" i="9"/>
  <c r="DD38" i="9"/>
  <c r="DF38" i="9"/>
  <c r="DG38" i="9"/>
  <c r="DH38" i="9"/>
  <c r="DI38" i="9"/>
  <c r="DJ38" i="9"/>
  <c r="DK38" i="9"/>
  <c r="DL38" i="9"/>
  <c r="DM38" i="9"/>
  <c r="DN38" i="9"/>
  <c r="DP38" i="9"/>
  <c r="DQ38" i="9"/>
  <c r="DR38" i="9"/>
  <c r="DS38" i="9"/>
  <c r="DT38" i="9"/>
  <c r="DU38" i="9"/>
  <c r="DV38" i="9"/>
  <c r="DW38" i="9"/>
  <c r="DX38" i="9"/>
  <c r="DY38" i="9"/>
  <c r="DZ38" i="9"/>
  <c r="EA38" i="9"/>
  <c r="EB38" i="9"/>
  <c r="EC38" i="9"/>
  <c r="ED38" i="9"/>
  <c r="EE38" i="9"/>
  <c r="EF38" i="9"/>
  <c r="EG38" i="9"/>
  <c r="EH38" i="9"/>
  <c r="EI38" i="9"/>
  <c r="EJ38" i="9"/>
  <c r="EK38" i="9"/>
  <c r="EL38" i="9"/>
  <c r="EM38" i="9"/>
  <c r="EN38" i="9"/>
  <c r="EO38" i="9"/>
  <c r="EP38" i="9"/>
  <c r="ET38" i="9"/>
  <c r="EU38" i="9"/>
  <c r="EV38" i="9"/>
  <c r="EW38" i="9"/>
  <c r="EX38" i="9"/>
  <c r="EY38" i="9"/>
  <c r="EZ38" i="9"/>
  <c r="FA38" i="9"/>
  <c r="FB38" i="9"/>
  <c r="FC38" i="9"/>
  <c r="FD38" i="9"/>
  <c r="FE38" i="9"/>
  <c r="FF38" i="9"/>
  <c r="FJ38" i="9"/>
  <c r="J39" i="9"/>
  <c r="K39" i="9"/>
  <c r="L39" i="9"/>
  <c r="M39" i="9"/>
  <c r="N39" i="9"/>
  <c r="O39" i="9"/>
  <c r="P39" i="9"/>
  <c r="Q39" i="9"/>
  <c r="R39" i="9"/>
  <c r="U39" i="9"/>
  <c r="V39" i="9"/>
  <c r="AB39" i="9"/>
  <c r="AC39" i="9"/>
  <c r="AD39" i="9"/>
  <c r="AE39" i="9"/>
  <c r="AF39" i="9"/>
  <c r="AG39" i="9"/>
  <c r="AH39" i="9"/>
  <c r="AI39" i="9"/>
  <c r="AJ39" i="9"/>
  <c r="AN39" i="9"/>
  <c r="AO39" i="9"/>
  <c r="AP39" i="9"/>
  <c r="AQ39" i="9"/>
  <c r="AR39" i="9"/>
  <c r="AS39" i="9"/>
  <c r="AT39" i="9"/>
  <c r="AU39" i="9"/>
  <c r="AV39" i="9"/>
  <c r="AX39" i="9"/>
  <c r="AY39" i="9"/>
  <c r="AZ39" i="9"/>
  <c r="BA39" i="9"/>
  <c r="BB39" i="9"/>
  <c r="BC39" i="9"/>
  <c r="BD39" i="9"/>
  <c r="BE39" i="9"/>
  <c r="BF39" i="9"/>
  <c r="BH39" i="9"/>
  <c r="BI39" i="9"/>
  <c r="BJ39" i="9"/>
  <c r="BK39" i="9"/>
  <c r="BL39" i="9"/>
  <c r="BM39" i="9"/>
  <c r="BN39" i="9"/>
  <c r="BO39" i="9"/>
  <c r="BP39" i="9"/>
  <c r="BR39" i="9"/>
  <c r="BS39" i="9"/>
  <c r="BT39" i="9"/>
  <c r="BU39" i="9"/>
  <c r="BV39" i="9"/>
  <c r="BW39" i="9"/>
  <c r="BX39" i="9"/>
  <c r="BY39" i="9"/>
  <c r="BZ39" i="9"/>
  <c r="CB39" i="9"/>
  <c r="CC39" i="9"/>
  <c r="CD39" i="9"/>
  <c r="CE39" i="9"/>
  <c r="CF39" i="9"/>
  <c r="CG39" i="9"/>
  <c r="CH39" i="9"/>
  <c r="CI39" i="9"/>
  <c r="CJ39" i="9"/>
  <c r="CL39" i="9"/>
  <c r="CM39" i="9"/>
  <c r="CN39" i="9"/>
  <c r="CO39" i="9"/>
  <c r="CP39" i="9"/>
  <c r="CQ39" i="9"/>
  <c r="CR39" i="9"/>
  <c r="CS39" i="9"/>
  <c r="CT39" i="9"/>
  <c r="CV39" i="9"/>
  <c r="CW39" i="9"/>
  <c r="CX39" i="9"/>
  <c r="CY39" i="9"/>
  <c r="CZ39" i="9"/>
  <c r="DA39" i="9"/>
  <c r="DB39" i="9"/>
  <c r="DC39" i="9"/>
  <c r="DD39" i="9"/>
  <c r="DF39" i="9"/>
  <c r="DG39" i="9"/>
  <c r="DH39" i="9"/>
  <c r="DI39" i="9"/>
  <c r="DJ39" i="9"/>
  <c r="DK39" i="9"/>
  <c r="DL39" i="9"/>
  <c r="DM39" i="9"/>
  <c r="DN39" i="9"/>
  <c r="DP39" i="9"/>
  <c r="DQ39" i="9"/>
  <c r="DR39" i="9"/>
  <c r="DS39" i="9"/>
  <c r="DT39" i="9"/>
  <c r="DU39" i="9"/>
  <c r="DV39" i="9"/>
  <c r="DW39" i="9"/>
  <c r="DX39" i="9"/>
  <c r="DY39" i="9"/>
  <c r="DZ39" i="9"/>
  <c r="EA39" i="9"/>
  <c r="EB39" i="9"/>
  <c r="EC39" i="9"/>
  <c r="ED39" i="9"/>
  <c r="EE39" i="9"/>
  <c r="EF39" i="9"/>
  <c r="EG39" i="9"/>
  <c r="EH39" i="9"/>
  <c r="EI39" i="9"/>
  <c r="EJ39" i="9"/>
  <c r="EK39" i="9"/>
  <c r="EL39" i="9"/>
  <c r="EM39" i="9"/>
  <c r="EN39" i="9"/>
  <c r="EO39" i="9"/>
  <c r="EP39" i="9"/>
  <c r="ET39" i="9"/>
  <c r="EU39" i="9"/>
  <c r="EV39" i="9"/>
  <c r="EW39" i="9"/>
  <c r="EX39" i="9"/>
  <c r="EY39" i="9"/>
  <c r="EZ39" i="9"/>
  <c r="FA39" i="9"/>
  <c r="FB39" i="9"/>
  <c r="FC39" i="9"/>
  <c r="FD39" i="9"/>
  <c r="FE39" i="9"/>
  <c r="FF39" i="9"/>
  <c r="FJ39" i="9"/>
  <c r="J40" i="9"/>
  <c r="K40" i="9"/>
  <c r="L40" i="9"/>
  <c r="M40" i="9"/>
  <c r="N40" i="9"/>
  <c r="O40" i="9"/>
  <c r="P40" i="9"/>
  <c r="Q40" i="9"/>
  <c r="R40" i="9"/>
  <c r="U40" i="9"/>
  <c r="V40" i="9"/>
  <c r="AB40" i="9"/>
  <c r="AC40" i="9"/>
  <c r="AD40" i="9"/>
  <c r="AE40" i="9"/>
  <c r="AF40" i="9"/>
  <c r="AG40" i="9"/>
  <c r="AH40" i="9"/>
  <c r="AI40" i="9"/>
  <c r="AJ40" i="9"/>
  <c r="AN40" i="9"/>
  <c r="AO40" i="9"/>
  <c r="AP40" i="9"/>
  <c r="AQ40" i="9"/>
  <c r="AR40" i="9"/>
  <c r="AS40" i="9"/>
  <c r="AT40" i="9"/>
  <c r="AU40" i="9"/>
  <c r="AV40" i="9"/>
  <c r="AX40" i="9"/>
  <c r="AY40" i="9"/>
  <c r="AZ40" i="9"/>
  <c r="BA40" i="9"/>
  <c r="BB40" i="9"/>
  <c r="BC40" i="9"/>
  <c r="BD40" i="9"/>
  <c r="BE40" i="9"/>
  <c r="BF40" i="9"/>
  <c r="BH40" i="9"/>
  <c r="BI40" i="9"/>
  <c r="BJ40" i="9"/>
  <c r="BK40" i="9"/>
  <c r="BL40" i="9"/>
  <c r="BM40" i="9"/>
  <c r="BN40" i="9"/>
  <c r="BO40" i="9"/>
  <c r="BP40" i="9"/>
  <c r="BR40" i="9"/>
  <c r="BS40" i="9"/>
  <c r="BT40" i="9"/>
  <c r="BU40" i="9"/>
  <c r="BV40" i="9"/>
  <c r="BW40" i="9"/>
  <c r="BX40" i="9"/>
  <c r="BY40" i="9"/>
  <c r="BZ40" i="9"/>
  <c r="CB40" i="9"/>
  <c r="CC40" i="9"/>
  <c r="CD40" i="9"/>
  <c r="CE40" i="9"/>
  <c r="CF40" i="9"/>
  <c r="CG40" i="9"/>
  <c r="CH40" i="9"/>
  <c r="CI40" i="9"/>
  <c r="CJ40" i="9"/>
  <c r="CL40" i="9"/>
  <c r="CM40" i="9"/>
  <c r="CN40" i="9"/>
  <c r="CO40" i="9"/>
  <c r="CP40" i="9"/>
  <c r="CQ40" i="9"/>
  <c r="CR40" i="9"/>
  <c r="CS40" i="9"/>
  <c r="CT40" i="9"/>
  <c r="CV40" i="9"/>
  <c r="CW40" i="9"/>
  <c r="CX40" i="9"/>
  <c r="CY40" i="9"/>
  <c r="CZ40" i="9"/>
  <c r="DA40" i="9"/>
  <c r="DB40" i="9"/>
  <c r="DC40" i="9"/>
  <c r="DD40" i="9"/>
  <c r="DF40" i="9"/>
  <c r="DG40" i="9"/>
  <c r="DH40" i="9"/>
  <c r="DI40" i="9"/>
  <c r="DJ40" i="9"/>
  <c r="DK40" i="9"/>
  <c r="DL40" i="9"/>
  <c r="DM40" i="9"/>
  <c r="DN40" i="9"/>
  <c r="DP40" i="9"/>
  <c r="DQ40" i="9"/>
  <c r="DR40" i="9"/>
  <c r="DS40" i="9"/>
  <c r="DT40" i="9"/>
  <c r="DU40" i="9"/>
  <c r="DV40" i="9"/>
  <c r="DW40" i="9"/>
  <c r="DX40" i="9"/>
  <c r="DY40" i="9"/>
  <c r="DZ40" i="9"/>
  <c r="EA40" i="9"/>
  <c r="EB40" i="9"/>
  <c r="EC40" i="9"/>
  <c r="ED40" i="9"/>
  <c r="EE40" i="9"/>
  <c r="EF40" i="9"/>
  <c r="EG40" i="9"/>
  <c r="EH40" i="9"/>
  <c r="EI40" i="9"/>
  <c r="EJ40" i="9"/>
  <c r="EK40" i="9"/>
  <c r="EL40" i="9"/>
  <c r="EM40" i="9"/>
  <c r="EN40" i="9"/>
  <c r="EO40" i="9"/>
  <c r="EP40" i="9"/>
  <c r="ET40" i="9"/>
  <c r="EU40" i="9"/>
  <c r="EV40" i="9"/>
  <c r="EW40" i="9"/>
  <c r="EX40" i="9"/>
  <c r="EY40" i="9"/>
  <c r="EZ40" i="9"/>
  <c r="FA40" i="9"/>
  <c r="FB40" i="9"/>
  <c r="FC40" i="9"/>
  <c r="FD40" i="9"/>
  <c r="FE40" i="9"/>
  <c r="FF40" i="9"/>
  <c r="FJ40" i="9"/>
  <c r="J41" i="9"/>
  <c r="K41" i="9"/>
  <c r="L41" i="9"/>
  <c r="M41" i="9"/>
  <c r="N41" i="9"/>
  <c r="O41" i="9"/>
  <c r="O47" i="9" s="1"/>
  <c r="P41" i="9"/>
  <c r="Q41" i="9"/>
  <c r="R41" i="9"/>
  <c r="U41" i="9"/>
  <c r="V41" i="9"/>
  <c r="AB41" i="9"/>
  <c r="AC41" i="9"/>
  <c r="AD41" i="9"/>
  <c r="AE41" i="9"/>
  <c r="AF41" i="9"/>
  <c r="AG41" i="9"/>
  <c r="AH41" i="9"/>
  <c r="AI41" i="9"/>
  <c r="AJ41" i="9"/>
  <c r="AN41" i="9"/>
  <c r="AO41" i="9"/>
  <c r="AP41" i="9"/>
  <c r="AQ41" i="9"/>
  <c r="AR41" i="9"/>
  <c r="AS41" i="9"/>
  <c r="AS48" i="9" s="1"/>
  <c r="AT41" i="9"/>
  <c r="AU41" i="9"/>
  <c r="AV41" i="9"/>
  <c r="AX41" i="9"/>
  <c r="AY41" i="9"/>
  <c r="AZ41" i="9"/>
  <c r="BA41" i="9"/>
  <c r="BB41" i="9"/>
  <c r="BC41" i="9"/>
  <c r="BD41" i="9"/>
  <c r="BE41" i="9"/>
  <c r="BF41" i="9"/>
  <c r="BH41" i="9"/>
  <c r="BI41" i="9"/>
  <c r="BJ41" i="9"/>
  <c r="BK41" i="9"/>
  <c r="BL41" i="9"/>
  <c r="BM41" i="9"/>
  <c r="BN41" i="9"/>
  <c r="BO41" i="9"/>
  <c r="BP41" i="9"/>
  <c r="BR41" i="9"/>
  <c r="BS41" i="9"/>
  <c r="BT41" i="9"/>
  <c r="BU41" i="9"/>
  <c r="BV41" i="9"/>
  <c r="BW41" i="9"/>
  <c r="BX41" i="9"/>
  <c r="BY41" i="9"/>
  <c r="BZ41" i="9"/>
  <c r="CB41" i="9"/>
  <c r="CC41" i="9"/>
  <c r="CD41" i="9"/>
  <c r="CE41" i="9"/>
  <c r="CF41" i="9"/>
  <c r="CG41" i="9"/>
  <c r="CH41" i="9"/>
  <c r="CI41" i="9"/>
  <c r="CJ41" i="9"/>
  <c r="CL41" i="9"/>
  <c r="CM41" i="9"/>
  <c r="CN41" i="9"/>
  <c r="CO41" i="9"/>
  <c r="CP41" i="9"/>
  <c r="CQ41" i="9"/>
  <c r="CR41" i="9"/>
  <c r="CS41" i="9"/>
  <c r="CT41" i="9"/>
  <c r="CV41" i="9"/>
  <c r="CW41" i="9"/>
  <c r="CX41" i="9"/>
  <c r="CY41" i="9"/>
  <c r="CZ41" i="9"/>
  <c r="DA41" i="9"/>
  <c r="DB41" i="9"/>
  <c r="DC41" i="9"/>
  <c r="DD41" i="9"/>
  <c r="DF41" i="9"/>
  <c r="DG41" i="9"/>
  <c r="DH41" i="9"/>
  <c r="DI41" i="9"/>
  <c r="DJ41" i="9"/>
  <c r="DK41" i="9"/>
  <c r="DL41" i="9"/>
  <c r="DM41" i="9"/>
  <c r="DN41" i="9"/>
  <c r="DP41" i="9"/>
  <c r="DQ41" i="9"/>
  <c r="DR41" i="9"/>
  <c r="DS41" i="9"/>
  <c r="DT41" i="9"/>
  <c r="DU41" i="9"/>
  <c r="DV41" i="9"/>
  <c r="DW41" i="9"/>
  <c r="DX41" i="9"/>
  <c r="DY41" i="9"/>
  <c r="DZ41" i="9"/>
  <c r="EA41" i="9"/>
  <c r="EB41" i="9"/>
  <c r="EC41" i="9"/>
  <c r="ED41" i="9"/>
  <c r="EE41" i="9"/>
  <c r="EF41" i="9"/>
  <c r="EG41" i="9"/>
  <c r="EH41" i="9"/>
  <c r="EI41" i="9"/>
  <c r="EJ41" i="9"/>
  <c r="EK41" i="9"/>
  <c r="EL41" i="9"/>
  <c r="EM41" i="9"/>
  <c r="EN41" i="9"/>
  <c r="EO41" i="9"/>
  <c r="EP41" i="9"/>
  <c r="ET41" i="9"/>
  <c r="EU41" i="9"/>
  <c r="EV41" i="9"/>
  <c r="EW41" i="9"/>
  <c r="EX41" i="9"/>
  <c r="EY41" i="9"/>
  <c r="EZ41" i="9"/>
  <c r="FA41" i="9"/>
  <c r="FB41" i="9"/>
  <c r="FC41" i="9"/>
  <c r="FD41" i="9"/>
  <c r="FE41" i="9"/>
  <c r="FF41" i="9"/>
  <c r="FJ41" i="9"/>
  <c r="J45" i="9"/>
  <c r="K45" i="9"/>
  <c r="L45" i="9"/>
  <c r="M45" i="9"/>
  <c r="N45" i="9"/>
  <c r="O45" i="9"/>
  <c r="P45" i="9"/>
  <c r="Q45" i="9"/>
  <c r="R45" i="9"/>
  <c r="U45" i="9"/>
  <c r="V45" i="9"/>
  <c r="AB45" i="9"/>
  <c r="AC45" i="9"/>
  <c r="AD45" i="9"/>
  <c r="AE45" i="9"/>
  <c r="AF45" i="9"/>
  <c r="AG45" i="9"/>
  <c r="AH45" i="9"/>
  <c r="AI45" i="9"/>
  <c r="AJ45" i="9"/>
  <c r="AN45" i="9"/>
  <c r="AO45" i="9"/>
  <c r="AP45" i="9"/>
  <c r="AQ45" i="9"/>
  <c r="AR45" i="9"/>
  <c r="AS45" i="9"/>
  <c r="AT45" i="9"/>
  <c r="AU45" i="9"/>
  <c r="AV45" i="9"/>
  <c r="AX45" i="9"/>
  <c r="AY45" i="9"/>
  <c r="AZ45" i="9"/>
  <c r="BA45" i="9"/>
  <c r="BB45" i="9"/>
  <c r="BC45" i="9"/>
  <c r="BD45" i="9"/>
  <c r="BE45" i="9"/>
  <c r="BF45" i="9"/>
  <c r="BH45" i="9"/>
  <c r="BI45" i="9"/>
  <c r="BJ45" i="9"/>
  <c r="BK45" i="9"/>
  <c r="BL45" i="9"/>
  <c r="BM45" i="9"/>
  <c r="BN45" i="9"/>
  <c r="BO45" i="9"/>
  <c r="BP45" i="9"/>
  <c r="BR45" i="9"/>
  <c r="BS45" i="9"/>
  <c r="BT45" i="9"/>
  <c r="BU45" i="9"/>
  <c r="BV45" i="9"/>
  <c r="BW45" i="9"/>
  <c r="BX45" i="9"/>
  <c r="BY45" i="9"/>
  <c r="BZ45" i="9"/>
  <c r="CB45" i="9"/>
  <c r="CC45" i="9"/>
  <c r="CD45" i="9"/>
  <c r="CE45" i="9"/>
  <c r="CF45" i="9"/>
  <c r="CG45" i="9"/>
  <c r="CH45" i="9"/>
  <c r="CI45" i="9"/>
  <c r="CJ45" i="9"/>
  <c r="CL45" i="9"/>
  <c r="CM45" i="9"/>
  <c r="CN45" i="9"/>
  <c r="CO45" i="9"/>
  <c r="CP45" i="9"/>
  <c r="CQ45" i="9"/>
  <c r="CR45" i="9"/>
  <c r="CS45" i="9"/>
  <c r="CT45" i="9"/>
  <c r="CV45" i="9"/>
  <c r="CW45" i="9"/>
  <c r="CX45" i="9"/>
  <c r="CY45" i="9"/>
  <c r="CZ45" i="9"/>
  <c r="DA45" i="9"/>
  <c r="DB45" i="9"/>
  <c r="DC45" i="9"/>
  <c r="DD45" i="9"/>
  <c r="DF45" i="9"/>
  <c r="DG45" i="9"/>
  <c r="DH45" i="9"/>
  <c r="DI45" i="9"/>
  <c r="DJ45" i="9"/>
  <c r="DK45" i="9"/>
  <c r="DL45" i="9"/>
  <c r="DM45" i="9"/>
  <c r="DN45" i="9"/>
  <c r="DP45" i="9"/>
  <c r="DQ45" i="9"/>
  <c r="DR45" i="9"/>
  <c r="DS45" i="9"/>
  <c r="DT45" i="9"/>
  <c r="DU45" i="9"/>
  <c r="DV45" i="9"/>
  <c r="DW45" i="9"/>
  <c r="DX45" i="9"/>
  <c r="DY45" i="9"/>
  <c r="DZ45" i="9"/>
  <c r="EA45" i="9"/>
  <c r="EB45" i="9"/>
  <c r="EC45" i="9"/>
  <c r="ED45" i="9"/>
  <c r="EE45" i="9"/>
  <c r="EF45" i="9"/>
  <c r="EG45" i="9"/>
  <c r="EH45" i="9"/>
  <c r="EI45" i="9"/>
  <c r="EJ45" i="9"/>
  <c r="EK45" i="9"/>
  <c r="EL45" i="9"/>
  <c r="EM45" i="9"/>
  <c r="EN45" i="9"/>
  <c r="EO45" i="9"/>
  <c r="EP45" i="9"/>
  <c r="ET45" i="9"/>
  <c r="EU45" i="9"/>
  <c r="EV45" i="9"/>
  <c r="EW45" i="9"/>
  <c r="EX45" i="9"/>
  <c r="EY45" i="9"/>
  <c r="EZ45" i="9"/>
  <c r="FA45" i="9"/>
  <c r="FB45" i="9"/>
  <c r="FC45" i="9"/>
  <c r="FD45" i="9"/>
  <c r="FE45" i="9"/>
  <c r="FF45" i="9"/>
  <c r="FJ45" i="9"/>
  <c r="O48" i="9" l="1"/>
  <c r="AB35" i="9"/>
  <c r="AJ47" i="9"/>
  <c r="AJ48" i="9"/>
  <c r="EP48" i="9"/>
  <c r="EN48" i="9"/>
  <c r="EL48" i="9"/>
  <c r="EJ48" i="9"/>
  <c r="EH48" i="9"/>
  <c r="EF48" i="9"/>
  <c r="DZ48" i="9"/>
  <c r="DX48" i="9"/>
  <c r="DK48" i="9"/>
  <c r="DG46" i="9"/>
  <c r="CQ44" i="9"/>
  <c r="CM48" i="9"/>
  <c r="CJ48" i="9"/>
  <c r="BW47" i="9"/>
  <c r="BS48" i="9"/>
  <c r="BC46" i="9"/>
  <c r="AY47" i="9"/>
  <c r="AV48" i="9"/>
  <c r="EO47" i="9"/>
  <c r="EM47" i="9"/>
  <c r="EK47" i="9"/>
  <c r="EI47" i="9"/>
  <c r="EG47" i="9"/>
  <c r="EE47" i="9"/>
  <c r="EC47" i="9"/>
  <c r="EA47" i="9"/>
  <c r="DY48" i="9"/>
  <c r="DU47" i="9"/>
  <c r="DN47" i="9"/>
  <c r="N48" i="9"/>
  <c r="BK47" i="9"/>
  <c r="U47" i="9"/>
  <c r="U48" i="9"/>
  <c r="EU48" i="9"/>
  <c r="DI46" i="9"/>
  <c r="DD44" i="9"/>
  <c r="CO48" i="9"/>
  <c r="BU48" i="9"/>
  <c r="V47" i="9"/>
  <c r="DN48" i="9"/>
  <c r="CW47" i="9"/>
  <c r="CG47" i="9"/>
  <c r="BZ47" i="9"/>
  <c r="J35" i="9"/>
  <c r="FE48" i="9"/>
  <c r="FD48" i="9"/>
  <c r="EZ48" i="9"/>
  <c r="EY46" i="9"/>
  <c r="EX48" i="9"/>
  <c r="ET48" i="9"/>
  <c r="DW47" i="9"/>
  <c r="DU48" i="9"/>
  <c r="DS47" i="9"/>
  <c r="DF48" i="9"/>
  <c r="CN48" i="9"/>
  <c r="BM47" i="9"/>
  <c r="BZ48" i="9"/>
  <c r="EI48" i="9"/>
  <c r="FD47" i="9"/>
  <c r="DY47" i="9"/>
  <c r="BF48" i="9"/>
  <c r="EA48" i="9"/>
  <c r="DG48" i="9"/>
  <c r="EM48" i="9"/>
  <c r="EE48" i="9"/>
  <c r="AS47" i="9"/>
  <c r="AQ48" i="9"/>
  <c r="AB47" i="9"/>
  <c r="Q47" i="9"/>
  <c r="M48" i="9"/>
  <c r="K47" i="9"/>
  <c r="EO48" i="9"/>
  <c r="EK48" i="9"/>
  <c r="EG48" i="9"/>
  <c r="EC48" i="9"/>
  <c r="CG48" i="9"/>
  <c r="BM48" i="9"/>
  <c r="AB48" i="9"/>
  <c r="Q48" i="9"/>
  <c r="CY47" i="9"/>
  <c r="CN47" i="9"/>
  <c r="CL47" i="9"/>
  <c r="CI47" i="9"/>
  <c r="BV48" i="9"/>
  <c r="BT47" i="9"/>
  <c r="BD42" i="9"/>
  <c r="BB47" i="9"/>
  <c r="AX47" i="9"/>
  <c r="AU47" i="9"/>
  <c r="AQ47" i="9"/>
  <c r="AJ43" i="9"/>
  <c r="M42" i="9"/>
  <c r="K43" i="9"/>
  <c r="FF48" i="9"/>
  <c r="FB48" i="9"/>
  <c r="EZ47" i="9"/>
  <c r="BT48" i="9"/>
  <c r="BO47" i="9"/>
  <c r="BK48" i="9"/>
  <c r="AZ47" i="9"/>
  <c r="CE48" i="9"/>
  <c r="BI47" i="9"/>
  <c r="BF47" i="9"/>
  <c r="AO48" i="9"/>
  <c r="EL46" i="9"/>
  <c r="DC47" i="9"/>
  <c r="DA47" i="9"/>
  <c r="CY48" i="9"/>
  <c r="FC47" i="9"/>
  <c r="FA48" i="9"/>
  <c r="FJ48" i="9"/>
  <c r="DD48" i="9"/>
  <c r="DA48" i="9"/>
  <c r="CW48" i="9"/>
  <c r="CL48" i="9"/>
  <c r="BR47" i="9"/>
  <c r="BJ48" i="9"/>
  <c r="BI48" i="9"/>
  <c r="BH48" i="9"/>
  <c r="BE48" i="9"/>
  <c r="AR48" i="9"/>
  <c r="FF46" i="9"/>
  <c r="FD46" i="9"/>
  <c r="DQ47" i="9"/>
  <c r="CC47" i="9"/>
  <c r="FB47" i="9"/>
  <c r="EY48" i="9"/>
  <c r="EX47" i="9"/>
  <c r="EW48" i="9"/>
  <c r="EU46" i="9"/>
  <c r="ET47" i="9"/>
  <c r="ED46" i="9"/>
  <c r="EB48" i="9"/>
  <c r="DB48" i="9"/>
  <c r="CZ46" i="9"/>
  <c r="CX48" i="9"/>
  <c r="CV48" i="9"/>
  <c r="CQ46" i="9"/>
  <c r="BR48" i="9"/>
  <c r="BN48" i="9"/>
  <c r="BJ46" i="9"/>
  <c r="BA46" i="9"/>
  <c r="AZ48" i="9"/>
  <c r="AX48" i="9"/>
  <c r="R48" i="9"/>
  <c r="P46" i="9"/>
  <c r="L47" i="9"/>
  <c r="K48" i="9"/>
  <c r="FC48" i="9"/>
  <c r="CZ48" i="9"/>
  <c r="BW48" i="9"/>
  <c r="BC48" i="9"/>
  <c r="AY48" i="9"/>
  <c r="V48" i="9"/>
  <c r="P48" i="9"/>
  <c r="L48" i="9"/>
  <c r="FF47" i="9"/>
  <c r="FC46" i="9"/>
  <c r="EV47" i="9"/>
  <c r="DS48" i="9"/>
  <c r="DJ47" i="9"/>
  <c r="DF47" i="9"/>
  <c r="DC48" i="9"/>
  <c r="CT47" i="9"/>
  <c r="CR47" i="9"/>
  <c r="BV47" i="9"/>
  <c r="ED48" i="9"/>
  <c r="CS48" i="9"/>
  <c r="CD46" i="9"/>
  <c r="BN46" i="9"/>
  <c r="BL48" i="9"/>
  <c r="BE46" i="9"/>
  <c r="AP46" i="9"/>
  <c r="AN48" i="9"/>
  <c r="AO47" i="9"/>
  <c r="AD48" i="9"/>
  <c r="AB122" i="2"/>
  <c r="FB46" i="9"/>
  <c r="EZ46" i="9"/>
  <c r="EY47" i="9"/>
  <c r="FJ46" i="9"/>
  <c r="EX46" i="9"/>
  <c r="EV48" i="9"/>
  <c r="FJ47" i="9"/>
  <c r="EV46" i="9"/>
  <c r="EU47" i="9"/>
  <c r="ET46" i="9"/>
  <c r="DW48" i="9"/>
  <c r="DV44" i="9"/>
  <c r="DT46" i="9"/>
  <c r="DQ48" i="9"/>
  <c r="DM44" i="9"/>
  <c r="DL47" i="9"/>
  <c r="DJ48" i="9"/>
  <c r="DH47" i="9"/>
  <c r="DB46" i="9"/>
  <c r="CZ44" i="9"/>
  <c r="CX46" i="9"/>
  <c r="CV44" i="9"/>
  <c r="CT48" i="9"/>
  <c r="CS46" i="9"/>
  <c r="CI48" i="9"/>
  <c r="CH44" i="9"/>
  <c r="CF46" i="9"/>
  <c r="CE47" i="9"/>
  <c r="CD44" i="9"/>
  <c r="CC48" i="9"/>
  <c r="BY44" i="9"/>
  <c r="BX47" i="9"/>
  <c r="BN47" i="9"/>
  <c r="BH46" i="9"/>
  <c r="BE47" i="9"/>
  <c r="BD48" i="9"/>
  <c r="BD47" i="9"/>
  <c r="AT46" i="9"/>
  <c r="AR46" i="9"/>
  <c r="AP48" i="9"/>
  <c r="AP47" i="9"/>
  <c r="AH42" i="9"/>
  <c r="AG46" i="9"/>
  <c r="AF47" i="9"/>
  <c r="AD47" i="9"/>
  <c r="AC46" i="9"/>
  <c r="P47" i="9"/>
  <c r="M47" i="9"/>
  <c r="EN46" i="9"/>
  <c r="EN47" i="9"/>
  <c r="EJ46" i="9"/>
  <c r="EJ47" i="9"/>
  <c r="EF46" i="9"/>
  <c r="EF47" i="9"/>
  <c r="EB46" i="9"/>
  <c r="EB47" i="9"/>
  <c r="DX46" i="9"/>
  <c r="DX47" i="9"/>
  <c r="DP46" i="9"/>
  <c r="DP47" i="9"/>
  <c r="DK46" i="9"/>
  <c r="DK47" i="9"/>
  <c r="CO46" i="9"/>
  <c r="CO47" i="9"/>
  <c r="BU44" i="9"/>
  <c r="BU46" i="9"/>
  <c r="BU47" i="9"/>
  <c r="BS46" i="9"/>
  <c r="BS47" i="9"/>
  <c r="BL44" i="9"/>
  <c r="BL46" i="9"/>
  <c r="AV46" i="9"/>
  <c r="AV47" i="9"/>
  <c r="AN46" i="9"/>
  <c r="AN47" i="9"/>
  <c r="AI46" i="9"/>
  <c r="AI47" i="9"/>
  <c r="AE46" i="9"/>
  <c r="AE47" i="9"/>
  <c r="R46" i="9"/>
  <c r="R47" i="9"/>
  <c r="N46" i="9"/>
  <c r="N47" i="9"/>
  <c r="J46" i="9"/>
  <c r="J47" i="9"/>
  <c r="FE44" i="9"/>
  <c r="FE47" i="9"/>
  <c r="FA44" i="9"/>
  <c r="FA47" i="9"/>
  <c r="EW44" i="9"/>
  <c r="EW47" i="9"/>
  <c r="EP44" i="9"/>
  <c r="EP47" i="9"/>
  <c r="EL44" i="9"/>
  <c r="EL47" i="9"/>
  <c r="EH44" i="9"/>
  <c r="EH47" i="9"/>
  <c r="ED44" i="9"/>
  <c r="ED47" i="9"/>
  <c r="DZ44" i="9"/>
  <c r="DZ47" i="9"/>
  <c r="DR44" i="9"/>
  <c r="DR47" i="9"/>
  <c r="DI44" i="9"/>
  <c r="DI47" i="9"/>
  <c r="CM44" i="9"/>
  <c r="CM47" i="9"/>
  <c r="CJ46" i="9"/>
  <c r="CJ47" i="9"/>
  <c r="CB46" i="9"/>
  <c r="CB47" i="9"/>
  <c r="BP44" i="9"/>
  <c r="BP47" i="9"/>
  <c r="DV48" i="9"/>
  <c r="DP48" i="9"/>
  <c r="DM48" i="9"/>
  <c r="DI48" i="9"/>
  <c r="CQ48" i="9"/>
  <c r="CH48" i="9"/>
  <c r="CF48" i="9"/>
  <c r="CD48" i="9"/>
  <c r="CB48" i="9"/>
  <c r="BY48" i="9"/>
  <c r="DG47" i="9"/>
  <c r="DD47" i="9"/>
  <c r="DB47" i="9"/>
  <c r="CZ47" i="9"/>
  <c r="CX47" i="9"/>
  <c r="CV47" i="9"/>
  <c r="CS47" i="9"/>
  <c r="CQ47" i="9"/>
  <c r="BL47" i="9"/>
  <c r="BJ47" i="9"/>
  <c r="BH47" i="9"/>
  <c r="BC47" i="9"/>
  <c r="AR47" i="9"/>
  <c r="AG47" i="9"/>
  <c r="FE46" i="9"/>
  <c r="FA46" i="9"/>
  <c r="EW46" i="9"/>
  <c r="EP46" i="9"/>
  <c r="EH46" i="9"/>
  <c r="DZ46" i="9"/>
  <c r="DD46" i="9"/>
  <c r="CV46" i="9"/>
  <c r="CM46" i="9"/>
  <c r="BW46" i="9"/>
  <c r="AY46" i="9"/>
  <c r="V46" i="9"/>
  <c r="L46" i="9"/>
  <c r="BB48" i="9"/>
  <c r="AU48" i="9"/>
  <c r="Y123" i="2"/>
  <c r="AD123" i="2" s="1"/>
  <c r="AB124" i="2"/>
  <c r="AB123" i="2"/>
  <c r="V123" i="2"/>
  <c r="FF43" i="9"/>
  <c r="FD42" i="9"/>
  <c r="FB43" i="9"/>
  <c r="EZ42" i="9"/>
  <c r="EX43" i="9"/>
  <c r="EV42" i="9"/>
  <c r="DF42" i="9"/>
  <c r="CR48" i="9"/>
  <c r="CP47" i="9"/>
  <c r="CN42" i="9"/>
  <c r="BV42" i="9"/>
  <c r="J48" i="9"/>
  <c r="Y124" i="2"/>
  <c r="AC124" i="2" s="1"/>
  <c r="E122" i="2"/>
  <c r="L122" i="2" s="1"/>
  <c r="V122" i="2"/>
  <c r="ET43" i="9"/>
  <c r="DV47" i="9"/>
  <c r="DV46" i="9"/>
  <c r="DT48" i="9"/>
  <c r="DT47" i="9"/>
  <c r="DR48" i="9"/>
  <c r="DR46" i="9"/>
  <c r="DM47" i="9"/>
  <c r="DM46" i="9"/>
  <c r="DL48" i="9"/>
  <c r="DH48" i="9"/>
  <c r="CP48" i="9"/>
  <c r="CH47" i="9"/>
  <c r="CH46" i="9"/>
  <c r="CF47" i="9"/>
  <c r="CD47" i="9"/>
  <c r="BY47" i="9"/>
  <c r="BY46" i="9"/>
  <c r="BX48" i="9"/>
  <c r="BP48" i="9"/>
  <c r="BP46" i="9"/>
  <c r="BO48" i="9"/>
  <c r="V124" i="2"/>
  <c r="BA48" i="9"/>
  <c r="BA47" i="9"/>
  <c r="AT48" i="9"/>
  <c r="AT47" i="9"/>
  <c r="AI48" i="9"/>
  <c r="AH48" i="9"/>
  <c r="AH47" i="9"/>
  <c r="AG48" i="9"/>
  <c r="AF48" i="9"/>
  <c r="AE48" i="9"/>
  <c r="AC48" i="9"/>
  <c r="AC47" i="9"/>
  <c r="EO42" i="9"/>
  <c r="EO46" i="9"/>
  <c r="EM43" i="9"/>
  <c r="EM46" i="9"/>
  <c r="EK42" i="9"/>
  <c r="EK46" i="9"/>
  <c r="EI43" i="9"/>
  <c r="EI46" i="9"/>
  <c r="EG42" i="9"/>
  <c r="EG46" i="9"/>
  <c r="EE43" i="9"/>
  <c r="EE46" i="9"/>
  <c r="EC42" i="9"/>
  <c r="EC46" i="9"/>
  <c r="EA43" i="9"/>
  <c r="EA46" i="9"/>
  <c r="DY42" i="9"/>
  <c r="DY46" i="9"/>
  <c r="DW43" i="9"/>
  <c r="DW46" i="9"/>
  <c r="DU42" i="9"/>
  <c r="DU46" i="9"/>
  <c r="DS43" i="9"/>
  <c r="DS42" i="9"/>
  <c r="DS46" i="9"/>
  <c r="DQ42" i="9"/>
  <c r="DQ46" i="9"/>
  <c r="DN43" i="9"/>
  <c r="DN46" i="9"/>
  <c r="DL42" i="9"/>
  <c r="DL46" i="9"/>
  <c r="DJ43" i="9"/>
  <c r="DJ42" i="9"/>
  <c r="DJ46" i="9"/>
  <c r="DH42" i="9"/>
  <c r="DH46" i="9"/>
  <c r="DF43" i="9"/>
  <c r="DF46" i="9"/>
  <c r="DC42" i="9"/>
  <c r="DC46" i="9"/>
  <c r="DA43" i="9"/>
  <c r="DA42" i="9"/>
  <c r="DA46" i="9"/>
  <c r="CY42" i="9"/>
  <c r="CY46" i="9"/>
  <c r="CW43" i="9"/>
  <c r="CW46" i="9"/>
  <c r="CT42" i="9"/>
  <c r="CT46" i="9"/>
  <c r="CR43" i="9"/>
  <c r="CR42" i="9"/>
  <c r="CR46" i="9"/>
  <c r="CP42" i="9"/>
  <c r="CP46" i="9"/>
  <c r="CN43" i="9"/>
  <c r="CN46" i="9"/>
  <c r="CL42" i="9"/>
  <c r="CL46" i="9"/>
  <c r="CI43" i="9"/>
  <c r="CI42" i="9"/>
  <c r="CI46" i="9"/>
  <c r="CG42" i="9"/>
  <c r="CG46" i="9"/>
  <c r="CE43" i="9"/>
  <c r="CE46" i="9"/>
  <c r="CC42" i="9"/>
  <c r="CC46" i="9"/>
  <c r="BZ43" i="9"/>
  <c r="BZ42" i="9"/>
  <c r="BZ46" i="9"/>
  <c r="BX42" i="9"/>
  <c r="BX46" i="9"/>
  <c r="BV43" i="9"/>
  <c r="BV46" i="9"/>
  <c r="BT42" i="9"/>
  <c r="BT46" i="9"/>
  <c r="BR43" i="9"/>
  <c r="BR42" i="9"/>
  <c r="BR46" i="9"/>
  <c r="BO42" i="9"/>
  <c r="BO46" i="9"/>
  <c r="BM43" i="9"/>
  <c r="BM46" i="9"/>
  <c r="BK42" i="9"/>
  <c r="BK46" i="9"/>
  <c r="BI43" i="9"/>
  <c r="BI42" i="9"/>
  <c r="BI46" i="9"/>
  <c r="BF42" i="9"/>
  <c r="BF46" i="9"/>
  <c r="BD43" i="9"/>
  <c r="BD46" i="9"/>
  <c r="BB42" i="9"/>
  <c r="BB46" i="9"/>
  <c r="AZ43" i="9"/>
  <c r="AZ42" i="9"/>
  <c r="AZ46" i="9"/>
  <c r="AX42" i="9"/>
  <c r="AX46" i="9"/>
  <c r="AU43" i="9"/>
  <c r="AU46" i="9"/>
  <c r="AS42" i="9"/>
  <c r="AS46" i="9"/>
  <c r="AQ43" i="9"/>
  <c r="AQ42" i="9"/>
  <c r="AQ46" i="9"/>
  <c r="AO42" i="9"/>
  <c r="AO43" i="9"/>
  <c r="AO46" i="9"/>
  <c r="AJ42" i="9"/>
  <c r="AJ46" i="9"/>
  <c r="AH43" i="9"/>
  <c r="AH46" i="9"/>
  <c r="AF42" i="9"/>
  <c r="AF43" i="9"/>
  <c r="AF46" i="9"/>
  <c r="AD43" i="9"/>
  <c r="AD42" i="9"/>
  <c r="AD46" i="9"/>
  <c r="AB42" i="9"/>
  <c r="AB46" i="9"/>
  <c r="U43" i="9"/>
  <c r="U46" i="9"/>
  <c r="Q43" i="9"/>
  <c r="Q42" i="9"/>
  <c r="Q46" i="9"/>
  <c r="O42" i="9"/>
  <c r="O43" i="9"/>
  <c r="O46" i="9"/>
  <c r="M43" i="9"/>
  <c r="M46" i="9"/>
  <c r="K42" i="9"/>
  <c r="K46" i="9"/>
  <c r="AS43" i="9"/>
  <c r="AB43" i="9"/>
  <c r="DN42" i="9"/>
  <c r="CW42" i="9"/>
  <c r="CE42" i="9"/>
  <c r="BM42" i="9"/>
  <c r="AU42" i="9"/>
  <c r="U42" i="9"/>
  <c r="E123" i="2"/>
  <c r="L123" i="2" s="1"/>
  <c r="AD124" i="2"/>
  <c r="Y122" i="2"/>
  <c r="AD122" i="2" s="1"/>
  <c r="E124" i="2"/>
  <c r="L124" i="2" s="1"/>
  <c r="AC122" i="2"/>
  <c r="V130" i="2"/>
  <c r="V129" i="2"/>
  <c r="V128" i="2"/>
  <c r="V127" i="2"/>
  <c r="V126" i="2"/>
  <c r="V125" i="2"/>
  <c r="V131" i="2"/>
  <c r="FJ42" i="9"/>
  <c r="FJ43" i="9"/>
  <c r="FE42" i="9"/>
  <c r="FE43" i="9"/>
  <c r="FC42" i="9"/>
  <c r="FC43" i="9"/>
  <c r="FA42" i="9"/>
  <c r="FA43" i="9"/>
  <c r="EY42" i="9"/>
  <c r="EY43" i="9"/>
  <c r="EW42" i="9"/>
  <c r="EW43" i="9"/>
  <c r="EU42" i="9"/>
  <c r="EU43" i="9"/>
  <c r="EP42" i="9"/>
  <c r="EP43" i="9"/>
  <c r="EN42" i="9"/>
  <c r="EN43" i="9"/>
  <c r="EL42" i="9"/>
  <c r="EL43" i="9"/>
  <c r="EJ42" i="9"/>
  <c r="EJ43" i="9"/>
  <c r="EH42" i="9"/>
  <c r="EH43" i="9"/>
  <c r="EF42" i="9"/>
  <c r="EF43" i="9"/>
  <c r="ED42" i="9"/>
  <c r="ED43" i="9"/>
  <c r="EB42" i="9"/>
  <c r="EB43" i="9"/>
  <c r="DZ42" i="9"/>
  <c r="DZ43" i="9"/>
  <c r="DX42" i="9"/>
  <c r="DX43" i="9"/>
  <c r="DV42" i="9"/>
  <c r="DV43" i="9"/>
  <c r="DT42" i="9"/>
  <c r="DT43" i="9"/>
  <c r="DR42" i="9"/>
  <c r="DR43" i="9"/>
  <c r="DP42" i="9"/>
  <c r="DP43" i="9"/>
  <c r="DM42" i="9"/>
  <c r="DM43" i="9"/>
  <c r="DK42" i="9"/>
  <c r="DK43" i="9"/>
  <c r="DI42" i="9"/>
  <c r="DI43" i="9"/>
  <c r="DG42" i="9"/>
  <c r="DG43" i="9"/>
  <c r="DD42" i="9"/>
  <c r="DD43" i="9"/>
  <c r="DB42" i="9"/>
  <c r="DB43" i="9"/>
  <c r="CZ42" i="9"/>
  <c r="CZ43" i="9"/>
  <c r="CX42" i="9"/>
  <c r="CX43" i="9"/>
  <c r="CV42" i="9"/>
  <c r="CV43" i="9"/>
  <c r="CS42" i="9"/>
  <c r="CS43" i="9"/>
  <c r="CQ42" i="9"/>
  <c r="CQ43" i="9"/>
  <c r="CO42" i="9"/>
  <c r="CO43" i="9"/>
  <c r="CM42" i="9"/>
  <c r="CM43" i="9"/>
  <c r="CJ42" i="9"/>
  <c r="CJ43" i="9"/>
  <c r="CH42" i="9"/>
  <c r="CH43" i="9"/>
  <c r="CF42" i="9"/>
  <c r="CF43" i="9"/>
  <c r="CD42" i="9"/>
  <c r="CD43" i="9"/>
  <c r="CB42" i="9"/>
  <c r="CB43" i="9"/>
  <c r="BY42" i="9"/>
  <c r="BY43" i="9"/>
  <c r="BW42" i="9"/>
  <c r="BW43" i="9"/>
  <c r="BU42" i="9"/>
  <c r="BU43" i="9"/>
  <c r="BS42" i="9"/>
  <c r="BS43" i="9"/>
  <c r="BP42" i="9"/>
  <c r="BP43" i="9"/>
  <c r="BN42" i="9"/>
  <c r="BN43" i="9"/>
  <c r="BL42" i="9"/>
  <c r="BL43" i="9"/>
  <c r="BJ42" i="9"/>
  <c r="BJ43" i="9"/>
  <c r="BJ44" i="9"/>
  <c r="BH42" i="9"/>
  <c r="BH43" i="9"/>
  <c r="BH44" i="9"/>
  <c r="BE42" i="9"/>
  <c r="BE43" i="9"/>
  <c r="BE44" i="9"/>
  <c r="BC42" i="9"/>
  <c r="BC43" i="9"/>
  <c r="BC44" i="9"/>
  <c r="BA42" i="9"/>
  <c r="BA43" i="9"/>
  <c r="BA44" i="9"/>
  <c r="AY42" i="9"/>
  <c r="AY43" i="9"/>
  <c r="AY44" i="9"/>
  <c r="AV42" i="9"/>
  <c r="AV43" i="9"/>
  <c r="AV44" i="9"/>
  <c r="AT42" i="9"/>
  <c r="AT43" i="9"/>
  <c r="AT44" i="9"/>
  <c r="AR42" i="9"/>
  <c r="AR43" i="9"/>
  <c r="AR44" i="9"/>
  <c r="AP42" i="9"/>
  <c r="AP43" i="9"/>
  <c r="AP44" i="9"/>
  <c r="AN42" i="9"/>
  <c r="AN43" i="9"/>
  <c r="AN44" i="9"/>
  <c r="AI42" i="9"/>
  <c r="AI43" i="9"/>
  <c r="AI44" i="9"/>
  <c r="AG42" i="9"/>
  <c r="AG43" i="9"/>
  <c r="AG44" i="9"/>
  <c r="AE42" i="9"/>
  <c r="AE43" i="9"/>
  <c r="AE44" i="9"/>
  <c r="AC42" i="9"/>
  <c r="AC43" i="9"/>
  <c r="AC44" i="9"/>
  <c r="V42" i="9"/>
  <c r="V43" i="9"/>
  <c r="V44" i="9"/>
  <c r="R42" i="9"/>
  <c r="R43" i="9"/>
  <c r="R44" i="9"/>
  <c r="P42" i="9"/>
  <c r="P43" i="9"/>
  <c r="P44" i="9"/>
  <c r="N42" i="9"/>
  <c r="N43" i="9"/>
  <c r="N44" i="9"/>
  <c r="L42" i="9"/>
  <c r="L43" i="9"/>
  <c r="L44" i="9"/>
  <c r="J42" i="9"/>
  <c r="J43" i="9"/>
  <c r="J44" i="9"/>
  <c r="FJ44" i="9"/>
  <c r="FC44" i="9"/>
  <c r="EY44" i="9"/>
  <c r="EU44" i="9"/>
  <c r="EN44" i="9"/>
  <c r="EJ44" i="9"/>
  <c r="EF44" i="9"/>
  <c r="EB44" i="9"/>
  <c r="DX44" i="9"/>
  <c r="DT44" i="9"/>
  <c r="DP44" i="9"/>
  <c r="DK44" i="9"/>
  <c r="DG44" i="9"/>
  <c r="DB44" i="9"/>
  <c r="CX44" i="9"/>
  <c r="CS44" i="9"/>
  <c r="CO44" i="9"/>
  <c r="CJ44" i="9"/>
  <c r="CF44" i="9"/>
  <c r="CB44" i="9"/>
  <c r="BW44" i="9"/>
  <c r="BS44" i="9"/>
  <c r="BN44" i="9"/>
  <c r="FF42" i="9"/>
  <c r="FB42" i="9"/>
  <c r="EX42" i="9"/>
  <c r="ET42" i="9"/>
  <c r="EM42" i="9"/>
  <c r="EI42" i="9"/>
  <c r="EE42" i="9"/>
  <c r="EA42" i="9"/>
  <c r="DW42" i="9"/>
  <c r="FF44" i="9"/>
  <c r="FD44" i="9"/>
  <c r="FB44" i="9"/>
  <c r="EZ44" i="9"/>
  <c r="EX44" i="9"/>
  <c r="EV44" i="9"/>
  <c r="ET44" i="9"/>
  <c r="EO44" i="9"/>
  <c r="EM44" i="9"/>
  <c r="EK44" i="9"/>
  <c r="EI44" i="9"/>
  <c r="EG44" i="9"/>
  <c r="EE44" i="9"/>
  <c r="EC44" i="9"/>
  <c r="EA44" i="9"/>
  <c r="DY44" i="9"/>
  <c r="DW44" i="9"/>
  <c r="DU44" i="9"/>
  <c r="DS44" i="9"/>
  <c r="DQ44" i="9"/>
  <c r="DN44" i="9"/>
  <c r="DL44" i="9"/>
  <c r="DJ44" i="9"/>
  <c r="DH44" i="9"/>
  <c r="DF44" i="9"/>
  <c r="DC44" i="9"/>
  <c r="DA44" i="9"/>
  <c r="CY44" i="9"/>
  <c r="CW44" i="9"/>
  <c r="CT44" i="9"/>
  <c r="CR44" i="9"/>
  <c r="CP44" i="9"/>
  <c r="CN44" i="9"/>
  <c r="CL44" i="9"/>
  <c r="CI44" i="9"/>
  <c r="CG44" i="9"/>
  <c r="CE44" i="9"/>
  <c r="CC44" i="9"/>
  <c r="BZ44" i="9"/>
  <c r="BX44" i="9"/>
  <c r="BV44" i="9"/>
  <c r="BT44" i="9"/>
  <c r="BR44" i="9"/>
  <c r="BO44" i="9"/>
  <c r="BM44" i="9"/>
  <c r="BK44" i="9"/>
  <c r="BI44" i="9"/>
  <c r="BF44" i="9"/>
  <c r="BD44" i="9"/>
  <c r="BB44" i="9"/>
  <c r="AZ44" i="9"/>
  <c r="AX44" i="9"/>
  <c r="AU44" i="9"/>
  <c r="AS44" i="9"/>
  <c r="AQ44" i="9"/>
  <c r="AO44" i="9"/>
  <c r="AJ44" i="9"/>
  <c r="AH44" i="9"/>
  <c r="AF44" i="9"/>
  <c r="AD44" i="9"/>
  <c r="AB44" i="9"/>
  <c r="U44" i="9"/>
  <c r="Q44" i="9"/>
  <c r="O44" i="9"/>
  <c r="M44" i="9"/>
  <c r="K44" i="9"/>
  <c r="FD43" i="9"/>
  <c r="EZ43" i="9"/>
  <c r="EV43" i="9"/>
  <c r="EO43" i="9"/>
  <c r="EK43" i="9"/>
  <c r="EG43" i="9"/>
  <c r="EC43" i="9"/>
  <c r="DY43" i="9"/>
  <c r="DU43" i="9"/>
  <c r="DQ43" i="9"/>
  <c r="DL43" i="9"/>
  <c r="DH43" i="9"/>
  <c r="DC43" i="9"/>
  <c r="CY43" i="9"/>
  <c r="CT43" i="9"/>
  <c r="CP43" i="9"/>
  <c r="CL43" i="9"/>
  <c r="CG43" i="9"/>
  <c r="CC43" i="9"/>
  <c r="BX43" i="9"/>
  <c r="BT43" i="9"/>
  <c r="BO43" i="9"/>
  <c r="BK43" i="9"/>
  <c r="BF43" i="9"/>
  <c r="BB43" i="9"/>
  <c r="AX43" i="9"/>
  <c r="AC123" i="2" l="1"/>
  <c r="F21" i="3"/>
  <c r="C105" i="2"/>
  <c r="D105" i="2"/>
  <c r="F105" i="2"/>
  <c r="G105" i="2"/>
  <c r="H105" i="2"/>
  <c r="I105" i="2"/>
  <c r="J105" i="2"/>
  <c r="K105" i="2"/>
  <c r="O105" i="2"/>
  <c r="P105" i="2"/>
  <c r="Q105" i="2"/>
  <c r="R105" i="2"/>
  <c r="S105" i="2"/>
  <c r="T105" i="2"/>
  <c r="U105" i="2"/>
  <c r="Z105" i="2"/>
  <c r="AA105" i="2"/>
  <c r="AG105" i="2"/>
  <c r="AH105" i="2"/>
  <c r="AI105" i="2"/>
  <c r="AJ105" i="2"/>
  <c r="C106" i="2"/>
  <c r="D106" i="2"/>
  <c r="F106" i="2"/>
  <c r="G106" i="2"/>
  <c r="H106" i="2"/>
  <c r="I106" i="2"/>
  <c r="J106" i="2"/>
  <c r="K106" i="2"/>
  <c r="O106" i="2"/>
  <c r="P106" i="2"/>
  <c r="Q106" i="2"/>
  <c r="R106" i="2"/>
  <c r="S106" i="2"/>
  <c r="T106" i="2"/>
  <c r="U106" i="2"/>
  <c r="Z106" i="2"/>
  <c r="AA106" i="2"/>
  <c r="AG106" i="2"/>
  <c r="AH106" i="2"/>
  <c r="AJ106" i="2" s="1"/>
  <c r="AI106" i="2"/>
  <c r="C107" i="2"/>
  <c r="D107" i="2"/>
  <c r="F107" i="2"/>
  <c r="G107" i="2"/>
  <c r="H107" i="2"/>
  <c r="I107" i="2"/>
  <c r="J107" i="2"/>
  <c r="K107" i="2"/>
  <c r="O107" i="2"/>
  <c r="P107" i="2"/>
  <c r="Q107" i="2"/>
  <c r="R107" i="2"/>
  <c r="S107" i="2"/>
  <c r="T107" i="2"/>
  <c r="U107" i="2"/>
  <c r="Z107" i="2"/>
  <c r="AA107" i="2"/>
  <c r="AG107" i="2"/>
  <c r="AH107" i="2"/>
  <c r="AI107" i="2"/>
  <c r="AJ107" i="2"/>
  <c r="C108" i="2"/>
  <c r="D108" i="2"/>
  <c r="F108" i="2"/>
  <c r="G108" i="2"/>
  <c r="H108" i="2"/>
  <c r="I108" i="2"/>
  <c r="J108" i="2"/>
  <c r="K108" i="2"/>
  <c r="O108" i="2"/>
  <c r="P108" i="2"/>
  <c r="Q108" i="2"/>
  <c r="R108" i="2"/>
  <c r="S108" i="2"/>
  <c r="T108" i="2"/>
  <c r="U108" i="2"/>
  <c r="C109" i="2"/>
  <c r="D109" i="2"/>
  <c r="F109" i="2"/>
  <c r="G109" i="2"/>
  <c r="H109" i="2"/>
  <c r="I109" i="2"/>
  <c r="J109" i="2"/>
  <c r="K109" i="2"/>
  <c r="O109" i="2"/>
  <c r="P109" i="2"/>
  <c r="Q109" i="2"/>
  <c r="R109" i="2"/>
  <c r="S109" i="2"/>
  <c r="T109" i="2"/>
  <c r="U109" i="2"/>
  <c r="C110" i="2"/>
  <c r="D110" i="2"/>
  <c r="F110" i="2"/>
  <c r="G110" i="2"/>
  <c r="H110" i="2"/>
  <c r="I110" i="2"/>
  <c r="J110" i="2"/>
  <c r="K110" i="2"/>
  <c r="O110" i="2"/>
  <c r="P110" i="2"/>
  <c r="Q110" i="2"/>
  <c r="R110" i="2"/>
  <c r="S110" i="2"/>
  <c r="T110" i="2"/>
  <c r="U110" i="2"/>
  <c r="C111" i="2"/>
  <c r="D111" i="2"/>
  <c r="F111" i="2"/>
  <c r="G111" i="2"/>
  <c r="H111" i="2"/>
  <c r="I111" i="2"/>
  <c r="J111" i="2"/>
  <c r="K111" i="2"/>
  <c r="O111" i="2"/>
  <c r="P111" i="2"/>
  <c r="Q111" i="2"/>
  <c r="R111" i="2"/>
  <c r="S111" i="2"/>
  <c r="T111" i="2"/>
  <c r="U111" i="2"/>
  <c r="C112" i="2"/>
  <c r="D112" i="2"/>
  <c r="F112" i="2"/>
  <c r="G112" i="2"/>
  <c r="H112" i="2"/>
  <c r="I112" i="2"/>
  <c r="J112" i="2"/>
  <c r="K112" i="2"/>
  <c r="O112" i="2"/>
  <c r="P112" i="2"/>
  <c r="Q112" i="2"/>
  <c r="R112" i="2"/>
  <c r="S112" i="2"/>
  <c r="T112" i="2"/>
  <c r="U112" i="2"/>
  <c r="C113" i="2"/>
  <c r="D113" i="2"/>
  <c r="F113" i="2"/>
  <c r="G113" i="2"/>
  <c r="H113" i="2"/>
  <c r="I113" i="2"/>
  <c r="J113" i="2"/>
  <c r="K113" i="2"/>
  <c r="O113" i="2"/>
  <c r="P113" i="2"/>
  <c r="Q113" i="2"/>
  <c r="R113" i="2"/>
  <c r="S113" i="2"/>
  <c r="T113" i="2"/>
  <c r="U113" i="2"/>
  <c r="C114" i="2"/>
  <c r="D114" i="2"/>
  <c r="F114" i="2"/>
  <c r="G114" i="2"/>
  <c r="H114" i="2"/>
  <c r="I114" i="2"/>
  <c r="J114" i="2"/>
  <c r="K114" i="2"/>
  <c r="P114" i="2"/>
  <c r="Q114" i="2"/>
  <c r="R114" i="2"/>
  <c r="S114" i="2"/>
  <c r="T114" i="2"/>
  <c r="U114" i="2"/>
  <c r="C117" i="2"/>
  <c r="D117" i="2"/>
  <c r="F117" i="2"/>
  <c r="G117" i="2"/>
  <c r="H117" i="2"/>
  <c r="I117" i="2"/>
  <c r="J117" i="2"/>
  <c r="K117" i="2"/>
  <c r="C118" i="2"/>
  <c r="D118" i="2"/>
  <c r="F118" i="2"/>
  <c r="G118" i="2"/>
  <c r="H118" i="2"/>
  <c r="I118" i="2"/>
  <c r="J118" i="2"/>
  <c r="K118" i="2"/>
  <c r="C119" i="2"/>
  <c r="D119" i="2"/>
  <c r="F119" i="2"/>
  <c r="G119" i="2"/>
  <c r="H119" i="2"/>
  <c r="I119" i="2"/>
  <c r="J119" i="2"/>
  <c r="K119" i="2"/>
  <c r="FH4" i="7"/>
  <c r="FG4" i="7"/>
  <c r="J5" i="7"/>
  <c r="AB5" i="7"/>
  <c r="FG5" i="7"/>
  <c r="FH5" i="7"/>
  <c r="J6" i="7"/>
  <c r="AB6" i="7"/>
  <c r="FG6" i="7"/>
  <c r="FH6" i="7"/>
  <c r="J7" i="7"/>
  <c r="E111" i="2" s="1"/>
  <c r="AB7" i="7"/>
  <c r="E112" i="2" s="1"/>
  <c r="FG7" i="7"/>
  <c r="FH7" i="7"/>
  <c r="FG8" i="7"/>
  <c r="FH8" i="7"/>
  <c r="DY9" i="7"/>
  <c r="Y105" i="2" s="1"/>
  <c r="EB9" i="7"/>
  <c r="Y106" i="2" s="1"/>
  <c r="FG9" i="7"/>
  <c r="FH9" i="7"/>
  <c r="FG10" i="7"/>
  <c r="FH10" i="7"/>
  <c r="FG11" i="7"/>
  <c r="FH11" i="7"/>
  <c r="FG12" i="7"/>
  <c r="FH12" i="7"/>
  <c r="J13" i="7"/>
  <c r="E113" i="2" s="1"/>
  <c r="AB13" i="7"/>
  <c r="E114" i="2" s="1"/>
  <c r="FG13" i="7"/>
  <c r="FH13" i="7"/>
  <c r="J14" i="7"/>
  <c r="E105" i="2" s="1"/>
  <c r="AB14" i="7"/>
  <c r="E106" i="2" s="1"/>
  <c r="FG14" i="7"/>
  <c r="FH14" i="7"/>
  <c r="J15" i="7"/>
  <c r="AB15" i="7"/>
  <c r="FG15" i="7"/>
  <c r="FH15" i="7"/>
  <c r="J16" i="7"/>
  <c r="AB16" i="7"/>
  <c r="FG16" i="7"/>
  <c r="FH16" i="7"/>
  <c r="A56" i="7"/>
  <c r="E56" i="7"/>
  <c r="H56" i="7"/>
  <c r="I56" i="7"/>
  <c r="K56" i="7"/>
  <c r="L56" i="7"/>
  <c r="M56" i="7"/>
  <c r="N56" i="7"/>
  <c r="O56" i="7"/>
  <c r="P56" i="7"/>
  <c r="Q56" i="7"/>
  <c r="R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F56" i="7"/>
  <c r="E57" i="7"/>
  <c r="J57" i="7"/>
  <c r="K57" i="7"/>
  <c r="L57" i="7"/>
  <c r="M57" i="7"/>
  <c r="N57" i="7"/>
  <c r="O57" i="7"/>
  <c r="P57" i="7"/>
  <c r="Q57" i="7"/>
  <c r="R57" i="7"/>
  <c r="U57" i="7"/>
  <c r="V57" i="7"/>
  <c r="AC57" i="7"/>
  <c r="AD57" i="7"/>
  <c r="AE57" i="7"/>
  <c r="AF57" i="7"/>
  <c r="AG57" i="7"/>
  <c r="AH57" i="7"/>
  <c r="AI57" i="7"/>
  <c r="AJ57" i="7"/>
  <c r="AN57" i="7"/>
  <c r="AO57" i="7"/>
  <c r="AP57" i="7"/>
  <c r="AQ57" i="7"/>
  <c r="AR57" i="7"/>
  <c r="AS57" i="7"/>
  <c r="AT57" i="7"/>
  <c r="AU57" i="7"/>
  <c r="AV57" i="7"/>
  <c r="AX57" i="7"/>
  <c r="AY57" i="7"/>
  <c r="AZ57" i="7"/>
  <c r="BA57" i="7"/>
  <c r="BB57" i="7"/>
  <c r="BC57" i="7"/>
  <c r="BD57" i="7"/>
  <c r="BE57" i="7"/>
  <c r="BF57" i="7"/>
  <c r="BH57" i="7"/>
  <c r="BI57" i="7"/>
  <c r="BJ57" i="7"/>
  <c r="BK57" i="7"/>
  <c r="BL57" i="7"/>
  <c r="BM57" i="7"/>
  <c r="BN57" i="7"/>
  <c r="BO57" i="7"/>
  <c r="BP57" i="7"/>
  <c r="BR57" i="7"/>
  <c r="BS57" i="7"/>
  <c r="BT57" i="7"/>
  <c r="BU57" i="7"/>
  <c r="BV57" i="7"/>
  <c r="BW57" i="7"/>
  <c r="BX57" i="7"/>
  <c r="BY57" i="7"/>
  <c r="BZ57" i="7"/>
  <c r="CB57" i="7"/>
  <c r="CC57" i="7"/>
  <c r="CD57" i="7"/>
  <c r="CE57" i="7"/>
  <c r="CF57" i="7"/>
  <c r="CG57" i="7"/>
  <c r="CH57" i="7"/>
  <c r="CI57" i="7"/>
  <c r="CJ57" i="7"/>
  <c r="CL57" i="7"/>
  <c r="CM57" i="7"/>
  <c r="CN57" i="7"/>
  <c r="CO57" i="7"/>
  <c r="CP57" i="7"/>
  <c r="CQ57" i="7"/>
  <c r="CR57" i="7"/>
  <c r="CS57" i="7"/>
  <c r="CT57" i="7"/>
  <c r="CV57" i="7"/>
  <c r="CW57" i="7"/>
  <c r="CX57" i="7"/>
  <c r="CY57" i="7"/>
  <c r="CZ57" i="7"/>
  <c r="DA57" i="7"/>
  <c r="DB57" i="7"/>
  <c r="DC57" i="7"/>
  <c r="DD57" i="7"/>
  <c r="DF57" i="7"/>
  <c r="DG57" i="7"/>
  <c r="DH57" i="7"/>
  <c r="DI57" i="7"/>
  <c r="DJ57" i="7"/>
  <c r="DK57" i="7"/>
  <c r="DL57" i="7"/>
  <c r="DM57" i="7"/>
  <c r="DN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F57" i="7"/>
  <c r="E58" i="7"/>
  <c r="J58" i="7"/>
  <c r="K58" i="7"/>
  <c r="L58" i="7"/>
  <c r="M58" i="7"/>
  <c r="N58" i="7"/>
  <c r="O58" i="7"/>
  <c r="P58" i="7"/>
  <c r="Q58" i="7"/>
  <c r="R58" i="7"/>
  <c r="U58" i="7"/>
  <c r="V58" i="7"/>
  <c r="AC58" i="7"/>
  <c r="AD58" i="7"/>
  <c r="AE58" i="7"/>
  <c r="AF58" i="7"/>
  <c r="AG58" i="7"/>
  <c r="AH58" i="7"/>
  <c r="AI58" i="7"/>
  <c r="AJ58" i="7"/>
  <c r="AN58" i="7"/>
  <c r="AO58" i="7"/>
  <c r="AP58" i="7"/>
  <c r="AQ58" i="7"/>
  <c r="AR58" i="7"/>
  <c r="AS58" i="7"/>
  <c r="AT58" i="7"/>
  <c r="AU58" i="7"/>
  <c r="AV58" i="7"/>
  <c r="AX58" i="7"/>
  <c r="AY58" i="7"/>
  <c r="AZ58" i="7"/>
  <c r="BA58" i="7"/>
  <c r="BB58" i="7"/>
  <c r="BC58" i="7"/>
  <c r="BD58" i="7"/>
  <c r="BE58" i="7"/>
  <c r="BF58" i="7"/>
  <c r="BH58" i="7"/>
  <c r="BI58" i="7"/>
  <c r="BJ58" i="7"/>
  <c r="BK58" i="7"/>
  <c r="BL58" i="7"/>
  <c r="BM58" i="7"/>
  <c r="BN58" i="7"/>
  <c r="BO58" i="7"/>
  <c r="BP58" i="7"/>
  <c r="BR58" i="7"/>
  <c r="BS58" i="7"/>
  <c r="BT58" i="7"/>
  <c r="BU58" i="7"/>
  <c r="BV58" i="7"/>
  <c r="BW58" i="7"/>
  <c r="BX58" i="7"/>
  <c r="BY58" i="7"/>
  <c r="BZ58" i="7"/>
  <c r="CB58" i="7"/>
  <c r="CC58" i="7"/>
  <c r="CD58" i="7"/>
  <c r="CE58" i="7"/>
  <c r="CF58" i="7"/>
  <c r="CG58" i="7"/>
  <c r="CH58" i="7"/>
  <c r="CI58" i="7"/>
  <c r="CJ58" i="7"/>
  <c r="CL58" i="7"/>
  <c r="CM58" i="7"/>
  <c r="CN58" i="7"/>
  <c r="CO58" i="7"/>
  <c r="CP58" i="7"/>
  <c r="CQ58" i="7"/>
  <c r="CR58" i="7"/>
  <c r="CS58" i="7"/>
  <c r="CT58" i="7"/>
  <c r="CV58" i="7"/>
  <c r="CW58" i="7"/>
  <c r="CX58" i="7"/>
  <c r="CY58" i="7"/>
  <c r="CZ58" i="7"/>
  <c r="DA58" i="7"/>
  <c r="DB58" i="7"/>
  <c r="DC58" i="7"/>
  <c r="DD58" i="7"/>
  <c r="DF58" i="7"/>
  <c r="DG58" i="7"/>
  <c r="DH58" i="7"/>
  <c r="DI58" i="7"/>
  <c r="DJ58" i="7"/>
  <c r="DK58" i="7"/>
  <c r="DL58" i="7"/>
  <c r="DM58" i="7"/>
  <c r="DN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S58" i="7"/>
  <c r="ET58" i="7"/>
  <c r="EU58" i="7"/>
  <c r="EV58" i="7"/>
  <c r="EW58" i="7"/>
  <c r="EX58" i="7"/>
  <c r="EY58" i="7"/>
  <c r="EZ58" i="7"/>
  <c r="FA58" i="7"/>
  <c r="FB58" i="7"/>
  <c r="FC58" i="7"/>
  <c r="FD58" i="7"/>
  <c r="FF58" i="7"/>
  <c r="E59" i="7"/>
  <c r="J59" i="7"/>
  <c r="K59" i="7"/>
  <c r="L59" i="7"/>
  <c r="M59" i="7"/>
  <c r="N59" i="7"/>
  <c r="O59" i="7"/>
  <c r="P59" i="7"/>
  <c r="Q59" i="7"/>
  <c r="R59" i="7"/>
  <c r="U59" i="7"/>
  <c r="V59" i="7"/>
  <c r="AC59" i="7"/>
  <c r="AD59" i="7"/>
  <c r="AE59" i="7"/>
  <c r="AF59" i="7"/>
  <c r="AG59" i="7"/>
  <c r="AH59" i="7"/>
  <c r="AI59" i="7"/>
  <c r="AJ59" i="7"/>
  <c r="AN59" i="7"/>
  <c r="AO59" i="7"/>
  <c r="AP59" i="7"/>
  <c r="AQ59" i="7"/>
  <c r="AR59" i="7"/>
  <c r="AS59" i="7"/>
  <c r="AT59" i="7"/>
  <c r="AU59" i="7"/>
  <c r="AV59" i="7"/>
  <c r="AX59" i="7"/>
  <c r="AY59" i="7"/>
  <c r="AZ59" i="7"/>
  <c r="BA59" i="7"/>
  <c r="BB59" i="7"/>
  <c r="BC59" i="7"/>
  <c r="BD59" i="7"/>
  <c r="BE59" i="7"/>
  <c r="BF59" i="7"/>
  <c r="BH59" i="7"/>
  <c r="BI59" i="7"/>
  <c r="BJ59" i="7"/>
  <c r="BK59" i="7"/>
  <c r="BL59" i="7"/>
  <c r="BM59" i="7"/>
  <c r="BN59" i="7"/>
  <c r="BO59" i="7"/>
  <c r="BP59" i="7"/>
  <c r="BR59" i="7"/>
  <c r="BS59" i="7"/>
  <c r="BT59" i="7"/>
  <c r="BU59" i="7"/>
  <c r="BV59" i="7"/>
  <c r="BW59" i="7"/>
  <c r="BX59" i="7"/>
  <c r="BY59" i="7"/>
  <c r="BZ59" i="7"/>
  <c r="CB59" i="7"/>
  <c r="CC59" i="7"/>
  <c r="CD59" i="7"/>
  <c r="CE59" i="7"/>
  <c r="CF59" i="7"/>
  <c r="CG59" i="7"/>
  <c r="CH59" i="7"/>
  <c r="CI59" i="7"/>
  <c r="CJ59" i="7"/>
  <c r="CL59" i="7"/>
  <c r="CM59" i="7"/>
  <c r="CN59" i="7"/>
  <c r="CO59" i="7"/>
  <c r="CP59" i="7"/>
  <c r="CQ59" i="7"/>
  <c r="CR59" i="7"/>
  <c r="CS59" i="7"/>
  <c r="CT59" i="7"/>
  <c r="CV59" i="7"/>
  <c r="CW59" i="7"/>
  <c r="CX59" i="7"/>
  <c r="CY59" i="7"/>
  <c r="CZ59" i="7"/>
  <c r="DA59" i="7"/>
  <c r="DB59" i="7"/>
  <c r="DC59" i="7"/>
  <c r="DD59" i="7"/>
  <c r="DF59" i="7"/>
  <c r="DG59" i="7"/>
  <c r="DH59" i="7"/>
  <c r="DI59" i="7"/>
  <c r="DJ59" i="7"/>
  <c r="DK59" i="7"/>
  <c r="DL59" i="7"/>
  <c r="DM59" i="7"/>
  <c r="DN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F59" i="7"/>
  <c r="E60" i="7"/>
  <c r="J60" i="7"/>
  <c r="K60" i="7"/>
  <c r="L60" i="7"/>
  <c r="M60" i="7"/>
  <c r="N60" i="7"/>
  <c r="O60" i="7"/>
  <c r="P60" i="7"/>
  <c r="Q60" i="7"/>
  <c r="R60" i="7"/>
  <c r="U60" i="7"/>
  <c r="V60" i="7"/>
  <c r="AC60" i="7"/>
  <c r="AD60" i="7"/>
  <c r="AE60" i="7"/>
  <c r="AF60" i="7"/>
  <c r="AG60" i="7"/>
  <c r="AH60" i="7"/>
  <c r="AI60" i="7"/>
  <c r="AJ60" i="7"/>
  <c r="AN60" i="7"/>
  <c r="AO60" i="7"/>
  <c r="AP60" i="7"/>
  <c r="AQ60" i="7"/>
  <c r="AR60" i="7"/>
  <c r="AS60" i="7"/>
  <c r="AT60" i="7"/>
  <c r="AU60" i="7"/>
  <c r="AV60" i="7"/>
  <c r="AX60" i="7"/>
  <c r="AY60" i="7"/>
  <c r="AZ60" i="7"/>
  <c r="BA60" i="7"/>
  <c r="BB60" i="7"/>
  <c r="BC60" i="7"/>
  <c r="BD60" i="7"/>
  <c r="BE60" i="7"/>
  <c r="BF60" i="7"/>
  <c r="BH60" i="7"/>
  <c r="BI60" i="7"/>
  <c r="BJ60" i="7"/>
  <c r="BK60" i="7"/>
  <c r="BL60" i="7"/>
  <c r="BM60" i="7"/>
  <c r="BN60" i="7"/>
  <c r="BO60" i="7"/>
  <c r="BP60" i="7"/>
  <c r="BR60" i="7"/>
  <c r="BS60" i="7"/>
  <c r="BT60" i="7"/>
  <c r="BU60" i="7"/>
  <c r="BV60" i="7"/>
  <c r="BW60" i="7"/>
  <c r="BX60" i="7"/>
  <c r="BY60" i="7"/>
  <c r="BZ60" i="7"/>
  <c r="CB60" i="7"/>
  <c r="CC60" i="7"/>
  <c r="CD60" i="7"/>
  <c r="CE60" i="7"/>
  <c r="CF60" i="7"/>
  <c r="CG60" i="7"/>
  <c r="CH60" i="7"/>
  <c r="CI60" i="7"/>
  <c r="CJ60" i="7"/>
  <c r="CL60" i="7"/>
  <c r="CM60" i="7"/>
  <c r="CN60" i="7"/>
  <c r="CO60" i="7"/>
  <c r="CP60" i="7"/>
  <c r="CQ60" i="7"/>
  <c r="CR60" i="7"/>
  <c r="CS60" i="7"/>
  <c r="CT60" i="7"/>
  <c r="CV60" i="7"/>
  <c r="CW60" i="7"/>
  <c r="CX60" i="7"/>
  <c r="CY60" i="7"/>
  <c r="CZ60" i="7"/>
  <c r="DA60" i="7"/>
  <c r="DB60" i="7"/>
  <c r="DC60" i="7"/>
  <c r="DD60" i="7"/>
  <c r="DF60" i="7"/>
  <c r="DG60" i="7"/>
  <c r="DH60" i="7"/>
  <c r="DI60" i="7"/>
  <c r="DJ60" i="7"/>
  <c r="DK60" i="7"/>
  <c r="DL60" i="7"/>
  <c r="DM60" i="7"/>
  <c r="DN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F60" i="7"/>
  <c r="E61" i="7"/>
  <c r="J61" i="7"/>
  <c r="K61" i="7"/>
  <c r="L61" i="7"/>
  <c r="M61" i="7"/>
  <c r="N61" i="7"/>
  <c r="O61" i="7"/>
  <c r="P61" i="7"/>
  <c r="Q61" i="7"/>
  <c r="R61" i="7"/>
  <c r="U61" i="7"/>
  <c r="V61" i="7"/>
  <c r="AC61" i="7"/>
  <c r="AD61" i="7"/>
  <c r="AE61" i="7"/>
  <c r="AF61" i="7"/>
  <c r="AG61" i="7"/>
  <c r="AH61" i="7"/>
  <c r="AI61" i="7"/>
  <c r="AJ61" i="7"/>
  <c r="AN61" i="7"/>
  <c r="AO61" i="7"/>
  <c r="AP61" i="7"/>
  <c r="AQ61" i="7"/>
  <c r="AR61" i="7"/>
  <c r="AS61" i="7"/>
  <c r="AT61" i="7"/>
  <c r="AU61" i="7"/>
  <c r="AV61" i="7"/>
  <c r="AX61" i="7"/>
  <c r="AY61" i="7"/>
  <c r="AZ61" i="7"/>
  <c r="BA61" i="7"/>
  <c r="BB61" i="7"/>
  <c r="BC61" i="7"/>
  <c r="BD61" i="7"/>
  <c r="BE61" i="7"/>
  <c r="BF61" i="7"/>
  <c r="BH61" i="7"/>
  <c r="BI61" i="7"/>
  <c r="BJ61" i="7"/>
  <c r="BK61" i="7"/>
  <c r="BL61" i="7"/>
  <c r="BM61" i="7"/>
  <c r="BN61" i="7"/>
  <c r="BO61" i="7"/>
  <c r="BP61" i="7"/>
  <c r="BR61" i="7"/>
  <c r="BS61" i="7"/>
  <c r="BT61" i="7"/>
  <c r="BU61" i="7"/>
  <c r="BV61" i="7"/>
  <c r="BW61" i="7"/>
  <c r="BX61" i="7"/>
  <c r="BY61" i="7"/>
  <c r="BZ61" i="7"/>
  <c r="CB61" i="7"/>
  <c r="CC61" i="7"/>
  <c r="CD61" i="7"/>
  <c r="CE61" i="7"/>
  <c r="CF61" i="7"/>
  <c r="CG61" i="7"/>
  <c r="CH61" i="7"/>
  <c r="CI61" i="7"/>
  <c r="CJ61" i="7"/>
  <c r="CL61" i="7"/>
  <c r="CM61" i="7"/>
  <c r="CN61" i="7"/>
  <c r="CO61" i="7"/>
  <c r="CP61" i="7"/>
  <c r="CQ61" i="7"/>
  <c r="CR61" i="7"/>
  <c r="CS61" i="7"/>
  <c r="CT61" i="7"/>
  <c r="CV61" i="7"/>
  <c r="CW61" i="7"/>
  <c r="CX61" i="7"/>
  <c r="CY61" i="7"/>
  <c r="CZ61" i="7"/>
  <c r="DA61" i="7"/>
  <c r="DB61" i="7"/>
  <c r="DC61" i="7"/>
  <c r="DD61" i="7"/>
  <c r="DF61" i="7"/>
  <c r="DG61" i="7"/>
  <c r="DH61" i="7"/>
  <c r="DI61" i="7"/>
  <c r="DJ61" i="7"/>
  <c r="DK61" i="7"/>
  <c r="DL61" i="7"/>
  <c r="DM61" i="7"/>
  <c r="DN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F61" i="7"/>
  <c r="E62" i="7"/>
  <c r="J62" i="7"/>
  <c r="K62" i="7"/>
  <c r="L62" i="7"/>
  <c r="M62" i="7"/>
  <c r="N62" i="7"/>
  <c r="O62" i="7"/>
  <c r="P62" i="7"/>
  <c r="Q62" i="7"/>
  <c r="R62" i="7"/>
  <c r="U62" i="7"/>
  <c r="V62" i="7"/>
  <c r="AC62" i="7"/>
  <c r="AD62" i="7"/>
  <c r="AE62" i="7"/>
  <c r="AF62" i="7"/>
  <c r="AG62" i="7"/>
  <c r="AH62" i="7"/>
  <c r="AI62" i="7"/>
  <c r="AJ62" i="7"/>
  <c r="AN62" i="7"/>
  <c r="AO62" i="7"/>
  <c r="AP62" i="7"/>
  <c r="AQ62" i="7"/>
  <c r="AR62" i="7"/>
  <c r="AS62" i="7"/>
  <c r="AT62" i="7"/>
  <c r="AU62" i="7"/>
  <c r="AV62" i="7"/>
  <c r="AX62" i="7"/>
  <c r="AY62" i="7"/>
  <c r="AZ62" i="7"/>
  <c r="BA62" i="7"/>
  <c r="BB62" i="7"/>
  <c r="BC62" i="7"/>
  <c r="BD62" i="7"/>
  <c r="BE62" i="7"/>
  <c r="BF62" i="7"/>
  <c r="BH62" i="7"/>
  <c r="BI62" i="7"/>
  <c r="BJ62" i="7"/>
  <c r="BK62" i="7"/>
  <c r="BL62" i="7"/>
  <c r="BM62" i="7"/>
  <c r="BN62" i="7"/>
  <c r="BO62" i="7"/>
  <c r="BP62" i="7"/>
  <c r="BR62" i="7"/>
  <c r="BS62" i="7"/>
  <c r="BT62" i="7"/>
  <c r="BU62" i="7"/>
  <c r="BV62" i="7"/>
  <c r="BW62" i="7"/>
  <c r="BX62" i="7"/>
  <c r="BY62" i="7"/>
  <c r="BZ62" i="7"/>
  <c r="CB62" i="7"/>
  <c r="CC62" i="7"/>
  <c r="CD62" i="7"/>
  <c r="CE62" i="7"/>
  <c r="CF62" i="7"/>
  <c r="CG62" i="7"/>
  <c r="CH62" i="7"/>
  <c r="CI62" i="7"/>
  <c r="CJ62" i="7"/>
  <c r="CL62" i="7"/>
  <c r="CM62" i="7"/>
  <c r="CN62" i="7"/>
  <c r="CO62" i="7"/>
  <c r="CP62" i="7"/>
  <c r="CQ62" i="7"/>
  <c r="CR62" i="7"/>
  <c r="CS62" i="7"/>
  <c r="CT62" i="7"/>
  <c r="CV62" i="7"/>
  <c r="CW62" i="7"/>
  <c r="CX62" i="7"/>
  <c r="CY62" i="7"/>
  <c r="CZ62" i="7"/>
  <c r="DA62" i="7"/>
  <c r="DB62" i="7"/>
  <c r="DC62" i="7"/>
  <c r="DD62" i="7"/>
  <c r="DF62" i="7"/>
  <c r="DG62" i="7"/>
  <c r="DH62" i="7"/>
  <c r="DI62" i="7"/>
  <c r="DJ62" i="7"/>
  <c r="DK62" i="7"/>
  <c r="DL62" i="7"/>
  <c r="DM62" i="7"/>
  <c r="DN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F62" i="7"/>
  <c r="E66" i="7"/>
  <c r="J66" i="7"/>
  <c r="K66" i="7"/>
  <c r="K63" i="7" s="1"/>
  <c r="L66" i="7"/>
  <c r="L69" i="7" s="1"/>
  <c r="M66" i="7"/>
  <c r="N66" i="7"/>
  <c r="O66" i="7"/>
  <c r="O63" i="7" s="1"/>
  <c r="P66" i="7"/>
  <c r="Q66" i="7"/>
  <c r="R66" i="7"/>
  <c r="R69" i="7" s="1"/>
  <c r="U66" i="7"/>
  <c r="V66" i="7"/>
  <c r="V69" i="7" s="1"/>
  <c r="AC66" i="7"/>
  <c r="AC69" i="7" s="1"/>
  <c r="AD66" i="7"/>
  <c r="AD63" i="7" s="1"/>
  <c r="AE66" i="7"/>
  <c r="AE69" i="7" s="1"/>
  <c r="AF66" i="7"/>
  <c r="AF63" i="7" s="1"/>
  <c r="AG66" i="7"/>
  <c r="AG69" i="7" s="1"/>
  <c r="AH66" i="7"/>
  <c r="AH63" i="7" s="1"/>
  <c r="AI66" i="7"/>
  <c r="AI68" i="7" s="1"/>
  <c r="AJ66" i="7"/>
  <c r="AJ63" i="7" s="1"/>
  <c r="AN66" i="7"/>
  <c r="AN68" i="7" s="1"/>
  <c r="AO66" i="7"/>
  <c r="AO63" i="7" s="1"/>
  <c r="AP66" i="7"/>
  <c r="AP68" i="7" s="1"/>
  <c r="AQ66" i="7"/>
  <c r="AQ64" i="7" s="1"/>
  <c r="AR66" i="7"/>
  <c r="AR68" i="7" s="1"/>
  <c r="AS66" i="7"/>
  <c r="AS63" i="7" s="1"/>
  <c r="AT66" i="7"/>
  <c r="AT68" i="7" s="1"/>
  <c r="AU66" i="7"/>
  <c r="AU63" i="7" s="1"/>
  <c r="AV66" i="7"/>
  <c r="AV68" i="7" s="1"/>
  <c r="AX66" i="7"/>
  <c r="AX63" i="7" s="1"/>
  <c r="AY66" i="7"/>
  <c r="AZ66" i="7"/>
  <c r="AZ64" i="7" s="1"/>
  <c r="BA66" i="7"/>
  <c r="BA68" i="7" s="1"/>
  <c r="BB66" i="7"/>
  <c r="BB63" i="7" s="1"/>
  <c r="BC66" i="7"/>
  <c r="BC68" i="7" s="1"/>
  <c r="BD66" i="7"/>
  <c r="BD63" i="7" s="1"/>
  <c r="BE66" i="7"/>
  <c r="BE68" i="7" s="1"/>
  <c r="BF66" i="7"/>
  <c r="BF63" i="7" s="1"/>
  <c r="BH66" i="7"/>
  <c r="BH68" i="7" s="1"/>
  <c r="BI66" i="7"/>
  <c r="BI64" i="7" s="1"/>
  <c r="BJ66" i="7"/>
  <c r="BJ68" i="7" s="1"/>
  <c r="BK66" i="7"/>
  <c r="BK63" i="7" s="1"/>
  <c r="BL66" i="7"/>
  <c r="BL68" i="7" s="1"/>
  <c r="BM66" i="7"/>
  <c r="BN66" i="7"/>
  <c r="BN67" i="7" s="1"/>
  <c r="BO66" i="7"/>
  <c r="BO63" i="7" s="1"/>
  <c r="BP66" i="7"/>
  <c r="BP67" i="7" s="1"/>
  <c r="BR66" i="7"/>
  <c r="BS66" i="7"/>
  <c r="BS67" i="7" s="1"/>
  <c r="BT66" i="7"/>
  <c r="BT63" i="7" s="1"/>
  <c r="BU66" i="7"/>
  <c r="BV66" i="7"/>
  <c r="BV63" i="7" s="1"/>
  <c r="BW66" i="7"/>
  <c r="BW67" i="7" s="1"/>
  <c r="BX66" i="7"/>
  <c r="BX63" i="7" s="1"/>
  <c r="BY66" i="7"/>
  <c r="BY67" i="7" s="1"/>
  <c r="BZ66" i="7"/>
  <c r="BZ64" i="7" s="1"/>
  <c r="CB66" i="7"/>
  <c r="CB67" i="7" s="1"/>
  <c r="CC66" i="7"/>
  <c r="CD66" i="7"/>
  <c r="CD67" i="7" s="1"/>
  <c r="CE66" i="7"/>
  <c r="CE63" i="7" s="1"/>
  <c r="CF66" i="7"/>
  <c r="CF67" i="7" s="1"/>
  <c r="CG66" i="7"/>
  <c r="CH66" i="7"/>
  <c r="CI66" i="7"/>
  <c r="CI64" i="7" s="1"/>
  <c r="CJ66" i="7"/>
  <c r="CJ67" i="7" s="1"/>
  <c r="CL66" i="7"/>
  <c r="CL63" i="7" s="1"/>
  <c r="CM66" i="7"/>
  <c r="CM68" i="7" s="1"/>
  <c r="CN66" i="7"/>
  <c r="CN63" i="7" s="1"/>
  <c r="CO66" i="7"/>
  <c r="CO67" i="7" s="1"/>
  <c r="CP66" i="7"/>
  <c r="CP63" i="7" s="1"/>
  <c r="CQ66" i="7"/>
  <c r="CQ67" i="7" s="1"/>
  <c r="CR66" i="7"/>
  <c r="CR64" i="7" s="1"/>
  <c r="CS66" i="7"/>
  <c r="CS67" i="7" s="1"/>
  <c r="CT66" i="7"/>
  <c r="CT63" i="7" s="1"/>
  <c r="CV66" i="7"/>
  <c r="CV67" i="7" s="1"/>
  <c r="CW66" i="7"/>
  <c r="CW63" i="7" s="1"/>
  <c r="CX66" i="7"/>
  <c r="CX67" i="7" s="1"/>
  <c r="CY66" i="7"/>
  <c r="CY63" i="7" s="1"/>
  <c r="CZ66" i="7"/>
  <c r="CZ67" i="7" s="1"/>
  <c r="DA66" i="7"/>
  <c r="DA64" i="7" s="1"/>
  <c r="DB66" i="7"/>
  <c r="DB67" i="7" s="1"/>
  <c r="DC66" i="7"/>
  <c r="DC63" i="7" s="1"/>
  <c r="DD66" i="7"/>
  <c r="DD67" i="7" s="1"/>
  <c r="DF66" i="7"/>
  <c r="DF63" i="7" s="1"/>
  <c r="DG66" i="7"/>
  <c r="DG69" i="7" s="1"/>
  <c r="DH66" i="7"/>
  <c r="DI66" i="7"/>
  <c r="DI67" i="7" s="1"/>
  <c r="DJ66" i="7"/>
  <c r="DJ64" i="7" s="1"/>
  <c r="DK66" i="7"/>
  <c r="DK67" i="7" s="1"/>
  <c r="DL66" i="7"/>
  <c r="DL63" i="7" s="1"/>
  <c r="DM66" i="7"/>
  <c r="DM67" i="7" s="1"/>
  <c r="DN66" i="7"/>
  <c r="DN63" i="7" s="1"/>
  <c r="DP66" i="7"/>
  <c r="DP67" i="7" s="1"/>
  <c r="DQ66" i="7"/>
  <c r="DQ63" i="7" s="1"/>
  <c r="DR66" i="7"/>
  <c r="DR67" i="7" s="1"/>
  <c r="DS66" i="7"/>
  <c r="DS64" i="7" s="1"/>
  <c r="DT66" i="7"/>
  <c r="DT67" i="7" s="1"/>
  <c r="DU66" i="7"/>
  <c r="DU63" i="7" s="1"/>
  <c r="DV66" i="7"/>
  <c r="DV67" i="7" s="1"/>
  <c r="DW66" i="7"/>
  <c r="DW63" i="7" s="1"/>
  <c r="DX66" i="7"/>
  <c r="DX67" i="7" s="1"/>
  <c r="DY66" i="7"/>
  <c r="DY63" i="7" s="1"/>
  <c r="DZ66" i="7"/>
  <c r="DZ63" i="7" s="1"/>
  <c r="EA66" i="7"/>
  <c r="EA63" i="7" s="1"/>
  <c r="EB66" i="7"/>
  <c r="EB63" i="7" s="1"/>
  <c r="EC66" i="7"/>
  <c r="EC63" i="7" s="1"/>
  <c r="ED66" i="7"/>
  <c r="ED63" i="7" s="1"/>
  <c r="EE66" i="7"/>
  <c r="EE63" i="7" s="1"/>
  <c r="EF66" i="7"/>
  <c r="EF63" i="7" s="1"/>
  <c r="EG66" i="7"/>
  <c r="EG63" i="7" s="1"/>
  <c r="EH66" i="7"/>
  <c r="EH63" i="7" s="1"/>
  <c r="EI66" i="7"/>
  <c r="EI63" i="7" s="1"/>
  <c r="EJ66" i="7"/>
  <c r="EJ63" i="7" s="1"/>
  <c r="EK66" i="7"/>
  <c r="EK63" i="7" s="1"/>
  <c r="EL66" i="7"/>
  <c r="EL63" i="7" s="1"/>
  <c r="EM66" i="7"/>
  <c r="EM63" i="7" s="1"/>
  <c r="EN66" i="7"/>
  <c r="EN63" i="7" s="1"/>
  <c r="EO66" i="7"/>
  <c r="EO63" i="7" s="1"/>
  <c r="EP66" i="7"/>
  <c r="EP63" i="7" s="1"/>
  <c r="ES66" i="7"/>
  <c r="ES63" i="7" s="1"/>
  <c r="ET66" i="7"/>
  <c r="ET63" i="7" s="1"/>
  <c r="EU66" i="7"/>
  <c r="EU63" i="7" s="1"/>
  <c r="EV66" i="7"/>
  <c r="EV63" i="7" s="1"/>
  <c r="EW66" i="7"/>
  <c r="EW63" i="7" s="1"/>
  <c r="EX66" i="7"/>
  <c r="EX63" i="7" s="1"/>
  <c r="EY66" i="7"/>
  <c r="EY63" i="7" s="1"/>
  <c r="EZ66" i="7"/>
  <c r="EZ63" i="7" s="1"/>
  <c r="FA66" i="7"/>
  <c r="FA63" i="7" s="1"/>
  <c r="FB66" i="7"/>
  <c r="FB63" i="7" s="1"/>
  <c r="FC66" i="7"/>
  <c r="FC63" i="7" s="1"/>
  <c r="FD66" i="7"/>
  <c r="FD63" i="7" s="1"/>
  <c r="FF66" i="7"/>
  <c r="FF63" i="7" s="1"/>
  <c r="E67" i="7"/>
  <c r="J67" i="7"/>
  <c r="K67" i="7"/>
  <c r="L67" i="7"/>
  <c r="M67" i="7"/>
  <c r="P67" i="7"/>
  <c r="Q67" i="7"/>
  <c r="R67" i="7"/>
  <c r="U67" i="7"/>
  <c r="V67" i="7"/>
  <c r="AC67" i="7"/>
  <c r="AD67" i="7"/>
  <c r="AE67" i="7"/>
  <c r="AF67" i="7"/>
  <c r="AG67" i="7"/>
  <c r="AH67" i="7"/>
  <c r="AI67" i="7"/>
  <c r="AJ67" i="7"/>
  <c r="AP67" i="7"/>
  <c r="AX67" i="7"/>
  <c r="AY67" i="7"/>
  <c r="AZ67" i="7"/>
  <c r="BA67" i="7"/>
  <c r="BB67" i="7"/>
  <c r="BC67" i="7"/>
  <c r="BD67" i="7"/>
  <c r="BE67" i="7"/>
  <c r="BF67" i="7"/>
  <c r="BH67" i="7"/>
  <c r="BI67" i="7"/>
  <c r="BJ67" i="7"/>
  <c r="BK67" i="7"/>
  <c r="BL67" i="7"/>
  <c r="AY69" i="7" l="1"/>
  <c r="M64" i="7"/>
  <c r="U69" i="7"/>
  <c r="Q69" i="7"/>
  <c r="EN69" i="7"/>
  <c r="BR64" i="7"/>
  <c r="J69" i="7"/>
  <c r="P69" i="7"/>
  <c r="N67" i="7"/>
  <c r="O67" i="7"/>
  <c r="N68" i="7"/>
  <c r="E64" i="7"/>
  <c r="CG67" i="7"/>
  <c r="AV67" i="7"/>
  <c r="AG68" i="7"/>
  <c r="AT67" i="7"/>
  <c r="BU67" i="7"/>
  <c r="DH63" i="7"/>
  <c r="AU67" i="7"/>
  <c r="AC68" i="7"/>
  <c r="AR67" i="7"/>
  <c r="AS67" i="7"/>
  <c r="AI69" i="7"/>
  <c r="O69" i="7"/>
  <c r="AO67" i="7"/>
  <c r="AQ67" i="7"/>
  <c r="AE68" i="7"/>
  <c r="AN67" i="7"/>
  <c r="ED68" i="7"/>
  <c r="DD69" i="7"/>
  <c r="BH69" i="7"/>
  <c r="AV69" i="7"/>
  <c r="U68" i="7"/>
  <c r="Q68" i="7"/>
  <c r="M68" i="7"/>
  <c r="EC68" i="7"/>
  <c r="AH68" i="7"/>
  <c r="AF68" i="7"/>
  <c r="AD68" i="7"/>
  <c r="V68" i="7"/>
  <c r="R68" i="7"/>
  <c r="P68" i="7"/>
  <c r="EN68" i="7"/>
  <c r="EN67" i="7"/>
  <c r="CC63" i="7"/>
  <c r="N69" i="7"/>
  <c r="L68" i="7"/>
  <c r="AT69" i="7"/>
  <c r="DC69" i="7"/>
  <c r="AX69" i="7"/>
  <c r="AU69" i="7"/>
  <c r="AQ69" i="7"/>
  <c r="AD69" i="7"/>
  <c r="EB68" i="7"/>
  <c r="CJ69" i="7"/>
  <c r="CH67" i="7"/>
  <c r="BY69" i="7"/>
  <c r="O68" i="7"/>
  <c r="FC69" i="7"/>
  <c r="CP69" i="7"/>
  <c r="BZ69" i="7"/>
  <c r="BX69" i="7"/>
  <c r="BD69" i="7"/>
  <c r="AB57" i="7"/>
  <c r="EJ68" i="7"/>
  <c r="EJ67" i="7"/>
  <c r="EH69" i="7"/>
  <c r="EF67" i="7"/>
  <c r="DG68" i="7"/>
  <c r="DG67" i="7"/>
  <c r="CV68" i="7"/>
  <c r="CS69" i="7"/>
  <c r="CM67" i="7"/>
  <c r="BS69" i="7"/>
  <c r="BS68" i="7"/>
  <c r="BA69" i="7"/>
  <c r="AY68" i="7"/>
  <c r="EP69" i="7"/>
  <c r="EL69" i="7"/>
  <c r="DX69" i="7"/>
  <c r="BP69" i="7"/>
  <c r="EP68" i="7"/>
  <c r="EL68" i="7"/>
  <c r="EH68" i="7"/>
  <c r="DX68" i="7"/>
  <c r="DD68" i="7"/>
  <c r="CJ68" i="7"/>
  <c r="BP68" i="7"/>
  <c r="EP67" i="7"/>
  <c r="EL67" i="7"/>
  <c r="EH67" i="7"/>
  <c r="ER66" i="7"/>
  <c r="AB66" i="7"/>
  <c r="ER62" i="7"/>
  <c r="AB62" i="7"/>
  <c r="ER61" i="7"/>
  <c r="AB61" i="7"/>
  <c r="ER60" i="7"/>
  <c r="AB60" i="7"/>
  <c r="ER59" i="7"/>
  <c r="AB59" i="7"/>
  <c r="ER58" i="7"/>
  <c r="AB58" i="7"/>
  <c r="ER57" i="7"/>
  <c r="ER56" i="7"/>
  <c r="AC105" i="2"/>
  <c r="BM69" i="7"/>
  <c r="FD69" i="7"/>
  <c r="FB69" i="7"/>
  <c r="Q64" i="7"/>
  <c r="EZ69" i="7"/>
  <c r="FA69" i="7"/>
  <c r="EJ69" i="7"/>
  <c r="CM69" i="7"/>
  <c r="BN69" i="7"/>
  <c r="BJ69" i="7"/>
  <c r="AP69" i="7"/>
  <c r="AN69" i="7"/>
  <c r="M69" i="7"/>
  <c r="K69" i="7"/>
  <c r="DS69" i="7"/>
  <c r="CI69" i="7"/>
  <c r="BT69" i="7"/>
  <c r="BR69" i="7"/>
  <c r="BO69" i="7"/>
  <c r="BK69" i="7"/>
  <c r="BB69" i="7"/>
  <c r="AZ69" i="7"/>
  <c r="AJ69" i="7"/>
  <c r="AH69" i="7"/>
  <c r="AF69" i="7"/>
  <c r="EX68" i="7"/>
  <c r="EF69" i="7"/>
  <c r="EF68" i="7"/>
  <c r="DV68" i="7"/>
  <c r="DP68" i="7"/>
  <c r="DI68" i="7"/>
  <c r="CZ68" i="7"/>
  <c r="CX68" i="7"/>
  <c r="CH68" i="7"/>
  <c r="CB68" i="7"/>
  <c r="BU68" i="7"/>
  <c r="BL69" i="7"/>
  <c r="BI69" i="7"/>
  <c r="BF69" i="7"/>
  <c r="BE69" i="7"/>
  <c r="BC69" i="7"/>
  <c r="AS69" i="7"/>
  <c r="AR69" i="7"/>
  <c r="AO69" i="7"/>
  <c r="K68" i="7"/>
  <c r="EX69" i="7"/>
  <c r="DW69" i="7"/>
  <c r="DJ69" i="7"/>
  <c r="CT69" i="7"/>
  <c r="CR69" i="7"/>
  <c r="CN69" i="7"/>
  <c r="CE69" i="7"/>
  <c r="BV69" i="7"/>
  <c r="FB68" i="7"/>
  <c r="DW68" i="7"/>
  <c r="DS68" i="7"/>
  <c r="DJ68" i="7"/>
  <c r="DH68" i="7"/>
  <c r="CR68" i="7"/>
  <c r="CI68" i="7"/>
  <c r="CE68" i="7"/>
  <c r="BV68" i="7"/>
  <c r="BT68" i="7"/>
  <c r="BK68" i="7"/>
  <c r="BI68" i="7"/>
  <c r="BF68" i="7"/>
  <c r="BD68" i="7"/>
  <c r="BB68" i="7"/>
  <c r="AZ68" i="7"/>
  <c r="AX68" i="7"/>
  <c r="AU68" i="7"/>
  <c r="AS68" i="7"/>
  <c r="AQ68" i="7"/>
  <c r="AO68" i="7"/>
  <c r="AJ68" i="7"/>
  <c r="EY69" i="7"/>
  <c r="EU69" i="7"/>
  <c r="EU68" i="7"/>
  <c r="ED69" i="7"/>
  <c r="EA68" i="7"/>
  <c r="DZ67" i="7"/>
  <c r="DZ69" i="7"/>
  <c r="DR68" i="7"/>
  <c r="DM69" i="7"/>
  <c r="DB68" i="7"/>
  <c r="CO68" i="7"/>
  <c r="CG69" i="7"/>
  <c r="CD68" i="7"/>
  <c r="J68" i="7"/>
  <c r="E69" i="7"/>
  <c r="EV69" i="7"/>
  <c r="ET69" i="7"/>
  <c r="EO69" i="7"/>
  <c r="EM69" i="7"/>
  <c r="EK69" i="7"/>
  <c r="EI69" i="7"/>
  <c r="EG69" i="7"/>
  <c r="DU69" i="7"/>
  <c r="DN69" i="7"/>
  <c r="DL69" i="7"/>
  <c r="DH69" i="7"/>
  <c r="FD68" i="7"/>
  <c r="EZ68" i="7"/>
  <c r="EV68" i="7"/>
  <c r="ET68" i="7"/>
  <c r="EO68" i="7"/>
  <c r="EM68" i="7"/>
  <c r="EK68" i="7"/>
  <c r="EI68" i="7"/>
  <c r="EG68" i="7"/>
  <c r="DL68" i="7"/>
  <c r="DC68" i="7"/>
  <c r="CP68" i="7"/>
  <c r="CN68" i="7"/>
  <c r="BX68" i="7"/>
  <c r="BO68" i="7"/>
  <c r="FC68" i="7"/>
  <c r="FC67" i="7"/>
  <c r="FA68" i="7"/>
  <c r="FA67" i="7"/>
  <c r="EY68" i="7"/>
  <c r="EY67" i="7"/>
  <c r="EW69" i="7"/>
  <c r="EW68" i="7"/>
  <c r="EW67" i="7"/>
  <c r="EU67" i="7"/>
  <c r="FF69" i="7"/>
  <c r="ES69" i="7"/>
  <c r="FF68" i="7"/>
  <c r="ES68" i="7"/>
  <c r="FF67" i="7"/>
  <c r="ES67" i="7"/>
  <c r="EE69" i="7"/>
  <c r="EE68" i="7"/>
  <c r="ED67" i="7"/>
  <c r="EC69" i="7"/>
  <c r="EA69" i="7"/>
  <c r="DZ68" i="7"/>
  <c r="EB69" i="7"/>
  <c r="EB67" i="7"/>
  <c r="DY69" i="7"/>
  <c r="DY68" i="7"/>
  <c r="DV69" i="7"/>
  <c r="DU68" i="7"/>
  <c r="DT69" i="7"/>
  <c r="DT68" i="7"/>
  <c r="DR69" i="7"/>
  <c r="DQ69" i="7"/>
  <c r="DQ68" i="7"/>
  <c r="DP69" i="7"/>
  <c r="DN68" i="7"/>
  <c r="DM68" i="7"/>
  <c r="DK69" i="7"/>
  <c r="DK68" i="7"/>
  <c r="DI69" i="7"/>
  <c r="DF69" i="7"/>
  <c r="DF68" i="7"/>
  <c r="DB69" i="7"/>
  <c r="DA69" i="7"/>
  <c r="DA68" i="7"/>
  <c r="CZ69" i="7"/>
  <c r="CY69" i="7"/>
  <c r="CY68" i="7"/>
  <c r="CX69" i="7"/>
  <c r="CW69" i="7"/>
  <c r="CW68" i="7"/>
  <c r="CV69" i="7"/>
  <c r="CT68" i="7"/>
  <c r="CS68" i="7"/>
  <c r="CQ69" i="7"/>
  <c r="CQ68" i="7"/>
  <c r="CO69" i="7"/>
  <c r="CL69" i="7"/>
  <c r="CL68" i="7"/>
  <c r="CH69" i="7"/>
  <c r="CG68" i="7"/>
  <c r="CF69" i="7"/>
  <c r="CF68" i="7"/>
  <c r="CD69" i="7"/>
  <c r="CC69" i="7"/>
  <c r="CC68" i="7"/>
  <c r="CB69" i="7"/>
  <c r="BZ68" i="7"/>
  <c r="BY68" i="7"/>
  <c r="BW69" i="7"/>
  <c r="BW68" i="7"/>
  <c r="BU69" i="7"/>
  <c r="BR68" i="7"/>
  <c r="BN68" i="7"/>
  <c r="BM63" i="7"/>
  <c r="E68" i="7"/>
  <c r="FD67" i="7"/>
  <c r="FB67" i="7"/>
  <c r="EZ67" i="7"/>
  <c r="EX67" i="7"/>
  <c r="EV67" i="7"/>
  <c r="ET67" i="7"/>
  <c r="ER67" i="7"/>
  <c r="EO67" i="7"/>
  <c r="EM67" i="7"/>
  <c r="EK67" i="7"/>
  <c r="EI67" i="7"/>
  <c r="EG67" i="7"/>
  <c r="EE67" i="7"/>
  <c r="EC67" i="7"/>
  <c r="EA67" i="7"/>
  <c r="DY67" i="7"/>
  <c r="DW67" i="7"/>
  <c r="DU67" i="7"/>
  <c r="DS67" i="7"/>
  <c r="DQ67" i="7"/>
  <c r="DN67" i="7"/>
  <c r="DL67" i="7"/>
  <c r="DJ67" i="7"/>
  <c r="DH67" i="7"/>
  <c r="DF67" i="7"/>
  <c r="DC67" i="7"/>
  <c r="DA67" i="7"/>
  <c r="CY67" i="7"/>
  <c r="CW67" i="7"/>
  <c r="CT67" i="7"/>
  <c r="CR67" i="7"/>
  <c r="CP67" i="7"/>
  <c r="CN67" i="7"/>
  <c r="CL67" i="7"/>
  <c r="CI67" i="7"/>
  <c r="CE67" i="7"/>
  <c r="CC67" i="7"/>
  <c r="BZ67" i="7"/>
  <c r="BX67" i="7"/>
  <c r="BV67" i="7"/>
  <c r="BT67" i="7"/>
  <c r="BR67" i="7"/>
  <c r="BO67" i="7"/>
  <c r="AB105" i="2"/>
  <c r="BM68" i="7"/>
  <c r="BM67" i="7"/>
  <c r="AC106" i="2"/>
  <c r="AB106" i="2"/>
  <c r="J56" i="7"/>
  <c r="U63" i="7"/>
  <c r="E109" i="2"/>
  <c r="L109" i="2" s="1"/>
  <c r="E108" i="2"/>
  <c r="L108" i="2" s="1"/>
  <c r="AB107" i="2"/>
  <c r="E110" i="2"/>
  <c r="L110" i="2" s="1"/>
  <c r="E107" i="2"/>
  <c r="L107" i="2" s="1"/>
  <c r="CG63" i="7"/>
  <c r="L114" i="2"/>
  <c r="L112" i="2"/>
  <c r="L113" i="2"/>
  <c r="L111" i="2"/>
  <c r="AH64" i="7"/>
  <c r="U64" i="7"/>
  <c r="Q63" i="7"/>
  <c r="E119" i="2"/>
  <c r="L119" i="2" s="1"/>
  <c r="E117" i="2"/>
  <c r="L117" i="2" s="1"/>
  <c r="Y107" i="2"/>
  <c r="AC107" i="2" s="1"/>
  <c r="AD64" i="7"/>
  <c r="O64" i="7"/>
  <c r="E63" i="7"/>
  <c r="E118" i="2"/>
  <c r="L118" i="2" s="1"/>
  <c r="V113" i="2"/>
  <c r="V112" i="2"/>
  <c r="V114" i="2"/>
  <c r="V111" i="2"/>
  <c r="L106" i="2"/>
  <c r="L105" i="2"/>
  <c r="V110" i="2"/>
  <c r="V109" i="2"/>
  <c r="V108" i="2"/>
  <c r="V107" i="2"/>
  <c r="V106" i="2"/>
  <c r="V105" i="2"/>
  <c r="AD106" i="2"/>
  <c r="AD105" i="2"/>
  <c r="FD65" i="7"/>
  <c r="FB65" i="7"/>
  <c r="EZ65" i="7"/>
  <c r="EX65" i="7"/>
  <c r="EV65" i="7"/>
  <c r="ET65" i="7"/>
  <c r="ER65" i="7"/>
  <c r="EO65" i="7"/>
  <c r="EM65" i="7"/>
  <c r="EK65" i="7"/>
  <c r="EI65" i="7"/>
  <c r="EG65" i="7"/>
  <c r="EE65" i="7"/>
  <c r="EC65" i="7"/>
  <c r="EA65" i="7"/>
  <c r="DY65" i="7"/>
  <c r="DW65" i="7"/>
  <c r="DU65" i="7"/>
  <c r="DS65" i="7"/>
  <c r="DQ65" i="7"/>
  <c r="DN65" i="7"/>
  <c r="DL65" i="7"/>
  <c r="DJ65" i="7"/>
  <c r="DH65" i="7"/>
  <c r="DF65" i="7"/>
  <c r="DC65" i="7"/>
  <c r="DA65" i="7"/>
  <c r="CY65" i="7"/>
  <c r="CW65" i="7"/>
  <c r="CT65" i="7"/>
  <c r="CR65" i="7"/>
  <c r="CP65" i="7"/>
  <c r="CN65" i="7"/>
  <c r="CL65" i="7"/>
  <c r="CI65" i="7"/>
  <c r="CG65" i="7"/>
  <c r="CE65" i="7"/>
  <c r="CC65" i="7"/>
  <c r="BZ65" i="7"/>
  <c r="BX65" i="7"/>
  <c r="BV65" i="7"/>
  <c r="BT65" i="7"/>
  <c r="BR65" i="7"/>
  <c r="BO65" i="7"/>
  <c r="BM65" i="7"/>
  <c r="BK65" i="7"/>
  <c r="BI65" i="7"/>
  <c r="BF65" i="7"/>
  <c r="BD65" i="7"/>
  <c r="BB65" i="7"/>
  <c r="AZ65" i="7"/>
  <c r="AX65" i="7"/>
  <c r="AU65" i="7"/>
  <c r="AS65" i="7"/>
  <c r="AQ65" i="7"/>
  <c r="AO65" i="7"/>
  <c r="AJ65" i="7"/>
  <c r="AH65" i="7"/>
  <c r="AF65" i="7"/>
  <c r="AD65" i="7"/>
  <c r="U65" i="7"/>
  <c r="Q65" i="7"/>
  <c r="O65" i="7"/>
  <c r="M65" i="7"/>
  <c r="K65" i="7"/>
  <c r="E65" i="7"/>
  <c r="FD64" i="7"/>
  <c r="FB64" i="7"/>
  <c r="EZ64" i="7"/>
  <c r="EX64" i="7"/>
  <c r="EV64" i="7"/>
  <c r="ET64" i="7"/>
  <c r="EO64" i="7"/>
  <c r="EM64" i="7"/>
  <c r="EK64" i="7"/>
  <c r="EI64" i="7"/>
  <c r="EG64" i="7"/>
  <c r="EE64" i="7"/>
  <c r="EC64" i="7"/>
  <c r="EA64" i="7"/>
  <c r="DY64" i="7"/>
  <c r="DU64" i="7"/>
  <c r="DQ64" i="7"/>
  <c r="DL64" i="7"/>
  <c r="DH64" i="7"/>
  <c r="DC64" i="7"/>
  <c r="CY64" i="7"/>
  <c r="CT64" i="7"/>
  <c r="CP64" i="7"/>
  <c r="CL64" i="7"/>
  <c r="CG64" i="7"/>
  <c r="CC64" i="7"/>
  <c r="BX64" i="7"/>
  <c r="BT64" i="7"/>
  <c r="BO64" i="7"/>
  <c r="BK64" i="7"/>
  <c r="BF64" i="7"/>
  <c r="BB64" i="7"/>
  <c r="AX64" i="7"/>
  <c r="AS64" i="7"/>
  <c r="AO64" i="7"/>
  <c r="AJ64" i="7"/>
  <c r="AF64" i="7"/>
  <c r="K64" i="7"/>
  <c r="DS63" i="7"/>
  <c r="DJ63" i="7"/>
  <c r="DA63" i="7"/>
  <c r="CR63" i="7"/>
  <c r="CI63" i="7"/>
  <c r="BZ63" i="7"/>
  <c r="BR63" i="7"/>
  <c r="BI63" i="7"/>
  <c r="AZ63" i="7"/>
  <c r="AQ63" i="7"/>
  <c r="M63" i="7"/>
  <c r="DX63" i="7"/>
  <c r="DX64" i="7"/>
  <c r="DV63" i="7"/>
  <c r="DV64" i="7"/>
  <c r="DT63" i="7"/>
  <c r="DT64" i="7"/>
  <c r="DR63" i="7"/>
  <c r="DR64" i="7"/>
  <c r="DP63" i="7"/>
  <c r="DP64" i="7"/>
  <c r="DM63" i="7"/>
  <c r="DM64" i="7"/>
  <c r="DK63" i="7"/>
  <c r="DK64" i="7"/>
  <c r="DI63" i="7"/>
  <c r="DI64" i="7"/>
  <c r="DG63" i="7"/>
  <c r="DG64" i="7"/>
  <c r="DD63" i="7"/>
  <c r="DD64" i="7"/>
  <c r="DB63" i="7"/>
  <c r="DB64" i="7"/>
  <c r="CZ63" i="7"/>
  <c r="CZ64" i="7"/>
  <c r="CX63" i="7"/>
  <c r="CX64" i="7"/>
  <c r="CV63" i="7"/>
  <c r="CV64" i="7"/>
  <c r="CS63" i="7"/>
  <c r="CS64" i="7"/>
  <c r="CQ63" i="7"/>
  <c r="CQ64" i="7"/>
  <c r="CO63" i="7"/>
  <c r="CO64" i="7"/>
  <c r="CM63" i="7"/>
  <c r="CM64" i="7"/>
  <c r="CJ63" i="7"/>
  <c r="CJ64" i="7"/>
  <c r="CH63" i="7"/>
  <c r="CH64" i="7"/>
  <c r="CF63" i="7"/>
  <c r="CF64" i="7"/>
  <c r="CD63" i="7"/>
  <c r="CD64" i="7"/>
  <c r="CB63" i="7"/>
  <c r="CB64" i="7"/>
  <c r="BY63" i="7"/>
  <c r="BY64" i="7"/>
  <c r="BW63" i="7"/>
  <c r="BW64" i="7"/>
  <c r="BU63" i="7"/>
  <c r="BU64" i="7"/>
  <c r="BS63" i="7"/>
  <c r="BS64" i="7"/>
  <c r="BP63" i="7"/>
  <c r="BP64" i="7"/>
  <c r="BN63" i="7"/>
  <c r="BN64" i="7"/>
  <c r="BL63" i="7"/>
  <c r="BL64" i="7"/>
  <c r="BJ63" i="7"/>
  <c r="BJ64" i="7"/>
  <c r="BH63" i="7"/>
  <c r="BH64" i="7"/>
  <c r="BE63" i="7"/>
  <c r="BE64" i="7"/>
  <c r="BC63" i="7"/>
  <c r="BC64" i="7"/>
  <c r="BA63" i="7"/>
  <c r="BA64" i="7"/>
  <c r="AY63" i="7"/>
  <c r="AY64" i="7"/>
  <c r="AV63" i="7"/>
  <c r="AV64" i="7"/>
  <c r="AT63" i="7"/>
  <c r="AT64" i="7"/>
  <c r="AR63" i="7"/>
  <c r="AR64" i="7"/>
  <c r="AP63" i="7"/>
  <c r="AP64" i="7"/>
  <c r="AN63" i="7"/>
  <c r="AN64" i="7"/>
  <c r="AI63" i="7"/>
  <c r="AI64" i="7"/>
  <c r="AG63" i="7"/>
  <c r="AG64" i="7"/>
  <c r="AE63" i="7"/>
  <c r="AE64" i="7"/>
  <c r="AC63" i="7"/>
  <c r="AC64" i="7"/>
  <c r="V63" i="7"/>
  <c r="V64" i="7"/>
  <c r="R63" i="7"/>
  <c r="R64" i="7"/>
  <c r="P63" i="7"/>
  <c r="P64" i="7"/>
  <c r="N63" i="7"/>
  <c r="N64" i="7"/>
  <c r="L63" i="7"/>
  <c r="L64" i="7"/>
  <c r="J63" i="7"/>
  <c r="J64" i="7"/>
  <c r="FF65" i="7"/>
  <c r="FC65" i="7"/>
  <c r="FA65" i="7"/>
  <c r="EY65" i="7"/>
  <c r="EW65" i="7"/>
  <c r="EU65" i="7"/>
  <c r="ES65" i="7"/>
  <c r="EP65" i="7"/>
  <c r="EN65" i="7"/>
  <c r="EL65" i="7"/>
  <c r="EJ65" i="7"/>
  <c r="EH65" i="7"/>
  <c r="EF65" i="7"/>
  <c r="ED65" i="7"/>
  <c r="EB65" i="7"/>
  <c r="DZ65" i="7"/>
  <c r="DX65" i="7"/>
  <c r="DV65" i="7"/>
  <c r="DT65" i="7"/>
  <c r="DR65" i="7"/>
  <c r="DP65" i="7"/>
  <c r="DM65" i="7"/>
  <c r="DK65" i="7"/>
  <c r="DI65" i="7"/>
  <c r="DG65" i="7"/>
  <c r="DD65" i="7"/>
  <c r="DB65" i="7"/>
  <c r="CZ65" i="7"/>
  <c r="CX65" i="7"/>
  <c r="CV65" i="7"/>
  <c r="CS65" i="7"/>
  <c r="CQ65" i="7"/>
  <c r="CO65" i="7"/>
  <c r="CM65" i="7"/>
  <c r="CJ65" i="7"/>
  <c r="CH65" i="7"/>
  <c r="CF65" i="7"/>
  <c r="CD65" i="7"/>
  <c r="CB65" i="7"/>
  <c r="BY65" i="7"/>
  <c r="BW65" i="7"/>
  <c r="BU65" i="7"/>
  <c r="BS65" i="7"/>
  <c r="BP65" i="7"/>
  <c r="BN65" i="7"/>
  <c r="BL65" i="7"/>
  <c r="BJ65" i="7"/>
  <c r="BH65" i="7"/>
  <c r="BE65" i="7"/>
  <c r="BC65" i="7"/>
  <c r="BA65" i="7"/>
  <c r="AY65" i="7"/>
  <c r="AV65" i="7"/>
  <c r="AT65" i="7"/>
  <c r="AR65" i="7"/>
  <c r="AP65" i="7"/>
  <c r="AN65" i="7"/>
  <c r="AI65" i="7"/>
  <c r="AG65" i="7"/>
  <c r="AE65" i="7"/>
  <c r="AC65" i="7"/>
  <c r="V65" i="7"/>
  <c r="R65" i="7"/>
  <c r="P65" i="7"/>
  <c r="N65" i="7"/>
  <c r="L65" i="7"/>
  <c r="J65" i="7"/>
  <c r="FF64" i="7"/>
  <c r="FC64" i="7"/>
  <c r="FA64" i="7"/>
  <c r="EY64" i="7"/>
  <c r="EW64" i="7"/>
  <c r="EU64" i="7"/>
  <c r="ES64" i="7"/>
  <c r="EP64" i="7"/>
  <c r="EN64" i="7"/>
  <c r="EL64" i="7"/>
  <c r="EJ64" i="7"/>
  <c r="EH64" i="7"/>
  <c r="EF64" i="7"/>
  <c r="ED64" i="7"/>
  <c r="EB64" i="7"/>
  <c r="DZ64" i="7"/>
  <c r="DW64" i="7"/>
  <c r="DN64" i="7"/>
  <c r="DF64" i="7"/>
  <c r="CW64" i="7"/>
  <c r="CN64" i="7"/>
  <c r="CE64" i="7"/>
  <c r="BV64" i="7"/>
  <c r="BM64" i="7"/>
  <c r="BD64" i="7"/>
  <c r="AU64" i="7"/>
  <c r="AB65" i="7" l="1"/>
  <c r="AB64" i="7"/>
  <c r="ER69" i="7"/>
  <c r="ER64" i="7"/>
  <c r="ER68" i="7"/>
  <c r="AB63" i="7"/>
  <c r="AB67" i="7"/>
  <c r="AB68" i="7"/>
  <c r="AB69" i="7"/>
  <c r="ER63" i="7"/>
  <c r="AD107" i="2"/>
  <c r="C88" i="2"/>
  <c r="D88" i="2"/>
  <c r="F88" i="2"/>
  <c r="G88" i="2"/>
  <c r="H88" i="2"/>
  <c r="I88" i="2"/>
  <c r="J88" i="2"/>
  <c r="K88" i="2"/>
  <c r="O88" i="2"/>
  <c r="P88" i="2"/>
  <c r="Q88" i="2"/>
  <c r="R88" i="2"/>
  <c r="S88" i="2"/>
  <c r="T88" i="2"/>
  <c r="U88" i="2"/>
  <c r="Z88" i="2"/>
  <c r="AA88" i="2"/>
  <c r="AG88" i="2"/>
  <c r="AH88" i="2"/>
  <c r="AI88" i="2"/>
  <c r="AJ88" i="2"/>
  <c r="C89" i="2"/>
  <c r="D89" i="2"/>
  <c r="F89" i="2"/>
  <c r="G89" i="2"/>
  <c r="H89" i="2"/>
  <c r="I89" i="2"/>
  <c r="J89" i="2"/>
  <c r="K89" i="2"/>
  <c r="O89" i="2"/>
  <c r="P89" i="2"/>
  <c r="Q89" i="2"/>
  <c r="R89" i="2"/>
  <c r="S89" i="2"/>
  <c r="T89" i="2"/>
  <c r="U89" i="2"/>
  <c r="Z89" i="2"/>
  <c r="AA89" i="2"/>
  <c r="AG89" i="2"/>
  <c r="AH89" i="2"/>
  <c r="AI89" i="2"/>
  <c r="AJ89" i="2"/>
  <c r="C90" i="2"/>
  <c r="D90" i="2"/>
  <c r="F90" i="2"/>
  <c r="G90" i="2"/>
  <c r="H90" i="2"/>
  <c r="I90" i="2"/>
  <c r="J90" i="2"/>
  <c r="K90" i="2"/>
  <c r="O90" i="2"/>
  <c r="P90" i="2"/>
  <c r="Q90" i="2"/>
  <c r="R90" i="2"/>
  <c r="S90" i="2"/>
  <c r="T90" i="2"/>
  <c r="U90" i="2"/>
  <c r="Z90" i="2"/>
  <c r="AA90" i="2"/>
  <c r="AG90" i="2"/>
  <c r="AH90" i="2"/>
  <c r="AI90" i="2"/>
  <c r="AJ90" i="2"/>
  <c r="C91" i="2"/>
  <c r="D91" i="2"/>
  <c r="F91" i="2"/>
  <c r="G91" i="2"/>
  <c r="H91" i="2"/>
  <c r="I91" i="2"/>
  <c r="J91" i="2"/>
  <c r="K91" i="2"/>
  <c r="O91" i="2"/>
  <c r="P91" i="2"/>
  <c r="Q91" i="2"/>
  <c r="R91" i="2"/>
  <c r="S91" i="2"/>
  <c r="T91" i="2"/>
  <c r="U91" i="2"/>
  <c r="C92" i="2"/>
  <c r="D92" i="2"/>
  <c r="F92" i="2"/>
  <c r="G92" i="2"/>
  <c r="H92" i="2"/>
  <c r="I92" i="2"/>
  <c r="J92" i="2"/>
  <c r="K92" i="2"/>
  <c r="O92" i="2"/>
  <c r="P92" i="2"/>
  <c r="Q92" i="2"/>
  <c r="R92" i="2"/>
  <c r="S92" i="2"/>
  <c r="T92" i="2"/>
  <c r="U92" i="2"/>
  <c r="C93" i="2"/>
  <c r="D93" i="2"/>
  <c r="F93" i="2"/>
  <c r="G93" i="2"/>
  <c r="H93" i="2"/>
  <c r="I93" i="2"/>
  <c r="J93" i="2"/>
  <c r="K93" i="2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O95" i="2"/>
  <c r="P95" i="2"/>
  <c r="Q95" i="2"/>
  <c r="R95" i="2"/>
  <c r="S95" i="2"/>
  <c r="T95" i="2"/>
  <c r="U95" i="2"/>
  <c r="C96" i="2"/>
  <c r="D96" i="2"/>
  <c r="F96" i="2"/>
  <c r="G96" i="2"/>
  <c r="H96" i="2"/>
  <c r="I96" i="2"/>
  <c r="J96" i="2"/>
  <c r="K96" i="2"/>
  <c r="O96" i="2"/>
  <c r="P96" i="2"/>
  <c r="Q96" i="2"/>
  <c r="R96" i="2"/>
  <c r="S96" i="2"/>
  <c r="T96" i="2"/>
  <c r="U96" i="2"/>
  <c r="C97" i="2"/>
  <c r="D97" i="2"/>
  <c r="F97" i="2"/>
  <c r="G97" i="2"/>
  <c r="H97" i="2"/>
  <c r="I97" i="2"/>
  <c r="J97" i="2"/>
  <c r="K97" i="2"/>
  <c r="P97" i="2"/>
  <c r="Q97" i="2"/>
  <c r="R97" i="2"/>
  <c r="S97" i="2"/>
  <c r="T97" i="2"/>
  <c r="U97" i="2"/>
  <c r="C100" i="2"/>
  <c r="D100" i="2"/>
  <c r="F100" i="2"/>
  <c r="G100" i="2"/>
  <c r="H100" i="2"/>
  <c r="I100" i="2"/>
  <c r="J100" i="2"/>
  <c r="K100" i="2"/>
  <c r="C101" i="2"/>
  <c r="D101" i="2"/>
  <c r="F101" i="2"/>
  <c r="G101" i="2"/>
  <c r="H101" i="2"/>
  <c r="I101" i="2"/>
  <c r="J101" i="2"/>
  <c r="K101" i="2"/>
  <c r="C102" i="2"/>
  <c r="D102" i="2"/>
  <c r="F102" i="2"/>
  <c r="G102" i="2"/>
  <c r="H102" i="2"/>
  <c r="I102" i="2"/>
  <c r="J102" i="2"/>
  <c r="K102" i="2"/>
  <c r="F19" i="3"/>
  <c r="J4" i="4"/>
  <c r="AB4" i="4"/>
  <c r="FG4" i="4"/>
  <c r="FH4" i="4"/>
  <c r="J5" i="4"/>
  <c r="AB5" i="4"/>
  <c r="DY5" i="4"/>
  <c r="EB5" i="4"/>
  <c r="FG5" i="4"/>
  <c r="FH5" i="4"/>
  <c r="J6" i="4"/>
  <c r="E92" i="2" s="1"/>
  <c r="L92" i="2" s="1"/>
  <c r="AB6" i="4"/>
  <c r="E93" i="2" s="1"/>
  <c r="L93" i="2" s="1"/>
  <c r="FG6" i="4"/>
  <c r="FH6" i="4"/>
  <c r="DY7" i="4"/>
  <c r="EB7" i="4"/>
  <c r="FG7" i="4"/>
  <c r="FH7" i="4"/>
  <c r="FG8" i="4"/>
  <c r="FH8" i="4"/>
  <c r="FG9" i="4"/>
  <c r="FH9" i="4"/>
  <c r="EB10" i="4"/>
  <c r="FH10" i="4"/>
  <c r="FG10" i="4"/>
  <c r="FH11" i="4"/>
  <c r="FG11" i="4"/>
  <c r="J12" i="4"/>
  <c r="AB12" i="4"/>
  <c r="E97" i="2" s="1"/>
  <c r="FH12" i="4"/>
  <c r="FG12" i="4"/>
  <c r="FH13" i="4"/>
  <c r="FG13" i="4"/>
  <c r="J14" i="4"/>
  <c r="AB14" i="4"/>
  <c r="DY14" i="4"/>
  <c r="EB14" i="4"/>
  <c r="FH14" i="4"/>
  <c r="FG14" i="4"/>
  <c r="FH15" i="4"/>
  <c r="FG15" i="4"/>
  <c r="EB16" i="4"/>
  <c r="FG16" i="4"/>
  <c r="FH16" i="4"/>
  <c r="FG17" i="4"/>
  <c r="FH17" i="4"/>
  <c r="J18" i="4"/>
  <c r="AB18" i="4"/>
  <c r="FG18" i="4"/>
  <c r="FH18" i="4"/>
  <c r="FG19" i="4"/>
  <c r="FH19" i="4"/>
  <c r="A65" i="4"/>
  <c r="E65" i="4"/>
  <c r="H65" i="4"/>
  <c r="I65" i="4"/>
  <c r="K65" i="4"/>
  <c r="L65" i="4"/>
  <c r="M65" i="4"/>
  <c r="N65" i="4"/>
  <c r="O65" i="4"/>
  <c r="P65" i="4"/>
  <c r="Q65" i="4"/>
  <c r="R65" i="4"/>
  <c r="U65" i="4"/>
  <c r="V65" i="4"/>
  <c r="W65" i="4"/>
  <c r="X65" i="4"/>
  <c r="Y65" i="4"/>
  <c r="Z65" i="4"/>
  <c r="AA65" i="4"/>
  <c r="AC65" i="4"/>
  <c r="AD65" i="4"/>
  <c r="AE65" i="4"/>
  <c r="AF65" i="4"/>
  <c r="AG65" i="4"/>
  <c r="AH65" i="4"/>
  <c r="AI65" i="4"/>
  <c r="AJ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R65" i="4"/>
  <c r="ES65" i="4"/>
  <c r="ET65" i="4"/>
  <c r="EU65" i="4"/>
  <c r="EV65" i="4"/>
  <c r="EW65" i="4"/>
  <c r="EX65" i="4"/>
  <c r="EY65" i="4"/>
  <c r="EZ65" i="4"/>
  <c r="FA65" i="4"/>
  <c r="FB65" i="4"/>
  <c r="FC65" i="4"/>
  <c r="FD65" i="4"/>
  <c r="E66" i="4"/>
  <c r="K66" i="4"/>
  <c r="L66" i="4"/>
  <c r="M66" i="4"/>
  <c r="N66" i="4"/>
  <c r="O66" i="4"/>
  <c r="P66" i="4"/>
  <c r="Q66" i="4"/>
  <c r="R66" i="4"/>
  <c r="U66" i="4"/>
  <c r="V66" i="4"/>
  <c r="AB66" i="4"/>
  <c r="AC66" i="4"/>
  <c r="AD66" i="4"/>
  <c r="AE66" i="4"/>
  <c r="AF66" i="4"/>
  <c r="AG66" i="4"/>
  <c r="AH66" i="4"/>
  <c r="AI66" i="4"/>
  <c r="AJ66" i="4"/>
  <c r="AN66" i="4"/>
  <c r="AO66" i="4"/>
  <c r="AP66" i="4"/>
  <c r="AQ66" i="4"/>
  <c r="AR66" i="4"/>
  <c r="AS66" i="4"/>
  <c r="AT66" i="4"/>
  <c r="AU66" i="4"/>
  <c r="AV66" i="4"/>
  <c r="AX66" i="4"/>
  <c r="AY66" i="4"/>
  <c r="AZ66" i="4"/>
  <c r="BA66" i="4"/>
  <c r="BB66" i="4"/>
  <c r="BC66" i="4"/>
  <c r="BD66" i="4"/>
  <c r="BE66" i="4"/>
  <c r="BF66" i="4"/>
  <c r="BH66" i="4"/>
  <c r="BI66" i="4"/>
  <c r="BJ66" i="4"/>
  <c r="BK66" i="4"/>
  <c r="BL66" i="4"/>
  <c r="BM66" i="4"/>
  <c r="BN66" i="4"/>
  <c r="BO66" i="4"/>
  <c r="BP66" i="4"/>
  <c r="BR66" i="4"/>
  <c r="BS66" i="4"/>
  <c r="BT66" i="4"/>
  <c r="BU66" i="4"/>
  <c r="BV66" i="4"/>
  <c r="BW66" i="4"/>
  <c r="BX66" i="4"/>
  <c r="BY66" i="4"/>
  <c r="BZ66" i="4"/>
  <c r="CB66" i="4"/>
  <c r="CC66" i="4"/>
  <c r="CD66" i="4"/>
  <c r="CE66" i="4"/>
  <c r="CF66" i="4"/>
  <c r="CG66" i="4"/>
  <c r="CH66" i="4"/>
  <c r="CI66" i="4"/>
  <c r="CJ66" i="4"/>
  <c r="CL66" i="4"/>
  <c r="CM66" i="4"/>
  <c r="CN66" i="4"/>
  <c r="CO66" i="4"/>
  <c r="CP66" i="4"/>
  <c r="CQ66" i="4"/>
  <c r="CR66" i="4"/>
  <c r="CS66" i="4"/>
  <c r="CT66" i="4"/>
  <c r="CV66" i="4"/>
  <c r="CW66" i="4"/>
  <c r="CX66" i="4"/>
  <c r="CY66" i="4"/>
  <c r="CZ66" i="4"/>
  <c r="DA66" i="4"/>
  <c r="DB66" i="4"/>
  <c r="DC66" i="4"/>
  <c r="DD66" i="4"/>
  <c r="DF66" i="4"/>
  <c r="DG66" i="4"/>
  <c r="DH66" i="4"/>
  <c r="DI66" i="4"/>
  <c r="DJ66" i="4"/>
  <c r="DK66" i="4"/>
  <c r="DL66" i="4"/>
  <c r="DM66" i="4"/>
  <c r="DN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R66" i="4"/>
  <c r="ES66" i="4"/>
  <c r="ET66" i="4"/>
  <c r="EU66" i="4"/>
  <c r="EV66" i="4"/>
  <c r="EW66" i="4"/>
  <c r="EX66" i="4"/>
  <c r="EY66" i="4"/>
  <c r="EZ66" i="4"/>
  <c r="FA66" i="4"/>
  <c r="FB66" i="4"/>
  <c r="FC66" i="4"/>
  <c r="FD66" i="4"/>
  <c r="E67" i="4"/>
  <c r="K67" i="4"/>
  <c r="L67" i="4"/>
  <c r="M67" i="4"/>
  <c r="N67" i="4"/>
  <c r="O67" i="4"/>
  <c r="P67" i="4"/>
  <c r="Q67" i="4"/>
  <c r="R67" i="4"/>
  <c r="U67" i="4"/>
  <c r="V67" i="4"/>
  <c r="AB67" i="4"/>
  <c r="AC67" i="4"/>
  <c r="AD67" i="4"/>
  <c r="AE67" i="4"/>
  <c r="AF67" i="4"/>
  <c r="AG67" i="4"/>
  <c r="AH67" i="4"/>
  <c r="AI67" i="4"/>
  <c r="AJ67" i="4"/>
  <c r="AN67" i="4"/>
  <c r="AO67" i="4"/>
  <c r="AP67" i="4"/>
  <c r="AQ67" i="4"/>
  <c r="AR67" i="4"/>
  <c r="AS67" i="4"/>
  <c r="AT67" i="4"/>
  <c r="AU67" i="4"/>
  <c r="AV67" i="4"/>
  <c r="AX67" i="4"/>
  <c r="AY67" i="4"/>
  <c r="AZ67" i="4"/>
  <c r="BA67" i="4"/>
  <c r="BB67" i="4"/>
  <c r="BC67" i="4"/>
  <c r="BD67" i="4"/>
  <c r="BE67" i="4"/>
  <c r="BF67" i="4"/>
  <c r="BH67" i="4"/>
  <c r="BI67" i="4"/>
  <c r="BJ67" i="4"/>
  <c r="BK67" i="4"/>
  <c r="BL67" i="4"/>
  <c r="BM67" i="4"/>
  <c r="BN67" i="4"/>
  <c r="BO67" i="4"/>
  <c r="BP67" i="4"/>
  <c r="BR67" i="4"/>
  <c r="BS67" i="4"/>
  <c r="BT67" i="4"/>
  <c r="BU67" i="4"/>
  <c r="BV67" i="4"/>
  <c r="BW67" i="4"/>
  <c r="BX67" i="4"/>
  <c r="BY67" i="4"/>
  <c r="BZ67" i="4"/>
  <c r="CB67" i="4"/>
  <c r="CC67" i="4"/>
  <c r="CD67" i="4"/>
  <c r="CE67" i="4"/>
  <c r="CF67" i="4"/>
  <c r="CG67" i="4"/>
  <c r="CH67" i="4"/>
  <c r="CI67" i="4"/>
  <c r="CJ67" i="4"/>
  <c r="CL67" i="4"/>
  <c r="CM67" i="4"/>
  <c r="CN67" i="4"/>
  <c r="CO67" i="4"/>
  <c r="CP67" i="4"/>
  <c r="CQ67" i="4"/>
  <c r="CR67" i="4"/>
  <c r="CS67" i="4"/>
  <c r="CT67" i="4"/>
  <c r="CV67" i="4"/>
  <c r="CW67" i="4"/>
  <c r="CX67" i="4"/>
  <c r="CY67" i="4"/>
  <c r="CZ67" i="4"/>
  <c r="DA67" i="4"/>
  <c r="DB67" i="4"/>
  <c r="DC67" i="4"/>
  <c r="DD67" i="4"/>
  <c r="DF67" i="4"/>
  <c r="DG67" i="4"/>
  <c r="DH67" i="4"/>
  <c r="DI67" i="4"/>
  <c r="DJ67" i="4"/>
  <c r="DK67" i="4"/>
  <c r="DL67" i="4"/>
  <c r="DM67" i="4"/>
  <c r="DN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R67" i="4"/>
  <c r="ES67" i="4"/>
  <c r="ET67" i="4"/>
  <c r="EU67" i="4"/>
  <c r="EV67" i="4"/>
  <c r="EW67" i="4"/>
  <c r="EX67" i="4"/>
  <c r="EY67" i="4"/>
  <c r="EZ67" i="4"/>
  <c r="FA67" i="4"/>
  <c r="FB67" i="4"/>
  <c r="FC67" i="4"/>
  <c r="FD67" i="4"/>
  <c r="E68" i="4"/>
  <c r="K68" i="4"/>
  <c r="L68" i="4"/>
  <c r="M68" i="4"/>
  <c r="N68" i="4"/>
  <c r="O68" i="4"/>
  <c r="P68" i="4"/>
  <c r="Q68" i="4"/>
  <c r="R68" i="4"/>
  <c r="U68" i="4"/>
  <c r="V68" i="4"/>
  <c r="AB68" i="4"/>
  <c r="AC68" i="4"/>
  <c r="AD68" i="4"/>
  <c r="AE68" i="4"/>
  <c r="AF68" i="4"/>
  <c r="AG68" i="4"/>
  <c r="AH68" i="4"/>
  <c r="AI68" i="4"/>
  <c r="AJ68" i="4"/>
  <c r="AN68" i="4"/>
  <c r="AO68" i="4"/>
  <c r="AP68" i="4"/>
  <c r="AQ68" i="4"/>
  <c r="AR68" i="4"/>
  <c r="AS68" i="4"/>
  <c r="AT68" i="4"/>
  <c r="AU68" i="4"/>
  <c r="AV68" i="4"/>
  <c r="AX68" i="4"/>
  <c r="AY68" i="4"/>
  <c r="AZ68" i="4"/>
  <c r="BA68" i="4"/>
  <c r="BB68" i="4"/>
  <c r="BC68" i="4"/>
  <c r="BD68" i="4"/>
  <c r="BE68" i="4"/>
  <c r="BF68" i="4"/>
  <c r="BH68" i="4"/>
  <c r="BI68" i="4"/>
  <c r="BJ68" i="4"/>
  <c r="BK68" i="4"/>
  <c r="BL68" i="4"/>
  <c r="BM68" i="4"/>
  <c r="BN68" i="4"/>
  <c r="BO68" i="4"/>
  <c r="BP68" i="4"/>
  <c r="BR68" i="4"/>
  <c r="BS68" i="4"/>
  <c r="BT68" i="4"/>
  <c r="BU68" i="4"/>
  <c r="BV68" i="4"/>
  <c r="BW68" i="4"/>
  <c r="BX68" i="4"/>
  <c r="BY68" i="4"/>
  <c r="BZ68" i="4"/>
  <c r="CB68" i="4"/>
  <c r="CC68" i="4"/>
  <c r="CD68" i="4"/>
  <c r="CE68" i="4"/>
  <c r="CF68" i="4"/>
  <c r="CG68" i="4"/>
  <c r="CH68" i="4"/>
  <c r="CI68" i="4"/>
  <c r="CJ68" i="4"/>
  <c r="CL68" i="4"/>
  <c r="CM68" i="4"/>
  <c r="CN68" i="4"/>
  <c r="CO68" i="4"/>
  <c r="CP68" i="4"/>
  <c r="CQ68" i="4"/>
  <c r="CR68" i="4"/>
  <c r="CS68" i="4"/>
  <c r="CT68" i="4"/>
  <c r="CV68" i="4"/>
  <c r="CW68" i="4"/>
  <c r="CX68" i="4"/>
  <c r="CY68" i="4"/>
  <c r="CZ68" i="4"/>
  <c r="DA68" i="4"/>
  <c r="DB68" i="4"/>
  <c r="DC68" i="4"/>
  <c r="DD68" i="4"/>
  <c r="DF68" i="4"/>
  <c r="DG68" i="4"/>
  <c r="DH68" i="4"/>
  <c r="DI68" i="4"/>
  <c r="DJ68" i="4"/>
  <c r="DK68" i="4"/>
  <c r="DL68" i="4"/>
  <c r="DM68" i="4"/>
  <c r="DN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R68" i="4"/>
  <c r="ES68" i="4"/>
  <c r="ET68" i="4"/>
  <c r="EU68" i="4"/>
  <c r="EV68" i="4"/>
  <c r="EW68" i="4"/>
  <c r="EX68" i="4"/>
  <c r="EY68" i="4"/>
  <c r="EZ68" i="4"/>
  <c r="FA68" i="4"/>
  <c r="FB68" i="4"/>
  <c r="FC68" i="4"/>
  <c r="FD68" i="4"/>
  <c r="FF68" i="4"/>
  <c r="E69" i="4"/>
  <c r="J69" i="4"/>
  <c r="K69" i="4"/>
  <c r="L69" i="4"/>
  <c r="M69" i="4"/>
  <c r="N69" i="4"/>
  <c r="O69" i="4"/>
  <c r="P69" i="4"/>
  <c r="Q69" i="4"/>
  <c r="R69" i="4"/>
  <c r="U69" i="4"/>
  <c r="V69" i="4"/>
  <c r="AB69" i="4"/>
  <c r="AC69" i="4"/>
  <c r="AD69" i="4"/>
  <c r="AE69" i="4"/>
  <c r="AF69" i="4"/>
  <c r="AG69" i="4"/>
  <c r="AH69" i="4"/>
  <c r="AI69" i="4"/>
  <c r="AJ69" i="4"/>
  <c r="AN69" i="4"/>
  <c r="AO69" i="4"/>
  <c r="AP69" i="4"/>
  <c r="AQ69" i="4"/>
  <c r="AR69" i="4"/>
  <c r="AS69" i="4"/>
  <c r="AT69" i="4"/>
  <c r="AU69" i="4"/>
  <c r="AV69" i="4"/>
  <c r="AX69" i="4"/>
  <c r="AY69" i="4"/>
  <c r="AZ69" i="4"/>
  <c r="BA69" i="4"/>
  <c r="BB69" i="4"/>
  <c r="BC69" i="4"/>
  <c r="BD69" i="4"/>
  <c r="BE69" i="4"/>
  <c r="BF69" i="4"/>
  <c r="BH69" i="4"/>
  <c r="BI69" i="4"/>
  <c r="BJ69" i="4"/>
  <c r="BK69" i="4"/>
  <c r="BL69" i="4"/>
  <c r="BM69" i="4"/>
  <c r="BN69" i="4"/>
  <c r="BO69" i="4"/>
  <c r="BP69" i="4"/>
  <c r="BR69" i="4"/>
  <c r="BS69" i="4"/>
  <c r="BT69" i="4"/>
  <c r="BU69" i="4"/>
  <c r="BV69" i="4"/>
  <c r="BW69" i="4"/>
  <c r="BX69" i="4"/>
  <c r="BY69" i="4"/>
  <c r="BZ69" i="4"/>
  <c r="CB69" i="4"/>
  <c r="CC69" i="4"/>
  <c r="CD69" i="4"/>
  <c r="CE69" i="4"/>
  <c r="CF69" i="4"/>
  <c r="CG69" i="4"/>
  <c r="CH69" i="4"/>
  <c r="CI69" i="4"/>
  <c r="CJ69" i="4"/>
  <c r="CL69" i="4"/>
  <c r="CM69" i="4"/>
  <c r="CN69" i="4"/>
  <c r="CO69" i="4"/>
  <c r="CP69" i="4"/>
  <c r="CQ69" i="4"/>
  <c r="CR69" i="4"/>
  <c r="CS69" i="4"/>
  <c r="CT69" i="4"/>
  <c r="CV69" i="4"/>
  <c r="CW69" i="4"/>
  <c r="CX69" i="4"/>
  <c r="CY69" i="4"/>
  <c r="CZ69" i="4"/>
  <c r="DA69" i="4"/>
  <c r="DB69" i="4"/>
  <c r="DC69" i="4"/>
  <c r="DD69" i="4"/>
  <c r="DF69" i="4"/>
  <c r="DG69" i="4"/>
  <c r="DH69" i="4"/>
  <c r="DI69" i="4"/>
  <c r="DJ69" i="4"/>
  <c r="DK69" i="4"/>
  <c r="DL69" i="4"/>
  <c r="DM69" i="4"/>
  <c r="DN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EH69" i="4"/>
  <c r="EI69" i="4"/>
  <c r="EJ69" i="4"/>
  <c r="EK69" i="4"/>
  <c r="EL69" i="4"/>
  <c r="EM69" i="4"/>
  <c r="EN69" i="4"/>
  <c r="EO69" i="4"/>
  <c r="EP69" i="4"/>
  <c r="ER69" i="4"/>
  <c r="ES69" i="4"/>
  <c r="ET69" i="4"/>
  <c r="EU69" i="4"/>
  <c r="EV69" i="4"/>
  <c r="EW69" i="4"/>
  <c r="EX69" i="4"/>
  <c r="EY69" i="4"/>
  <c r="EZ69" i="4"/>
  <c r="FA69" i="4"/>
  <c r="FB69" i="4"/>
  <c r="FC69" i="4"/>
  <c r="FD69" i="4"/>
  <c r="FF69" i="4"/>
  <c r="E70" i="4"/>
  <c r="J70" i="4"/>
  <c r="K70" i="4"/>
  <c r="L70" i="4"/>
  <c r="M70" i="4"/>
  <c r="N70" i="4"/>
  <c r="O70" i="4"/>
  <c r="P70" i="4"/>
  <c r="Q70" i="4"/>
  <c r="R70" i="4"/>
  <c r="U70" i="4"/>
  <c r="V70" i="4"/>
  <c r="AB70" i="4"/>
  <c r="AC70" i="4"/>
  <c r="AD70" i="4"/>
  <c r="AE70" i="4"/>
  <c r="AF70" i="4"/>
  <c r="AG70" i="4"/>
  <c r="AH70" i="4"/>
  <c r="AI70" i="4"/>
  <c r="AJ70" i="4"/>
  <c r="AN70" i="4"/>
  <c r="AO70" i="4"/>
  <c r="AP70" i="4"/>
  <c r="AQ70" i="4"/>
  <c r="AR70" i="4"/>
  <c r="AS70" i="4"/>
  <c r="AT70" i="4"/>
  <c r="AU70" i="4"/>
  <c r="AV70" i="4"/>
  <c r="AX70" i="4"/>
  <c r="AY70" i="4"/>
  <c r="AZ70" i="4"/>
  <c r="BA70" i="4"/>
  <c r="BB70" i="4"/>
  <c r="BC70" i="4"/>
  <c r="BD70" i="4"/>
  <c r="BE70" i="4"/>
  <c r="BF70" i="4"/>
  <c r="BH70" i="4"/>
  <c r="BI70" i="4"/>
  <c r="BJ70" i="4"/>
  <c r="BK70" i="4"/>
  <c r="BL70" i="4"/>
  <c r="BM70" i="4"/>
  <c r="BN70" i="4"/>
  <c r="BO70" i="4"/>
  <c r="BP70" i="4"/>
  <c r="BR70" i="4"/>
  <c r="BS70" i="4"/>
  <c r="BT70" i="4"/>
  <c r="BU70" i="4"/>
  <c r="BV70" i="4"/>
  <c r="BW70" i="4"/>
  <c r="BX70" i="4"/>
  <c r="BY70" i="4"/>
  <c r="BZ70" i="4"/>
  <c r="CB70" i="4"/>
  <c r="CC70" i="4"/>
  <c r="CD70" i="4"/>
  <c r="CE70" i="4"/>
  <c r="CF70" i="4"/>
  <c r="CG70" i="4"/>
  <c r="CH70" i="4"/>
  <c r="CI70" i="4"/>
  <c r="CJ70" i="4"/>
  <c r="CL70" i="4"/>
  <c r="CM70" i="4"/>
  <c r="CN70" i="4"/>
  <c r="CO70" i="4"/>
  <c r="CP70" i="4"/>
  <c r="CQ70" i="4"/>
  <c r="CR70" i="4"/>
  <c r="CS70" i="4"/>
  <c r="CT70" i="4"/>
  <c r="CV70" i="4"/>
  <c r="CW70" i="4"/>
  <c r="CX70" i="4"/>
  <c r="CY70" i="4"/>
  <c r="CZ70" i="4"/>
  <c r="DA70" i="4"/>
  <c r="DB70" i="4"/>
  <c r="DC70" i="4"/>
  <c r="DD70" i="4"/>
  <c r="DF70" i="4"/>
  <c r="DG70" i="4"/>
  <c r="DH70" i="4"/>
  <c r="DI70" i="4"/>
  <c r="DJ70" i="4"/>
  <c r="DK70" i="4"/>
  <c r="DL70" i="4"/>
  <c r="DM70" i="4"/>
  <c r="DN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R70" i="4"/>
  <c r="ES70" i="4"/>
  <c r="ET70" i="4"/>
  <c r="EU70" i="4"/>
  <c r="EV70" i="4"/>
  <c r="EW70" i="4"/>
  <c r="EX70" i="4"/>
  <c r="EY70" i="4"/>
  <c r="EZ70" i="4"/>
  <c r="FA70" i="4"/>
  <c r="FB70" i="4"/>
  <c r="FC70" i="4"/>
  <c r="FD70" i="4"/>
  <c r="FF70" i="4"/>
  <c r="E71" i="4"/>
  <c r="J71" i="4"/>
  <c r="K71" i="4"/>
  <c r="L71" i="4"/>
  <c r="M71" i="4"/>
  <c r="N71" i="4"/>
  <c r="O71" i="4"/>
  <c r="P71" i="4"/>
  <c r="Q71" i="4"/>
  <c r="R71" i="4"/>
  <c r="U71" i="4"/>
  <c r="V71" i="4"/>
  <c r="AB71" i="4"/>
  <c r="AC71" i="4"/>
  <c r="AD71" i="4"/>
  <c r="AE71" i="4"/>
  <c r="AF71" i="4"/>
  <c r="AG71" i="4"/>
  <c r="AH71" i="4"/>
  <c r="AI71" i="4"/>
  <c r="AJ71" i="4"/>
  <c r="AN71" i="4"/>
  <c r="AO71" i="4"/>
  <c r="AP71" i="4"/>
  <c r="AQ71" i="4"/>
  <c r="AR71" i="4"/>
  <c r="AS71" i="4"/>
  <c r="AT71" i="4"/>
  <c r="AU71" i="4"/>
  <c r="AV71" i="4"/>
  <c r="AX71" i="4"/>
  <c r="AY71" i="4"/>
  <c r="AZ71" i="4"/>
  <c r="BA71" i="4"/>
  <c r="BB71" i="4"/>
  <c r="BC71" i="4"/>
  <c r="BD71" i="4"/>
  <c r="BE71" i="4"/>
  <c r="BF71" i="4"/>
  <c r="BH71" i="4"/>
  <c r="BI71" i="4"/>
  <c r="BJ71" i="4"/>
  <c r="BK71" i="4"/>
  <c r="BL71" i="4"/>
  <c r="BM71" i="4"/>
  <c r="BN71" i="4"/>
  <c r="BO71" i="4"/>
  <c r="BP71" i="4"/>
  <c r="BR71" i="4"/>
  <c r="BS71" i="4"/>
  <c r="BT71" i="4"/>
  <c r="BU71" i="4"/>
  <c r="BV71" i="4"/>
  <c r="BW71" i="4"/>
  <c r="BX71" i="4"/>
  <c r="BY71" i="4"/>
  <c r="BZ71" i="4"/>
  <c r="CB71" i="4"/>
  <c r="CC71" i="4"/>
  <c r="CD71" i="4"/>
  <c r="CE71" i="4"/>
  <c r="CF71" i="4"/>
  <c r="CG71" i="4"/>
  <c r="CH71" i="4"/>
  <c r="CI71" i="4"/>
  <c r="CJ71" i="4"/>
  <c r="CL71" i="4"/>
  <c r="CM71" i="4"/>
  <c r="CN71" i="4"/>
  <c r="CO71" i="4"/>
  <c r="CP71" i="4"/>
  <c r="CQ71" i="4"/>
  <c r="CR71" i="4"/>
  <c r="CS71" i="4"/>
  <c r="CT71" i="4"/>
  <c r="CV71" i="4"/>
  <c r="CW71" i="4"/>
  <c r="CX71" i="4"/>
  <c r="CY71" i="4"/>
  <c r="CZ71" i="4"/>
  <c r="DA71" i="4"/>
  <c r="DB71" i="4"/>
  <c r="DC71" i="4"/>
  <c r="DD71" i="4"/>
  <c r="DF71" i="4"/>
  <c r="DG71" i="4"/>
  <c r="DH71" i="4"/>
  <c r="DI71" i="4"/>
  <c r="DJ71" i="4"/>
  <c r="DK71" i="4"/>
  <c r="DL71" i="4"/>
  <c r="DM71" i="4"/>
  <c r="DN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EK71" i="4"/>
  <c r="EL71" i="4"/>
  <c r="EM71" i="4"/>
  <c r="EN71" i="4"/>
  <c r="EO71" i="4"/>
  <c r="EP71" i="4"/>
  <c r="ER71" i="4"/>
  <c r="ES71" i="4"/>
  <c r="ET71" i="4"/>
  <c r="EU71" i="4"/>
  <c r="EV71" i="4"/>
  <c r="EW71" i="4"/>
  <c r="EX71" i="4"/>
  <c r="EY71" i="4"/>
  <c r="EZ71" i="4"/>
  <c r="FA71" i="4"/>
  <c r="FB71" i="4"/>
  <c r="FC71" i="4"/>
  <c r="FD71" i="4"/>
  <c r="FF71" i="4"/>
  <c r="E75" i="4"/>
  <c r="E72" i="4" s="1"/>
  <c r="J75" i="4"/>
  <c r="J77" i="4" s="1"/>
  <c r="K75" i="4"/>
  <c r="L75" i="4"/>
  <c r="M75" i="4"/>
  <c r="N75" i="4"/>
  <c r="O75" i="4"/>
  <c r="O77" i="4" s="1"/>
  <c r="P75" i="4"/>
  <c r="Q75" i="4"/>
  <c r="R75" i="4"/>
  <c r="R72" i="4" s="1"/>
  <c r="U75" i="4"/>
  <c r="V75" i="4"/>
  <c r="AB75" i="4"/>
  <c r="AB77" i="4" s="1"/>
  <c r="AC75" i="4"/>
  <c r="AD75" i="4"/>
  <c r="AE75" i="4"/>
  <c r="AF75" i="4"/>
  <c r="AF78" i="4" s="1"/>
  <c r="AG75" i="4"/>
  <c r="AG72" i="4" s="1"/>
  <c r="AH75" i="4"/>
  <c r="AH77" i="4" s="1"/>
  <c r="AI75" i="4"/>
  <c r="AJ75" i="4"/>
  <c r="AJ77" i="4" s="1"/>
  <c r="AN75" i="4"/>
  <c r="AN72" i="4" s="1"/>
  <c r="AO75" i="4"/>
  <c r="AO77" i="4" s="1"/>
  <c r="AP75" i="4"/>
  <c r="AP72" i="4" s="1"/>
  <c r="AQ75" i="4"/>
  <c r="AQ77" i="4" s="1"/>
  <c r="AR75" i="4"/>
  <c r="AR72" i="4" s="1"/>
  <c r="AS75" i="4"/>
  <c r="AS77" i="4" s="1"/>
  <c r="AT75" i="4"/>
  <c r="AT78" i="4" s="1"/>
  <c r="AU75" i="4"/>
  <c r="AU72" i="4" s="1"/>
  <c r="AV75" i="4"/>
  <c r="AV72" i="4" s="1"/>
  <c r="AX75" i="4"/>
  <c r="AX77" i="4" s="1"/>
  <c r="AY75" i="4"/>
  <c r="AY72" i="4" s="1"/>
  <c r="AZ75" i="4"/>
  <c r="BA75" i="4"/>
  <c r="BB75" i="4"/>
  <c r="BB77" i="4" s="1"/>
  <c r="BC75" i="4"/>
  <c r="BD75" i="4"/>
  <c r="BD72" i="4" s="1"/>
  <c r="BE75" i="4"/>
  <c r="BE72" i="4" s="1"/>
  <c r="BF75" i="4"/>
  <c r="BF78" i="4" s="1"/>
  <c r="BH75" i="4"/>
  <c r="BH72" i="4" s="1"/>
  <c r="BI75" i="4"/>
  <c r="BI77" i="4" s="1"/>
  <c r="BJ75" i="4"/>
  <c r="BJ72" i="4" s="1"/>
  <c r="BK75" i="4"/>
  <c r="BK77" i="4" s="1"/>
  <c r="BL75" i="4"/>
  <c r="BL72" i="4" s="1"/>
  <c r="BM75" i="4"/>
  <c r="BM72" i="4" s="1"/>
  <c r="BN75" i="4"/>
  <c r="BN72" i="4" s="1"/>
  <c r="BO75" i="4"/>
  <c r="BO76" i="4" s="1"/>
  <c r="BP75" i="4"/>
  <c r="BP72" i="4" s="1"/>
  <c r="BR75" i="4"/>
  <c r="BR77" i="4" s="1"/>
  <c r="BS75" i="4"/>
  <c r="BS72" i="4" s="1"/>
  <c r="BT75" i="4"/>
  <c r="BT78" i="4" s="1"/>
  <c r="BU75" i="4"/>
  <c r="BV75" i="4"/>
  <c r="BV72" i="4" s="1"/>
  <c r="BW75" i="4"/>
  <c r="BX75" i="4"/>
  <c r="BY75" i="4"/>
  <c r="BY72" i="4" s="1"/>
  <c r="BZ75" i="4"/>
  <c r="CB75" i="4"/>
  <c r="CB72" i="4" s="1"/>
  <c r="CC75" i="4"/>
  <c r="CC77" i="4" s="1"/>
  <c r="CD75" i="4"/>
  <c r="CD72" i="4" s="1"/>
  <c r="CE75" i="4"/>
  <c r="CE72" i="4" s="1"/>
  <c r="CF75" i="4"/>
  <c r="CF72" i="4" s="1"/>
  <c r="CG75" i="4"/>
  <c r="CH75" i="4"/>
  <c r="CH72" i="4" s="1"/>
  <c r="CI75" i="4"/>
  <c r="CJ75" i="4"/>
  <c r="CJ72" i="4" s="1"/>
  <c r="CL75" i="4"/>
  <c r="CL77" i="4" s="1"/>
  <c r="CM75" i="4"/>
  <c r="CM72" i="4" s="1"/>
  <c r="CN75" i="4"/>
  <c r="CN72" i="4" s="1"/>
  <c r="CO75" i="4"/>
  <c r="CO72" i="4" s="1"/>
  <c r="CP75" i="4"/>
  <c r="CQ75" i="4"/>
  <c r="CR75" i="4"/>
  <c r="CS75" i="4"/>
  <c r="CS72" i="4" s="1"/>
  <c r="CT75" i="4"/>
  <c r="CT77" i="4" s="1"/>
  <c r="CV75" i="4"/>
  <c r="CV72" i="4" s="1"/>
  <c r="CW75" i="4"/>
  <c r="CW72" i="4" s="1"/>
  <c r="CX75" i="4"/>
  <c r="CY75" i="4"/>
  <c r="CY77" i="4" s="1"/>
  <c r="CZ75" i="4"/>
  <c r="CZ72" i="4" s="1"/>
  <c r="DA75" i="4"/>
  <c r="DA77" i="4" s="1"/>
  <c r="DB75" i="4"/>
  <c r="DB72" i="4" s="1"/>
  <c r="DC75" i="4"/>
  <c r="DC77" i="4" s="1"/>
  <c r="DD75" i="4"/>
  <c r="DD72" i="4" s="1"/>
  <c r="DF75" i="4"/>
  <c r="DF72" i="4" s="1"/>
  <c r="DG75" i="4"/>
  <c r="DG72" i="4" s="1"/>
  <c r="DH75" i="4"/>
  <c r="DH77" i="4" s="1"/>
  <c r="DI75" i="4"/>
  <c r="DJ75" i="4"/>
  <c r="DJ78" i="4" s="1"/>
  <c r="DK75" i="4"/>
  <c r="DL75" i="4"/>
  <c r="DM75" i="4"/>
  <c r="DM72" i="4" s="1"/>
  <c r="DN75" i="4"/>
  <c r="DN72" i="4" s="1"/>
  <c r="DP75" i="4"/>
  <c r="DP72" i="4" s="1"/>
  <c r="DQ75" i="4"/>
  <c r="DQ77" i="4" s="1"/>
  <c r="DR75" i="4"/>
  <c r="DR72" i="4" s="1"/>
  <c r="DS75" i="4"/>
  <c r="DS77" i="4" s="1"/>
  <c r="DT75" i="4"/>
  <c r="DT72" i="4" s="1"/>
  <c r="DU75" i="4"/>
  <c r="DU77" i="4" s="1"/>
  <c r="DV75" i="4"/>
  <c r="DV72" i="4" s="1"/>
  <c r="DW75" i="4"/>
  <c r="DW72" i="4" s="1"/>
  <c r="DX75" i="4"/>
  <c r="DX72" i="4" s="1"/>
  <c r="DY75" i="4"/>
  <c r="DY77" i="4" s="1"/>
  <c r="DZ75" i="4"/>
  <c r="DZ72" i="4" s="1"/>
  <c r="EA75" i="4"/>
  <c r="EA77" i="4" s="1"/>
  <c r="EB75" i="4"/>
  <c r="EB72" i="4" s="1"/>
  <c r="EC75" i="4"/>
  <c r="EC77" i="4" s="1"/>
  <c r="ED75" i="4"/>
  <c r="ED72" i="4" s="1"/>
  <c r="EE75" i="4"/>
  <c r="EE72" i="4" s="1"/>
  <c r="EF75" i="4"/>
  <c r="EF72" i="4" s="1"/>
  <c r="EG75" i="4"/>
  <c r="EG77" i="4" s="1"/>
  <c r="EH75" i="4"/>
  <c r="EH72" i="4" s="1"/>
  <c r="EI75" i="4"/>
  <c r="EI77" i="4" s="1"/>
  <c r="EJ75" i="4"/>
  <c r="EJ72" i="4" s="1"/>
  <c r="EK75" i="4"/>
  <c r="EK77" i="4" s="1"/>
  <c r="EL75" i="4"/>
  <c r="EL72" i="4" s="1"/>
  <c r="EM75" i="4"/>
  <c r="EM72" i="4" s="1"/>
  <c r="EN75" i="4"/>
  <c r="EN72" i="4" s="1"/>
  <c r="EO75" i="4"/>
  <c r="EO77" i="4" s="1"/>
  <c r="EP75" i="4"/>
  <c r="EP72" i="4" s="1"/>
  <c r="ER75" i="4"/>
  <c r="ES75" i="4"/>
  <c r="ES72" i="4" s="1"/>
  <c r="ET75" i="4"/>
  <c r="EU75" i="4"/>
  <c r="EU72" i="4" s="1"/>
  <c r="EV75" i="4"/>
  <c r="EV72" i="4" s="1"/>
  <c r="EW75" i="4"/>
  <c r="EW72" i="4" s="1"/>
  <c r="EX75" i="4"/>
  <c r="EY75" i="4"/>
  <c r="EY72" i="4" s="1"/>
  <c r="EZ75" i="4"/>
  <c r="EZ78" i="4" s="1"/>
  <c r="FA75" i="4"/>
  <c r="FA72" i="4" s="1"/>
  <c r="FB75" i="4"/>
  <c r="FC75" i="4"/>
  <c r="FC72" i="4" s="1"/>
  <c r="FD75" i="4"/>
  <c r="FD73" i="4" s="1"/>
  <c r="FF75" i="4"/>
  <c r="E76" i="4"/>
  <c r="J76" i="4"/>
  <c r="M76" i="4"/>
  <c r="N76" i="4"/>
  <c r="O76" i="4"/>
  <c r="P76" i="4"/>
  <c r="U76" i="4"/>
  <c r="V76" i="4"/>
  <c r="AB76" i="4"/>
  <c r="AE76" i="4"/>
  <c r="AF76" i="4"/>
  <c r="AG76" i="4"/>
  <c r="AH76" i="4"/>
  <c r="AI76" i="4"/>
  <c r="AJ76" i="4"/>
  <c r="AN76" i="4"/>
  <c r="AO76" i="4"/>
  <c r="AP76" i="4"/>
  <c r="AQ76" i="4"/>
  <c r="AR76" i="4"/>
  <c r="AS76" i="4"/>
  <c r="AT76" i="4"/>
  <c r="AU76" i="4"/>
  <c r="AV76" i="4"/>
  <c r="AX76" i="4"/>
  <c r="AY76" i="4"/>
  <c r="BB76" i="4"/>
  <c r="BC76" i="4"/>
  <c r="BD76" i="4"/>
  <c r="BE76" i="4"/>
  <c r="BF76" i="4"/>
  <c r="BH76" i="4"/>
  <c r="BI76" i="4"/>
  <c r="BJ76" i="4"/>
  <c r="BK76" i="4"/>
  <c r="BL76" i="4"/>
  <c r="BM76" i="4"/>
  <c r="BN76" i="4"/>
  <c r="BR76" i="4"/>
  <c r="BS76" i="4"/>
  <c r="BT76" i="4"/>
  <c r="BU76" i="4"/>
  <c r="BV76" i="4"/>
  <c r="BW76" i="4"/>
  <c r="BX76" i="4"/>
  <c r="BY76" i="4"/>
  <c r="CC76" i="4"/>
  <c r="CD76" i="4"/>
  <c r="CE76" i="4"/>
  <c r="CF76" i="4"/>
  <c r="CI76" i="4"/>
  <c r="CJ76" i="4"/>
  <c r="CL76" i="4"/>
  <c r="CM76" i="4"/>
  <c r="CN76" i="4"/>
  <c r="CO76" i="4"/>
  <c r="CP76" i="4"/>
  <c r="CR76" i="4"/>
  <c r="CT76" i="4"/>
  <c r="CV76" i="4"/>
  <c r="CW76" i="4"/>
  <c r="CX76" i="4"/>
  <c r="CY76" i="4"/>
  <c r="CZ76" i="4"/>
  <c r="DA76" i="4"/>
  <c r="DB76" i="4"/>
  <c r="DC76" i="4"/>
  <c r="DD76" i="4"/>
  <c r="DF76" i="4"/>
  <c r="DG76" i="4"/>
  <c r="DH76" i="4"/>
  <c r="DI76" i="4"/>
  <c r="DJ76" i="4"/>
  <c r="DK76" i="4"/>
  <c r="DL76" i="4"/>
  <c r="DM76" i="4"/>
  <c r="DQ76" i="4"/>
  <c r="DR76" i="4"/>
  <c r="DS76" i="4"/>
  <c r="DT76" i="4"/>
  <c r="DU76" i="4"/>
  <c r="DV76" i="4"/>
  <c r="DW76" i="4"/>
  <c r="DX76" i="4"/>
  <c r="EA76" i="4"/>
  <c r="ED76" i="4"/>
  <c r="EE76" i="4"/>
  <c r="EF76" i="4"/>
  <c r="EG76" i="4"/>
  <c r="EH76" i="4"/>
  <c r="ET76" i="4"/>
  <c r="EV76" i="4"/>
  <c r="EX76" i="4"/>
  <c r="EZ76" i="4"/>
  <c r="FB76" i="4"/>
  <c r="FC76" i="4"/>
  <c r="FD76" i="4"/>
  <c r="AU77" i="4"/>
  <c r="BD77" i="4"/>
  <c r="BT77" i="4"/>
  <c r="BV77" i="4"/>
  <c r="BX77" i="4"/>
  <c r="CI77" i="4"/>
  <c r="CN77" i="4"/>
  <c r="CP77" i="4"/>
  <c r="CR77" i="4"/>
  <c r="DJ77" i="4"/>
  <c r="DL77" i="4"/>
  <c r="ET77" i="4"/>
  <c r="EV77" i="4"/>
  <c r="EX77" i="4"/>
  <c r="EZ77" i="4"/>
  <c r="FB77" i="4"/>
  <c r="FD77" i="4"/>
  <c r="AU78" i="4"/>
  <c r="BD78" i="4"/>
  <c r="BV78" i="4"/>
  <c r="BX78" i="4"/>
  <c r="CE78" i="4"/>
  <c r="CI78" i="4"/>
  <c r="CL78" i="4"/>
  <c r="CP78" i="4"/>
  <c r="CR78" i="4"/>
  <c r="DC78" i="4"/>
  <c r="DL78" i="4"/>
  <c r="DS78" i="4"/>
  <c r="DW78" i="4"/>
  <c r="EO78" i="4"/>
  <c r="ET78" i="4"/>
  <c r="EV78" i="4"/>
  <c r="EX78" i="4"/>
  <c r="FB78" i="4"/>
  <c r="FD78" i="4"/>
  <c r="CG78" i="4" l="1"/>
  <c r="BU72" i="4"/>
  <c r="AE72" i="4"/>
  <c r="DP76" i="4"/>
  <c r="DN76" i="4"/>
  <c r="N72" i="4"/>
  <c r="DZ76" i="4"/>
  <c r="DY76" i="4"/>
  <c r="DK72" i="4"/>
  <c r="BO78" i="4"/>
  <c r="BO77" i="4"/>
  <c r="CN78" i="4"/>
  <c r="AD72" i="4"/>
  <c r="DW77" i="4"/>
  <c r="BW72" i="4"/>
  <c r="BM78" i="4"/>
  <c r="BC72" i="4"/>
  <c r="BA72" i="4"/>
  <c r="V78" i="4"/>
  <c r="M77" i="4"/>
  <c r="P72" i="4"/>
  <c r="AI72" i="4"/>
  <c r="CQ76" i="4"/>
  <c r="DU78" i="4"/>
  <c r="CS76" i="4"/>
  <c r="CQ72" i="4"/>
  <c r="U77" i="4"/>
  <c r="BF77" i="4"/>
  <c r="AV78" i="4"/>
  <c r="J78" i="4"/>
  <c r="FC77" i="4"/>
  <c r="FA77" i="4"/>
  <c r="FA76" i="4"/>
  <c r="BB78" i="4"/>
  <c r="BY78" i="4"/>
  <c r="BW78" i="4"/>
  <c r="BS78" i="4"/>
  <c r="EN76" i="4"/>
  <c r="EY76" i="4"/>
  <c r="ER77" i="4"/>
  <c r="BN78" i="4"/>
  <c r="BM77" i="4"/>
  <c r="BK78" i="4"/>
  <c r="AY78" i="4"/>
  <c r="EL76" i="4"/>
  <c r="EM76" i="4"/>
  <c r="CE77" i="4"/>
  <c r="BI78" i="4"/>
  <c r="AX78" i="4"/>
  <c r="AS78" i="4"/>
  <c r="AB78" i="4"/>
  <c r="EJ76" i="4"/>
  <c r="EW76" i="4"/>
  <c r="EK76" i="4"/>
  <c r="ER76" i="4"/>
  <c r="EI76" i="4"/>
  <c r="AQ78" i="4"/>
  <c r="DF78" i="4"/>
  <c r="DF77" i="4"/>
  <c r="CX72" i="4"/>
  <c r="CT78" i="4"/>
  <c r="FF72" i="4"/>
  <c r="DN77" i="4"/>
  <c r="DI72" i="4"/>
  <c r="DH78" i="4"/>
  <c r="L76" i="4"/>
  <c r="EC76" i="4"/>
  <c r="EB76" i="4"/>
  <c r="DA78" i="4"/>
  <c r="AT72" i="4"/>
  <c r="CJ78" i="4"/>
  <c r="DY78" i="4"/>
  <c r="CH76" i="4"/>
  <c r="CG77" i="4"/>
  <c r="CG76" i="4"/>
  <c r="EA78" i="4"/>
  <c r="EY77" i="4"/>
  <c r="CY78" i="4"/>
  <c r="BZ76" i="4"/>
  <c r="CH78" i="4"/>
  <c r="CB76" i="4"/>
  <c r="BZ78" i="4"/>
  <c r="BZ77" i="4"/>
  <c r="BL78" i="4"/>
  <c r="AR78" i="4"/>
  <c r="AO78" i="4"/>
  <c r="AJ78" i="4"/>
  <c r="AH78" i="4"/>
  <c r="FC78" i="4"/>
  <c r="FA78" i="4"/>
  <c r="BH78" i="4"/>
  <c r="EM78" i="4"/>
  <c r="EK78" i="4"/>
  <c r="EI78" i="4"/>
  <c r="EE78" i="4"/>
  <c r="EC78" i="4"/>
  <c r="CF78" i="4"/>
  <c r="CC78" i="4"/>
  <c r="BJ78" i="4"/>
  <c r="BC78" i="4"/>
  <c r="AP78" i="4"/>
  <c r="AN78" i="4"/>
  <c r="AI78" i="4"/>
  <c r="AG78" i="4"/>
  <c r="P78" i="4"/>
  <c r="O78" i="4"/>
  <c r="E77" i="4"/>
  <c r="EU77" i="4"/>
  <c r="BS77" i="4"/>
  <c r="BN77" i="4"/>
  <c r="BL77" i="4"/>
  <c r="BJ77" i="4"/>
  <c r="BH77" i="4"/>
  <c r="AY77" i="4"/>
  <c r="AV77" i="4"/>
  <c r="AT77" i="4"/>
  <c r="AR77" i="4"/>
  <c r="AP77" i="4"/>
  <c r="AN77" i="4"/>
  <c r="AI77" i="4"/>
  <c r="AG77" i="4"/>
  <c r="P77" i="4"/>
  <c r="EY78" i="4"/>
  <c r="EW78" i="4"/>
  <c r="EW77" i="4"/>
  <c r="EU78" i="4"/>
  <c r="EU76" i="4"/>
  <c r="EM77" i="4"/>
  <c r="ER78" i="4"/>
  <c r="EG78" i="4"/>
  <c r="EE77" i="4"/>
  <c r="DQ78" i="4"/>
  <c r="DN78" i="4"/>
  <c r="CW78" i="4"/>
  <c r="CW77" i="4"/>
  <c r="CD78" i="4"/>
  <c r="CB78" i="4"/>
  <c r="BA78" i="4"/>
  <c r="AF77" i="4"/>
  <c r="AD77" i="4"/>
  <c r="EP78" i="4"/>
  <c r="EN78" i="4"/>
  <c r="EL78" i="4"/>
  <c r="EJ78" i="4"/>
  <c r="EH78" i="4"/>
  <c r="EF78" i="4"/>
  <c r="ED78" i="4"/>
  <c r="EB78" i="4"/>
  <c r="DZ78" i="4"/>
  <c r="DX78" i="4"/>
  <c r="DV78" i="4"/>
  <c r="DT78" i="4"/>
  <c r="DR78" i="4"/>
  <c r="DP78" i="4"/>
  <c r="DM78" i="4"/>
  <c r="DK78" i="4"/>
  <c r="DI78" i="4"/>
  <c r="DG78" i="4"/>
  <c r="DD78" i="4"/>
  <c r="DB78" i="4"/>
  <c r="CZ78" i="4"/>
  <c r="CX78" i="4"/>
  <c r="CV78" i="4"/>
  <c r="CS78" i="4"/>
  <c r="CQ78" i="4"/>
  <c r="CO78" i="4"/>
  <c r="CM78" i="4"/>
  <c r="EP77" i="4"/>
  <c r="EN77" i="4"/>
  <c r="EL77" i="4"/>
  <c r="EJ77" i="4"/>
  <c r="EH77" i="4"/>
  <c r="EF77" i="4"/>
  <c r="ED77" i="4"/>
  <c r="EB77" i="4"/>
  <c r="DZ77" i="4"/>
  <c r="DX77" i="4"/>
  <c r="DV77" i="4"/>
  <c r="DT77" i="4"/>
  <c r="DR77" i="4"/>
  <c r="DP77" i="4"/>
  <c r="DM77" i="4"/>
  <c r="DK77" i="4"/>
  <c r="DI77" i="4"/>
  <c r="DG77" i="4"/>
  <c r="DD77" i="4"/>
  <c r="DB77" i="4"/>
  <c r="CZ77" i="4"/>
  <c r="CX77" i="4"/>
  <c r="CV77" i="4"/>
  <c r="CS77" i="4"/>
  <c r="CQ77" i="4"/>
  <c r="CO77" i="4"/>
  <c r="CM77" i="4"/>
  <c r="CJ77" i="4"/>
  <c r="CH77" i="4"/>
  <c r="CF77" i="4"/>
  <c r="CD77" i="4"/>
  <c r="CB77" i="4"/>
  <c r="BY77" i="4"/>
  <c r="BW77" i="4"/>
  <c r="BU77" i="4"/>
  <c r="EP76" i="4"/>
  <c r="EO76" i="4"/>
  <c r="AC76" i="4"/>
  <c r="FF78" i="4"/>
  <c r="ES78" i="4"/>
  <c r="FF77" i="4"/>
  <c r="ES77" i="4"/>
  <c r="FF76" i="4"/>
  <c r="ES76" i="4"/>
  <c r="BE77" i="4"/>
  <c r="AE78" i="4"/>
  <c r="AE77" i="4"/>
  <c r="AD78" i="4"/>
  <c r="AD76" i="4"/>
  <c r="AC78" i="4"/>
  <c r="AC77" i="4"/>
  <c r="AC72" i="4"/>
  <c r="N77" i="4"/>
  <c r="L77" i="4"/>
  <c r="E78" i="4"/>
  <c r="BA77" i="4"/>
  <c r="AZ76" i="4"/>
  <c r="K76" i="4"/>
  <c r="BE78" i="4"/>
  <c r="BC77" i="4"/>
  <c r="BA76" i="4"/>
  <c r="AZ78" i="4"/>
  <c r="AZ77" i="4"/>
  <c r="L97" i="2"/>
  <c r="N78" i="4"/>
  <c r="M78" i="4"/>
  <c r="L78" i="4"/>
  <c r="K78" i="4"/>
  <c r="K77" i="4"/>
  <c r="EB65" i="4"/>
  <c r="BU78" i="4"/>
  <c r="BR78" i="4"/>
  <c r="V77" i="4"/>
  <c r="R77" i="4"/>
  <c r="Q76" i="4"/>
  <c r="J65" i="4"/>
  <c r="AB65" i="4"/>
  <c r="BP78" i="4"/>
  <c r="BP77" i="4"/>
  <c r="BP76" i="4"/>
  <c r="U78" i="4"/>
  <c r="R78" i="4"/>
  <c r="R76" i="4"/>
  <c r="Q78" i="4"/>
  <c r="Q77" i="4"/>
  <c r="Q72" i="4"/>
  <c r="J68" i="4"/>
  <c r="FF67" i="4"/>
  <c r="EB67" i="4"/>
  <c r="J67" i="4"/>
  <c r="FF66" i="4"/>
  <c r="EB66" i="4"/>
  <c r="J66" i="4"/>
  <c r="FF65" i="4"/>
  <c r="AB88" i="2"/>
  <c r="Y88" i="2"/>
  <c r="AD88" i="2" s="1"/>
  <c r="E90" i="2"/>
  <c r="L90" i="2" s="1"/>
  <c r="E101" i="2"/>
  <c r="L101" i="2" s="1"/>
  <c r="V89" i="2"/>
  <c r="E102" i="2"/>
  <c r="L102" i="2" s="1"/>
  <c r="Y89" i="2"/>
  <c r="AC89" i="2" s="1"/>
  <c r="E91" i="2"/>
  <c r="L91" i="2" s="1"/>
  <c r="E88" i="2"/>
  <c r="L88" i="2" s="1"/>
  <c r="V88" i="2"/>
  <c r="V91" i="2"/>
  <c r="V72" i="4"/>
  <c r="E96" i="2"/>
  <c r="L96" i="2" s="1"/>
  <c r="L95" i="2"/>
  <c r="L94" i="2"/>
  <c r="AB90" i="2"/>
  <c r="Y90" i="2"/>
  <c r="AC90" i="2" s="1"/>
  <c r="AB89" i="2"/>
  <c r="E89" i="2"/>
  <c r="L89" i="2" s="1"/>
  <c r="E100" i="2"/>
  <c r="L100" i="2" s="1"/>
  <c r="V97" i="2"/>
  <c r="V93" i="2"/>
  <c r="V92" i="2"/>
  <c r="V96" i="2"/>
  <c r="V95" i="2"/>
  <c r="V94" i="2"/>
  <c r="V90" i="2"/>
  <c r="L72" i="4"/>
  <c r="L73" i="4"/>
  <c r="J72" i="4"/>
  <c r="J73" i="4"/>
  <c r="FF74" i="4"/>
  <c r="FC74" i="4"/>
  <c r="EY74" i="4"/>
  <c r="EU74" i="4"/>
  <c r="EP74" i="4"/>
  <c r="EL74" i="4"/>
  <c r="EH74" i="4"/>
  <c r="ED74" i="4"/>
  <c r="DZ74" i="4"/>
  <c r="DV74" i="4"/>
  <c r="DR74" i="4"/>
  <c r="DM74" i="4"/>
  <c r="DI74" i="4"/>
  <c r="DD74" i="4"/>
  <c r="CZ74" i="4"/>
  <c r="CV74" i="4"/>
  <c r="CQ74" i="4"/>
  <c r="CM74" i="4"/>
  <c r="CH74" i="4"/>
  <c r="CD74" i="4"/>
  <c r="BY74" i="4"/>
  <c r="BU74" i="4"/>
  <c r="BP74" i="4"/>
  <c r="BL74" i="4"/>
  <c r="BH74" i="4"/>
  <c r="BC74" i="4"/>
  <c r="AY74" i="4"/>
  <c r="AT74" i="4"/>
  <c r="AP74" i="4"/>
  <c r="AG74" i="4"/>
  <c r="AC74" i="4"/>
  <c r="P74" i="4"/>
  <c r="L74" i="4"/>
  <c r="FF73" i="4"/>
  <c r="FA73" i="4"/>
  <c r="EW73" i="4"/>
  <c r="ES73" i="4"/>
  <c r="EN73" i="4"/>
  <c r="EJ73" i="4"/>
  <c r="EF73" i="4"/>
  <c r="EB73" i="4"/>
  <c r="DX73" i="4"/>
  <c r="DT73" i="4"/>
  <c r="DP73" i="4"/>
  <c r="DK73" i="4"/>
  <c r="DG73" i="4"/>
  <c r="DB73" i="4"/>
  <c r="CX73" i="4"/>
  <c r="CS73" i="4"/>
  <c r="CO73" i="4"/>
  <c r="CJ73" i="4"/>
  <c r="CF73" i="4"/>
  <c r="CB73" i="4"/>
  <c r="BW73" i="4"/>
  <c r="BS73" i="4"/>
  <c r="BN73" i="4"/>
  <c r="BJ73" i="4"/>
  <c r="BE73" i="4"/>
  <c r="BA73" i="4"/>
  <c r="AV73" i="4"/>
  <c r="AR73" i="4"/>
  <c r="AN73" i="4"/>
  <c r="AI73" i="4"/>
  <c r="AE73" i="4"/>
  <c r="V73" i="4"/>
  <c r="R73" i="4"/>
  <c r="N73" i="4"/>
  <c r="FD72" i="4"/>
  <c r="FB72" i="4"/>
  <c r="FB73" i="4"/>
  <c r="FB74" i="4"/>
  <c r="EZ73" i="4"/>
  <c r="EZ74" i="4"/>
  <c r="EX72" i="4"/>
  <c r="EX73" i="4"/>
  <c r="EX74" i="4"/>
  <c r="EV73" i="4"/>
  <c r="EV74" i="4"/>
  <c r="ET72" i="4"/>
  <c r="ET73" i="4"/>
  <c r="ET74" i="4"/>
  <c r="ER73" i="4"/>
  <c r="ER74" i="4"/>
  <c r="EO72" i="4"/>
  <c r="EO73" i="4"/>
  <c r="EO74" i="4"/>
  <c r="EM73" i="4"/>
  <c r="EM74" i="4"/>
  <c r="EK72" i="4"/>
  <c r="EK73" i="4"/>
  <c r="EK74" i="4"/>
  <c r="EI73" i="4"/>
  <c r="EI74" i="4"/>
  <c r="EG72" i="4"/>
  <c r="EG73" i="4"/>
  <c r="EG74" i="4"/>
  <c r="EE73" i="4"/>
  <c r="EE74" i="4"/>
  <c r="EC72" i="4"/>
  <c r="EC73" i="4"/>
  <c r="EC74" i="4"/>
  <c r="EA73" i="4"/>
  <c r="EA74" i="4"/>
  <c r="DY72" i="4"/>
  <c r="DY73" i="4"/>
  <c r="DY74" i="4"/>
  <c r="DW73" i="4"/>
  <c r="DW74" i="4"/>
  <c r="DU72" i="4"/>
  <c r="DU73" i="4"/>
  <c r="DU74" i="4"/>
  <c r="DS73" i="4"/>
  <c r="DS74" i="4"/>
  <c r="DQ72" i="4"/>
  <c r="DQ73" i="4"/>
  <c r="DQ74" i="4"/>
  <c r="DN73" i="4"/>
  <c r="DN74" i="4"/>
  <c r="DL72" i="4"/>
  <c r="DL73" i="4"/>
  <c r="DL74" i="4"/>
  <c r="DJ73" i="4"/>
  <c r="DJ74" i="4"/>
  <c r="DH72" i="4"/>
  <c r="DH73" i="4"/>
  <c r="DH74" i="4"/>
  <c r="DF73" i="4"/>
  <c r="DF74" i="4"/>
  <c r="DC72" i="4"/>
  <c r="DC73" i="4"/>
  <c r="DC74" i="4"/>
  <c r="DA73" i="4"/>
  <c r="DA74" i="4"/>
  <c r="CY72" i="4"/>
  <c r="CY73" i="4"/>
  <c r="CY74" i="4"/>
  <c r="CW73" i="4"/>
  <c r="CW74" i="4"/>
  <c r="CT72" i="4"/>
  <c r="CT73" i="4"/>
  <c r="CT74" i="4"/>
  <c r="CR73" i="4"/>
  <c r="CR74" i="4"/>
  <c r="CP72" i="4"/>
  <c r="CP73" i="4"/>
  <c r="CP74" i="4"/>
  <c r="CN73" i="4"/>
  <c r="CN74" i="4"/>
  <c r="CL72" i="4"/>
  <c r="CL73" i="4"/>
  <c r="CL74" i="4"/>
  <c r="CI73" i="4"/>
  <c r="CI74" i="4"/>
  <c r="CG72" i="4"/>
  <c r="CG73" i="4"/>
  <c r="CG74" i="4"/>
  <c r="CE73" i="4"/>
  <c r="CE74" i="4"/>
  <c r="CC72" i="4"/>
  <c r="CC73" i="4"/>
  <c r="CC74" i="4"/>
  <c r="BZ73" i="4"/>
  <c r="BZ74" i="4"/>
  <c r="BX72" i="4"/>
  <c r="BX73" i="4"/>
  <c r="BX74" i="4"/>
  <c r="BV73" i="4"/>
  <c r="BV74" i="4"/>
  <c r="BT72" i="4"/>
  <c r="BT73" i="4"/>
  <c r="BT74" i="4"/>
  <c r="BR73" i="4"/>
  <c r="BR74" i="4"/>
  <c r="BO72" i="4"/>
  <c r="BO73" i="4"/>
  <c r="BO74" i="4"/>
  <c r="BM73" i="4"/>
  <c r="BM74" i="4"/>
  <c r="BK72" i="4"/>
  <c r="BK73" i="4"/>
  <c r="BK74" i="4"/>
  <c r="BI73" i="4"/>
  <c r="BI74" i="4"/>
  <c r="BF72" i="4"/>
  <c r="BF73" i="4"/>
  <c r="BF74" i="4"/>
  <c r="BD73" i="4"/>
  <c r="BD74" i="4"/>
  <c r="BB72" i="4"/>
  <c r="BB73" i="4"/>
  <c r="BB74" i="4"/>
  <c r="AZ73" i="4"/>
  <c r="AZ74" i="4"/>
  <c r="AX72" i="4"/>
  <c r="AX73" i="4"/>
  <c r="AX74" i="4"/>
  <c r="AU73" i="4"/>
  <c r="AU74" i="4"/>
  <c r="AS72" i="4"/>
  <c r="AS73" i="4"/>
  <c r="AS74" i="4"/>
  <c r="AQ73" i="4"/>
  <c r="AQ74" i="4"/>
  <c r="AO72" i="4"/>
  <c r="AO73" i="4"/>
  <c r="AO74" i="4"/>
  <c r="AJ72" i="4"/>
  <c r="AJ73" i="4"/>
  <c r="AJ74" i="4"/>
  <c r="AH73" i="4"/>
  <c r="AH74" i="4"/>
  <c r="AF72" i="4"/>
  <c r="AF73" i="4"/>
  <c r="AF74" i="4"/>
  <c r="AD73" i="4"/>
  <c r="AD74" i="4"/>
  <c r="AB72" i="4"/>
  <c r="AB73" i="4"/>
  <c r="AB74" i="4"/>
  <c r="U73" i="4"/>
  <c r="U74" i="4"/>
  <c r="Q73" i="4"/>
  <c r="Q74" i="4"/>
  <c r="O72" i="4"/>
  <c r="O73" i="4"/>
  <c r="O74" i="4"/>
  <c r="M73" i="4"/>
  <c r="M74" i="4"/>
  <c r="K72" i="4"/>
  <c r="K74" i="4"/>
  <c r="E73" i="4"/>
  <c r="E74" i="4"/>
  <c r="FD74" i="4"/>
  <c r="FA74" i="4"/>
  <c r="EW74" i="4"/>
  <c r="ES74" i="4"/>
  <c r="EN74" i="4"/>
  <c r="EJ74" i="4"/>
  <c r="EF74" i="4"/>
  <c r="EB74" i="4"/>
  <c r="DX74" i="4"/>
  <c r="DT74" i="4"/>
  <c r="DP74" i="4"/>
  <c r="DK74" i="4"/>
  <c r="DG74" i="4"/>
  <c r="DB74" i="4"/>
  <c r="CX74" i="4"/>
  <c r="CS74" i="4"/>
  <c r="CO74" i="4"/>
  <c r="CJ74" i="4"/>
  <c r="CF74" i="4"/>
  <c r="CB74" i="4"/>
  <c r="BW74" i="4"/>
  <c r="BS74" i="4"/>
  <c r="BN74" i="4"/>
  <c r="BJ74" i="4"/>
  <c r="BE74" i="4"/>
  <c r="BA74" i="4"/>
  <c r="AV74" i="4"/>
  <c r="AR74" i="4"/>
  <c r="AN74" i="4"/>
  <c r="AI74" i="4"/>
  <c r="AE74" i="4"/>
  <c r="V74" i="4"/>
  <c r="R74" i="4"/>
  <c r="N74" i="4"/>
  <c r="J74" i="4"/>
  <c r="FC73" i="4"/>
  <c r="EY73" i="4"/>
  <c r="EU73" i="4"/>
  <c r="EP73" i="4"/>
  <c r="EL73" i="4"/>
  <c r="EH73" i="4"/>
  <c r="ED73" i="4"/>
  <c r="DZ73" i="4"/>
  <c r="DV73" i="4"/>
  <c r="DR73" i="4"/>
  <c r="DM73" i="4"/>
  <c r="DI73" i="4"/>
  <c r="DD73" i="4"/>
  <c r="CZ73" i="4"/>
  <c r="CV73" i="4"/>
  <c r="CQ73" i="4"/>
  <c r="CM73" i="4"/>
  <c r="CH73" i="4"/>
  <c r="CD73" i="4"/>
  <c r="BY73" i="4"/>
  <c r="BU73" i="4"/>
  <c r="BP73" i="4"/>
  <c r="BL73" i="4"/>
  <c r="BH73" i="4"/>
  <c r="BC73" i="4"/>
  <c r="AY73" i="4"/>
  <c r="AT73" i="4"/>
  <c r="AP73" i="4"/>
  <c r="AG73" i="4"/>
  <c r="AC73" i="4"/>
  <c r="P73" i="4"/>
  <c r="K73" i="4"/>
  <c r="EZ72" i="4"/>
  <c r="ER72" i="4"/>
  <c r="EI72" i="4"/>
  <c r="EA72" i="4"/>
  <c r="DS72" i="4"/>
  <c r="DJ72" i="4"/>
  <c r="DA72" i="4"/>
  <c r="CR72" i="4"/>
  <c r="CI72" i="4"/>
  <c r="BZ72" i="4"/>
  <c r="BR72" i="4"/>
  <c r="BI72" i="4"/>
  <c r="AZ72" i="4"/>
  <c r="AQ72" i="4"/>
  <c r="AH72" i="4"/>
  <c r="U72" i="4"/>
  <c r="M72" i="4"/>
  <c r="EC84" i="1"/>
  <c r="DZ84" i="1"/>
  <c r="FN84" i="1"/>
  <c r="FO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AC88" i="2" l="1"/>
  <c r="AD89" i="2"/>
  <c r="AD90" i="2"/>
  <c r="GI84" i="1"/>
  <c r="AC83" i="1"/>
  <c r="K83" i="1"/>
  <c r="FN83" i="1"/>
  <c r="FO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I83" i="1" l="1"/>
  <c r="EC82" i="1"/>
  <c r="DZ82" i="1"/>
  <c r="FO82" i="1"/>
  <c r="FN82" i="1"/>
  <c r="FV82" i="1"/>
  <c r="FW82" i="1"/>
  <c r="FX82" i="1"/>
  <c r="FY82" i="1"/>
  <c r="FZ82" i="1"/>
  <c r="GA82" i="1"/>
  <c r="GB82" i="1"/>
  <c r="GC82" i="1"/>
  <c r="GD82" i="1"/>
  <c r="GE82" i="1"/>
  <c r="GF82" i="1"/>
  <c r="GG82" i="1"/>
  <c r="GI82" i="1" l="1"/>
  <c r="GG4" i="1"/>
  <c r="GG5" i="1"/>
  <c r="GG6" i="1"/>
  <c r="GG7" i="1"/>
  <c r="GG8" i="1"/>
  <c r="GG9" i="1"/>
  <c r="GG10" i="1"/>
  <c r="GG11" i="1"/>
  <c r="GG12" i="1"/>
  <c r="GG13" i="1"/>
  <c r="GG14" i="1"/>
  <c r="GG15" i="1"/>
  <c r="GG16" i="1"/>
  <c r="GG17" i="1"/>
  <c r="GG18" i="1"/>
  <c r="GG19" i="1"/>
  <c r="GG20" i="1"/>
  <c r="GG21" i="1"/>
  <c r="GG22" i="1"/>
  <c r="GG23" i="1"/>
  <c r="GG24" i="1"/>
  <c r="GG25" i="1"/>
  <c r="GG26" i="1"/>
  <c r="GG27" i="1"/>
  <c r="GG28" i="1"/>
  <c r="GG29" i="1"/>
  <c r="GG30" i="1"/>
  <c r="GG31" i="1"/>
  <c r="GG32" i="1"/>
  <c r="GG33" i="1"/>
  <c r="GG34" i="1"/>
  <c r="GG35" i="1"/>
  <c r="GG36" i="1"/>
  <c r="GG37" i="1"/>
  <c r="GG38" i="1"/>
  <c r="GG39" i="1"/>
  <c r="GG40" i="1"/>
  <c r="GG41" i="1"/>
  <c r="GG42" i="1"/>
  <c r="GG43" i="1"/>
  <c r="GG44" i="1"/>
  <c r="GG45" i="1"/>
  <c r="GG46" i="1"/>
  <c r="GG47" i="1"/>
  <c r="GG48" i="1"/>
  <c r="GG49" i="1"/>
  <c r="GG50" i="1"/>
  <c r="GG51" i="1"/>
  <c r="GG52" i="1"/>
  <c r="GG53" i="1"/>
  <c r="GG54" i="1"/>
  <c r="GG55" i="1"/>
  <c r="GG56" i="1"/>
  <c r="GG57" i="1"/>
  <c r="GG58" i="1"/>
  <c r="GG59" i="1"/>
  <c r="GG60" i="1"/>
  <c r="GG61" i="1"/>
  <c r="GG62" i="1"/>
  <c r="GG63" i="1"/>
  <c r="GG64" i="1"/>
  <c r="GG65" i="1"/>
  <c r="GG66" i="1"/>
  <c r="GG67" i="1"/>
  <c r="GG68" i="1"/>
  <c r="GG69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F4" i="1"/>
  <c r="GF5" i="1"/>
  <c r="GF6" i="1"/>
  <c r="GF7" i="1"/>
  <c r="GF8" i="1"/>
  <c r="GF9" i="1"/>
  <c r="GF10" i="1"/>
  <c r="GF11" i="1"/>
  <c r="GF12" i="1"/>
  <c r="GF13" i="1"/>
  <c r="GF14" i="1"/>
  <c r="GF15" i="1"/>
  <c r="GF16" i="1"/>
  <c r="GF17" i="1"/>
  <c r="GF18" i="1"/>
  <c r="GF19" i="1"/>
  <c r="GF20" i="1"/>
  <c r="GF21" i="1"/>
  <c r="GF22" i="1"/>
  <c r="GF23" i="1"/>
  <c r="GF24" i="1"/>
  <c r="GF25" i="1"/>
  <c r="GF26" i="1"/>
  <c r="GF27" i="1"/>
  <c r="GF28" i="1"/>
  <c r="GF29" i="1"/>
  <c r="GF30" i="1"/>
  <c r="GF31" i="1"/>
  <c r="GF32" i="1"/>
  <c r="GF33" i="1"/>
  <c r="GF34" i="1"/>
  <c r="GF35" i="1"/>
  <c r="GF36" i="1"/>
  <c r="GF37" i="1"/>
  <c r="GF38" i="1"/>
  <c r="GF39" i="1"/>
  <c r="GF40" i="1"/>
  <c r="GF41" i="1"/>
  <c r="GF42" i="1"/>
  <c r="GF43" i="1"/>
  <c r="GF44" i="1"/>
  <c r="GF45" i="1"/>
  <c r="GF46" i="1"/>
  <c r="GF47" i="1"/>
  <c r="GF48" i="1"/>
  <c r="GF49" i="1"/>
  <c r="GF50" i="1"/>
  <c r="GF51" i="1"/>
  <c r="GF52" i="1"/>
  <c r="GF53" i="1"/>
  <c r="GF54" i="1"/>
  <c r="GF55" i="1"/>
  <c r="GF56" i="1"/>
  <c r="GF57" i="1"/>
  <c r="GF58" i="1"/>
  <c r="GF59" i="1"/>
  <c r="GF60" i="1"/>
  <c r="GF61" i="1"/>
  <c r="GF62" i="1"/>
  <c r="GF63" i="1"/>
  <c r="GF64" i="1"/>
  <c r="GF65" i="1"/>
  <c r="GF66" i="1"/>
  <c r="GF67" i="1"/>
  <c r="GF68" i="1"/>
  <c r="GF69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E4" i="1"/>
  <c r="GE5" i="1"/>
  <c r="GE6" i="1"/>
  <c r="GE7" i="1"/>
  <c r="GE8" i="1"/>
  <c r="GE9" i="1"/>
  <c r="GE10" i="1"/>
  <c r="GE11" i="1"/>
  <c r="GE12" i="1"/>
  <c r="GE13" i="1"/>
  <c r="GE14" i="1"/>
  <c r="GE15" i="1"/>
  <c r="GE16" i="1"/>
  <c r="GE17" i="1"/>
  <c r="GE18" i="1"/>
  <c r="GE19" i="1"/>
  <c r="GE20" i="1"/>
  <c r="GE21" i="1"/>
  <c r="GE22" i="1"/>
  <c r="GE23" i="1"/>
  <c r="GE24" i="1"/>
  <c r="GE25" i="1"/>
  <c r="GE26" i="1"/>
  <c r="GE27" i="1"/>
  <c r="GE28" i="1"/>
  <c r="GE29" i="1"/>
  <c r="GE30" i="1"/>
  <c r="GE31" i="1"/>
  <c r="GE32" i="1"/>
  <c r="GE33" i="1"/>
  <c r="GE34" i="1"/>
  <c r="GE35" i="1"/>
  <c r="GE36" i="1"/>
  <c r="GE37" i="1"/>
  <c r="GE38" i="1"/>
  <c r="GE39" i="1"/>
  <c r="GE40" i="1"/>
  <c r="GE41" i="1"/>
  <c r="GE42" i="1"/>
  <c r="GE43" i="1"/>
  <c r="GE44" i="1"/>
  <c r="GE45" i="1"/>
  <c r="GE46" i="1"/>
  <c r="GE47" i="1"/>
  <c r="GE48" i="1"/>
  <c r="GE49" i="1"/>
  <c r="GE50" i="1"/>
  <c r="GE51" i="1"/>
  <c r="GE52" i="1"/>
  <c r="GE53" i="1"/>
  <c r="GE54" i="1"/>
  <c r="GE55" i="1"/>
  <c r="GE56" i="1"/>
  <c r="GE57" i="1"/>
  <c r="GE58" i="1"/>
  <c r="GE59" i="1"/>
  <c r="GE60" i="1"/>
  <c r="GE61" i="1"/>
  <c r="GE62" i="1"/>
  <c r="GE63" i="1"/>
  <c r="GE64" i="1"/>
  <c r="GE65" i="1"/>
  <c r="GE66" i="1"/>
  <c r="GE67" i="1"/>
  <c r="GE68" i="1"/>
  <c r="GE69" i="1"/>
  <c r="GE70" i="1"/>
  <c r="GE71" i="1"/>
  <c r="GE72" i="1"/>
  <c r="GE73" i="1"/>
  <c r="GE74" i="1"/>
  <c r="GE75" i="1"/>
  <c r="GE76" i="1"/>
  <c r="GE77" i="1"/>
  <c r="GE78" i="1"/>
  <c r="GE79" i="1"/>
  <c r="GE80" i="1"/>
  <c r="GE81" i="1"/>
  <c r="GD4" i="1"/>
  <c r="GD5" i="1"/>
  <c r="GD6" i="1"/>
  <c r="GD7" i="1"/>
  <c r="GD8" i="1"/>
  <c r="GD9" i="1"/>
  <c r="GD10" i="1"/>
  <c r="GD11" i="1"/>
  <c r="GD12" i="1"/>
  <c r="GD13" i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C4" i="1"/>
  <c r="GC5" i="1"/>
  <c r="GC6" i="1"/>
  <c r="GC7" i="1"/>
  <c r="GC8" i="1"/>
  <c r="GC9" i="1"/>
  <c r="GC10" i="1"/>
  <c r="GC11" i="1"/>
  <c r="GC12" i="1"/>
  <c r="GC13" i="1"/>
  <c r="GC14" i="1"/>
  <c r="GC15" i="1"/>
  <c r="GC16" i="1"/>
  <c r="GC17" i="1"/>
  <c r="GC18" i="1"/>
  <c r="GC19" i="1"/>
  <c r="GC20" i="1"/>
  <c r="GC21" i="1"/>
  <c r="GC22" i="1"/>
  <c r="GC23" i="1"/>
  <c r="GC24" i="1"/>
  <c r="GC25" i="1"/>
  <c r="GC26" i="1"/>
  <c r="GC27" i="1"/>
  <c r="GC28" i="1"/>
  <c r="GC29" i="1"/>
  <c r="GC30" i="1"/>
  <c r="GC31" i="1"/>
  <c r="GC32" i="1"/>
  <c r="GC33" i="1"/>
  <c r="GC34" i="1"/>
  <c r="GC35" i="1"/>
  <c r="GC36" i="1"/>
  <c r="GC37" i="1"/>
  <c r="GC38" i="1"/>
  <c r="GC39" i="1"/>
  <c r="GC40" i="1"/>
  <c r="GC41" i="1"/>
  <c r="GC42" i="1"/>
  <c r="GC43" i="1"/>
  <c r="GC44" i="1"/>
  <c r="GC45" i="1"/>
  <c r="GC46" i="1"/>
  <c r="GC47" i="1"/>
  <c r="GC48" i="1"/>
  <c r="GC49" i="1"/>
  <c r="GC50" i="1"/>
  <c r="GC51" i="1"/>
  <c r="GC52" i="1"/>
  <c r="GC53" i="1"/>
  <c r="GC54" i="1"/>
  <c r="GC55" i="1"/>
  <c r="GC56" i="1"/>
  <c r="GC57" i="1"/>
  <c r="GC58" i="1"/>
  <c r="GC59" i="1"/>
  <c r="GC60" i="1"/>
  <c r="GC61" i="1"/>
  <c r="GC62" i="1"/>
  <c r="GC63" i="1"/>
  <c r="GC64" i="1"/>
  <c r="GC65" i="1"/>
  <c r="GC66" i="1"/>
  <c r="GC67" i="1"/>
  <c r="GC68" i="1"/>
  <c r="GC69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B4" i="1"/>
  <c r="GB5" i="1"/>
  <c r="GB6" i="1"/>
  <c r="GB7" i="1"/>
  <c r="GB8" i="1"/>
  <c r="GB9" i="1"/>
  <c r="GB10" i="1"/>
  <c r="GB11" i="1"/>
  <c r="GB12" i="1"/>
  <c r="GB13" i="1"/>
  <c r="GB14" i="1"/>
  <c r="GB15" i="1"/>
  <c r="GB16" i="1"/>
  <c r="GB17" i="1"/>
  <c r="GB18" i="1"/>
  <c r="GB19" i="1"/>
  <c r="GB20" i="1"/>
  <c r="GB21" i="1"/>
  <c r="GB22" i="1"/>
  <c r="GB23" i="1"/>
  <c r="GB24" i="1"/>
  <c r="GB25" i="1"/>
  <c r="GB26" i="1"/>
  <c r="GB27" i="1"/>
  <c r="GB28" i="1"/>
  <c r="GB29" i="1"/>
  <c r="GB30" i="1"/>
  <c r="GB31" i="1"/>
  <c r="GB32" i="1"/>
  <c r="GB33" i="1"/>
  <c r="GB34" i="1"/>
  <c r="GB35" i="1"/>
  <c r="GB36" i="1"/>
  <c r="GB37" i="1"/>
  <c r="GB38" i="1"/>
  <c r="GB39" i="1"/>
  <c r="GB40" i="1"/>
  <c r="GB41" i="1"/>
  <c r="GB42" i="1"/>
  <c r="GB43" i="1"/>
  <c r="GB44" i="1"/>
  <c r="GB45" i="1"/>
  <c r="GB46" i="1"/>
  <c r="GB47" i="1"/>
  <c r="GB48" i="1"/>
  <c r="GB49" i="1"/>
  <c r="GB50" i="1"/>
  <c r="GB51" i="1"/>
  <c r="GB52" i="1"/>
  <c r="GB53" i="1"/>
  <c r="GB54" i="1"/>
  <c r="GB55" i="1"/>
  <c r="GB56" i="1"/>
  <c r="GB57" i="1"/>
  <c r="GB58" i="1"/>
  <c r="GB59" i="1"/>
  <c r="GB60" i="1"/>
  <c r="GB61" i="1"/>
  <c r="GB62" i="1"/>
  <c r="GB63" i="1"/>
  <c r="GB64" i="1"/>
  <c r="GB65" i="1"/>
  <c r="GB66" i="1"/>
  <c r="GB67" i="1"/>
  <c r="GB68" i="1"/>
  <c r="GB69" i="1"/>
  <c r="GB70" i="1"/>
  <c r="GB71" i="1"/>
  <c r="GB72" i="1"/>
  <c r="GB73" i="1"/>
  <c r="GB74" i="1"/>
  <c r="GB75" i="1"/>
  <c r="GB76" i="1"/>
  <c r="GB77" i="1"/>
  <c r="GB78" i="1"/>
  <c r="GB79" i="1"/>
  <c r="GB80" i="1"/>
  <c r="GB81" i="1"/>
  <c r="GA4" i="1"/>
  <c r="GA5" i="1"/>
  <c r="GA6" i="1"/>
  <c r="GA7" i="1"/>
  <c r="GA8" i="1"/>
  <c r="GA9" i="1"/>
  <c r="GA10" i="1"/>
  <c r="GA11" i="1"/>
  <c r="GA12" i="1"/>
  <c r="GA13" i="1"/>
  <c r="GA14" i="1"/>
  <c r="GA15" i="1"/>
  <c r="GA16" i="1"/>
  <c r="GA17" i="1"/>
  <c r="GA18" i="1"/>
  <c r="GA19" i="1"/>
  <c r="GA20" i="1"/>
  <c r="GA21" i="1"/>
  <c r="GA22" i="1"/>
  <c r="GA23" i="1"/>
  <c r="GA24" i="1"/>
  <c r="GA25" i="1"/>
  <c r="GA26" i="1"/>
  <c r="GA27" i="1"/>
  <c r="GA28" i="1"/>
  <c r="GA29" i="1"/>
  <c r="GA30" i="1"/>
  <c r="GA31" i="1"/>
  <c r="GA32" i="1"/>
  <c r="GA33" i="1"/>
  <c r="GA34" i="1"/>
  <c r="GA35" i="1"/>
  <c r="GA36" i="1"/>
  <c r="GA37" i="1"/>
  <c r="GA38" i="1"/>
  <c r="GA39" i="1"/>
  <c r="GA40" i="1"/>
  <c r="GA41" i="1"/>
  <c r="GA42" i="1"/>
  <c r="GA43" i="1"/>
  <c r="GA44" i="1"/>
  <c r="GA45" i="1"/>
  <c r="GA46" i="1"/>
  <c r="GA47" i="1"/>
  <c r="GA48" i="1"/>
  <c r="GA49" i="1"/>
  <c r="GA50" i="1"/>
  <c r="GA51" i="1"/>
  <c r="GA52" i="1"/>
  <c r="GA53" i="1"/>
  <c r="GA54" i="1"/>
  <c r="GA55" i="1"/>
  <c r="GA56" i="1"/>
  <c r="GA57" i="1"/>
  <c r="GA58" i="1"/>
  <c r="GA59" i="1"/>
  <c r="GA60" i="1"/>
  <c r="GA61" i="1"/>
  <c r="GA62" i="1"/>
  <c r="GA63" i="1"/>
  <c r="GA64" i="1"/>
  <c r="GA65" i="1"/>
  <c r="GA66" i="1"/>
  <c r="GA67" i="1"/>
  <c r="GA68" i="1"/>
  <c r="GA69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FZ4" i="1"/>
  <c r="FZ5" i="1"/>
  <c r="FZ6" i="1"/>
  <c r="FZ7" i="1"/>
  <c r="FZ8" i="1"/>
  <c r="FZ9" i="1"/>
  <c r="FZ10" i="1"/>
  <c r="FZ11" i="1"/>
  <c r="FZ12" i="1"/>
  <c r="FZ13" i="1"/>
  <c r="FZ14" i="1"/>
  <c r="FZ15" i="1"/>
  <c r="FZ16" i="1"/>
  <c r="FZ17" i="1"/>
  <c r="FZ18" i="1"/>
  <c r="FZ19" i="1"/>
  <c r="FZ20" i="1"/>
  <c r="FZ21" i="1"/>
  <c r="FZ22" i="1"/>
  <c r="FZ23" i="1"/>
  <c r="FZ24" i="1"/>
  <c r="FZ25" i="1"/>
  <c r="FZ26" i="1"/>
  <c r="FZ27" i="1"/>
  <c r="FZ28" i="1"/>
  <c r="FZ29" i="1"/>
  <c r="FZ30" i="1"/>
  <c r="FZ31" i="1"/>
  <c r="FZ32" i="1"/>
  <c r="FZ33" i="1"/>
  <c r="FZ34" i="1"/>
  <c r="FZ35" i="1"/>
  <c r="FZ36" i="1"/>
  <c r="FZ37" i="1"/>
  <c r="FZ38" i="1"/>
  <c r="FZ39" i="1"/>
  <c r="FZ40" i="1"/>
  <c r="FZ41" i="1"/>
  <c r="FZ42" i="1"/>
  <c r="FZ43" i="1"/>
  <c r="FZ44" i="1"/>
  <c r="FZ45" i="1"/>
  <c r="FZ46" i="1"/>
  <c r="FZ47" i="1"/>
  <c r="FZ48" i="1"/>
  <c r="FZ49" i="1"/>
  <c r="FZ50" i="1"/>
  <c r="FZ51" i="1"/>
  <c r="FZ52" i="1"/>
  <c r="FZ53" i="1"/>
  <c r="FZ54" i="1"/>
  <c r="FZ55" i="1"/>
  <c r="FZ56" i="1"/>
  <c r="FZ57" i="1"/>
  <c r="FZ58" i="1"/>
  <c r="FZ59" i="1"/>
  <c r="FZ60" i="1"/>
  <c r="FZ61" i="1"/>
  <c r="FZ62" i="1"/>
  <c r="FZ63" i="1"/>
  <c r="FZ64" i="1"/>
  <c r="FZ65" i="1"/>
  <c r="FZ66" i="1"/>
  <c r="FZ67" i="1"/>
  <c r="FZ68" i="1"/>
  <c r="FZ69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Y4" i="1"/>
  <c r="FY5" i="1"/>
  <c r="FY6" i="1"/>
  <c r="FY7" i="1"/>
  <c r="FY8" i="1"/>
  <c r="FY9" i="1"/>
  <c r="FY10" i="1"/>
  <c r="FY11" i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4" i="1"/>
  <c r="FY25" i="1"/>
  <c r="FY26" i="1"/>
  <c r="FY27" i="1"/>
  <c r="FY28" i="1"/>
  <c r="FY29" i="1"/>
  <c r="FY30" i="1"/>
  <c r="FY31" i="1"/>
  <c r="FY32" i="1"/>
  <c r="FY33" i="1"/>
  <c r="FY34" i="1"/>
  <c r="FY35" i="1"/>
  <c r="FY36" i="1"/>
  <c r="FY37" i="1"/>
  <c r="FY38" i="1"/>
  <c r="FY39" i="1"/>
  <c r="FY40" i="1"/>
  <c r="FY41" i="1"/>
  <c r="FY42" i="1"/>
  <c r="FY43" i="1"/>
  <c r="FY44" i="1"/>
  <c r="FY45" i="1"/>
  <c r="FY46" i="1"/>
  <c r="FY47" i="1"/>
  <c r="FY48" i="1"/>
  <c r="FY49" i="1"/>
  <c r="FY50" i="1"/>
  <c r="FY51" i="1"/>
  <c r="FY52" i="1"/>
  <c r="FY53" i="1"/>
  <c r="FY54" i="1"/>
  <c r="FY55" i="1"/>
  <c r="FY56" i="1"/>
  <c r="FY57" i="1"/>
  <c r="FY58" i="1"/>
  <c r="FY59" i="1"/>
  <c r="FY60" i="1"/>
  <c r="FY61" i="1"/>
  <c r="FY62" i="1"/>
  <c r="FY63" i="1"/>
  <c r="FY64" i="1"/>
  <c r="FY65" i="1"/>
  <c r="FY66" i="1"/>
  <c r="FY67" i="1"/>
  <c r="FY68" i="1"/>
  <c r="FY69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X4" i="1"/>
  <c r="FX5" i="1"/>
  <c r="FX6" i="1"/>
  <c r="FX7" i="1"/>
  <c r="FX8" i="1"/>
  <c r="FX9" i="1"/>
  <c r="FX10" i="1"/>
  <c r="FX11" i="1"/>
  <c r="FX12" i="1"/>
  <c r="FX13" i="1"/>
  <c r="FX14" i="1"/>
  <c r="FX15" i="1"/>
  <c r="FX16" i="1"/>
  <c r="FX17" i="1"/>
  <c r="FX18" i="1"/>
  <c r="FX19" i="1"/>
  <c r="FX20" i="1"/>
  <c r="FX21" i="1"/>
  <c r="FX22" i="1"/>
  <c r="FX23" i="1"/>
  <c r="FX24" i="1"/>
  <c r="FX25" i="1"/>
  <c r="FX26" i="1"/>
  <c r="FX27" i="1"/>
  <c r="FX28" i="1"/>
  <c r="FX29" i="1"/>
  <c r="FX30" i="1"/>
  <c r="FX31" i="1"/>
  <c r="FX32" i="1"/>
  <c r="FX33" i="1"/>
  <c r="FX34" i="1"/>
  <c r="FX35" i="1"/>
  <c r="FX36" i="1"/>
  <c r="FX37" i="1"/>
  <c r="FX38" i="1"/>
  <c r="FX39" i="1"/>
  <c r="FX40" i="1"/>
  <c r="FX41" i="1"/>
  <c r="FX42" i="1"/>
  <c r="FX43" i="1"/>
  <c r="FX44" i="1"/>
  <c r="FX45" i="1"/>
  <c r="FX46" i="1"/>
  <c r="FX47" i="1"/>
  <c r="FX48" i="1"/>
  <c r="FX49" i="1"/>
  <c r="FX50" i="1"/>
  <c r="FX51" i="1"/>
  <c r="FX52" i="1"/>
  <c r="FX53" i="1"/>
  <c r="FX54" i="1"/>
  <c r="FX55" i="1"/>
  <c r="FX56" i="1"/>
  <c r="FX57" i="1"/>
  <c r="FX58" i="1"/>
  <c r="FX59" i="1"/>
  <c r="FX60" i="1"/>
  <c r="FX61" i="1"/>
  <c r="FX62" i="1"/>
  <c r="FX63" i="1"/>
  <c r="FX64" i="1"/>
  <c r="FX65" i="1"/>
  <c r="FX66" i="1"/>
  <c r="FX67" i="1"/>
  <c r="FX68" i="1"/>
  <c r="FX69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W4" i="1"/>
  <c r="FW5" i="1"/>
  <c r="FW6" i="1"/>
  <c r="FW7" i="1"/>
  <c r="FW8" i="1"/>
  <c r="FW9" i="1"/>
  <c r="FW10" i="1"/>
  <c r="FW11" i="1"/>
  <c r="FW12" i="1"/>
  <c r="FW13" i="1"/>
  <c r="FW14" i="1"/>
  <c r="FW15" i="1"/>
  <c r="FW16" i="1"/>
  <c r="FW17" i="1"/>
  <c r="FW18" i="1"/>
  <c r="FW19" i="1"/>
  <c r="FW20" i="1"/>
  <c r="FW21" i="1"/>
  <c r="FW22" i="1"/>
  <c r="FW23" i="1"/>
  <c r="FW24" i="1"/>
  <c r="FW25" i="1"/>
  <c r="FW26" i="1"/>
  <c r="FW27" i="1"/>
  <c r="FW28" i="1"/>
  <c r="FW29" i="1"/>
  <c r="FW30" i="1"/>
  <c r="FW31" i="1"/>
  <c r="FW32" i="1"/>
  <c r="FW33" i="1"/>
  <c r="FW34" i="1"/>
  <c r="FW35" i="1"/>
  <c r="FW36" i="1"/>
  <c r="FW37" i="1"/>
  <c r="FW38" i="1"/>
  <c r="FW39" i="1"/>
  <c r="FW40" i="1"/>
  <c r="FW41" i="1"/>
  <c r="FW42" i="1"/>
  <c r="FW43" i="1"/>
  <c r="FW44" i="1"/>
  <c r="FW45" i="1"/>
  <c r="FW46" i="1"/>
  <c r="FW47" i="1"/>
  <c r="FW48" i="1"/>
  <c r="FW49" i="1"/>
  <c r="FW50" i="1"/>
  <c r="FW51" i="1"/>
  <c r="FW52" i="1"/>
  <c r="FW53" i="1"/>
  <c r="FW54" i="1"/>
  <c r="FW55" i="1"/>
  <c r="FW56" i="1"/>
  <c r="FW57" i="1"/>
  <c r="FW58" i="1"/>
  <c r="FW59" i="1"/>
  <c r="FW60" i="1"/>
  <c r="FW61" i="1"/>
  <c r="FW62" i="1"/>
  <c r="FW63" i="1"/>
  <c r="FW64" i="1"/>
  <c r="FW65" i="1"/>
  <c r="FW66" i="1"/>
  <c r="FW67" i="1"/>
  <c r="FW68" i="1"/>
  <c r="FW69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V4" i="1"/>
  <c r="FV5" i="1"/>
  <c r="FV6" i="1"/>
  <c r="FV7" i="1"/>
  <c r="FV8" i="1"/>
  <c r="FV9" i="1"/>
  <c r="FV10" i="1"/>
  <c r="FV11" i="1"/>
  <c r="FV12" i="1"/>
  <c r="FV13" i="1"/>
  <c r="FV14" i="1"/>
  <c r="FV15" i="1"/>
  <c r="FV16" i="1"/>
  <c r="FV17" i="1"/>
  <c r="FV18" i="1"/>
  <c r="FV19" i="1"/>
  <c r="FV20" i="1"/>
  <c r="FV21" i="1"/>
  <c r="FV22" i="1"/>
  <c r="FV23" i="1"/>
  <c r="FV24" i="1"/>
  <c r="FV25" i="1"/>
  <c r="FV26" i="1"/>
  <c r="FV27" i="1"/>
  <c r="FV28" i="1"/>
  <c r="FV29" i="1"/>
  <c r="FV30" i="1"/>
  <c r="FV31" i="1"/>
  <c r="FV32" i="1"/>
  <c r="FV33" i="1"/>
  <c r="FV34" i="1"/>
  <c r="FV35" i="1"/>
  <c r="FV36" i="1"/>
  <c r="FV37" i="1"/>
  <c r="FV38" i="1"/>
  <c r="FV39" i="1"/>
  <c r="FV40" i="1"/>
  <c r="FV41" i="1"/>
  <c r="FV42" i="1"/>
  <c r="FV43" i="1"/>
  <c r="FV44" i="1"/>
  <c r="FV45" i="1"/>
  <c r="FV46" i="1"/>
  <c r="FV47" i="1"/>
  <c r="FV48" i="1"/>
  <c r="FV49" i="1"/>
  <c r="FV50" i="1"/>
  <c r="FV51" i="1"/>
  <c r="FV52" i="1"/>
  <c r="FV53" i="1"/>
  <c r="FV54" i="1"/>
  <c r="FV55" i="1"/>
  <c r="FV56" i="1"/>
  <c r="FV57" i="1"/>
  <c r="FV58" i="1"/>
  <c r="FV59" i="1"/>
  <c r="FV60" i="1"/>
  <c r="FV61" i="1"/>
  <c r="FV62" i="1"/>
  <c r="FV63" i="1"/>
  <c r="FV64" i="1"/>
  <c r="FV65" i="1"/>
  <c r="FV66" i="1"/>
  <c r="FV67" i="1"/>
  <c r="FV68" i="1"/>
  <c r="FV69" i="1"/>
  <c r="FV70" i="1"/>
  <c r="FV71" i="1"/>
  <c r="FV72" i="1"/>
  <c r="FV73" i="1"/>
  <c r="FV74" i="1"/>
  <c r="FV75" i="1"/>
  <c r="FV76" i="1"/>
  <c r="FV77" i="1"/>
  <c r="FV78" i="1"/>
  <c r="FV79" i="1"/>
  <c r="FV80" i="1"/>
  <c r="FV81" i="1"/>
  <c r="GD171" i="1" l="1"/>
  <c r="FZ171" i="1"/>
  <c r="GB171" i="1"/>
  <c r="GA171" i="1"/>
  <c r="GC171" i="1"/>
  <c r="GE171" i="1"/>
  <c r="GF171" i="1"/>
  <c r="GG171" i="1"/>
  <c r="FW171" i="1"/>
  <c r="FY171" i="1"/>
  <c r="FV181" i="1"/>
  <c r="FV176" i="1"/>
  <c r="FV174" i="1"/>
  <c r="FV177" i="1"/>
  <c r="FV175" i="1"/>
  <c r="FV173" i="1"/>
  <c r="FV172" i="1"/>
  <c r="FV171" i="1"/>
  <c r="FW172" i="1"/>
  <c r="FW174" i="1"/>
  <c r="FW176" i="1"/>
  <c r="FW181" i="1"/>
  <c r="FW173" i="1"/>
  <c r="FW175" i="1"/>
  <c r="FW177" i="1"/>
  <c r="FX173" i="1"/>
  <c r="FX175" i="1"/>
  <c r="FX177" i="1"/>
  <c r="FX172" i="1"/>
  <c r="FX174" i="1"/>
  <c r="FX176" i="1"/>
  <c r="FX181" i="1"/>
  <c r="FX179" i="1" s="1"/>
  <c r="FY172" i="1"/>
  <c r="FY174" i="1"/>
  <c r="FY176" i="1"/>
  <c r="FY181" i="1"/>
  <c r="FY173" i="1"/>
  <c r="FY175" i="1"/>
  <c r="FY177" i="1"/>
  <c r="FX171" i="1"/>
  <c r="FZ173" i="1"/>
  <c r="FZ175" i="1"/>
  <c r="FZ177" i="1"/>
  <c r="FZ172" i="1"/>
  <c r="FZ174" i="1"/>
  <c r="FZ176" i="1"/>
  <c r="FZ181" i="1"/>
  <c r="FZ179" i="1" s="1"/>
  <c r="GA172" i="1"/>
  <c r="GA174" i="1"/>
  <c r="GA176" i="1"/>
  <c r="GA181" i="1"/>
  <c r="GA173" i="1"/>
  <c r="GA175" i="1"/>
  <c r="GA177" i="1"/>
  <c r="GB173" i="1"/>
  <c r="GB175" i="1"/>
  <c r="GB177" i="1"/>
  <c r="GB172" i="1"/>
  <c r="GB174" i="1"/>
  <c r="GB176" i="1"/>
  <c r="GB181" i="1"/>
  <c r="GC172" i="1"/>
  <c r="GC174" i="1"/>
  <c r="GC176" i="1"/>
  <c r="GC181" i="1"/>
  <c r="GC173" i="1"/>
  <c r="GC175" i="1"/>
  <c r="GC177" i="1"/>
  <c r="GD173" i="1"/>
  <c r="GD175" i="1"/>
  <c r="GD177" i="1"/>
  <c r="GD172" i="1"/>
  <c r="GD174" i="1"/>
  <c r="GD176" i="1"/>
  <c r="GD181" i="1"/>
  <c r="EC81" i="1"/>
  <c r="DZ81" i="1"/>
  <c r="AC81" i="1"/>
  <c r="K81" i="1"/>
  <c r="FN81" i="1"/>
  <c r="GB180" i="1" l="1"/>
  <c r="FV184" i="1"/>
  <c r="FY180" i="1"/>
  <c r="FV182" i="1"/>
  <c r="GA179" i="1"/>
  <c r="FV183" i="1"/>
  <c r="FW180" i="1"/>
  <c r="FY179" i="1"/>
  <c r="GA180" i="1"/>
  <c r="FW179" i="1"/>
  <c r="GI81" i="1"/>
  <c r="GC180" i="1"/>
  <c r="GC179" i="1"/>
  <c r="GB179" i="1"/>
  <c r="FZ180" i="1"/>
  <c r="FX180" i="1"/>
  <c r="FV178" i="1"/>
  <c r="FV180" i="1"/>
  <c r="GD178" i="1"/>
  <c r="GD182" i="1"/>
  <c r="GD184" i="1"/>
  <c r="GD183" i="1"/>
  <c r="FO81" i="1"/>
  <c r="GD179" i="1"/>
  <c r="FY178" i="1"/>
  <c r="FY183" i="1"/>
  <c r="FY182" i="1"/>
  <c r="FY184" i="1"/>
  <c r="FX178" i="1"/>
  <c r="FX182" i="1"/>
  <c r="FX184" i="1"/>
  <c r="FX183" i="1"/>
  <c r="FW178" i="1"/>
  <c r="FW183" i="1"/>
  <c r="FW182" i="1"/>
  <c r="FW184" i="1"/>
  <c r="GD180" i="1"/>
  <c r="GC178" i="1"/>
  <c r="GC183" i="1"/>
  <c r="GC182" i="1"/>
  <c r="GC184" i="1"/>
  <c r="GB178" i="1"/>
  <c r="GB182" i="1"/>
  <c r="GB184" i="1"/>
  <c r="GB183" i="1"/>
  <c r="GA178" i="1"/>
  <c r="GA183" i="1"/>
  <c r="GA182" i="1"/>
  <c r="GA184" i="1"/>
  <c r="FZ178" i="1"/>
  <c r="FZ182" i="1"/>
  <c r="FZ184" i="1"/>
  <c r="FZ183" i="1"/>
  <c r="FV179" i="1"/>
  <c r="FN80" i="1"/>
  <c r="FO80" i="1" l="1"/>
  <c r="GI80" i="1"/>
  <c r="FN79" i="1"/>
  <c r="FO79" i="1"/>
  <c r="GI79" i="1" l="1"/>
  <c r="AC78" i="1"/>
  <c r="K78" i="1"/>
  <c r="FO78" i="1"/>
  <c r="FN78" i="1"/>
  <c r="GI78" i="1" l="1"/>
  <c r="FN77" i="1"/>
  <c r="FO77" i="1" l="1"/>
  <c r="GI77" i="1"/>
  <c r="AC76" i="1"/>
  <c r="K76" i="1"/>
  <c r="FN76" i="1"/>
  <c r="FO76" i="1" l="1"/>
  <c r="GI76" i="1"/>
  <c r="EC75" i="1"/>
  <c r="DZ75" i="1"/>
  <c r="FN75" i="1"/>
  <c r="FO75" i="1" l="1"/>
  <c r="GI75" i="1"/>
  <c r="EC74" i="1"/>
  <c r="DZ74" i="1"/>
  <c r="FN74" i="1"/>
  <c r="FO74" i="1" l="1"/>
  <c r="GI74" i="1"/>
  <c r="AC73" i="1"/>
  <c r="K73" i="1"/>
  <c r="FN73" i="1"/>
  <c r="FO73" i="1" l="1"/>
  <c r="GI73" i="1"/>
  <c r="FN72" i="1"/>
  <c r="FO72" i="1" l="1"/>
  <c r="GI72" i="1"/>
  <c r="FN71" i="1"/>
  <c r="FO71" i="1" l="1"/>
  <c r="GI71" i="1"/>
  <c r="EC70" i="1"/>
  <c r="DZ70" i="1"/>
  <c r="AC70" i="1"/>
  <c r="K70" i="1"/>
  <c r="FN70" i="1"/>
  <c r="FO70" i="1" l="1"/>
  <c r="GI70" i="1"/>
  <c r="FN69" i="1"/>
  <c r="FO69" i="1" l="1"/>
  <c r="GI69" i="1"/>
  <c r="EC68" i="1"/>
  <c r="DZ68" i="1"/>
  <c r="FN68" i="1"/>
  <c r="FO68" i="1" l="1"/>
  <c r="GI68" i="1"/>
  <c r="FN67" i="1"/>
  <c r="FO67" i="1" l="1"/>
  <c r="GI67" i="1"/>
  <c r="F9" i="3"/>
  <c r="AI5" i="2" l="1"/>
  <c r="AH5" i="2"/>
  <c r="AJ5" i="2" s="1"/>
  <c r="AG5" i="2"/>
  <c r="AI4" i="2"/>
  <c r="AH4" i="2"/>
  <c r="AJ4" i="2" s="1"/>
  <c r="AG4" i="2"/>
  <c r="AI3" i="2"/>
  <c r="AH3" i="2"/>
  <c r="AJ3" i="2" s="1"/>
  <c r="AG3" i="2"/>
  <c r="EG181" i="1"/>
  <c r="EH181" i="1"/>
  <c r="EI181" i="1"/>
  <c r="EJ181" i="1"/>
  <c r="EK181" i="1"/>
  <c r="EL181" i="1"/>
  <c r="EM181" i="1"/>
  <c r="EN181" i="1"/>
  <c r="EO181" i="1"/>
  <c r="EP181" i="1"/>
  <c r="EQ181" i="1"/>
  <c r="ET181" i="1"/>
  <c r="EU181" i="1"/>
  <c r="EV181" i="1"/>
  <c r="EW181" i="1"/>
  <c r="EX181" i="1"/>
  <c r="EY181" i="1"/>
  <c r="EZ181" i="1"/>
  <c r="FA181" i="1"/>
  <c r="FB181" i="1"/>
  <c r="FC181" i="1"/>
  <c r="FD181" i="1"/>
  <c r="FE181" i="1"/>
  <c r="EF181" i="1"/>
  <c r="EE181" i="1"/>
  <c r="ED181" i="1"/>
  <c r="EB181" i="1"/>
  <c r="EA181" i="1"/>
  <c r="DR181" i="1"/>
  <c r="DS181" i="1"/>
  <c r="DT181" i="1"/>
  <c r="DU181" i="1"/>
  <c r="DV181" i="1"/>
  <c r="DW181" i="1"/>
  <c r="DX181" i="1"/>
  <c r="DY181" i="1"/>
  <c r="DQ181" i="1"/>
  <c r="DH181" i="1"/>
  <c r="DI181" i="1"/>
  <c r="DJ181" i="1"/>
  <c r="DK181" i="1"/>
  <c r="DL181" i="1"/>
  <c r="DM181" i="1"/>
  <c r="DN181" i="1"/>
  <c r="DO181" i="1"/>
  <c r="DG181" i="1"/>
  <c r="CX181" i="1"/>
  <c r="CY181" i="1"/>
  <c r="CZ181" i="1"/>
  <c r="DA181" i="1"/>
  <c r="DB181" i="1"/>
  <c r="DC181" i="1"/>
  <c r="DD181" i="1"/>
  <c r="DE181" i="1"/>
  <c r="CW181" i="1"/>
  <c r="CN181" i="1"/>
  <c r="CO181" i="1"/>
  <c r="CP181" i="1"/>
  <c r="CQ181" i="1"/>
  <c r="CR181" i="1"/>
  <c r="CS181" i="1"/>
  <c r="CT181" i="1"/>
  <c r="CU181" i="1"/>
  <c r="CM181" i="1"/>
  <c r="CD181" i="1"/>
  <c r="CE181" i="1"/>
  <c r="CF181" i="1"/>
  <c r="CG181" i="1"/>
  <c r="CH181" i="1"/>
  <c r="CI181" i="1"/>
  <c r="CJ181" i="1"/>
  <c r="CK181" i="1"/>
  <c r="CC174" i="1"/>
  <c r="CC175" i="1"/>
  <c r="CC176" i="1"/>
  <c r="CC177" i="1"/>
  <c r="CC181" i="1"/>
  <c r="BT181" i="1"/>
  <c r="BU181" i="1"/>
  <c r="BV181" i="1"/>
  <c r="BW181" i="1"/>
  <c r="BX181" i="1"/>
  <c r="BY181" i="1"/>
  <c r="BZ181" i="1"/>
  <c r="CA181" i="1"/>
  <c r="BS181" i="1"/>
  <c r="BJ181" i="1"/>
  <c r="BK181" i="1"/>
  <c r="BL181" i="1"/>
  <c r="BM181" i="1"/>
  <c r="BN181" i="1"/>
  <c r="BO181" i="1"/>
  <c r="BP181" i="1"/>
  <c r="BQ181" i="1"/>
  <c r="BI181" i="1"/>
  <c r="AZ181" i="1"/>
  <c r="BA181" i="1"/>
  <c r="BB181" i="1"/>
  <c r="BC181" i="1"/>
  <c r="BD181" i="1"/>
  <c r="BE181" i="1"/>
  <c r="BF181" i="1"/>
  <c r="BG181" i="1"/>
  <c r="AY181" i="1"/>
  <c r="AP181" i="1"/>
  <c r="AQ181" i="1"/>
  <c r="AR181" i="1"/>
  <c r="AS181" i="1"/>
  <c r="AT181" i="1"/>
  <c r="AU181" i="1"/>
  <c r="AV181" i="1"/>
  <c r="AW181" i="1"/>
  <c r="AO181" i="1"/>
  <c r="AE181" i="1"/>
  <c r="AF181" i="1"/>
  <c r="AG181" i="1"/>
  <c r="AH181" i="1"/>
  <c r="AI181" i="1"/>
  <c r="AJ181" i="1"/>
  <c r="AK181" i="1"/>
  <c r="AL181" i="1"/>
  <c r="AM181" i="1"/>
  <c r="AD181" i="1"/>
  <c r="M181" i="1"/>
  <c r="N181" i="1"/>
  <c r="O181" i="1"/>
  <c r="P181" i="1"/>
  <c r="Q181" i="1"/>
  <c r="R181" i="1"/>
  <c r="S181" i="1"/>
  <c r="T181" i="1"/>
  <c r="U181" i="1"/>
  <c r="V181" i="1"/>
  <c r="W181" i="1"/>
  <c r="L181" i="1"/>
  <c r="E181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ET175" i="1"/>
  <c r="EU175" i="1"/>
  <c r="EV175" i="1"/>
  <c r="EW175" i="1"/>
  <c r="EX175" i="1"/>
  <c r="EY175" i="1"/>
  <c r="EZ175" i="1"/>
  <c r="FA175" i="1"/>
  <c r="FB175" i="1"/>
  <c r="FC175" i="1"/>
  <c r="FD175" i="1"/>
  <c r="FE175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EG172" i="1"/>
  <c r="EH172" i="1"/>
  <c r="EI172" i="1"/>
  <c r="EJ172" i="1"/>
  <c r="EK172" i="1"/>
  <c r="EL172" i="1"/>
  <c r="EM172" i="1"/>
  <c r="EN172" i="1"/>
  <c r="EO172" i="1"/>
  <c r="EP172" i="1"/>
  <c r="EQ172" i="1"/>
  <c r="EG173" i="1"/>
  <c r="EH173" i="1"/>
  <c r="EI173" i="1"/>
  <c r="EJ173" i="1"/>
  <c r="EK173" i="1"/>
  <c r="EL173" i="1"/>
  <c r="EM173" i="1"/>
  <c r="EN173" i="1"/>
  <c r="EO173" i="1"/>
  <c r="EP173" i="1"/>
  <c r="EQ173" i="1"/>
  <c r="EG174" i="1"/>
  <c r="EH174" i="1"/>
  <c r="EI174" i="1"/>
  <c r="EJ174" i="1"/>
  <c r="EK174" i="1"/>
  <c r="EL174" i="1"/>
  <c r="EM174" i="1"/>
  <c r="EN174" i="1"/>
  <c r="EO174" i="1"/>
  <c r="EP174" i="1"/>
  <c r="EQ174" i="1"/>
  <c r="EG175" i="1"/>
  <c r="EH175" i="1"/>
  <c r="EI175" i="1"/>
  <c r="EJ175" i="1"/>
  <c r="EK175" i="1"/>
  <c r="EL175" i="1"/>
  <c r="EM175" i="1"/>
  <c r="EN175" i="1"/>
  <c r="EO175" i="1"/>
  <c r="EP175" i="1"/>
  <c r="EQ175" i="1"/>
  <c r="EG176" i="1"/>
  <c r="EH176" i="1"/>
  <c r="EI176" i="1"/>
  <c r="EJ176" i="1"/>
  <c r="EK176" i="1"/>
  <c r="EL176" i="1"/>
  <c r="EM176" i="1"/>
  <c r="EN176" i="1"/>
  <c r="EO176" i="1"/>
  <c r="EP176" i="1"/>
  <c r="EQ176" i="1"/>
  <c r="EG177" i="1"/>
  <c r="EH177" i="1"/>
  <c r="EI177" i="1"/>
  <c r="EJ177" i="1"/>
  <c r="EK177" i="1"/>
  <c r="EL177" i="1"/>
  <c r="EM177" i="1"/>
  <c r="EN177" i="1"/>
  <c r="EO177" i="1"/>
  <c r="EP177" i="1"/>
  <c r="EQ177" i="1"/>
  <c r="EF177" i="1"/>
  <c r="EF176" i="1"/>
  <c r="EF175" i="1"/>
  <c r="EF174" i="1"/>
  <c r="EF173" i="1"/>
  <c r="EF172" i="1"/>
  <c r="EE177" i="1"/>
  <c r="EE176" i="1"/>
  <c r="EE175" i="1"/>
  <c r="EE174" i="1"/>
  <c r="EE173" i="1"/>
  <c r="EE172" i="1"/>
  <c r="ED177" i="1"/>
  <c r="ED176" i="1"/>
  <c r="ED175" i="1"/>
  <c r="ED174" i="1"/>
  <c r="ED173" i="1"/>
  <c r="ED172" i="1"/>
  <c r="EB177" i="1"/>
  <c r="EB176" i="1"/>
  <c r="EB175" i="1"/>
  <c r="EB174" i="1"/>
  <c r="EB173" i="1"/>
  <c r="EB172" i="1"/>
  <c r="EA177" i="1"/>
  <c r="EA176" i="1"/>
  <c r="EA175" i="1"/>
  <c r="EA174" i="1"/>
  <c r="EA173" i="1"/>
  <c r="EA172" i="1"/>
  <c r="AZ172" i="1"/>
  <c r="BA172" i="1"/>
  <c r="BB172" i="1"/>
  <c r="BC172" i="1"/>
  <c r="BD172" i="1"/>
  <c r="BE172" i="1"/>
  <c r="BF172" i="1"/>
  <c r="BG172" i="1"/>
  <c r="AZ173" i="1"/>
  <c r="BA173" i="1"/>
  <c r="BB173" i="1"/>
  <c r="BC173" i="1"/>
  <c r="BD173" i="1"/>
  <c r="BE173" i="1"/>
  <c r="BF173" i="1"/>
  <c r="BG173" i="1"/>
  <c r="AZ174" i="1"/>
  <c r="BA174" i="1"/>
  <c r="BB174" i="1"/>
  <c r="BC174" i="1"/>
  <c r="BD174" i="1"/>
  <c r="BE174" i="1"/>
  <c r="BF174" i="1"/>
  <c r="BG174" i="1"/>
  <c r="AZ175" i="1"/>
  <c r="BA175" i="1"/>
  <c r="BB175" i="1"/>
  <c r="BC175" i="1"/>
  <c r="BD175" i="1"/>
  <c r="BE175" i="1"/>
  <c r="BF175" i="1"/>
  <c r="BG175" i="1"/>
  <c r="AZ176" i="1"/>
  <c r="BA176" i="1"/>
  <c r="BB176" i="1"/>
  <c r="BC176" i="1"/>
  <c r="BD176" i="1"/>
  <c r="BE176" i="1"/>
  <c r="BF176" i="1"/>
  <c r="BG176" i="1"/>
  <c r="AZ177" i="1"/>
  <c r="BA177" i="1"/>
  <c r="BB177" i="1"/>
  <c r="BC177" i="1"/>
  <c r="BD177" i="1"/>
  <c r="BE177" i="1"/>
  <c r="BF177" i="1"/>
  <c r="BG177" i="1"/>
  <c r="BJ172" i="1"/>
  <c r="BK172" i="1"/>
  <c r="BL172" i="1"/>
  <c r="BM172" i="1"/>
  <c r="BN172" i="1"/>
  <c r="BO172" i="1"/>
  <c r="BP172" i="1"/>
  <c r="BQ172" i="1"/>
  <c r="BJ173" i="1"/>
  <c r="BK173" i="1"/>
  <c r="BL173" i="1"/>
  <c r="BM173" i="1"/>
  <c r="BN173" i="1"/>
  <c r="BO173" i="1"/>
  <c r="BP173" i="1"/>
  <c r="BQ173" i="1"/>
  <c r="BJ174" i="1"/>
  <c r="BK174" i="1"/>
  <c r="BL174" i="1"/>
  <c r="BM174" i="1"/>
  <c r="BN174" i="1"/>
  <c r="BO174" i="1"/>
  <c r="BP174" i="1"/>
  <c r="BQ174" i="1"/>
  <c r="BJ175" i="1"/>
  <c r="BK175" i="1"/>
  <c r="BL175" i="1"/>
  <c r="BM175" i="1"/>
  <c r="BN175" i="1"/>
  <c r="BO175" i="1"/>
  <c r="BP175" i="1"/>
  <c r="BQ175" i="1"/>
  <c r="BJ176" i="1"/>
  <c r="BK176" i="1"/>
  <c r="BL176" i="1"/>
  <c r="BM176" i="1"/>
  <c r="BN176" i="1"/>
  <c r="BO176" i="1"/>
  <c r="BP176" i="1"/>
  <c r="BQ176" i="1"/>
  <c r="BJ177" i="1"/>
  <c r="BK177" i="1"/>
  <c r="BL177" i="1"/>
  <c r="BM177" i="1"/>
  <c r="BN177" i="1"/>
  <c r="BO177" i="1"/>
  <c r="BP177" i="1"/>
  <c r="BQ177" i="1"/>
  <c r="BT172" i="1"/>
  <c r="BU172" i="1"/>
  <c r="BV172" i="1"/>
  <c r="BW172" i="1"/>
  <c r="BX172" i="1"/>
  <c r="BY172" i="1"/>
  <c r="BZ172" i="1"/>
  <c r="CA172" i="1"/>
  <c r="BT173" i="1"/>
  <c r="BU173" i="1"/>
  <c r="BV173" i="1"/>
  <c r="BW173" i="1"/>
  <c r="BX173" i="1"/>
  <c r="BY173" i="1"/>
  <c r="BZ173" i="1"/>
  <c r="CA173" i="1"/>
  <c r="BT174" i="1"/>
  <c r="BU174" i="1"/>
  <c r="BV174" i="1"/>
  <c r="BW174" i="1"/>
  <c r="BX174" i="1"/>
  <c r="BY174" i="1"/>
  <c r="BZ174" i="1"/>
  <c r="CA174" i="1"/>
  <c r="BT175" i="1"/>
  <c r="BU175" i="1"/>
  <c r="BV175" i="1"/>
  <c r="BW175" i="1"/>
  <c r="BX175" i="1"/>
  <c r="BY175" i="1"/>
  <c r="BZ175" i="1"/>
  <c r="CA175" i="1"/>
  <c r="BT176" i="1"/>
  <c r="BU176" i="1"/>
  <c r="BV176" i="1"/>
  <c r="BW176" i="1"/>
  <c r="BX176" i="1"/>
  <c r="BY176" i="1"/>
  <c r="BZ176" i="1"/>
  <c r="CA176" i="1"/>
  <c r="BT177" i="1"/>
  <c r="BU177" i="1"/>
  <c r="BV177" i="1"/>
  <c r="BW177" i="1"/>
  <c r="BX177" i="1"/>
  <c r="BY177" i="1"/>
  <c r="BZ177" i="1"/>
  <c r="CA177" i="1"/>
  <c r="CD172" i="1"/>
  <c r="CE172" i="1"/>
  <c r="CF172" i="1"/>
  <c r="CG172" i="1"/>
  <c r="CH172" i="1"/>
  <c r="CI172" i="1"/>
  <c r="CJ172" i="1"/>
  <c r="CK172" i="1"/>
  <c r="CD173" i="1"/>
  <c r="CE173" i="1"/>
  <c r="CF173" i="1"/>
  <c r="CG173" i="1"/>
  <c r="CH173" i="1"/>
  <c r="CI173" i="1"/>
  <c r="CJ173" i="1"/>
  <c r="CK173" i="1"/>
  <c r="CD174" i="1"/>
  <c r="CE174" i="1"/>
  <c r="CF174" i="1"/>
  <c r="CG174" i="1"/>
  <c r="CH174" i="1"/>
  <c r="CI174" i="1"/>
  <c r="CJ174" i="1"/>
  <c r="CK174" i="1"/>
  <c r="CD175" i="1"/>
  <c r="CE175" i="1"/>
  <c r="CF175" i="1"/>
  <c r="CG175" i="1"/>
  <c r="CH175" i="1"/>
  <c r="CI175" i="1"/>
  <c r="CJ175" i="1"/>
  <c r="CK175" i="1"/>
  <c r="CD176" i="1"/>
  <c r="CE176" i="1"/>
  <c r="CF176" i="1"/>
  <c r="CG176" i="1"/>
  <c r="CH176" i="1"/>
  <c r="CI176" i="1"/>
  <c r="CJ176" i="1"/>
  <c r="CK176" i="1"/>
  <c r="CD177" i="1"/>
  <c r="CE177" i="1"/>
  <c r="CF177" i="1"/>
  <c r="CG177" i="1"/>
  <c r="CH177" i="1"/>
  <c r="CI177" i="1"/>
  <c r="CJ177" i="1"/>
  <c r="CK177" i="1"/>
  <c r="CN172" i="1"/>
  <c r="CO172" i="1"/>
  <c r="CP172" i="1"/>
  <c r="CQ172" i="1"/>
  <c r="CR172" i="1"/>
  <c r="CS172" i="1"/>
  <c r="CT172" i="1"/>
  <c r="CU172" i="1"/>
  <c r="CN173" i="1"/>
  <c r="CO173" i="1"/>
  <c r="CP173" i="1"/>
  <c r="CQ173" i="1"/>
  <c r="CR173" i="1"/>
  <c r="CS173" i="1"/>
  <c r="CT173" i="1"/>
  <c r="CU173" i="1"/>
  <c r="CN174" i="1"/>
  <c r="CO174" i="1"/>
  <c r="CP174" i="1"/>
  <c r="CQ174" i="1"/>
  <c r="CR174" i="1"/>
  <c r="CS174" i="1"/>
  <c r="CT174" i="1"/>
  <c r="CU174" i="1"/>
  <c r="CN175" i="1"/>
  <c r="CO175" i="1"/>
  <c r="CP175" i="1"/>
  <c r="CQ175" i="1"/>
  <c r="CR175" i="1"/>
  <c r="CS175" i="1"/>
  <c r="CT175" i="1"/>
  <c r="CU175" i="1"/>
  <c r="CN176" i="1"/>
  <c r="CO176" i="1"/>
  <c r="CP176" i="1"/>
  <c r="CQ176" i="1"/>
  <c r="CR176" i="1"/>
  <c r="CS176" i="1"/>
  <c r="CT176" i="1"/>
  <c r="CU176" i="1"/>
  <c r="CN177" i="1"/>
  <c r="CO177" i="1"/>
  <c r="CP177" i="1"/>
  <c r="CQ177" i="1"/>
  <c r="CR177" i="1"/>
  <c r="CS177" i="1"/>
  <c r="CT177" i="1"/>
  <c r="CU177" i="1"/>
  <c r="CX172" i="1"/>
  <c r="CY172" i="1"/>
  <c r="CZ172" i="1"/>
  <c r="DA172" i="1"/>
  <c r="DB172" i="1"/>
  <c r="DC172" i="1"/>
  <c r="DD172" i="1"/>
  <c r="DE172" i="1"/>
  <c r="CX173" i="1"/>
  <c r="CY173" i="1"/>
  <c r="CZ173" i="1"/>
  <c r="DA173" i="1"/>
  <c r="DB173" i="1"/>
  <c r="DC173" i="1"/>
  <c r="DD173" i="1"/>
  <c r="DE173" i="1"/>
  <c r="CX174" i="1"/>
  <c r="CY174" i="1"/>
  <c r="CZ174" i="1"/>
  <c r="DA174" i="1"/>
  <c r="DB174" i="1"/>
  <c r="DC174" i="1"/>
  <c r="DD174" i="1"/>
  <c r="DE174" i="1"/>
  <c r="CX175" i="1"/>
  <c r="CY175" i="1"/>
  <c r="CZ175" i="1"/>
  <c r="DA175" i="1"/>
  <c r="DB175" i="1"/>
  <c r="DC175" i="1"/>
  <c r="DD175" i="1"/>
  <c r="DE175" i="1"/>
  <c r="CX176" i="1"/>
  <c r="CY176" i="1"/>
  <c r="CZ176" i="1"/>
  <c r="DA176" i="1"/>
  <c r="DB176" i="1"/>
  <c r="DC176" i="1"/>
  <c r="DD176" i="1"/>
  <c r="DE176" i="1"/>
  <c r="CX177" i="1"/>
  <c r="CY177" i="1"/>
  <c r="CZ177" i="1"/>
  <c r="DA177" i="1"/>
  <c r="DB177" i="1"/>
  <c r="DC177" i="1"/>
  <c r="DD177" i="1"/>
  <c r="DE177" i="1"/>
  <c r="DH172" i="1"/>
  <c r="DI172" i="1"/>
  <c r="DJ172" i="1"/>
  <c r="DK172" i="1"/>
  <c r="DL172" i="1"/>
  <c r="DM172" i="1"/>
  <c r="DN172" i="1"/>
  <c r="DO172" i="1"/>
  <c r="DH173" i="1"/>
  <c r="DI173" i="1"/>
  <c r="DJ173" i="1"/>
  <c r="DK173" i="1"/>
  <c r="DL173" i="1"/>
  <c r="DM173" i="1"/>
  <c r="DN173" i="1"/>
  <c r="DO173" i="1"/>
  <c r="DH174" i="1"/>
  <c r="DI174" i="1"/>
  <c r="DJ174" i="1"/>
  <c r="DK174" i="1"/>
  <c r="DL174" i="1"/>
  <c r="DM174" i="1"/>
  <c r="DN174" i="1"/>
  <c r="DO174" i="1"/>
  <c r="DH175" i="1"/>
  <c r="DI175" i="1"/>
  <c r="DJ175" i="1"/>
  <c r="DK175" i="1"/>
  <c r="DL175" i="1"/>
  <c r="DM175" i="1"/>
  <c r="DN175" i="1"/>
  <c r="DO175" i="1"/>
  <c r="DH176" i="1"/>
  <c r="DI176" i="1"/>
  <c r="DJ176" i="1"/>
  <c r="DK176" i="1"/>
  <c r="DL176" i="1"/>
  <c r="DM176" i="1"/>
  <c r="DN176" i="1"/>
  <c r="DO176" i="1"/>
  <c r="DH177" i="1"/>
  <c r="DI177" i="1"/>
  <c r="DJ177" i="1"/>
  <c r="DK177" i="1"/>
  <c r="DL177" i="1"/>
  <c r="DM177" i="1"/>
  <c r="DN177" i="1"/>
  <c r="DO177" i="1"/>
  <c r="DR172" i="1"/>
  <c r="DS172" i="1"/>
  <c r="DT172" i="1"/>
  <c r="DU172" i="1"/>
  <c r="DV172" i="1"/>
  <c r="DW172" i="1"/>
  <c r="DX172" i="1"/>
  <c r="DY172" i="1"/>
  <c r="DR173" i="1"/>
  <c r="DS173" i="1"/>
  <c r="DT173" i="1"/>
  <c r="DU173" i="1"/>
  <c r="DV173" i="1"/>
  <c r="DW173" i="1"/>
  <c r="DX173" i="1"/>
  <c r="DY173" i="1"/>
  <c r="DR174" i="1"/>
  <c r="DS174" i="1"/>
  <c r="DT174" i="1"/>
  <c r="DU174" i="1"/>
  <c r="DV174" i="1"/>
  <c r="DW174" i="1"/>
  <c r="DX174" i="1"/>
  <c r="DY174" i="1"/>
  <c r="DR175" i="1"/>
  <c r="DS175" i="1"/>
  <c r="DT175" i="1"/>
  <c r="DU175" i="1"/>
  <c r="DV175" i="1"/>
  <c r="DW175" i="1"/>
  <c r="DX175" i="1"/>
  <c r="DY175" i="1"/>
  <c r="DR176" i="1"/>
  <c r="DS176" i="1"/>
  <c r="DT176" i="1"/>
  <c r="DU176" i="1"/>
  <c r="DV176" i="1"/>
  <c r="DW176" i="1"/>
  <c r="DX176" i="1"/>
  <c r="DY176" i="1"/>
  <c r="DR177" i="1"/>
  <c r="DS177" i="1"/>
  <c r="DT177" i="1"/>
  <c r="DU177" i="1"/>
  <c r="DV177" i="1"/>
  <c r="DW177" i="1"/>
  <c r="DX177" i="1"/>
  <c r="DY177" i="1"/>
  <c r="DQ177" i="1"/>
  <c r="DQ176" i="1"/>
  <c r="DQ175" i="1"/>
  <c r="DQ174" i="1"/>
  <c r="DQ173" i="1"/>
  <c r="DQ172" i="1"/>
  <c r="DG177" i="1"/>
  <c r="DG176" i="1"/>
  <c r="DG175" i="1"/>
  <c r="DG174" i="1"/>
  <c r="DG173" i="1"/>
  <c r="DG172" i="1"/>
  <c r="CW177" i="1"/>
  <c r="CW176" i="1"/>
  <c r="CW175" i="1"/>
  <c r="CW174" i="1"/>
  <c r="CW173" i="1"/>
  <c r="CW172" i="1"/>
  <c r="CM177" i="1"/>
  <c r="CM176" i="1"/>
  <c r="CM175" i="1"/>
  <c r="CM174" i="1"/>
  <c r="CM173" i="1"/>
  <c r="CM172" i="1"/>
  <c r="CC173" i="1"/>
  <c r="CC172" i="1"/>
  <c r="BS177" i="1"/>
  <c r="BS176" i="1"/>
  <c r="BS175" i="1"/>
  <c r="BS174" i="1"/>
  <c r="BS173" i="1"/>
  <c r="BS172" i="1"/>
  <c r="BI177" i="1"/>
  <c r="BI176" i="1"/>
  <c r="BI175" i="1"/>
  <c r="BI174" i="1"/>
  <c r="BI173" i="1"/>
  <c r="BI172" i="1"/>
  <c r="AY177" i="1"/>
  <c r="AY176" i="1"/>
  <c r="AY175" i="1"/>
  <c r="AY174" i="1"/>
  <c r="AY173" i="1"/>
  <c r="AY172" i="1"/>
  <c r="AP172" i="1"/>
  <c r="AQ172" i="1"/>
  <c r="AR172" i="1"/>
  <c r="AS172" i="1"/>
  <c r="AT172" i="1"/>
  <c r="AU172" i="1"/>
  <c r="AV172" i="1"/>
  <c r="AW172" i="1"/>
  <c r="AP173" i="1"/>
  <c r="AQ173" i="1"/>
  <c r="AR173" i="1"/>
  <c r="AS173" i="1"/>
  <c r="AT173" i="1"/>
  <c r="AU173" i="1"/>
  <c r="AV173" i="1"/>
  <c r="AW173" i="1"/>
  <c r="AP174" i="1"/>
  <c r="AQ174" i="1"/>
  <c r="AR174" i="1"/>
  <c r="AS174" i="1"/>
  <c r="AT174" i="1"/>
  <c r="AU174" i="1"/>
  <c r="AV174" i="1"/>
  <c r="AW174" i="1"/>
  <c r="AP175" i="1"/>
  <c r="AQ175" i="1"/>
  <c r="AR175" i="1"/>
  <c r="AS175" i="1"/>
  <c r="AT175" i="1"/>
  <c r="AU175" i="1"/>
  <c r="AV175" i="1"/>
  <c r="AW175" i="1"/>
  <c r="AP176" i="1"/>
  <c r="AQ176" i="1"/>
  <c r="AR176" i="1"/>
  <c r="AS176" i="1"/>
  <c r="AT176" i="1"/>
  <c r="AU176" i="1"/>
  <c r="AV176" i="1"/>
  <c r="AW176" i="1"/>
  <c r="AP177" i="1"/>
  <c r="AQ177" i="1"/>
  <c r="AR177" i="1"/>
  <c r="AS177" i="1"/>
  <c r="AT177" i="1"/>
  <c r="AU177" i="1"/>
  <c r="AV177" i="1"/>
  <c r="AW177" i="1"/>
  <c r="AO177" i="1"/>
  <c r="AO176" i="1"/>
  <c r="AO175" i="1"/>
  <c r="AO174" i="1"/>
  <c r="AO173" i="1"/>
  <c r="AO172" i="1"/>
  <c r="V172" i="1"/>
  <c r="W172" i="1"/>
  <c r="V173" i="1"/>
  <c r="W173" i="1"/>
  <c r="V174" i="1"/>
  <c r="W174" i="1"/>
  <c r="V175" i="1"/>
  <c r="W175" i="1"/>
  <c r="V176" i="1"/>
  <c r="W176" i="1"/>
  <c r="V177" i="1"/>
  <c r="W177" i="1"/>
  <c r="AE172" i="1"/>
  <c r="AF172" i="1"/>
  <c r="AG172" i="1"/>
  <c r="AH172" i="1"/>
  <c r="AI172" i="1"/>
  <c r="AJ172" i="1"/>
  <c r="AK172" i="1"/>
  <c r="AL172" i="1"/>
  <c r="AM172" i="1"/>
  <c r="AE173" i="1"/>
  <c r="AF173" i="1"/>
  <c r="AG173" i="1"/>
  <c r="AH173" i="1"/>
  <c r="AI173" i="1"/>
  <c r="AJ173" i="1"/>
  <c r="AK173" i="1"/>
  <c r="AL173" i="1"/>
  <c r="AM173" i="1"/>
  <c r="AE174" i="1"/>
  <c r="AF174" i="1"/>
  <c r="AG174" i="1"/>
  <c r="AH174" i="1"/>
  <c r="AI174" i="1"/>
  <c r="AJ174" i="1"/>
  <c r="AK174" i="1"/>
  <c r="AL174" i="1"/>
  <c r="AM174" i="1"/>
  <c r="AE175" i="1"/>
  <c r="AF175" i="1"/>
  <c r="AG175" i="1"/>
  <c r="AH175" i="1"/>
  <c r="AI175" i="1"/>
  <c r="AJ175" i="1"/>
  <c r="AK175" i="1"/>
  <c r="AL175" i="1"/>
  <c r="AM175" i="1"/>
  <c r="AE176" i="1"/>
  <c r="AF176" i="1"/>
  <c r="AG176" i="1"/>
  <c r="AH176" i="1"/>
  <c r="AI176" i="1"/>
  <c r="AJ176" i="1"/>
  <c r="AK176" i="1"/>
  <c r="AL176" i="1"/>
  <c r="AM176" i="1"/>
  <c r="AE177" i="1"/>
  <c r="AF177" i="1"/>
  <c r="AG177" i="1"/>
  <c r="AH177" i="1"/>
  <c r="AI177" i="1"/>
  <c r="AJ177" i="1"/>
  <c r="AK177" i="1"/>
  <c r="AL177" i="1"/>
  <c r="AM177" i="1"/>
  <c r="AD177" i="1"/>
  <c r="AD176" i="1"/>
  <c r="AD175" i="1"/>
  <c r="AD174" i="1"/>
  <c r="AD173" i="1"/>
  <c r="AD172" i="1"/>
  <c r="M172" i="1"/>
  <c r="N172" i="1"/>
  <c r="O172" i="1"/>
  <c r="P172" i="1"/>
  <c r="Q172" i="1"/>
  <c r="R172" i="1"/>
  <c r="S172" i="1"/>
  <c r="T172" i="1"/>
  <c r="U172" i="1"/>
  <c r="M173" i="1"/>
  <c r="N173" i="1"/>
  <c r="O173" i="1"/>
  <c r="P173" i="1"/>
  <c r="Q173" i="1"/>
  <c r="R173" i="1"/>
  <c r="S173" i="1"/>
  <c r="T173" i="1"/>
  <c r="U173" i="1"/>
  <c r="M174" i="1"/>
  <c r="N174" i="1"/>
  <c r="O174" i="1"/>
  <c r="P174" i="1"/>
  <c r="Q174" i="1"/>
  <c r="R174" i="1"/>
  <c r="S174" i="1"/>
  <c r="T174" i="1"/>
  <c r="U174" i="1"/>
  <c r="M175" i="1"/>
  <c r="N175" i="1"/>
  <c r="O175" i="1"/>
  <c r="P175" i="1"/>
  <c r="Q175" i="1"/>
  <c r="R175" i="1"/>
  <c r="S175" i="1"/>
  <c r="T175" i="1"/>
  <c r="U175" i="1"/>
  <c r="M176" i="1"/>
  <c r="N176" i="1"/>
  <c r="O176" i="1"/>
  <c r="P176" i="1"/>
  <c r="Q176" i="1"/>
  <c r="R176" i="1"/>
  <c r="S176" i="1"/>
  <c r="T176" i="1"/>
  <c r="U176" i="1"/>
  <c r="M177" i="1"/>
  <c r="N177" i="1"/>
  <c r="O177" i="1"/>
  <c r="P177" i="1"/>
  <c r="Q177" i="1"/>
  <c r="R177" i="1"/>
  <c r="S177" i="1"/>
  <c r="T177" i="1"/>
  <c r="U177" i="1"/>
  <c r="L172" i="1"/>
  <c r="L173" i="1"/>
  <c r="L174" i="1"/>
  <c r="L175" i="1"/>
  <c r="L176" i="1"/>
  <c r="L177" i="1"/>
  <c r="E175" i="1"/>
  <c r="E173" i="1"/>
  <c r="E177" i="1"/>
  <c r="E174" i="1"/>
  <c r="E176" i="1"/>
  <c r="E172" i="1"/>
  <c r="AA5" i="2"/>
  <c r="Z5" i="2"/>
  <c r="AA4" i="2"/>
  <c r="Z4" i="2"/>
  <c r="AA3" i="2"/>
  <c r="Z3" i="2"/>
  <c r="K17" i="2"/>
  <c r="J17" i="2"/>
  <c r="I17" i="2"/>
  <c r="H17" i="2"/>
  <c r="G17" i="2"/>
  <c r="F17" i="2"/>
  <c r="D17" i="2"/>
  <c r="C17" i="2"/>
  <c r="K16" i="2"/>
  <c r="J16" i="2"/>
  <c r="I16" i="2"/>
  <c r="H16" i="2"/>
  <c r="G16" i="2"/>
  <c r="F16" i="2"/>
  <c r="D16" i="2"/>
  <c r="C16" i="2"/>
  <c r="K15" i="2"/>
  <c r="J15" i="2"/>
  <c r="I15" i="2"/>
  <c r="H15" i="2"/>
  <c r="G15" i="2"/>
  <c r="F15" i="2"/>
  <c r="D15" i="2"/>
  <c r="C15" i="2"/>
  <c r="K12" i="2"/>
  <c r="J12" i="2"/>
  <c r="I12" i="2"/>
  <c r="H12" i="2"/>
  <c r="G12" i="2"/>
  <c r="F12" i="2"/>
  <c r="D12" i="2"/>
  <c r="C12" i="2"/>
  <c r="K11" i="2"/>
  <c r="J11" i="2"/>
  <c r="I11" i="2"/>
  <c r="H11" i="2"/>
  <c r="G11" i="2"/>
  <c r="F11" i="2"/>
  <c r="D11" i="2"/>
  <c r="C11" i="2"/>
  <c r="K10" i="2"/>
  <c r="J10" i="2"/>
  <c r="I10" i="2"/>
  <c r="H10" i="2"/>
  <c r="G10" i="2"/>
  <c r="F10" i="2"/>
  <c r="D10" i="2"/>
  <c r="C10" i="2"/>
  <c r="K9" i="2"/>
  <c r="J9" i="2"/>
  <c r="I9" i="2"/>
  <c r="H9" i="2"/>
  <c r="G9" i="2"/>
  <c r="F9" i="2"/>
  <c r="D9" i="2"/>
  <c r="C9" i="2"/>
  <c r="K8" i="2"/>
  <c r="J8" i="2"/>
  <c r="I8" i="2"/>
  <c r="H8" i="2"/>
  <c r="G8" i="2"/>
  <c r="F8" i="2"/>
  <c r="D8" i="2"/>
  <c r="C8" i="2"/>
  <c r="K7" i="2"/>
  <c r="J7" i="2"/>
  <c r="I7" i="2"/>
  <c r="H7" i="2"/>
  <c r="G7" i="2"/>
  <c r="F7" i="2"/>
  <c r="D7" i="2"/>
  <c r="C7" i="2"/>
  <c r="K6" i="2"/>
  <c r="J6" i="2"/>
  <c r="I6" i="2"/>
  <c r="H6" i="2"/>
  <c r="G6" i="2"/>
  <c r="F6" i="2"/>
  <c r="D6" i="2"/>
  <c r="C6" i="2"/>
  <c r="K5" i="2"/>
  <c r="J5" i="2"/>
  <c r="I5" i="2"/>
  <c r="H5" i="2"/>
  <c r="G5" i="2"/>
  <c r="F5" i="2"/>
  <c r="D5" i="2"/>
  <c r="C5" i="2"/>
  <c r="K4" i="2"/>
  <c r="J4" i="2"/>
  <c r="I4" i="2"/>
  <c r="H4" i="2"/>
  <c r="G4" i="2"/>
  <c r="F4" i="2"/>
  <c r="D4" i="2"/>
  <c r="C4" i="2"/>
  <c r="K3" i="2"/>
  <c r="J3" i="2"/>
  <c r="I3" i="2"/>
  <c r="H3" i="2"/>
  <c r="G3" i="2"/>
  <c r="F3" i="2"/>
  <c r="D3" i="2"/>
  <c r="C3" i="2"/>
  <c r="EC66" i="1"/>
  <c r="DZ66" i="1"/>
  <c r="FN66" i="1"/>
  <c r="P12" i="2"/>
  <c r="R12" i="2"/>
  <c r="Q12" i="2"/>
  <c r="U12" i="2"/>
  <c r="T12" i="2"/>
  <c r="S12" i="2"/>
  <c r="U11" i="2"/>
  <c r="T11" i="2"/>
  <c r="S11" i="2"/>
  <c r="R11" i="2"/>
  <c r="Q11" i="2"/>
  <c r="P11" i="2"/>
  <c r="O11" i="2"/>
  <c r="U10" i="2"/>
  <c r="T10" i="2"/>
  <c r="S10" i="2"/>
  <c r="R10" i="2"/>
  <c r="Q10" i="2"/>
  <c r="P10" i="2"/>
  <c r="O10" i="2"/>
  <c r="U9" i="2"/>
  <c r="T9" i="2"/>
  <c r="S9" i="2"/>
  <c r="R9" i="2"/>
  <c r="Q9" i="2"/>
  <c r="P9" i="2"/>
  <c r="O9" i="2"/>
  <c r="U8" i="2"/>
  <c r="T8" i="2"/>
  <c r="S8" i="2"/>
  <c r="R8" i="2"/>
  <c r="Q8" i="2"/>
  <c r="P8" i="2"/>
  <c r="O8" i="2"/>
  <c r="U7" i="2"/>
  <c r="T7" i="2"/>
  <c r="S7" i="2"/>
  <c r="R7" i="2"/>
  <c r="Q7" i="2"/>
  <c r="P7" i="2"/>
  <c r="O7" i="2"/>
  <c r="U6" i="2"/>
  <c r="T6" i="2"/>
  <c r="S6" i="2"/>
  <c r="R6" i="2"/>
  <c r="Q6" i="2"/>
  <c r="P6" i="2"/>
  <c r="O6" i="2"/>
  <c r="U5" i="2"/>
  <c r="T5" i="2"/>
  <c r="S5" i="2"/>
  <c r="R5" i="2"/>
  <c r="Q5" i="2"/>
  <c r="P5" i="2"/>
  <c r="O5" i="2"/>
  <c r="U4" i="2"/>
  <c r="T4" i="2"/>
  <c r="S4" i="2"/>
  <c r="R4" i="2"/>
  <c r="Q4" i="2"/>
  <c r="P4" i="2"/>
  <c r="O4" i="2"/>
  <c r="U3" i="2"/>
  <c r="T3" i="2"/>
  <c r="S3" i="2"/>
  <c r="R3" i="2"/>
  <c r="Q3" i="2"/>
  <c r="P3" i="2"/>
  <c r="O3" i="2"/>
  <c r="AW171" i="1"/>
  <c r="AV171" i="1"/>
  <c r="AU171" i="1"/>
  <c r="AT171" i="1"/>
  <c r="AS171" i="1"/>
  <c r="AR171" i="1"/>
  <c r="AQ171" i="1"/>
  <c r="FO66" i="1" l="1"/>
  <c r="GI66" i="1"/>
  <c r="L179" i="1"/>
  <c r="L178" i="1"/>
  <c r="L180" i="1"/>
  <c r="L183" i="1"/>
  <c r="L182" i="1"/>
  <c r="L184" i="1"/>
  <c r="V179" i="1"/>
  <c r="V178" i="1"/>
  <c r="V180" i="1"/>
  <c r="V183" i="1"/>
  <c r="V182" i="1"/>
  <c r="V184" i="1"/>
  <c r="T179" i="1"/>
  <c r="T178" i="1"/>
  <c r="T180" i="1"/>
  <c r="T183" i="1"/>
  <c r="T182" i="1"/>
  <c r="T184" i="1"/>
  <c r="R179" i="1"/>
  <c r="R178" i="1"/>
  <c r="R180" i="1"/>
  <c r="R183" i="1"/>
  <c r="R182" i="1"/>
  <c r="R184" i="1"/>
  <c r="P179" i="1"/>
  <c r="P178" i="1"/>
  <c r="P180" i="1"/>
  <c r="P183" i="1"/>
  <c r="P182" i="1"/>
  <c r="P184" i="1"/>
  <c r="N179" i="1"/>
  <c r="N178" i="1"/>
  <c r="N180" i="1"/>
  <c r="N183" i="1"/>
  <c r="N182" i="1"/>
  <c r="N184" i="1"/>
  <c r="AD178" i="1"/>
  <c r="AD179" i="1"/>
  <c r="AD180" i="1"/>
  <c r="AD182" i="1"/>
  <c r="AD183" i="1"/>
  <c r="AD184" i="1"/>
  <c r="AL178" i="1"/>
  <c r="AL179" i="1"/>
  <c r="AL180" i="1"/>
  <c r="AL182" i="1"/>
  <c r="AL183" i="1"/>
  <c r="AL184" i="1"/>
  <c r="AJ178" i="1"/>
  <c r="AJ179" i="1"/>
  <c r="AJ180" i="1"/>
  <c r="AJ182" i="1"/>
  <c r="AJ183" i="1"/>
  <c r="AJ184" i="1"/>
  <c r="AH178" i="1"/>
  <c r="AH179" i="1"/>
  <c r="AH180" i="1"/>
  <c r="AH182" i="1"/>
  <c r="AH183" i="1"/>
  <c r="AH184" i="1"/>
  <c r="AF178" i="1"/>
  <c r="AF179" i="1"/>
  <c r="AF180" i="1"/>
  <c r="AF182" i="1"/>
  <c r="AF183" i="1"/>
  <c r="AF184" i="1"/>
  <c r="AO178" i="1"/>
  <c r="AO179" i="1"/>
  <c r="AO180" i="1"/>
  <c r="AO182" i="1"/>
  <c r="AO183" i="1"/>
  <c r="AO184" i="1"/>
  <c r="AV179" i="1"/>
  <c r="AV178" i="1"/>
  <c r="AV180" i="1"/>
  <c r="AV183" i="1"/>
  <c r="AV182" i="1"/>
  <c r="AV184" i="1"/>
  <c r="AT179" i="1"/>
  <c r="AT178" i="1"/>
  <c r="AT180" i="1"/>
  <c r="AT183" i="1"/>
  <c r="AT182" i="1"/>
  <c r="AT184" i="1"/>
  <c r="AR179" i="1"/>
  <c r="AR178" i="1"/>
  <c r="AR180" i="1"/>
  <c r="AR183" i="1"/>
  <c r="AR182" i="1"/>
  <c r="AR184" i="1"/>
  <c r="AP179" i="1"/>
  <c r="AP178" i="1"/>
  <c r="AP180" i="1"/>
  <c r="AP183" i="1"/>
  <c r="AP182" i="1"/>
  <c r="AP184" i="1"/>
  <c r="BG178" i="1"/>
  <c r="BG179" i="1"/>
  <c r="BG180" i="1"/>
  <c r="BG183" i="1"/>
  <c r="BG182" i="1"/>
  <c r="BG184" i="1"/>
  <c r="BE178" i="1"/>
  <c r="BE179" i="1"/>
  <c r="BE183" i="1"/>
  <c r="BE180" i="1"/>
  <c r="BE182" i="1"/>
  <c r="BE184" i="1"/>
  <c r="BC178" i="1"/>
  <c r="BC179" i="1"/>
  <c r="BC180" i="1"/>
  <c r="BC183" i="1"/>
  <c r="BC182" i="1"/>
  <c r="BC184" i="1"/>
  <c r="BA178" i="1"/>
  <c r="BA179" i="1"/>
  <c r="BA183" i="1"/>
  <c r="BA180" i="1"/>
  <c r="BA182" i="1"/>
  <c r="BA184" i="1"/>
  <c r="BI178" i="1"/>
  <c r="BI180" i="1"/>
  <c r="BI179" i="1"/>
  <c r="BI182" i="1"/>
  <c r="BI183" i="1"/>
  <c r="BI184" i="1"/>
  <c r="BP178" i="1"/>
  <c r="BP179" i="1"/>
  <c r="BP180" i="1"/>
  <c r="BP183" i="1"/>
  <c r="BP182" i="1"/>
  <c r="BP184" i="1"/>
  <c r="BN178" i="1"/>
  <c r="BN179" i="1"/>
  <c r="BN183" i="1"/>
  <c r="BN180" i="1"/>
  <c r="BN182" i="1"/>
  <c r="BN184" i="1"/>
  <c r="BL178" i="1"/>
  <c r="BL179" i="1"/>
  <c r="BL180" i="1"/>
  <c r="BL183" i="1"/>
  <c r="BL182" i="1"/>
  <c r="BL184" i="1"/>
  <c r="BJ178" i="1"/>
  <c r="BJ179" i="1"/>
  <c r="BJ183" i="1"/>
  <c r="BJ180" i="1"/>
  <c r="BJ182" i="1"/>
  <c r="BJ184" i="1"/>
  <c r="CA178" i="1"/>
  <c r="CA179" i="1"/>
  <c r="CA183" i="1"/>
  <c r="CA180" i="1"/>
  <c r="CA182" i="1"/>
  <c r="CA184" i="1"/>
  <c r="BY178" i="1"/>
  <c r="BY179" i="1"/>
  <c r="BY180" i="1"/>
  <c r="BY183" i="1"/>
  <c r="BY182" i="1"/>
  <c r="BY184" i="1"/>
  <c r="BW178" i="1"/>
  <c r="BW179" i="1"/>
  <c r="BW183" i="1"/>
  <c r="BW180" i="1"/>
  <c r="BW182" i="1"/>
  <c r="BW184" i="1"/>
  <c r="BU178" i="1"/>
  <c r="BU179" i="1"/>
  <c r="BU180" i="1"/>
  <c r="BU183" i="1"/>
  <c r="BU182" i="1"/>
  <c r="BU184" i="1"/>
  <c r="CC178" i="1"/>
  <c r="CC180" i="1"/>
  <c r="CC179" i="1"/>
  <c r="CC182" i="1"/>
  <c r="CC183" i="1"/>
  <c r="CC184" i="1"/>
  <c r="CJ178" i="1"/>
  <c r="CJ179" i="1"/>
  <c r="CJ180" i="1"/>
  <c r="CJ183" i="1"/>
  <c r="CJ182" i="1"/>
  <c r="CJ184" i="1"/>
  <c r="CH178" i="1"/>
  <c r="CH179" i="1"/>
  <c r="CH180" i="1"/>
  <c r="CH183" i="1"/>
  <c r="CH182" i="1"/>
  <c r="CH184" i="1"/>
  <c r="CF178" i="1"/>
  <c r="CF179" i="1"/>
  <c r="CF183" i="1"/>
  <c r="CF180" i="1"/>
  <c r="CF182" i="1"/>
  <c r="CF184" i="1"/>
  <c r="CD178" i="1"/>
  <c r="CD179" i="1"/>
  <c r="CD180" i="1"/>
  <c r="CD183" i="1"/>
  <c r="CD182" i="1"/>
  <c r="CD184" i="1"/>
  <c r="CU178" i="1"/>
  <c r="CU179" i="1"/>
  <c r="CU180" i="1"/>
  <c r="CU183" i="1"/>
  <c r="CU182" i="1"/>
  <c r="CU184" i="1"/>
  <c r="CS178" i="1"/>
  <c r="CS179" i="1"/>
  <c r="CS180" i="1"/>
  <c r="CS183" i="1"/>
  <c r="CS182" i="1"/>
  <c r="CS184" i="1"/>
  <c r="CQ178" i="1"/>
  <c r="CQ179" i="1"/>
  <c r="CQ180" i="1"/>
  <c r="CQ183" i="1"/>
  <c r="CQ182" i="1"/>
  <c r="CQ184" i="1"/>
  <c r="CO178" i="1"/>
  <c r="CO179" i="1"/>
  <c r="CO180" i="1"/>
  <c r="CO183" i="1"/>
  <c r="CO182" i="1"/>
  <c r="CO184" i="1"/>
  <c r="CW178" i="1"/>
  <c r="CW179" i="1"/>
  <c r="CW182" i="1"/>
  <c r="CW180" i="1"/>
  <c r="CW183" i="1"/>
  <c r="CW184" i="1"/>
  <c r="DD178" i="1"/>
  <c r="DD179" i="1"/>
  <c r="DD180" i="1"/>
  <c r="DD183" i="1"/>
  <c r="DD182" i="1"/>
  <c r="DD184" i="1"/>
  <c r="DB178" i="1"/>
  <c r="DB179" i="1"/>
  <c r="DB180" i="1"/>
  <c r="DB183" i="1"/>
  <c r="DB182" i="1"/>
  <c r="DB184" i="1"/>
  <c r="CZ178" i="1"/>
  <c r="CZ179" i="1"/>
  <c r="CZ180" i="1"/>
  <c r="CZ183" i="1"/>
  <c r="CZ182" i="1"/>
  <c r="CZ184" i="1"/>
  <c r="CX178" i="1"/>
  <c r="CX179" i="1"/>
  <c r="CX180" i="1"/>
  <c r="CX183" i="1"/>
  <c r="CX182" i="1"/>
  <c r="CX184" i="1"/>
  <c r="DO178" i="1"/>
  <c r="DO179" i="1"/>
  <c r="DO180" i="1"/>
  <c r="DO183" i="1"/>
  <c r="DO182" i="1"/>
  <c r="DO184" i="1"/>
  <c r="DM178" i="1"/>
  <c r="DM179" i="1"/>
  <c r="DM180" i="1"/>
  <c r="DM183" i="1"/>
  <c r="DM182" i="1"/>
  <c r="DM184" i="1"/>
  <c r="DK178" i="1"/>
  <c r="DK179" i="1"/>
  <c r="DK180" i="1"/>
  <c r="DK183" i="1"/>
  <c r="DK182" i="1"/>
  <c r="DK184" i="1"/>
  <c r="DI178" i="1"/>
  <c r="DI179" i="1"/>
  <c r="DI180" i="1"/>
  <c r="DI183" i="1"/>
  <c r="DI182" i="1"/>
  <c r="DI184" i="1"/>
  <c r="DQ178" i="1"/>
  <c r="DQ179" i="1"/>
  <c r="DQ182" i="1"/>
  <c r="DQ180" i="1"/>
  <c r="DQ183" i="1"/>
  <c r="DQ184" i="1"/>
  <c r="DX178" i="1"/>
  <c r="DX179" i="1"/>
  <c r="DX180" i="1"/>
  <c r="DX183" i="1"/>
  <c r="DX182" i="1"/>
  <c r="DX184" i="1"/>
  <c r="DV178" i="1"/>
  <c r="DV179" i="1"/>
  <c r="DV180" i="1"/>
  <c r="DV183" i="1"/>
  <c r="DV182" i="1"/>
  <c r="DV184" i="1"/>
  <c r="DT178" i="1"/>
  <c r="DT179" i="1"/>
  <c r="DT180" i="1"/>
  <c r="DT183" i="1"/>
  <c r="DT182" i="1"/>
  <c r="DT184" i="1"/>
  <c r="DR178" i="1"/>
  <c r="DR179" i="1"/>
  <c r="DR180" i="1"/>
  <c r="DR183" i="1"/>
  <c r="DR182" i="1"/>
  <c r="DR184" i="1"/>
  <c r="EB178" i="1"/>
  <c r="EB179" i="1"/>
  <c r="EB180" i="1"/>
  <c r="EB183" i="1"/>
  <c r="EB182" i="1"/>
  <c r="EB184" i="1"/>
  <c r="EE178" i="1"/>
  <c r="EE179" i="1"/>
  <c r="EE182" i="1"/>
  <c r="EE180" i="1"/>
  <c r="EE184" i="1"/>
  <c r="EE183" i="1"/>
  <c r="FE178" i="1"/>
  <c r="FE179" i="1"/>
  <c r="FE180" i="1"/>
  <c r="FE182" i="1"/>
  <c r="FE183" i="1"/>
  <c r="FE184" i="1"/>
  <c r="FC178" i="1"/>
  <c r="FC179" i="1"/>
  <c r="FC180" i="1"/>
  <c r="FC182" i="1"/>
  <c r="FC183" i="1"/>
  <c r="FC184" i="1"/>
  <c r="FA178" i="1"/>
  <c r="FA179" i="1"/>
  <c r="FA180" i="1"/>
  <c r="FA182" i="1"/>
  <c r="FA183" i="1"/>
  <c r="FA184" i="1"/>
  <c r="EY178" i="1"/>
  <c r="EY179" i="1"/>
  <c r="EY180" i="1"/>
  <c r="EY182" i="1"/>
  <c r="EY183" i="1"/>
  <c r="EY184" i="1"/>
  <c r="EW178" i="1"/>
  <c r="EW179" i="1"/>
  <c r="EW180" i="1"/>
  <c r="EW182" i="1"/>
  <c r="EW183" i="1"/>
  <c r="EW184" i="1"/>
  <c r="EU178" i="1"/>
  <c r="EU179" i="1"/>
  <c r="EU180" i="1"/>
  <c r="EU182" i="1"/>
  <c r="EU183" i="1"/>
  <c r="EU184" i="1"/>
  <c r="EQ178" i="1"/>
  <c r="EQ179" i="1"/>
  <c r="EQ182" i="1"/>
  <c r="EQ180" i="1"/>
  <c r="EQ184" i="1"/>
  <c r="EQ183" i="1"/>
  <c r="EO178" i="1"/>
  <c r="EO179" i="1"/>
  <c r="EO182" i="1"/>
  <c r="EO180" i="1"/>
  <c r="EO184" i="1"/>
  <c r="EO183" i="1"/>
  <c r="EM178" i="1"/>
  <c r="EM179" i="1"/>
  <c r="EM182" i="1"/>
  <c r="EM180" i="1"/>
  <c r="EM184" i="1"/>
  <c r="EM183" i="1"/>
  <c r="EK178" i="1"/>
  <c r="EK179" i="1"/>
  <c r="EK182" i="1"/>
  <c r="EK180" i="1"/>
  <c r="EK184" i="1"/>
  <c r="EK183" i="1"/>
  <c r="EI178" i="1"/>
  <c r="EI179" i="1"/>
  <c r="EI182" i="1"/>
  <c r="EI180" i="1"/>
  <c r="EI184" i="1"/>
  <c r="EI183" i="1"/>
  <c r="EG178" i="1"/>
  <c r="EG179" i="1"/>
  <c r="EG182" i="1"/>
  <c r="EG180" i="1"/>
  <c r="EG183" i="1"/>
  <c r="EG184" i="1"/>
  <c r="E178" i="1"/>
  <c r="E182" i="1"/>
  <c r="E183" i="1"/>
  <c r="E180" i="1"/>
  <c r="E184" i="1"/>
  <c r="E179" i="1"/>
  <c r="W178" i="1"/>
  <c r="W179" i="1"/>
  <c r="W180" i="1"/>
  <c r="W182" i="1"/>
  <c r="W183" i="1"/>
  <c r="W184" i="1"/>
  <c r="U178" i="1"/>
  <c r="U179" i="1"/>
  <c r="U180" i="1"/>
  <c r="U182" i="1"/>
  <c r="U183" i="1"/>
  <c r="U184" i="1"/>
  <c r="S178" i="1"/>
  <c r="S179" i="1"/>
  <c r="S180" i="1"/>
  <c r="S182" i="1"/>
  <c r="S183" i="1"/>
  <c r="S184" i="1"/>
  <c r="Q178" i="1"/>
  <c r="Q179" i="1"/>
  <c r="Q180" i="1"/>
  <c r="Q182" i="1"/>
  <c r="Q183" i="1"/>
  <c r="Q184" i="1"/>
  <c r="O178" i="1"/>
  <c r="O179" i="1"/>
  <c r="O180" i="1"/>
  <c r="O182" i="1"/>
  <c r="O183" i="1"/>
  <c r="O184" i="1"/>
  <c r="M178" i="1"/>
  <c r="M179" i="1"/>
  <c r="M180" i="1"/>
  <c r="M182" i="1"/>
  <c r="M183" i="1"/>
  <c r="M184" i="1"/>
  <c r="AM179" i="1"/>
  <c r="AM178" i="1"/>
  <c r="AM180" i="1"/>
  <c r="AM183" i="1"/>
  <c r="AM182" i="1"/>
  <c r="AM184" i="1"/>
  <c r="AK179" i="1"/>
  <c r="AK178" i="1"/>
  <c r="AK180" i="1"/>
  <c r="AK183" i="1"/>
  <c r="AK182" i="1"/>
  <c r="AK184" i="1"/>
  <c r="AI179" i="1"/>
  <c r="AI178" i="1"/>
  <c r="AI180" i="1"/>
  <c r="AI183" i="1"/>
  <c r="AI182" i="1"/>
  <c r="AI184" i="1"/>
  <c r="AG179" i="1"/>
  <c r="AG178" i="1"/>
  <c r="AG180" i="1"/>
  <c r="AG183" i="1"/>
  <c r="AG182" i="1"/>
  <c r="AG184" i="1"/>
  <c r="AE179" i="1"/>
  <c r="AE178" i="1"/>
  <c r="AE180" i="1"/>
  <c r="AE183" i="1"/>
  <c r="AE182" i="1"/>
  <c r="AE184" i="1"/>
  <c r="AW178" i="1"/>
  <c r="AW179" i="1"/>
  <c r="AW180" i="1"/>
  <c r="AW182" i="1"/>
  <c r="AW183" i="1"/>
  <c r="AW184" i="1"/>
  <c r="AU178" i="1"/>
  <c r="AU179" i="1"/>
  <c r="AU180" i="1"/>
  <c r="AU182" i="1"/>
  <c r="AU183" i="1"/>
  <c r="AU184" i="1"/>
  <c r="AS178" i="1"/>
  <c r="AS179" i="1"/>
  <c r="AS180" i="1"/>
  <c r="AS182" i="1"/>
  <c r="AS183" i="1"/>
  <c r="AS184" i="1"/>
  <c r="AQ178" i="1"/>
  <c r="AQ179" i="1"/>
  <c r="AQ180" i="1"/>
  <c r="AQ182" i="1"/>
  <c r="AQ183" i="1"/>
  <c r="AQ184" i="1"/>
  <c r="AY178" i="1"/>
  <c r="AY179" i="1"/>
  <c r="AY180" i="1"/>
  <c r="AY183" i="1"/>
  <c r="AY182" i="1"/>
  <c r="AY184" i="1"/>
  <c r="BF178" i="1"/>
  <c r="BF180" i="1"/>
  <c r="BF179" i="1"/>
  <c r="BF182" i="1"/>
  <c r="BF183" i="1"/>
  <c r="BF184" i="1"/>
  <c r="BD178" i="1"/>
  <c r="BD180" i="1"/>
  <c r="BD179" i="1"/>
  <c r="BD182" i="1"/>
  <c r="BD183" i="1"/>
  <c r="BD184" i="1"/>
  <c r="BB178" i="1"/>
  <c r="BB180" i="1"/>
  <c r="BB179" i="1"/>
  <c r="BB182" i="1"/>
  <c r="BB183" i="1"/>
  <c r="BB184" i="1"/>
  <c r="AZ178" i="1"/>
  <c r="AZ180" i="1"/>
  <c r="AZ179" i="1"/>
  <c r="AZ182" i="1"/>
  <c r="AZ183" i="1"/>
  <c r="AZ184" i="1"/>
  <c r="BQ178" i="1"/>
  <c r="BQ180" i="1"/>
  <c r="BQ179" i="1"/>
  <c r="BQ182" i="1"/>
  <c r="BQ183" i="1"/>
  <c r="BQ184" i="1"/>
  <c r="BO178" i="1"/>
  <c r="BO180" i="1"/>
  <c r="BO179" i="1"/>
  <c r="BO182" i="1"/>
  <c r="BO183" i="1"/>
  <c r="BO184" i="1"/>
  <c r="BM178" i="1"/>
  <c r="BM180" i="1"/>
  <c r="BM179" i="1"/>
  <c r="BM182" i="1"/>
  <c r="BM183" i="1"/>
  <c r="BM184" i="1"/>
  <c r="BK178" i="1"/>
  <c r="BK180" i="1"/>
  <c r="BK179" i="1"/>
  <c r="BK182" i="1"/>
  <c r="BK183" i="1"/>
  <c r="BK184" i="1"/>
  <c r="BS178" i="1"/>
  <c r="BS179" i="1"/>
  <c r="BS183" i="1"/>
  <c r="BS180" i="1"/>
  <c r="BS182" i="1"/>
  <c r="BS184" i="1"/>
  <c r="BZ178" i="1"/>
  <c r="BZ180" i="1"/>
  <c r="BZ179" i="1"/>
  <c r="BZ182" i="1"/>
  <c r="BZ183" i="1"/>
  <c r="BZ184" i="1"/>
  <c r="BX178" i="1"/>
  <c r="BX180" i="1"/>
  <c r="BX179" i="1"/>
  <c r="BX182" i="1"/>
  <c r="BX183" i="1"/>
  <c r="BX184" i="1"/>
  <c r="BV178" i="1"/>
  <c r="BV180" i="1"/>
  <c r="BV179" i="1"/>
  <c r="BV182" i="1"/>
  <c r="BV183" i="1"/>
  <c r="BV184" i="1"/>
  <c r="BT178" i="1"/>
  <c r="BT180" i="1"/>
  <c r="BT179" i="1"/>
  <c r="BT182" i="1"/>
  <c r="BT183" i="1"/>
  <c r="BT184" i="1"/>
  <c r="CK178" i="1"/>
  <c r="CK179" i="1"/>
  <c r="CK182" i="1"/>
  <c r="CK180" i="1"/>
  <c r="CK183" i="1"/>
  <c r="CK184" i="1"/>
  <c r="CI178" i="1"/>
  <c r="CI179" i="1"/>
  <c r="CI182" i="1"/>
  <c r="CI180" i="1"/>
  <c r="CI183" i="1"/>
  <c r="CI184" i="1"/>
  <c r="CG178" i="1"/>
  <c r="CG180" i="1"/>
  <c r="CG179" i="1"/>
  <c r="CG182" i="1"/>
  <c r="CG183" i="1"/>
  <c r="CG184" i="1"/>
  <c r="CE178" i="1"/>
  <c r="CE180" i="1"/>
  <c r="CE179" i="1"/>
  <c r="CE182" i="1"/>
  <c r="CE183" i="1"/>
  <c r="CE184" i="1"/>
  <c r="CM178" i="1"/>
  <c r="CM179" i="1"/>
  <c r="CM180" i="1"/>
  <c r="CM183" i="1"/>
  <c r="CM182" i="1"/>
  <c r="CM184" i="1"/>
  <c r="CT178" i="1"/>
  <c r="CT179" i="1"/>
  <c r="CT182" i="1"/>
  <c r="CT180" i="1"/>
  <c r="CT183" i="1"/>
  <c r="CT184" i="1"/>
  <c r="CR178" i="1"/>
  <c r="CR179" i="1"/>
  <c r="CR182" i="1"/>
  <c r="CR180" i="1"/>
  <c r="CR183" i="1"/>
  <c r="CR184" i="1"/>
  <c r="CP178" i="1"/>
  <c r="CP179" i="1"/>
  <c r="CP182" i="1"/>
  <c r="CP180" i="1"/>
  <c r="CP183" i="1"/>
  <c r="CP184" i="1"/>
  <c r="CN178" i="1"/>
  <c r="CN179" i="1"/>
  <c r="CN182" i="1"/>
  <c r="CN180" i="1"/>
  <c r="CN183" i="1"/>
  <c r="CN184" i="1"/>
  <c r="DE178" i="1"/>
  <c r="DE179" i="1"/>
  <c r="DE182" i="1"/>
  <c r="DE180" i="1"/>
  <c r="DE183" i="1"/>
  <c r="DE184" i="1"/>
  <c r="DC178" i="1"/>
  <c r="DC179" i="1"/>
  <c r="DC182" i="1"/>
  <c r="DC180" i="1"/>
  <c r="DC183" i="1"/>
  <c r="DC184" i="1"/>
  <c r="DA178" i="1"/>
  <c r="DA179" i="1"/>
  <c r="DA182" i="1"/>
  <c r="DA180" i="1"/>
  <c r="DA183" i="1"/>
  <c r="DA184" i="1"/>
  <c r="CY178" i="1"/>
  <c r="CY179" i="1"/>
  <c r="CY182" i="1"/>
  <c r="CY180" i="1"/>
  <c r="CY183" i="1"/>
  <c r="CY184" i="1"/>
  <c r="DG178" i="1"/>
  <c r="DG179" i="1"/>
  <c r="DG180" i="1"/>
  <c r="DG183" i="1"/>
  <c r="DG182" i="1"/>
  <c r="DG184" i="1"/>
  <c r="DN178" i="1"/>
  <c r="DN179" i="1"/>
  <c r="DN182" i="1"/>
  <c r="DN180" i="1"/>
  <c r="DN183" i="1"/>
  <c r="DN184" i="1"/>
  <c r="DL178" i="1"/>
  <c r="DL179" i="1"/>
  <c r="DL182" i="1"/>
  <c r="DL180" i="1"/>
  <c r="DL183" i="1"/>
  <c r="DL184" i="1"/>
  <c r="DJ178" i="1"/>
  <c r="DJ179" i="1"/>
  <c r="DJ182" i="1"/>
  <c r="DJ180" i="1"/>
  <c r="DJ183" i="1"/>
  <c r="DJ184" i="1"/>
  <c r="DH178" i="1"/>
  <c r="DH179" i="1"/>
  <c r="DH182" i="1"/>
  <c r="DH180" i="1"/>
  <c r="DH183" i="1"/>
  <c r="DH184" i="1"/>
  <c r="DY178" i="1"/>
  <c r="DY179" i="1"/>
  <c r="DY182" i="1"/>
  <c r="DY180" i="1"/>
  <c r="DY183" i="1"/>
  <c r="DY184" i="1"/>
  <c r="DW178" i="1"/>
  <c r="DW179" i="1"/>
  <c r="DW182" i="1"/>
  <c r="DW180" i="1"/>
  <c r="DW184" i="1"/>
  <c r="DW183" i="1"/>
  <c r="DU178" i="1"/>
  <c r="DU179" i="1"/>
  <c r="DU182" i="1"/>
  <c r="DU180" i="1"/>
  <c r="DU183" i="1"/>
  <c r="DU184" i="1"/>
  <c r="DS178" i="1"/>
  <c r="DS179" i="1"/>
  <c r="DS182" i="1"/>
  <c r="DS180" i="1"/>
  <c r="DS184" i="1"/>
  <c r="DS183" i="1"/>
  <c r="EA178" i="1"/>
  <c r="EA179" i="1"/>
  <c r="EA182" i="1"/>
  <c r="EA180" i="1"/>
  <c r="EA184" i="1"/>
  <c r="EA183" i="1"/>
  <c r="ED178" i="1"/>
  <c r="ED179" i="1"/>
  <c r="ED180" i="1"/>
  <c r="ED183" i="1"/>
  <c r="ED182" i="1"/>
  <c r="ED184" i="1"/>
  <c r="EF178" i="1"/>
  <c r="EF179" i="1"/>
  <c r="EF180" i="1"/>
  <c r="EF183" i="1"/>
  <c r="EF182" i="1"/>
  <c r="EF184" i="1"/>
  <c r="FD178" i="1"/>
  <c r="FD179" i="1"/>
  <c r="FD182" i="1"/>
  <c r="FD180" i="1"/>
  <c r="FD184" i="1"/>
  <c r="FD183" i="1"/>
  <c r="FB178" i="1"/>
  <c r="FB179" i="1"/>
  <c r="FB182" i="1"/>
  <c r="FB180" i="1"/>
  <c r="FB184" i="1"/>
  <c r="FB183" i="1"/>
  <c r="EZ178" i="1"/>
  <c r="EZ179" i="1"/>
  <c r="EZ182" i="1"/>
  <c r="EZ180" i="1"/>
  <c r="EZ184" i="1"/>
  <c r="EZ183" i="1"/>
  <c r="EX178" i="1"/>
  <c r="EX179" i="1"/>
  <c r="EX182" i="1"/>
  <c r="EX180" i="1"/>
  <c r="EX184" i="1"/>
  <c r="EX183" i="1"/>
  <c r="EV178" i="1"/>
  <c r="EV179" i="1"/>
  <c r="EV182" i="1"/>
  <c r="EV180" i="1"/>
  <c r="EV184" i="1"/>
  <c r="EV183" i="1"/>
  <c r="ET178" i="1"/>
  <c r="ET179" i="1"/>
  <c r="ET182" i="1"/>
  <c r="ET180" i="1"/>
  <c r="ET184" i="1"/>
  <c r="ET183" i="1"/>
  <c r="EP178" i="1"/>
  <c r="EP179" i="1"/>
  <c r="EP180" i="1"/>
  <c r="EP182" i="1"/>
  <c r="EP183" i="1"/>
  <c r="EP184" i="1"/>
  <c r="EN178" i="1"/>
  <c r="EN179" i="1"/>
  <c r="EN180" i="1"/>
  <c r="EN182" i="1"/>
  <c r="EN183" i="1"/>
  <c r="EN184" i="1"/>
  <c r="EL178" i="1"/>
  <c r="EL179" i="1"/>
  <c r="EL180" i="1"/>
  <c r="EL182" i="1"/>
  <c r="EL183" i="1"/>
  <c r="EL184" i="1"/>
  <c r="EJ178" i="1"/>
  <c r="EJ179" i="1"/>
  <c r="EJ180" i="1"/>
  <c r="EJ182" i="1"/>
  <c r="EJ183" i="1"/>
  <c r="EJ184" i="1"/>
  <c r="EH178" i="1"/>
  <c r="EH179" i="1"/>
  <c r="EH180" i="1"/>
  <c r="EH183" i="1"/>
  <c r="EH182" i="1"/>
  <c r="EH184" i="1"/>
  <c r="AB3" i="2"/>
  <c r="AB4" i="2"/>
  <c r="AB5" i="2"/>
  <c r="V10" i="2"/>
  <c r="V8" i="2"/>
  <c r="V6" i="2"/>
  <c r="V4" i="2"/>
  <c r="V12" i="2"/>
  <c r="V3" i="2"/>
  <c r="V5" i="2"/>
  <c r="V7" i="2"/>
  <c r="V9" i="2"/>
  <c r="V11" i="2"/>
  <c r="EC65" i="1" l="1"/>
  <c r="DZ65" i="1"/>
  <c r="AC65" i="1"/>
  <c r="K65" i="1"/>
  <c r="FN65" i="1"/>
  <c r="E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DP171" i="1"/>
  <c r="DF171" i="1"/>
  <c r="CV171" i="1"/>
  <c r="CL171" i="1"/>
  <c r="CB171" i="1"/>
  <c r="BR171" i="1"/>
  <c r="BH171" i="1"/>
  <c r="AX171" i="1"/>
  <c r="AN171" i="1"/>
  <c r="FN4" i="1"/>
  <c r="FN5" i="1"/>
  <c r="FN6" i="1"/>
  <c r="FN7" i="1"/>
  <c r="FN8" i="1"/>
  <c r="FN9" i="1"/>
  <c r="FN10" i="1"/>
  <c r="FN11" i="1"/>
  <c r="FN12" i="1"/>
  <c r="FN13" i="1"/>
  <c r="FN14" i="1"/>
  <c r="FN15" i="1"/>
  <c r="FN16" i="1"/>
  <c r="FN17" i="1"/>
  <c r="FN18" i="1"/>
  <c r="FN19" i="1"/>
  <c r="FN20" i="1"/>
  <c r="FN21" i="1"/>
  <c r="FN22" i="1"/>
  <c r="FN23" i="1"/>
  <c r="FN24" i="1"/>
  <c r="FN25" i="1"/>
  <c r="FN26" i="1"/>
  <c r="FN27" i="1"/>
  <c r="FN28" i="1"/>
  <c r="FN29" i="1"/>
  <c r="FN30" i="1"/>
  <c r="FN31" i="1"/>
  <c r="FN32" i="1"/>
  <c r="FN33" i="1"/>
  <c r="FN34" i="1"/>
  <c r="FN35" i="1"/>
  <c r="FN36" i="1"/>
  <c r="FN37" i="1"/>
  <c r="FN38" i="1"/>
  <c r="FN39" i="1"/>
  <c r="FN40" i="1"/>
  <c r="FN41" i="1"/>
  <c r="FN42" i="1"/>
  <c r="FN43" i="1"/>
  <c r="FN44" i="1"/>
  <c r="FN45" i="1"/>
  <c r="FN46" i="1"/>
  <c r="FN47" i="1"/>
  <c r="FN48" i="1"/>
  <c r="FN49" i="1"/>
  <c r="FN50" i="1"/>
  <c r="FN51" i="1"/>
  <c r="FN52" i="1"/>
  <c r="FN53" i="1"/>
  <c r="FN54" i="1"/>
  <c r="FN55" i="1"/>
  <c r="FN56" i="1"/>
  <c r="FN57" i="1"/>
  <c r="FN58" i="1"/>
  <c r="FN59" i="1"/>
  <c r="FN60" i="1"/>
  <c r="FN61" i="1"/>
  <c r="FN62" i="1"/>
  <c r="FN63" i="1"/>
  <c r="FN64" i="1"/>
  <c r="K6" i="1"/>
  <c r="K7" i="1"/>
  <c r="K9" i="1"/>
  <c r="K21" i="1"/>
  <c r="K26" i="1"/>
  <c r="K54" i="1"/>
  <c r="EE171" i="1"/>
  <c r="ED171" i="1"/>
  <c r="EB171" i="1"/>
  <c r="EA171" i="1"/>
  <c r="EC64" i="1"/>
  <c r="DZ64" i="1"/>
  <c r="EC61" i="1"/>
  <c r="DZ61" i="1"/>
  <c r="EC57" i="1"/>
  <c r="DZ57" i="1"/>
  <c r="EC56" i="1"/>
  <c r="DZ56" i="1"/>
  <c r="EC55" i="1"/>
  <c r="DZ55" i="1"/>
  <c r="EC54" i="1"/>
  <c r="DZ54" i="1"/>
  <c r="EC53" i="1"/>
  <c r="DZ53" i="1"/>
  <c r="EC52" i="1"/>
  <c r="DZ52" i="1"/>
  <c r="EC50" i="1"/>
  <c r="DZ50" i="1"/>
  <c r="EC43" i="1"/>
  <c r="DZ43" i="1"/>
  <c r="DZ41" i="1"/>
  <c r="EC33" i="1"/>
  <c r="DZ33" i="1"/>
  <c r="EC31" i="1"/>
  <c r="DZ31" i="1"/>
  <c r="EC29" i="1"/>
  <c r="DZ29" i="1"/>
  <c r="EC24" i="1"/>
  <c r="DZ24" i="1"/>
  <c r="EC11" i="1"/>
  <c r="DZ11" i="1"/>
  <c r="EC10" i="1"/>
  <c r="DZ10" i="1"/>
  <c r="EC6" i="1"/>
  <c r="DZ6" i="1"/>
  <c r="EC4" i="1"/>
  <c r="DR171" i="1"/>
  <c r="DS171" i="1"/>
  <c r="DT171" i="1"/>
  <c r="DU171" i="1"/>
  <c r="DV171" i="1"/>
  <c r="DW171" i="1"/>
  <c r="DX171" i="1"/>
  <c r="DY171" i="1"/>
  <c r="DQ171" i="1"/>
  <c r="DH171" i="1"/>
  <c r="DI171" i="1"/>
  <c r="DJ171" i="1"/>
  <c r="DK171" i="1"/>
  <c r="DL171" i="1"/>
  <c r="DM171" i="1"/>
  <c r="DN171" i="1"/>
  <c r="DO171" i="1"/>
  <c r="DG171" i="1"/>
  <c r="CX171" i="1"/>
  <c r="CY171" i="1"/>
  <c r="CZ171" i="1"/>
  <c r="DA171" i="1"/>
  <c r="DB171" i="1"/>
  <c r="DC171" i="1"/>
  <c r="DD171" i="1"/>
  <c r="DE171" i="1"/>
  <c r="CW171" i="1"/>
  <c r="CN171" i="1"/>
  <c r="CO171" i="1"/>
  <c r="CP171" i="1"/>
  <c r="CQ171" i="1"/>
  <c r="CR171" i="1"/>
  <c r="CS171" i="1"/>
  <c r="CT171" i="1"/>
  <c r="CU171" i="1"/>
  <c r="CM171" i="1"/>
  <c r="CD171" i="1"/>
  <c r="CE171" i="1"/>
  <c r="CF171" i="1"/>
  <c r="CG171" i="1"/>
  <c r="CH171" i="1"/>
  <c r="CI171" i="1"/>
  <c r="CJ171" i="1"/>
  <c r="CK171" i="1"/>
  <c r="CC171" i="1"/>
  <c r="BT171" i="1"/>
  <c r="BU171" i="1"/>
  <c r="BV171" i="1"/>
  <c r="BW171" i="1"/>
  <c r="BX171" i="1"/>
  <c r="BY171" i="1"/>
  <c r="BZ171" i="1"/>
  <c r="CA171" i="1"/>
  <c r="BS171" i="1"/>
  <c r="BJ171" i="1"/>
  <c r="BK171" i="1"/>
  <c r="BL171" i="1"/>
  <c r="BM171" i="1"/>
  <c r="BN171" i="1"/>
  <c r="BO171" i="1"/>
  <c r="BP171" i="1"/>
  <c r="BQ171" i="1"/>
  <c r="BI171" i="1"/>
  <c r="AZ171" i="1"/>
  <c r="BA171" i="1"/>
  <c r="BB171" i="1"/>
  <c r="BC171" i="1"/>
  <c r="BD171" i="1"/>
  <c r="BE171" i="1"/>
  <c r="BF171" i="1"/>
  <c r="BG171" i="1"/>
  <c r="AY171" i="1"/>
  <c r="AP171" i="1"/>
  <c r="AO171" i="1"/>
  <c r="AC53" i="1"/>
  <c r="K53" i="1"/>
  <c r="AC48" i="1"/>
  <c r="K48" i="1"/>
  <c r="AC43" i="1"/>
  <c r="E12" i="2" s="1"/>
  <c r="L12" i="2" s="1"/>
  <c r="K43" i="1"/>
  <c r="E11" i="2" s="1"/>
  <c r="L11" i="2" s="1"/>
  <c r="AC37" i="1"/>
  <c r="K37" i="1"/>
  <c r="AC32" i="1"/>
  <c r="K32" i="1"/>
  <c r="AC7" i="1"/>
  <c r="E10" i="2" s="1"/>
  <c r="L10" i="2" s="1"/>
  <c r="AC56" i="1"/>
  <c r="K56" i="1"/>
  <c r="AC36" i="1"/>
  <c r="K36" i="1"/>
  <c r="AC26" i="1"/>
  <c r="AC21" i="1"/>
  <c r="AC6" i="1"/>
  <c r="AC60" i="1"/>
  <c r="K60" i="1"/>
  <c r="AC55" i="1"/>
  <c r="E6" i="2" s="1"/>
  <c r="L6" i="2" s="1"/>
  <c r="K55" i="1"/>
  <c r="K35" i="1"/>
  <c r="W171" i="1"/>
  <c r="V171" i="1"/>
  <c r="AM171" i="1"/>
  <c r="AL171" i="1"/>
  <c r="AK171" i="1"/>
  <c r="AJ171" i="1"/>
  <c r="AI171" i="1"/>
  <c r="AH171" i="1"/>
  <c r="AG171" i="1"/>
  <c r="AF171" i="1"/>
  <c r="AE171" i="1"/>
  <c r="AD171" i="1"/>
  <c r="AB171" i="1"/>
  <c r="AA171" i="1"/>
  <c r="Z171" i="1"/>
  <c r="Y171" i="1"/>
  <c r="X171" i="1"/>
  <c r="U171" i="1"/>
  <c r="T171" i="1"/>
  <c r="S171" i="1"/>
  <c r="R171" i="1"/>
  <c r="Q171" i="1"/>
  <c r="P171" i="1"/>
  <c r="O171" i="1"/>
  <c r="N171" i="1"/>
  <c r="M171" i="1"/>
  <c r="L171" i="1"/>
  <c r="J171" i="1"/>
  <c r="I171" i="1"/>
  <c r="A171" i="1"/>
  <c r="AC64" i="1"/>
  <c r="K64" i="1"/>
  <c r="AC54" i="1"/>
  <c r="AC44" i="1"/>
  <c r="K44" i="1"/>
  <c r="AC14" i="1"/>
  <c r="K14" i="1"/>
  <c r="AC9" i="1"/>
  <c r="EC181" i="1" l="1"/>
  <c r="FO63" i="1"/>
  <c r="GI63" i="1"/>
  <c r="FO61" i="1"/>
  <c r="GI61" i="1"/>
  <c r="FO59" i="1"/>
  <c r="GI59" i="1"/>
  <c r="FO57" i="1"/>
  <c r="GI57" i="1"/>
  <c r="FO55" i="1"/>
  <c r="GI55" i="1"/>
  <c r="FO53" i="1"/>
  <c r="GI53" i="1"/>
  <c r="FO51" i="1"/>
  <c r="GI51" i="1"/>
  <c r="FO49" i="1"/>
  <c r="GI49" i="1"/>
  <c r="FO47" i="1"/>
  <c r="GI47" i="1"/>
  <c r="FO45" i="1"/>
  <c r="GI45" i="1"/>
  <c r="FO43" i="1"/>
  <c r="GI43" i="1"/>
  <c r="FO41" i="1"/>
  <c r="GI41" i="1"/>
  <c r="FO39" i="1"/>
  <c r="GI39" i="1"/>
  <c r="FO37" i="1"/>
  <c r="GI37" i="1"/>
  <c r="FO35" i="1"/>
  <c r="GI35" i="1"/>
  <c r="FO33" i="1"/>
  <c r="GI33" i="1"/>
  <c r="FO31" i="1"/>
  <c r="GI31" i="1"/>
  <c r="FO29" i="1"/>
  <c r="GI29" i="1"/>
  <c r="FO27" i="1"/>
  <c r="GI27" i="1"/>
  <c r="FO25" i="1"/>
  <c r="GI25" i="1"/>
  <c r="FO23" i="1"/>
  <c r="GI23" i="1"/>
  <c r="FO21" i="1"/>
  <c r="GI21" i="1"/>
  <c r="FO19" i="1"/>
  <c r="GI19" i="1"/>
  <c r="FO17" i="1"/>
  <c r="GI17" i="1"/>
  <c r="FO15" i="1"/>
  <c r="GI15" i="1"/>
  <c r="FO13" i="1"/>
  <c r="GI13" i="1"/>
  <c r="FO11" i="1"/>
  <c r="GI11" i="1"/>
  <c r="FO9" i="1"/>
  <c r="GI9" i="1"/>
  <c r="FO7" i="1"/>
  <c r="GI7" i="1"/>
  <c r="FO5" i="1"/>
  <c r="GI5" i="1"/>
  <c r="FO64" i="1"/>
  <c r="GI64" i="1"/>
  <c r="FO62" i="1"/>
  <c r="GI62" i="1"/>
  <c r="FO60" i="1"/>
  <c r="GI60" i="1"/>
  <c r="FO58" i="1"/>
  <c r="GI58" i="1"/>
  <c r="FO56" i="1"/>
  <c r="GI56" i="1"/>
  <c r="FO54" i="1"/>
  <c r="GI54" i="1"/>
  <c r="FO52" i="1"/>
  <c r="GI52" i="1"/>
  <c r="FO50" i="1"/>
  <c r="GI50" i="1"/>
  <c r="FO48" i="1"/>
  <c r="GI48" i="1"/>
  <c r="FO46" i="1"/>
  <c r="GI46" i="1"/>
  <c r="FO44" i="1"/>
  <c r="GI44" i="1"/>
  <c r="FO42" i="1"/>
  <c r="GI42" i="1"/>
  <c r="FO40" i="1"/>
  <c r="GI40" i="1"/>
  <c r="FO38" i="1"/>
  <c r="GI38" i="1"/>
  <c r="FO36" i="1"/>
  <c r="GI36" i="1"/>
  <c r="FO34" i="1"/>
  <c r="GI34" i="1"/>
  <c r="FO32" i="1"/>
  <c r="GI32" i="1"/>
  <c r="FO30" i="1"/>
  <c r="GI30" i="1"/>
  <c r="FO28" i="1"/>
  <c r="GI28" i="1"/>
  <c r="FO26" i="1"/>
  <c r="GI26" i="1"/>
  <c r="FO24" i="1"/>
  <c r="GI24" i="1"/>
  <c r="FO22" i="1"/>
  <c r="GI22" i="1"/>
  <c r="FO20" i="1"/>
  <c r="GI20" i="1"/>
  <c r="FO18" i="1"/>
  <c r="GI18" i="1"/>
  <c r="FO16" i="1"/>
  <c r="GI16" i="1"/>
  <c r="FO14" i="1"/>
  <c r="GI14" i="1"/>
  <c r="FO12" i="1"/>
  <c r="GI12" i="1"/>
  <c r="FO10" i="1"/>
  <c r="GI10" i="1"/>
  <c r="FO8" i="1"/>
  <c r="GI8" i="1"/>
  <c r="FO6" i="1"/>
  <c r="GI6" i="1"/>
  <c r="FO4" i="1"/>
  <c r="GI4" i="1"/>
  <c r="FO65" i="1"/>
  <c r="GI65" i="1"/>
  <c r="FG181" i="1"/>
  <c r="AC181" i="1"/>
  <c r="K181" i="1"/>
  <c r="ES181" i="1"/>
  <c r="DZ181" i="1"/>
  <c r="Y4" i="2"/>
  <c r="EC177" i="1"/>
  <c r="EC175" i="1"/>
  <c r="EC173" i="1"/>
  <c r="EC176" i="1"/>
  <c r="EC174" i="1"/>
  <c r="EC172" i="1"/>
  <c r="FG172" i="1"/>
  <c r="FG174" i="1"/>
  <c r="FG176" i="1"/>
  <c r="FG173" i="1"/>
  <c r="FG175" i="1"/>
  <c r="FG177" i="1"/>
  <c r="DZ177" i="1"/>
  <c r="DZ175" i="1"/>
  <c r="DZ173" i="1"/>
  <c r="DZ176" i="1"/>
  <c r="DZ174" i="1"/>
  <c r="DZ172" i="1"/>
  <c r="K177" i="1"/>
  <c r="K175" i="1"/>
  <c r="K173" i="1"/>
  <c r="K176" i="1"/>
  <c r="K174" i="1"/>
  <c r="K172" i="1"/>
  <c r="ES172" i="1"/>
  <c r="ES174" i="1"/>
  <c r="ES176" i="1"/>
  <c r="ES173" i="1"/>
  <c r="ES175" i="1"/>
  <c r="ES177" i="1"/>
  <c r="AC177" i="1"/>
  <c r="AC175" i="1"/>
  <c r="AC173" i="1"/>
  <c r="AC176" i="1"/>
  <c r="AC174" i="1"/>
  <c r="AC172" i="1"/>
  <c r="Y5" i="2"/>
  <c r="Y3" i="2"/>
  <c r="E16" i="2"/>
  <c r="L16" i="2" s="1"/>
  <c r="E8" i="2"/>
  <c r="L8" i="2" s="1"/>
  <c r="E17" i="2"/>
  <c r="L17" i="2" s="1"/>
  <c r="E15" i="2"/>
  <c r="L15" i="2" s="1"/>
  <c r="E7" i="2"/>
  <c r="L7" i="2" s="1"/>
  <c r="E4" i="2"/>
  <c r="L4" i="2" s="1"/>
  <c r="E5" i="2"/>
  <c r="L5" i="2" s="1"/>
  <c r="E3" i="2"/>
  <c r="L3" i="2" s="1"/>
  <c r="E9" i="2"/>
  <c r="L9" i="2" s="1"/>
  <c r="AC171" i="1"/>
  <c r="DZ171" i="1"/>
  <c r="FG171" i="1"/>
  <c r="EC171" i="1"/>
  <c r="ES171" i="1"/>
  <c r="K171" i="1"/>
  <c r="EC178" i="1" l="1"/>
  <c r="GI172" i="1"/>
  <c r="GI174" i="1"/>
  <c r="GI176" i="1"/>
  <c r="GI181" i="1"/>
  <c r="GI173" i="1"/>
  <c r="GI175" i="1"/>
  <c r="GI177" i="1"/>
  <c r="GI171" i="1"/>
  <c r="ES178" i="1"/>
  <c r="ES179" i="1"/>
  <c r="ES180" i="1"/>
  <c r="ES182" i="1"/>
  <c r="ES183" i="1"/>
  <c r="ES184" i="1"/>
  <c r="AC179" i="1"/>
  <c r="AC178" i="1"/>
  <c r="AC180" i="1"/>
  <c r="AC183" i="1"/>
  <c r="AC182" i="1"/>
  <c r="AC184" i="1"/>
  <c r="EC184" i="1"/>
  <c r="EC180" i="1"/>
  <c r="EC179" i="1"/>
  <c r="DZ178" i="1"/>
  <c r="DZ179" i="1"/>
  <c r="DZ180" i="1"/>
  <c r="DZ183" i="1"/>
  <c r="DZ182" i="1"/>
  <c r="DZ184" i="1"/>
  <c r="K178" i="1"/>
  <c r="K179" i="1"/>
  <c r="K180" i="1"/>
  <c r="K182" i="1"/>
  <c r="K183" i="1"/>
  <c r="K184" i="1"/>
  <c r="FG178" i="1"/>
  <c r="FG179" i="1"/>
  <c r="FG182" i="1"/>
  <c r="FG180" i="1"/>
  <c r="FG184" i="1"/>
  <c r="FG183" i="1"/>
  <c r="EC183" i="1"/>
  <c r="EC182" i="1"/>
  <c r="AD3" i="2"/>
  <c r="AC3" i="2"/>
  <c r="AD4" i="2"/>
  <c r="AC4" i="2"/>
  <c r="AC5" i="2"/>
  <c r="AD5" i="2"/>
  <c r="GI178" i="1" l="1"/>
  <c r="GI183" i="1"/>
  <c r="GI182" i="1"/>
  <c r="GI184" i="1"/>
  <c r="GI179" i="1"/>
  <c r="GI180" i="1"/>
</calcChain>
</file>

<file path=xl/comments1.xml><?xml version="1.0" encoding="utf-8"?>
<comments xmlns="http://schemas.openxmlformats.org/spreadsheetml/2006/main">
  <authors>
    <author>Author</author>
  </authors>
  <commentList>
    <comment ref="G133" authorId="0">
      <text>
        <r>
          <rPr>
            <sz val="9"/>
            <color indexed="81"/>
            <rFont val="Tahoma"/>
            <charset val="1"/>
          </rPr>
          <t>Rehab "Start"; Relieved by SP F. de los Santos</t>
        </r>
      </text>
    </comment>
    <comment ref="G135" authorId="0">
      <text>
        <r>
          <rPr>
            <sz val="9"/>
            <color indexed="81"/>
            <rFont val="Tahoma"/>
            <family val="2"/>
          </rPr>
          <t>Rehab "Start"; Relieved by SP S. Dyer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<sst xmlns="http://schemas.openxmlformats.org/spreadsheetml/2006/main" count="14224" uniqueCount="699">
  <si>
    <t>Starter</t>
  </si>
  <si>
    <t>Bullpen</t>
  </si>
  <si>
    <t>Pitcher</t>
  </si>
  <si>
    <t>Date</t>
  </si>
  <si>
    <t>S-W</t>
  </si>
  <si>
    <t>S-L</t>
  </si>
  <si>
    <t>S-IP</t>
  </si>
  <si>
    <t>S-H</t>
  </si>
  <si>
    <t>S-R</t>
  </si>
  <si>
    <t>S-ER</t>
  </si>
  <si>
    <t>S-BB</t>
  </si>
  <si>
    <t>S-SO</t>
  </si>
  <si>
    <t>S-HR</t>
  </si>
  <si>
    <t>S-HBP</t>
  </si>
  <si>
    <t>S-BF</t>
  </si>
  <si>
    <t>S-Pit</t>
  </si>
  <si>
    <t>S-Str</t>
  </si>
  <si>
    <t>B-W</t>
  </si>
  <si>
    <t>B-L</t>
  </si>
  <si>
    <t>H</t>
  </si>
  <si>
    <t>BS</t>
  </si>
  <si>
    <t>B-IP</t>
  </si>
  <si>
    <t>B-H</t>
  </si>
  <si>
    <t>B-R</t>
  </si>
  <si>
    <t>B-ER</t>
  </si>
  <si>
    <t>B-BB</t>
  </si>
  <si>
    <t>B-SO</t>
  </si>
  <si>
    <t>B-HR</t>
  </si>
  <si>
    <t>B-HBP</t>
  </si>
  <si>
    <t>B-BF</t>
  </si>
  <si>
    <t>B-Pit</t>
  </si>
  <si>
    <t>B-Str</t>
  </si>
  <si>
    <t>IRL</t>
  </si>
  <si>
    <t>IRS</t>
  </si>
  <si>
    <t>Total</t>
  </si>
  <si>
    <t>Starter1</t>
  </si>
  <si>
    <t>AB1</t>
  </si>
  <si>
    <t>R1</t>
  </si>
  <si>
    <t>H1</t>
  </si>
  <si>
    <t>RBI1</t>
  </si>
  <si>
    <t>BB1</t>
  </si>
  <si>
    <t>SO1</t>
  </si>
  <si>
    <t>HBP1</t>
  </si>
  <si>
    <t>SF1</t>
  </si>
  <si>
    <t>TB1</t>
  </si>
  <si>
    <t>Starter2</t>
  </si>
  <si>
    <t>AB2</t>
  </si>
  <si>
    <t>R2</t>
  </si>
  <si>
    <t>H2</t>
  </si>
  <si>
    <t>RBI2</t>
  </si>
  <si>
    <t>BB2</t>
  </si>
  <si>
    <t>SO2</t>
  </si>
  <si>
    <t>HBP2</t>
  </si>
  <si>
    <t>SF2</t>
  </si>
  <si>
    <t>TB2</t>
  </si>
  <si>
    <t>Starter3</t>
  </si>
  <si>
    <t>AB3</t>
  </si>
  <si>
    <t>R3</t>
  </si>
  <si>
    <t>H3</t>
  </si>
  <si>
    <t>RBI3</t>
  </si>
  <si>
    <t>BB3</t>
  </si>
  <si>
    <t>SO3</t>
  </si>
  <si>
    <t>HBP3</t>
  </si>
  <si>
    <t>SF3</t>
  </si>
  <si>
    <t>TB3</t>
  </si>
  <si>
    <t>Starter4</t>
  </si>
  <si>
    <t>AB4</t>
  </si>
  <si>
    <t>R4</t>
  </si>
  <si>
    <t>H4</t>
  </si>
  <si>
    <t>RBI4</t>
  </si>
  <si>
    <t>BB4</t>
  </si>
  <si>
    <t>SO4</t>
  </si>
  <si>
    <t>HBP4</t>
  </si>
  <si>
    <t>SF4</t>
  </si>
  <si>
    <t>TB4</t>
  </si>
  <si>
    <t>Starter5</t>
  </si>
  <si>
    <t>AB5</t>
  </si>
  <si>
    <t>R5</t>
  </si>
  <si>
    <t>H5</t>
  </si>
  <si>
    <t>RBI5</t>
  </si>
  <si>
    <t>BB5</t>
  </si>
  <si>
    <t>SO5</t>
  </si>
  <si>
    <t>HBP5</t>
  </si>
  <si>
    <t>SF5</t>
  </si>
  <si>
    <t>TB5</t>
  </si>
  <si>
    <t>Starter6</t>
  </si>
  <si>
    <t>AB6</t>
  </si>
  <si>
    <t>R6</t>
  </si>
  <si>
    <t>H6</t>
  </si>
  <si>
    <t>RBI6</t>
  </si>
  <si>
    <t>BB6</t>
  </si>
  <si>
    <t>SO6</t>
  </si>
  <si>
    <t>HBP6</t>
  </si>
  <si>
    <t>SF6</t>
  </si>
  <si>
    <t>TB6</t>
  </si>
  <si>
    <t>Starter7</t>
  </si>
  <si>
    <t>AB7</t>
  </si>
  <si>
    <t>R7</t>
  </si>
  <si>
    <t>H7</t>
  </si>
  <si>
    <t>RBI7</t>
  </si>
  <si>
    <t>BB7</t>
  </si>
  <si>
    <t>SO7</t>
  </si>
  <si>
    <t>HBP7</t>
  </si>
  <si>
    <t>SF7</t>
  </si>
  <si>
    <t>TB7</t>
  </si>
  <si>
    <t>Starter8</t>
  </si>
  <si>
    <t>AB8</t>
  </si>
  <si>
    <t>R8</t>
  </si>
  <si>
    <t>H8</t>
  </si>
  <si>
    <t>RBI8</t>
  </si>
  <si>
    <t>BB8</t>
  </si>
  <si>
    <t>SO8</t>
  </si>
  <si>
    <t>HBP8</t>
  </si>
  <si>
    <t>SF8</t>
  </si>
  <si>
    <t>TB8</t>
  </si>
  <si>
    <t>Starter9</t>
  </si>
  <si>
    <t>AB9</t>
  </si>
  <si>
    <t>R9</t>
  </si>
  <si>
    <t>H9</t>
  </si>
  <si>
    <t>RBI9</t>
  </si>
  <si>
    <t>BB9</t>
  </si>
  <si>
    <t>SO9</t>
  </si>
  <si>
    <t>HBP9</t>
  </si>
  <si>
    <t>SF9</t>
  </si>
  <si>
    <t>TB9</t>
  </si>
  <si>
    <t>Pitching</t>
  </si>
  <si>
    <t>Loc</t>
  </si>
  <si>
    <t>Res</t>
  </si>
  <si>
    <t>Opp</t>
  </si>
  <si>
    <t>W</t>
  </si>
  <si>
    <t>BAL</t>
  </si>
  <si>
    <t>L</t>
  </si>
  <si>
    <t>NYA</t>
  </si>
  <si>
    <t>A</t>
  </si>
  <si>
    <t>BOS</t>
  </si>
  <si>
    <t>CHA</t>
  </si>
  <si>
    <t>TOR</t>
  </si>
  <si>
    <t>OAK</t>
  </si>
  <si>
    <t>KCA</t>
  </si>
  <si>
    <t>SEA</t>
  </si>
  <si>
    <t>ANA</t>
  </si>
  <si>
    <t>CLE</t>
  </si>
  <si>
    <t>HOU</t>
  </si>
  <si>
    <t>TEX</t>
  </si>
  <si>
    <t>FLO</t>
  </si>
  <si>
    <t>IVL</t>
  </si>
  <si>
    <t>IVR</t>
  </si>
  <si>
    <t>SVR</t>
  </si>
  <si>
    <t>SVL</t>
  </si>
  <si>
    <t>CVL</t>
  </si>
  <si>
    <t>CVR</t>
  </si>
  <si>
    <t>Att</t>
  </si>
  <si>
    <t>RI1</t>
  </si>
  <si>
    <t>RI2</t>
  </si>
  <si>
    <t>RI3</t>
  </si>
  <si>
    <t>RI4</t>
  </si>
  <si>
    <t>RI5</t>
  </si>
  <si>
    <t>RI6</t>
  </si>
  <si>
    <t>RI7</t>
  </si>
  <si>
    <t>RI8</t>
  </si>
  <si>
    <t>RI9</t>
  </si>
  <si>
    <t>RI10</t>
  </si>
  <si>
    <t>RI11</t>
  </si>
  <si>
    <t>RI12</t>
  </si>
  <si>
    <t>RT</t>
  </si>
  <si>
    <t>OI1</t>
  </si>
  <si>
    <t>OI2</t>
  </si>
  <si>
    <t>OI3</t>
  </si>
  <si>
    <t>OI4</t>
  </si>
  <si>
    <t>OI5</t>
  </si>
  <si>
    <t>OI6</t>
  </si>
  <si>
    <t>OI7</t>
  </si>
  <si>
    <t>OI8</t>
  </si>
  <si>
    <t>OI9</t>
  </si>
  <si>
    <t>OI10</t>
  </si>
  <si>
    <t>OI11</t>
  </si>
  <si>
    <t>OI12</t>
  </si>
  <si>
    <t>OT</t>
  </si>
  <si>
    <t>Line Scores</t>
  </si>
  <si>
    <t>Rays</t>
  </si>
  <si>
    <t>Opponents</t>
  </si>
  <si>
    <t>PS</t>
  </si>
  <si>
    <t>Hld</t>
  </si>
  <si>
    <t>Sv</t>
  </si>
  <si>
    <t>Stolen Bases</t>
  </si>
  <si>
    <t>Batting</t>
  </si>
  <si>
    <t>Inherited Runners</t>
  </si>
  <si>
    <t>GS</t>
  </si>
  <si>
    <t>R</t>
  </si>
  <si>
    <t>RBI</t>
  </si>
  <si>
    <t>AVG</t>
  </si>
  <si>
    <t>OBP</t>
  </si>
  <si>
    <t>SLG</t>
  </si>
  <si>
    <t>GPA</t>
  </si>
  <si>
    <t>All</t>
  </si>
  <si>
    <t>Hitting By Order Position</t>
  </si>
  <si>
    <t>MCS</t>
  </si>
  <si>
    <t>BP</t>
  </si>
  <si>
    <t>#</t>
  </si>
  <si>
    <t>IP</t>
  </si>
  <si>
    <t>ER</t>
  </si>
  <si>
    <t>BB</t>
  </si>
  <si>
    <t>SO</t>
  </si>
  <si>
    <t>HR</t>
  </si>
  <si>
    <t>ERA</t>
  </si>
  <si>
    <t>S1</t>
  </si>
  <si>
    <t>B1</t>
  </si>
  <si>
    <t>S2</t>
  </si>
  <si>
    <t>B2</t>
  </si>
  <si>
    <t>S3</t>
  </si>
  <si>
    <t>S4</t>
  </si>
  <si>
    <t>S5</t>
  </si>
  <si>
    <t>AS</t>
  </si>
  <si>
    <t>AB</t>
  </si>
  <si>
    <t>B3</t>
  </si>
  <si>
    <t>B4</t>
  </si>
  <si>
    <t>B5</t>
  </si>
  <si>
    <t>Pitching by Rotation Slot</t>
  </si>
  <si>
    <t>LHP</t>
  </si>
  <si>
    <t>RHP</t>
  </si>
  <si>
    <t>Inn</t>
  </si>
  <si>
    <t>SB</t>
  </si>
  <si>
    <t>SBA</t>
  </si>
  <si>
    <t>%</t>
  </si>
  <si>
    <t>SB/9</t>
  </si>
  <si>
    <t>SBA/9</t>
  </si>
  <si>
    <t>Team Stolen Base Splits</t>
  </si>
  <si>
    <t>Max</t>
  </si>
  <si>
    <t>Q3</t>
  </si>
  <si>
    <t>Median</t>
  </si>
  <si>
    <t>Q1</t>
  </si>
  <si>
    <t>Min</t>
  </si>
  <si>
    <t>St Dev</t>
  </si>
  <si>
    <t>Mean</t>
  </si>
  <si>
    <t>G</t>
  </si>
  <si>
    <t>AA</t>
  </si>
  <si>
    <t>TA</t>
  </si>
  <si>
    <t>PA</t>
  </si>
  <si>
    <t>Home</t>
  </si>
  <si>
    <t>Away</t>
  </si>
  <si>
    <t>Attendance</t>
  </si>
  <si>
    <t>ATL</t>
  </si>
  <si>
    <t xml:space="preserve">Last Updated for the game of </t>
  </si>
  <si>
    <t>SDN</t>
  </si>
  <si>
    <t>ARI</t>
  </si>
  <si>
    <t>RRAisORS</t>
  </si>
  <si>
    <t>ORAisRRS</t>
  </si>
  <si>
    <t>Error Checking</t>
  </si>
  <si>
    <t>Notes</t>
  </si>
  <si>
    <t>Corrected 6/27/2010: Bullpen stats didn't account for hits or runs allowed by Ekstrom</t>
  </si>
  <si>
    <t>MIN</t>
  </si>
  <si>
    <t>RD1</t>
  </si>
  <si>
    <t>RD12</t>
  </si>
  <si>
    <t>RD11</t>
  </si>
  <si>
    <t>RD10</t>
  </si>
  <si>
    <t>RD9</t>
  </si>
  <si>
    <t>RD8</t>
  </si>
  <si>
    <t>RD7</t>
  </si>
  <si>
    <t>RD6</t>
  </si>
  <si>
    <t>RD5</t>
  </si>
  <si>
    <t>RD4</t>
  </si>
  <si>
    <t>RD3</t>
  </si>
  <si>
    <t>RD2</t>
  </si>
  <si>
    <t>Run Differentials per Inning</t>
  </si>
  <si>
    <t>RDT</t>
  </si>
  <si>
    <t>Mean+3σ</t>
  </si>
  <si>
    <t>Mean+2σ</t>
  </si>
  <si>
    <t>Mean+1σ</t>
  </si>
  <si>
    <t>Mean-1σ</t>
  </si>
  <si>
    <t>Mean-2σ</t>
  </si>
  <si>
    <t>Mean-3σ</t>
  </si>
  <si>
    <t>Rodriguez, S</t>
  </si>
  <si>
    <t>Aybar, W</t>
  </si>
  <si>
    <t>Upton, B</t>
  </si>
  <si>
    <t>Peña, C</t>
  </si>
  <si>
    <t>Jaso, J</t>
  </si>
  <si>
    <t>-3σ</t>
  </si>
  <si>
    <t>-2σ</t>
  </si>
  <si>
    <t>-1σ</t>
  </si>
  <si>
    <t>+1σ</t>
  </si>
  <si>
    <t>+2σ</t>
  </si>
  <si>
    <t>+3σ</t>
  </si>
  <si>
    <t>Price, R</t>
  </si>
  <si>
    <t>State College</t>
  </si>
  <si>
    <t>Reynolds, B</t>
  </si>
  <si>
    <t>Luis, D</t>
  </si>
  <si>
    <t>Fuller, D</t>
  </si>
  <si>
    <t>Aberdeen</t>
  </si>
  <si>
    <t>Brooklyn</t>
  </si>
  <si>
    <t>Staten Island</t>
  </si>
  <si>
    <t>Game of 6/22 suspended due to rain, will be completed 7/21</t>
  </si>
  <si>
    <t>Davis, Be</t>
  </si>
  <si>
    <t>Tampa Bay Rays, MLB, American League, 2010</t>
  </si>
  <si>
    <t>Tampa Bay Rays</t>
  </si>
  <si>
    <t>Hudson Valley Renegades</t>
  </si>
  <si>
    <t>Harris, B</t>
  </si>
  <si>
    <t>Guevara, H</t>
  </si>
  <si>
    <t>Contreras, Ru</t>
  </si>
  <si>
    <t>Glaesmann, T</t>
  </si>
  <si>
    <t>Lara, B</t>
  </si>
  <si>
    <t>Bluefield</t>
  </si>
  <si>
    <t>Williams, Z</t>
  </si>
  <si>
    <t>Fogle, B</t>
  </si>
  <si>
    <t>Danville</t>
  </si>
  <si>
    <t>Gonzales, F</t>
  </si>
  <si>
    <t>Romero, E</t>
  </si>
  <si>
    <t>Partridge, J</t>
  </si>
  <si>
    <t>Suero, El</t>
  </si>
  <si>
    <t>Pulaski</t>
  </si>
  <si>
    <t>Bristol</t>
  </si>
  <si>
    <t>Princeton Rays</t>
  </si>
  <si>
    <t>Princeton Rays, Advanced Rookie, Appalachian League, 2010</t>
  </si>
  <si>
    <t>Downloaded from RaysBB.com</t>
  </si>
  <si>
    <t>Perez, C</t>
  </si>
  <si>
    <t>Morillo, Ju</t>
  </si>
  <si>
    <t>Diaz, A</t>
  </si>
  <si>
    <t>Swilley, M</t>
  </si>
  <si>
    <t>Orioles</t>
  </si>
  <si>
    <t>Vasquez, Cr</t>
  </si>
  <si>
    <t>Gomez, Jh</t>
  </si>
  <si>
    <t>Bailey, L</t>
  </si>
  <si>
    <t>Suarez, A</t>
  </si>
  <si>
    <t>Twins</t>
  </si>
  <si>
    <t>Lopez, Re</t>
  </si>
  <si>
    <t>Red Sox</t>
  </si>
  <si>
    <t>Quinonez, E</t>
  </si>
  <si>
    <t>Vasquez, V</t>
  </si>
  <si>
    <t>James, K</t>
  </si>
  <si>
    <t>GCL Rays</t>
  </si>
  <si>
    <t>GCL Rays, Rookie, Gulf Coast League, 2010</t>
  </si>
  <si>
    <t>Perez, F</t>
  </si>
  <si>
    <t>Chavez, An</t>
  </si>
  <si>
    <t>Johnson, D</t>
  </si>
  <si>
    <t>Gwinnett</t>
  </si>
  <si>
    <t>de los Santos, R</t>
  </si>
  <si>
    <t>Luna, O</t>
  </si>
  <si>
    <t>Colina, A</t>
  </si>
  <si>
    <t>Phillips, H</t>
  </si>
  <si>
    <t>Louisville</t>
  </si>
  <si>
    <t>Hernandez, C</t>
  </si>
  <si>
    <t>Lehigh Valley</t>
  </si>
  <si>
    <t>Rodriguez, A</t>
  </si>
  <si>
    <t>Indianapolis</t>
  </si>
  <si>
    <t>Game of 6/15 at Gwinnett postponed due to rain</t>
  </si>
  <si>
    <t>Shealy</t>
  </si>
  <si>
    <t>Johnson, E</t>
  </si>
  <si>
    <t>Buffalo</t>
  </si>
  <si>
    <t>Syracuse</t>
  </si>
  <si>
    <t>Scranton/WB</t>
  </si>
  <si>
    <t>Rochester</t>
  </si>
  <si>
    <t>Pawtucket</t>
  </si>
  <si>
    <t>Game called due to rain</t>
  </si>
  <si>
    <t>Game suspended due to rain; completed 5/23</t>
  </si>
  <si>
    <t>Game of 5/21 at Toledo cancelled due to rain</t>
  </si>
  <si>
    <t>Toledo</t>
  </si>
  <si>
    <t>Columbus</t>
  </si>
  <si>
    <t>Bennett</t>
  </si>
  <si>
    <t>Rollins</t>
  </si>
  <si>
    <t>Charlotte</t>
  </si>
  <si>
    <t>Norfolk</t>
  </si>
  <si>
    <t>Albernaz</t>
  </si>
  <si>
    <t>Bulls</t>
  </si>
  <si>
    <t>Durham Bulls</t>
  </si>
  <si>
    <t>Durham Bulls, AAA, International League, 2010</t>
  </si>
  <si>
    <t>Anderson, Dr</t>
  </si>
  <si>
    <t>de la Cruz, C</t>
  </si>
  <si>
    <t>Fields, M</t>
  </si>
  <si>
    <t>Sexton, G</t>
  </si>
  <si>
    <t>Hall, J</t>
  </si>
  <si>
    <t>Carolina</t>
  </si>
  <si>
    <t>Mobile</t>
  </si>
  <si>
    <t>OI13</t>
  </si>
  <si>
    <t>RI13</t>
  </si>
  <si>
    <t>Montgomery Biscuits, AA, Southern League, 2010</t>
  </si>
  <si>
    <t>Montgomery Biscuits</t>
  </si>
  <si>
    <t>Chattanooga</t>
  </si>
  <si>
    <t>Mississippi</t>
  </si>
  <si>
    <t>1st game of DH, 7 inn.; Game of 4/24 postponed due to rain</t>
  </si>
  <si>
    <t>2nd game of DH, 7 inn.</t>
  </si>
  <si>
    <t>Vs</t>
  </si>
  <si>
    <t>West Tenn</t>
  </si>
  <si>
    <t>1st game of DH, 7 inn.; Games of 5/1 &amp; 2 postponed due to rain</t>
  </si>
  <si>
    <t>Renegades</t>
  </si>
  <si>
    <t>Auburn</t>
  </si>
  <si>
    <t>Bartlett, J</t>
  </si>
  <si>
    <t>Brignac, R</t>
  </si>
  <si>
    <t>Kapler, G</t>
  </si>
  <si>
    <t>Joyce, M</t>
  </si>
  <si>
    <t>Shoppach, K</t>
  </si>
  <si>
    <t>Zobrist, B</t>
  </si>
  <si>
    <t>Longoria, E</t>
  </si>
  <si>
    <t>Crawford, C</t>
  </si>
  <si>
    <t>Shields, J</t>
  </si>
  <si>
    <t>Davis, W</t>
  </si>
  <si>
    <t>Price, D</t>
  </si>
  <si>
    <t>Niemann, J</t>
  </si>
  <si>
    <t>Garza, M</t>
  </si>
  <si>
    <t>Hellickson, J</t>
  </si>
  <si>
    <t>Baker, B</t>
  </si>
  <si>
    <t>Jennings, D</t>
  </si>
  <si>
    <t>Ruggiano, J</t>
  </si>
  <si>
    <t>Furmaniak, J</t>
  </si>
  <si>
    <t>Eldridge, R</t>
  </si>
  <si>
    <t>Dillon, J</t>
  </si>
  <si>
    <t>Blalock, H</t>
  </si>
  <si>
    <t>Richard, C</t>
  </si>
  <si>
    <t>Navarro, D</t>
  </si>
  <si>
    <t>Lobaton, J</t>
  </si>
  <si>
    <t>Burrell, P</t>
  </si>
  <si>
    <t>Sierra, M</t>
  </si>
  <si>
    <t>Dickmann, R</t>
  </si>
  <si>
    <t>Almonte, W</t>
  </si>
  <si>
    <t>Garcia, N</t>
  </si>
  <si>
    <t>Bencomo, O</t>
  </si>
  <si>
    <t>Dettrich, J</t>
  </si>
  <si>
    <t>Lyerly, C</t>
  </si>
  <si>
    <t>Bryles, B</t>
  </si>
  <si>
    <t>Dietrich, D</t>
  </si>
  <si>
    <t>Otero, E</t>
  </si>
  <si>
    <t>Winder, C</t>
  </si>
  <si>
    <t>Wunderlich, P</t>
  </si>
  <si>
    <t>Tinoco, S</t>
  </si>
  <si>
    <t>Schwaner, N</t>
  </si>
  <si>
    <t>Glynn, G</t>
  </si>
  <si>
    <t>Torres, A</t>
  </si>
  <si>
    <t>Wendt, D</t>
  </si>
  <si>
    <t>Acosta, M</t>
  </si>
  <si>
    <t>Holloway, K</t>
  </si>
  <si>
    <t>Bellatti, A</t>
  </si>
  <si>
    <t>Kiermaier, K</t>
  </si>
  <si>
    <t>Reginatto, L</t>
  </si>
  <si>
    <t>Lawson, S</t>
  </si>
  <si>
    <t>Segovia, A</t>
  </si>
  <si>
    <t>Olivares, G</t>
  </si>
  <si>
    <t>Malm, J</t>
  </si>
  <si>
    <t>Elizabethton</t>
  </si>
  <si>
    <t>Guillen, C</t>
  </si>
  <si>
    <t>Downs, D</t>
  </si>
  <si>
    <t>Newmann, D</t>
  </si>
  <si>
    <t>McGee, J</t>
  </si>
  <si>
    <t>Oliveros, R</t>
  </si>
  <si>
    <t>Salem, E</t>
  </si>
  <si>
    <t>O'Malley, S</t>
  </si>
  <si>
    <t>Nowak, C</t>
  </si>
  <si>
    <t>Cipriano, C</t>
  </si>
  <si>
    <t>Strait, C</t>
  </si>
  <si>
    <t>Ashley, N</t>
  </si>
  <si>
    <t>Royster, R</t>
  </si>
  <si>
    <t>Matulia, J</t>
  </si>
  <si>
    <t>Albernaz, C</t>
  </si>
  <si>
    <t>Paxton, I</t>
  </si>
  <si>
    <t>Jacksonville</t>
  </si>
  <si>
    <t>Huntsville</t>
  </si>
  <si>
    <t>Burlington</t>
  </si>
  <si>
    <t>Dorville, E</t>
  </si>
  <si>
    <t>Jensen, M</t>
  </si>
  <si>
    <t>Hayes, T</t>
  </si>
  <si>
    <t>Caminero, J</t>
  </si>
  <si>
    <t>O'Connor, J</t>
  </si>
  <si>
    <t>Rogers, C</t>
  </si>
  <si>
    <t>Lusson, K</t>
  </si>
  <si>
    <t>McCrann, R</t>
  </si>
  <si>
    <t>Henry, S</t>
  </si>
  <si>
    <t>Querecuto, J</t>
  </si>
  <si>
    <t>Shouse, B</t>
  </si>
  <si>
    <t>Molina, J</t>
  </si>
  <si>
    <t>RI14</t>
  </si>
  <si>
    <t>RI15</t>
  </si>
  <si>
    <t>OI14</t>
  </si>
  <si>
    <t>OI15</t>
  </si>
  <si>
    <t>Cobb, A</t>
  </si>
  <si>
    <t>Birmingham</t>
  </si>
  <si>
    <t>Game called early due to rain</t>
  </si>
  <si>
    <t>Sweeney, M</t>
  </si>
  <si>
    <t>Mahoning Valley</t>
  </si>
  <si>
    <t>1st game of DH, 7 inn.</t>
  </si>
  <si>
    <t>Tennessee</t>
  </si>
  <si>
    <t>Game of 5/24 cancelled due to rain</t>
  </si>
  <si>
    <t>Game of 5/30 cancelled due to rain</t>
  </si>
  <si>
    <t>Hall, M</t>
  </si>
  <si>
    <t>Kang, K</t>
  </si>
  <si>
    <t>Jefferies, J</t>
  </si>
  <si>
    <t>Fronk, R</t>
  </si>
  <si>
    <t>Spring, M</t>
  </si>
  <si>
    <t>Vogt, S</t>
  </si>
  <si>
    <t>Beckham, T</t>
  </si>
  <si>
    <t>Velasquez, I</t>
  </si>
  <si>
    <t>de los Santos, F</t>
  </si>
  <si>
    <t>Palm Beach</t>
  </si>
  <si>
    <t>Sheridan, M</t>
  </si>
  <si>
    <t>Cruz, J</t>
  </si>
  <si>
    <t>Scelfo, A</t>
  </si>
  <si>
    <t>Andujar, C</t>
  </si>
  <si>
    <t>Moore, M</t>
  </si>
  <si>
    <t>Dyer, S</t>
  </si>
  <si>
    <t>Fort Myers</t>
  </si>
  <si>
    <t>Wrigley, H</t>
  </si>
  <si>
    <t>Jupiter</t>
  </si>
  <si>
    <t>Barnese, N</t>
  </si>
  <si>
    <t>Games of 6/21 postponed due to rain</t>
  </si>
  <si>
    <t>Clearwater</t>
  </si>
  <si>
    <t>Anderson, L</t>
  </si>
  <si>
    <t>Daytona</t>
  </si>
  <si>
    <t>Dunedin</t>
  </si>
  <si>
    <t>Game of 5/29 postponed due to rain</t>
  </si>
  <si>
    <t>Game of 5/25 postponed due to rain</t>
  </si>
  <si>
    <t>Brevard County</t>
  </si>
  <si>
    <t>Tampa</t>
  </si>
  <si>
    <t>1st game of DH, 7 inn.; Game of 5/16 postponed due to rain.</t>
  </si>
  <si>
    <t>7 inn., following completion of suspended game from 4/11</t>
  </si>
  <si>
    <t>Jarman, M</t>
  </si>
  <si>
    <t>Lakeland</t>
  </si>
  <si>
    <t>Williams, S</t>
  </si>
  <si>
    <t>Bradenton</t>
  </si>
  <si>
    <t>St. Lucie</t>
  </si>
  <si>
    <t>Game suspended due to rain on 4/11 and completed on 5/14</t>
  </si>
  <si>
    <t>Stone Crabs</t>
  </si>
  <si>
    <t>Charlotte Stone Crabs</t>
  </si>
  <si>
    <t>Charlotte Stone Crabs, Advanced A, Florida State League, 2010</t>
  </si>
  <si>
    <t>Murrill, C</t>
  </si>
  <si>
    <t>Game suspended due to rain on 7/4 and completed on 7/5</t>
  </si>
  <si>
    <t>Williamsport</t>
  </si>
  <si>
    <t>Rosscup, Z</t>
  </si>
  <si>
    <t>S</t>
  </si>
  <si>
    <t>Game of 6/30 postponed due to rain</t>
  </si>
  <si>
    <t>Rollins, H</t>
  </si>
  <si>
    <t>Biscuits</t>
  </si>
  <si>
    <t>Game of 7/9 postponed due to rain</t>
  </si>
  <si>
    <t>SS</t>
  </si>
  <si>
    <t>Biell, D</t>
  </si>
  <si>
    <t>Thomas, M</t>
  </si>
  <si>
    <t>Nommensen, B</t>
  </si>
  <si>
    <t>Cedeno, J</t>
  </si>
  <si>
    <t>Sonoqui, E</t>
  </si>
  <si>
    <t>Bortnick, T</t>
  </si>
  <si>
    <t>Morrison, T</t>
  </si>
  <si>
    <t>McEachern, J</t>
  </si>
  <si>
    <t>Fort Wayne</t>
  </si>
  <si>
    <t>Estrada, R</t>
  </si>
  <si>
    <t>Wiegand, R</t>
  </si>
  <si>
    <t>Colome, A</t>
  </si>
  <si>
    <t>Hot Rods</t>
  </si>
  <si>
    <t>Bowling Green Hot Rods, A, Midwest League, 2010</t>
  </si>
  <si>
    <t>Spraker, K</t>
  </si>
  <si>
    <t>Dayton</t>
  </si>
  <si>
    <t>Rodriguez, W</t>
  </si>
  <si>
    <t>Lobstein, K</t>
  </si>
  <si>
    <t>West Michigan</t>
  </si>
  <si>
    <t>Lansing</t>
  </si>
  <si>
    <t>Francisco, T</t>
  </si>
  <si>
    <t>South Bend</t>
  </si>
  <si>
    <t>Lake County</t>
  </si>
  <si>
    <t>Game of 4/24 postponed due to rain</t>
  </si>
  <si>
    <t>Bowling Green Hot Rods</t>
  </si>
  <si>
    <t>Hudson Valley Renegades, Short Season, New York-Penn League, 2010</t>
  </si>
  <si>
    <t>Connecticut</t>
  </si>
  <si>
    <t>Thompson, J</t>
  </si>
  <si>
    <t>Biagini, T</t>
  </si>
  <si>
    <t>Great Lakes</t>
  </si>
  <si>
    <t>Game of 5/2 postponed due to rain</t>
  </si>
  <si>
    <t>Brett, R</t>
  </si>
  <si>
    <t>Cohen, G</t>
  </si>
  <si>
    <t>Game of 5/11 postponed due to rain</t>
  </si>
  <si>
    <t>Koronis, A</t>
  </si>
  <si>
    <t>RD13</t>
  </si>
  <si>
    <t>Game of 5/16 postponed due to rain</t>
  </si>
  <si>
    <t>Dott, A</t>
  </si>
  <si>
    <t>OI16</t>
  </si>
  <si>
    <t>OI17</t>
  </si>
  <si>
    <t>OI18</t>
  </si>
  <si>
    <t>OI19</t>
  </si>
  <si>
    <t>RI16</t>
  </si>
  <si>
    <t>RI17</t>
  </si>
  <si>
    <t>RI18</t>
  </si>
  <si>
    <t>RI19</t>
  </si>
  <si>
    <t>Baldelli, R</t>
  </si>
  <si>
    <t>Game of 7/19 postponed due to rain</t>
  </si>
  <si>
    <t>Silvestre, P</t>
  </si>
  <si>
    <t>Biagiani, T</t>
  </si>
  <si>
    <t>1st game of DH</t>
  </si>
  <si>
    <t>Yates, K</t>
  </si>
  <si>
    <t>2nd game of DH</t>
  </si>
  <si>
    <t>Clinton</t>
  </si>
  <si>
    <t>Kane County</t>
  </si>
  <si>
    <t>Wisconsin</t>
  </si>
  <si>
    <t>Beloit</t>
  </si>
  <si>
    <t>Game of 6/3 cancelled due to rain</t>
  </si>
  <si>
    <t>Game of 6/8 postponed due to rain</t>
  </si>
  <si>
    <t>Game of 7/21 postponed due to rain</t>
  </si>
  <si>
    <t>Peoria</t>
  </si>
  <si>
    <t>Quad Cities</t>
  </si>
  <si>
    <t>Acosta, R</t>
  </si>
  <si>
    <t>Paez, J</t>
  </si>
  <si>
    <t>Hernandez, N</t>
  </si>
  <si>
    <t>Narvaez, O</t>
  </si>
  <si>
    <t>Quinonez, J</t>
  </si>
  <si>
    <t>Salas, R</t>
  </si>
  <si>
    <t>Correa, L</t>
  </si>
  <si>
    <t>Paz, F</t>
  </si>
  <si>
    <t>Antunez, I</t>
  </si>
  <si>
    <t>Yendis, L</t>
  </si>
  <si>
    <t>Cardinals</t>
  </si>
  <si>
    <t>Bellorin, J</t>
  </si>
  <si>
    <t>Ramos, W</t>
  </si>
  <si>
    <t>Dominguez, W</t>
  </si>
  <si>
    <t>Alcala, F</t>
  </si>
  <si>
    <t>Hurtado, J</t>
  </si>
  <si>
    <t>Phillies</t>
  </si>
  <si>
    <t>Sanchez, Y</t>
  </si>
  <si>
    <t>Sabala, W</t>
  </si>
  <si>
    <t>Reds</t>
  </si>
  <si>
    <t>Rivero, Fe</t>
  </si>
  <si>
    <t>Tigers</t>
  </si>
  <si>
    <t>Reyes, K</t>
  </si>
  <si>
    <t>Mariners</t>
  </si>
  <si>
    <t>Salazar, D</t>
  </si>
  <si>
    <t>Games of 5/22 &amp; 23 postponed due to rain</t>
  </si>
  <si>
    <t>Moya, D</t>
  </si>
  <si>
    <t>Echarry, E</t>
  </si>
  <si>
    <t>Column1</t>
  </si>
  <si>
    <t>VSL Rays</t>
  </si>
  <si>
    <t>VSL Rays, Rookie, Venezuelan Summer League, 2010</t>
  </si>
  <si>
    <t>Game of 6/1 postponed due to rain.</t>
  </si>
  <si>
    <t>Wilches, L</t>
  </si>
  <si>
    <t>Pirates</t>
  </si>
  <si>
    <t>Orasma, C</t>
  </si>
  <si>
    <t>Hernandez, O</t>
  </si>
  <si>
    <t>Game suspended due to rain; completed 6/10.  Games of 5/29 postponed due to rain.</t>
  </si>
  <si>
    <t>Game followed completion of game from 5/27. 7 inn. Games of 6/12, 13 &amp; 14 postponed due to rain</t>
  </si>
  <si>
    <t>Game of 7/23 postponed due to rain</t>
  </si>
  <si>
    <t>Game of 7/24 postponed due to rain</t>
  </si>
  <si>
    <t>Cedar Rapids</t>
  </si>
  <si>
    <t>Mateo, V</t>
  </si>
  <si>
    <t>DET</t>
  </si>
  <si>
    <t>Vermont</t>
  </si>
  <si>
    <t>Kingsport</t>
  </si>
  <si>
    <t>Ekstrom, M</t>
  </si>
  <si>
    <t>Game of 8/5 postponed due to rain</t>
  </si>
  <si>
    <t>Sonnanstine, A</t>
  </si>
  <si>
    <t>Folli, M</t>
  </si>
  <si>
    <t>Garcia, J</t>
  </si>
  <si>
    <t>Game suspended due to rain; Completed on 8/3</t>
  </si>
  <si>
    <t>7 inn., following completion of suspended game from 8/2</t>
  </si>
  <si>
    <t>Kelly, K</t>
  </si>
  <si>
    <t>Patterson, J</t>
  </si>
  <si>
    <t>Jamestown</t>
  </si>
  <si>
    <t>Rodriguez, J</t>
  </si>
  <si>
    <t>Game of 8/10 postponed due to rain</t>
  </si>
  <si>
    <t>Greeneville</t>
  </si>
  <si>
    <t>Jensen, G</t>
  </si>
  <si>
    <t>Ruiz, J</t>
  </si>
  <si>
    <t>Totals</t>
  </si>
  <si>
    <t>RABE</t>
  </si>
  <si>
    <t>RRE</t>
  </si>
  <si>
    <t>RHE</t>
  </si>
  <si>
    <t>RBIE</t>
  </si>
  <si>
    <t>RBBE</t>
  </si>
  <si>
    <t>RSOE</t>
  </si>
  <si>
    <t>RTAB</t>
  </si>
  <si>
    <t>RTR</t>
  </si>
  <si>
    <t>RTH</t>
  </si>
  <si>
    <t>RTBI</t>
  </si>
  <si>
    <t>RTBB</t>
  </si>
  <si>
    <t>RTSO</t>
  </si>
  <si>
    <t>Livingston, B</t>
  </si>
  <si>
    <t>Ortiz, Ra</t>
  </si>
  <si>
    <t>Mavarez, D</t>
  </si>
  <si>
    <t>Batavia</t>
  </si>
  <si>
    <t>Lowell</t>
  </si>
  <si>
    <t>Phillips, P</t>
  </si>
  <si>
    <t>Satow, J</t>
  </si>
  <si>
    <t>Games of 8/24-25 postponed sue to rain</t>
  </si>
  <si>
    <t>Balfour, G</t>
  </si>
  <si>
    <t>Game suspended due to rain; completed on 8/28</t>
  </si>
  <si>
    <t>Hawpe, B</t>
  </si>
  <si>
    <t>7 inn., following completion of suspended game from 8/27</t>
  </si>
  <si>
    <t xml:space="preserve">Notice:  This data is being provided at no cost, and with no warranty or suitability for any purpose expressed or implied.  All data is collected  from publicly-available websites such as MLB.com, MiLB.com or Baseball-Reference.com. For informational purposes only.  </t>
  </si>
  <si>
    <t>Final Game of Regular Season</t>
  </si>
  <si>
    <t>Final Game of Regular Season; Did not advance to postseason.</t>
  </si>
  <si>
    <t>Mayora, Y</t>
  </si>
  <si>
    <t>Kelly, M</t>
  </si>
  <si>
    <t>Riefenhauser, C</t>
  </si>
  <si>
    <t>Final Game of Regular Season, AL East Champions</t>
  </si>
  <si>
    <t>ALDS, Game 1</t>
  </si>
  <si>
    <t>ALDS, Game 2</t>
  </si>
  <si>
    <t>ALDS, Game 3</t>
  </si>
  <si>
    <t>ALDS, Game 4</t>
  </si>
  <si>
    <t>Tops</t>
  </si>
  <si>
    <t>Pants</t>
  </si>
  <si>
    <t>Caps</t>
  </si>
  <si>
    <t>Uniforms</t>
  </si>
  <si>
    <t>White</t>
  </si>
  <si>
    <t>Blue</t>
  </si>
  <si>
    <t>Light Blue</t>
  </si>
  <si>
    <t>Gray</t>
  </si>
  <si>
    <t>Dark Blue</t>
  </si>
  <si>
    <t>Time</t>
  </si>
  <si>
    <t>ALDS, Game 5</t>
  </si>
  <si>
    <t>Plaid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</si>
</sst>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0.000"/>
    <numFmt numFmtId="166" formatCode="#,##0.0"/>
    <numFmt numFmtId="167" formatCode="[$-F800]dddd\,\ mmmm\ dd\,\ yyyy"/>
    <numFmt numFmtId="168" formatCode="0_);[Red]\(0\)"/>
    <numFmt numFmtId="169" formatCode="0.00_);[Red]\(0.00\)"/>
    <numFmt numFmtId="170" formatCode="0.0_);[Red]\(0.0\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scheme val="minor"/>
    </font>
    <font>
      <sz val="11"/>
      <color indexed="8"/>
      <name val="Calibri"/>
    </font>
    <font>
      <sz val="9"/>
      <color indexed="81"/>
      <name val="Tahoma"/>
      <charset val="1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471">
    <xf numFmtId="0" fontId="0" fillId="0" borderId="0" xfId="0"/>
    <xf numFmtId="0" fontId="0" fillId="0" borderId="2" xfId="1" applyNumberFormat="1" applyFont="1" applyFill="1" applyBorder="1" applyAlignment="1">
      <alignment horizontal="center"/>
    </xf>
    <xf numFmtId="164" fontId="0" fillId="0" borderId="0" xfId="1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166" fontId="0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0" fontId="0" fillId="0" borderId="9" xfId="0" applyBorder="1"/>
    <xf numFmtId="1" fontId="0" fillId="0" borderId="9" xfId="0" applyNumberFormat="1" applyBorder="1"/>
    <xf numFmtId="0" fontId="0" fillId="0" borderId="9" xfId="0" applyFont="1" applyBorder="1" applyAlignment="1">
      <alignment horizontal="center"/>
    </xf>
    <xf numFmtId="3" fontId="0" fillId="0" borderId="9" xfId="0" applyNumberFormat="1" applyFont="1" applyBorder="1" applyAlignment="1">
      <alignment horizontal="right"/>
    </xf>
    <xf numFmtId="165" fontId="0" fillId="0" borderId="9" xfId="0" applyNumberFormat="1" applyBorder="1"/>
    <xf numFmtId="3" fontId="0" fillId="0" borderId="9" xfId="0" applyNumberFormat="1" applyBorder="1"/>
    <xf numFmtId="0" fontId="0" fillId="0" borderId="11" xfId="0" applyBorder="1"/>
    <xf numFmtId="0" fontId="0" fillId="0" borderId="5" xfId="0" applyBorder="1"/>
    <xf numFmtId="0" fontId="0" fillId="0" borderId="14" xfId="0" applyBorder="1"/>
    <xf numFmtId="0" fontId="0" fillId="0" borderId="8" xfId="0" applyBorder="1"/>
    <xf numFmtId="0" fontId="0" fillId="0" borderId="13" xfId="0" applyBorder="1"/>
    <xf numFmtId="0" fontId="0" fillId="0" borderId="6" xfId="0" applyBorder="1"/>
    <xf numFmtId="2" fontId="0" fillId="0" borderId="12" xfId="0" applyNumberFormat="1" applyBorder="1"/>
    <xf numFmtId="1" fontId="0" fillId="0" borderId="14" xfId="0" applyNumberFormat="1" applyBorder="1"/>
    <xf numFmtId="2" fontId="0" fillId="0" borderId="3" xfId="0" applyNumberFormat="1" applyBorder="1"/>
    <xf numFmtId="165" fontId="0" fillId="0" borderId="12" xfId="0" applyNumberFormat="1" applyBorder="1"/>
    <xf numFmtId="0" fontId="0" fillId="0" borderId="14" xfId="0" applyBorder="1" applyAlignment="1">
      <alignment horizontal="center"/>
    </xf>
    <xf numFmtId="165" fontId="0" fillId="0" borderId="14" xfId="0" applyNumberFormat="1" applyBorder="1"/>
    <xf numFmtId="165" fontId="0" fillId="0" borderId="3" xfId="0" applyNumberFormat="1" applyBorder="1"/>
    <xf numFmtId="14" fontId="0" fillId="0" borderId="11" xfId="0" applyNumberFormat="1" applyBorder="1"/>
    <xf numFmtId="3" fontId="0" fillId="0" borderId="12" xfId="0" applyNumberFormat="1" applyBorder="1"/>
    <xf numFmtId="14" fontId="0" fillId="0" borderId="8" xfId="0" applyNumberFormat="1" applyBorder="1"/>
    <xf numFmtId="14" fontId="0" fillId="0" borderId="13" xfId="0" applyNumberFormat="1" applyBorder="1"/>
    <xf numFmtId="3" fontId="0" fillId="0" borderId="13" xfId="0" applyNumberFormat="1" applyBorder="1"/>
    <xf numFmtId="14" fontId="0" fillId="0" borderId="6" xfId="0" applyNumberFormat="1" applyBorder="1"/>
    <xf numFmtId="14" fontId="0" fillId="0" borderId="5" xfId="0" applyNumberFormat="1" applyBorder="1"/>
    <xf numFmtId="3" fontId="0" fillId="0" borderId="14" xfId="0" applyNumberFormat="1" applyBorder="1"/>
    <xf numFmtId="3" fontId="0" fillId="0" borderId="3" xfId="0" applyNumberFormat="1" applyBorder="1"/>
    <xf numFmtId="16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0" fillId="0" borderId="0" xfId="1" applyNumberFormat="1" applyFont="1" applyFill="1" applyAlignment="1">
      <alignment horizontal="left"/>
    </xf>
    <xf numFmtId="40" fontId="0" fillId="0" borderId="0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169" fontId="0" fillId="0" borderId="0" xfId="0" applyNumberFormat="1" applyFont="1" applyBorder="1" applyAlignment="1">
      <alignment horizontal="center"/>
    </xf>
    <xf numFmtId="1" fontId="0" fillId="0" borderId="0" xfId="1" applyNumberFormat="1" applyFont="1" applyFill="1" applyAlignment="1">
      <alignment horizontal="center"/>
    </xf>
    <xf numFmtId="1" fontId="0" fillId="0" borderId="1" xfId="1" applyNumberFormat="1" applyFont="1" applyFill="1" applyBorder="1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4" fillId="0" borderId="0" xfId="2" applyFont="1"/>
    <xf numFmtId="0" fontId="4" fillId="0" borderId="0" xfId="2" applyFont="1" applyAlignment="1">
      <alignment horizontal="center"/>
    </xf>
    <xf numFmtId="14" fontId="0" fillId="0" borderId="0" xfId="0" applyNumberFormat="1" applyFont="1"/>
    <xf numFmtId="3" fontId="0" fillId="0" borderId="0" xfId="0" applyNumberFormat="1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Font="1"/>
    <xf numFmtId="14" fontId="0" fillId="0" borderId="0" xfId="0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14" fontId="0" fillId="0" borderId="0" xfId="0" applyNumberFormat="1" applyFont="1" applyAlignment="1">
      <alignment horizontal="left"/>
    </xf>
    <xf numFmtId="3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left"/>
    </xf>
    <xf numFmtId="3" fontId="0" fillId="0" borderId="10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0" fillId="0" borderId="2" xfId="1" applyNumberFormat="1" applyFont="1" applyBorder="1" applyAlignment="1">
      <alignment horizontal="center"/>
    </xf>
    <xf numFmtId="3" fontId="0" fillId="0" borderId="0" xfId="1" applyNumberFormat="1" applyFont="1" applyBorder="1" applyAlignment="1">
      <alignment horizontal="center"/>
    </xf>
    <xf numFmtId="3" fontId="0" fillId="0" borderId="1" xfId="1" applyNumberFormat="1" applyFont="1" applyBorder="1" applyAlignment="1">
      <alignment horizontal="center"/>
    </xf>
    <xf numFmtId="164" fontId="0" fillId="0" borderId="2" xfId="1" applyNumberFormat="1" applyFont="1" applyBorder="1" applyAlignment="1">
      <alignment horizontal="center"/>
    </xf>
    <xf numFmtId="1" fontId="0" fillId="0" borderId="0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" fontId="0" fillId="0" borderId="1" xfId="1" applyNumberFormat="1" applyFont="1" applyBorder="1" applyAlignment="1">
      <alignment horizontal="center"/>
    </xf>
    <xf numFmtId="1" fontId="0" fillId="0" borderId="2" xfId="1" applyNumberFormat="1" applyFont="1" applyFill="1" applyBorder="1" applyAlignment="1">
      <alignment horizontal="center"/>
    </xf>
    <xf numFmtId="1" fontId="0" fillId="0" borderId="0" xfId="1" applyNumberFormat="1" applyFont="1" applyFill="1" applyBorder="1" applyAlignment="1">
      <alignment horizontal="center"/>
    </xf>
    <xf numFmtId="168" fontId="0" fillId="0" borderId="0" xfId="1" applyNumberFormat="1" applyFont="1" applyFill="1" applyAlignment="1">
      <alignment horizontal="center"/>
    </xf>
    <xf numFmtId="14" fontId="0" fillId="0" borderId="0" xfId="0" applyNumberFormat="1" applyFont="1" applyBorder="1" applyAlignment="1">
      <alignment horizontal="center"/>
    </xf>
    <xf numFmtId="3" fontId="0" fillId="0" borderId="0" xfId="1" applyNumberFormat="1" applyFont="1" applyFill="1" applyBorder="1" applyAlignment="1">
      <alignment horizontal="center"/>
    </xf>
    <xf numFmtId="3" fontId="0" fillId="0" borderId="1" xfId="1" applyNumberFormat="1" applyFont="1" applyFill="1" applyBorder="1" applyAlignment="1">
      <alignment horizontal="center"/>
    </xf>
    <xf numFmtId="164" fontId="0" fillId="0" borderId="2" xfId="1" applyNumberFormat="1" applyFont="1" applyFill="1" applyBorder="1" applyAlignment="1">
      <alignment horizontal="center"/>
    </xf>
    <xf numFmtId="3" fontId="0" fillId="0" borderId="0" xfId="1" applyNumberFormat="1" applyFont="1" applyFill="1" applyAlignment="1">
      <alignment horizontal="center"/>
    </xf>
    <xf numFmtId="4" fontId="0" fillId="0" borderId="0" xfId="0" applyNumberFormat="1" applyFont="1"/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169" fontId="0" fillId="0" borderId="0" xfId="0" applyNumberFormat="1" applyFont="1" applyAlignment="1">
      <alignment horizontal="center"/>
    </xf>
    <xf numFmtId="40" fontId="0" fillId="0" borderId="0" xfId="0" applyNumberFormat="1" applyFont="1" applyAlignment="1">
      <alignment horizontal="center"/>
    </xf>
    <xf numFmtId="40" fontId="0" fillId="0" borderId="0" xfId="0" applyNumberFormat="1" applyFont="1"/>
    <xf numFmtId="4" fontId="0" fillId="0" borderId="0" xfId="0" applyNumberFormat="1" applyFont="1" applyAlignment="1">
      <alignment horizontal="left"/>
    </xf>
    <xf numFmtId="49" fontId="0" fillId="0" borderId="0" xfId="0" applyNumberFormat="1" applyFont="1" applyAlignment="1">
      <alignment horizontal="right"/>
    </xf>
    <xf numFmtId="49" fontId="0" fillId="0" borderId="0" xfId="0" applyNumberFormat="1" applyFont="1" applyAlignment="1">
      <alignment horizontal="left"/>
    </xf>
    <xf numFmtId="0" fontId="4" fillId="0" borderId="2" xfId="0" applyFont="1" applyBorder="1" applyAlignment="1">
      <alignment horizontal="center"/>
    </xf>
    <xf numFmtId="4" fontId="0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5" fillId="0" borderId="10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2" xfId="1" applyNumberFormat="1" applyFont="1" applyFill="1" applyBorder="1" applyAlignment="1">
      <alignment horizontal="center"/>
    </xf>
    <xf numFmtId="3" fontId="5" fillId="0" borderId="0" xfId="1" applyNumberFormat="1" applyFont="1" applyFill="1" applyAlignment="1">
      <alignment horizontal="center"/>
    </xf>
    <xf numFmtId="3" fontId="5" fillId="0" borderId="1" xfId="1" applyNumberFormat="1" applyFont="1" applyFill="1" applyBorder="1" applyAlignment="1">
      <alignment horizontal="center"/>
    </xf>
    <xf numFmtId="164" fontId="5" fillId="0" borderId="2" xfId="1" applyNumberFormat="1" applyFont="1" applyFill="1" applyBorder="1" applyAlignment="1">
      <alignment horizontal="center"/>
    </xf>
    <xf numFmtId="1" fontId="5" fillId="0" borderId="0" xfId="1" applyNumberFormat="1" applyFont="1" applyFill="1" applyAlignment="1">
      <alignment horizontal="center"/>
    </xf>
    <xf numFmtId="164" fontId="5" fillId="0" borderId="0" xfId="1" applyNumberFormat="1" applyFont="1" applyFill="1" applyAlignment="1">
      <alignment horizontal="center"/>
    </xf>
    <xf numFmtId="1" fontId="5" fillId="0" borderId="1" xfId="1" applyNumberFormat="1" applyFont="1" applyFill="1" applyBorder="1" applyAlignment="1">
      <alignment horizontal="center"/>
    </xf>
    <xf numFmtId="1" fontId="5" fillId="0" borderId="2" xfId="1" applyNumberFormat="1" applyFont="1" applyFill="1" applyBorder="1" applyAlignment="1">
      <alignment horizontal="center"/>
    </xf>
    <xf numFmtId="168" fontId="5" fillId="0" borderId="0" xfId="1" applyNumberFormat="1" applyFont="1" applyFill="1" applyAlignment="1">
      <alignment horizontal="center"/>
    </xf>
    <xf numFmtId="1" fontId="5" fillId="0" borderId="0" xfId="1" applyNumberFormat="1" applyFont="1" applyFill="1" applyAlignment="1">
      <alignment horizontal="left"/>
    </xf>
    <xf numFmtId="14" fontId="5" fillId="0" borderId="0" xfId="0" applyNumberFormat="1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1" fontId="0" fillId="0" borderId="0" xfId="0" applyNumberFormat="1" applyFont="1"/>
    <xf numFmtId="2" fontId="0" fillId="0" borderId="0" xfId="0" applyNumberFormat="1" applyFont="1"/>
    <xf numFmtId="0" fontId="0" fillId="0" borderId="4" xfId="0" applyFont="1" applyBorder="1"/>
    <xf numFmtId="1" fontId="0" fillId="0" borderId="4" xfId="0" applyNumberFormat="1" applyFont="1" applyBorder="1"/>
    <xf numFmtId="2" fontId="0" fillId="0" borderId="4" xfId="0" applyNumberFormat="1" applyFont="1" applyBorder="1"/>
    <xf numFmtId="0" fontId="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4" fontId="7" fillId="0" borderId="0" xfId="0" applyNumberFormat="1" applyFont="1" applyFill="1" applyAlignment="1">
      <alignment horizontal="center"/>
    </xf>
    <xf numFmtId="3" fontId="7" fillId="0" borderId="10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0" fontId="7" fillId="0" borderId="2" xfId="1" applyNumberFormat="1" applyFont="1" applyFill="1" applyBorder="1" applyAlignment="1">
      <alignment horizontal="center"/>
    </xf>
    <xf numFmtId="3" fontId="7" fillId="0" borderId="0" xfId="1" applyNumberFormat="1" applyFont="1" applyFill="1" applyAlignment="1">
      <alignment horizontal="center"/>
    </xf>
    <xf numFmtId="3" fontId="7" fillId="0" borderId="1" xfId="1" applyNumberFormat="1" applyFont="1" applyFill="1" applyBorder="1" applyAlignment="1">
      <alignment horizontal="center"/>
    </xf>
    <xf numFmtId="164" fontId="7" fillId="0" borderId="2" xfId="1" applyNumberFormat="1" applyFont="1" applyFill="1" applyBorder="1" applyAlignment="1">
      <alignment horizontal="center"/>
    </xf>
    <xf numFmtId="1" fontId="7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center"/>
    </xf>
    <xf numFmtId="1" fontId="7" fillId="0" borderId="1" xfId="1" applyNumberFormat="1" applyFont="1" applyFill="1" applyBorder="1" applyAlignment="1">
      <alignment horizontal="center"/>
    </xf>
    <xf numFmtId="1" fontId="7" fillId="0" borderId="2" xfId="1" applyNumberFormat="1" applyFont="1" applyFill="1" applyBorder="1" applyAlignment="1">
      <alignment horizontal="center"/>
    </xf>
    <xf numFmtId="0" fontId="7" fillId="0" borderId="1" xfId="1" applyNumberFormat="1" applyFont="1" applyFill="1" applyBorder="1" applyAlignment="1">
      <alignment horizontal="center"/>
    </xf>
    <xf numFmtId="168" fontId="0" fillId="0" borderId="0" xfId="0" applyNumberFormat="1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8" fontId="7" fillId="0" borderId="2" xfId="1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left"/>
    </xf>
    <xf numFmtId="168" fontId="7" fillId="0" borderId="1" xfId="1" applyNumberFormat="1" applyFont="1" applyFill="1" applyBorder="1" applyAlignment="1">
      <alignment horizontal="center"/>
    </xf>
    <xf numFmtId="1" fontId="7" fillId="0" borderId="2" xfId="1" applyNumberFormat="1" applyFont="1" applyFill="1" applyBorder="1" applyAlignment="1">
      <alignment horizontal="left"/>
    </xf>
    <xf numFmtId="14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3" fontId="8" fillId="0" borderId="10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1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" fontId="8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0" fontId="8" fillId="0" borderId="2" xfId="1" applyNumberFormat="1" applyFont="1" applyFill="1" applyBorder="1" applyAlignment="1">
      <alignment horizontal="center"/>
    </xf>
    <xf numFmtId="3" fontId="8" fillId="0" borderId="0" xfId="1" applyNumberFormat="1" applyFont="1" applyFill="1" applyAlignment="1">
      <alignment horizontal="center"/>
    </xf>
    <xf numFmtId="3" fontId="8" fillId="0" borderId="1" xfId="1" applyNumberFormat="1" applyFont="1" applyFill="1" applyBorder="1" applyAlignment="1">
      <alignment horizontal="center"/>
    </xf>
    <xf numFmtId="164" fontId="8" fillId="0" borderId="2" xfId="1" applyNumberFormat="1" applyFont="1" applyFill="1" applyBorder="1" applyAlignment="1">
      <alignment horizontal="center"/>
    </xf>
    <xf numFmtId="1" fontId="8" fillId="0" borderId="0" xfId="1" applyNumberFormat="1" applyFont="1" applyFill="1" applyAlignment="1">
      <alignment horizontal="center"/>
    </xf>
    <xf numFmtId="164" fontId="8" fillId="0" borderId="0" xfId="1" applyNumberFormat="1" applyFont="1" applyFill="1" applyAlignment="1">
      <alignment horizontal="center"/>
    </xf>
    <xf numFmtId="1" fontId="8" fillId="0" borderId="1" xfId="1" applyNumberFormat="1" applyFont="1" applyFill="1" applyBorder="1" applyAlignment="1">
      <alignment horizontal="center"/>
    </xf>
    <xf numFmtId="1" fontId="8" fillId="0" borderId="2" xfId="1" applyNumberFormat="1" applyFont="1" applyFill="1" applyBorder="1" applyAlignment="1">
      <alignment horizontal="center"/>
    </xf>
    <xf numFmtId="0" fontId="8" fillId="0" borderId="1" xfId="1" applyNumberFormat="1" applyFont="1" applyFill="1" applyBorder="1" applyAlignment="1">
      <alignment horizontal="center"/>
    </xf>
    <xf numFmtId="168" fontId="8" fillId="0" borderId="2" xfId="1" applyNumberFormat="1" applyFont="1" applyFill="1" applyBorder="1" applyAlignment="1">
      <alignment horizontal="center"/>
    </xf>
    <xf numFmtId="168" fontId="8" fillId="0" borderId="1" xfId="1" applyNumberFormat="1" applyFont="1" applyFill="1" applyBorder="1" applyAlignment="1">
      <alignment horizontal="center"/>
    </xf>
    <xf numFmtId="1" fontId="8" fillId="0" borderId="2" xfId="1" applyNumberFormat="1" applyFont="1" applyFill="1" applyBorder="1" applyAlignment="1">
      <alignment horizontal="left"/>
    </xf>
    <xf numFmtId="168" fontId="0" fillId="0" borderId="0" xfId="0" applyNumberFormat="1" applyFont="1" applyAlignment="1">
      <alignment horizontal="left"/>
    </xf>
    <xf numFmtId="168" fontId="7" fillId="0" borderId="2" xfId="0" applyNumberFormat="1" applyFont="1" applyBorder="1" applyAlignment="1">
      <alignment horizontal="center"/>
    </xf>
    <xf numFmtId="168" fontId="7" fillId="0" borderId="1" xfId="0" applyNumberFormat="1" applyFont="1" applyBorder="1" applyAlignment="1">
      <alignment horizontal="center"/>
    </xf>
    <xf numFmtId="168" fontId="0" fillId="0" borderId="0" xfId="0" applyNumberFormat="1" applyFont="1"/>
    <xf numFmtId="0" fontId="0" fillId="0" borderId="0" xfId="0" applyBorder="1" applyAlignment="1">
      <alignment horizontal="center"/>
    </xf>
    <xf numFmtId="0" fontId="0" fillId="0" borderId="0" xfId="0" applyBorder="1"/>
    <xf numFmtId="165" fontId="0" fillId="0" borderId="0" xfId="0" applyNumberFormat="1" applyBorder="1"/>
    <xf numFmtId="0" fontId="0" fillId="0" borderId="9" xfId="0" applyFont="1" applyBorder="1" applyAlignment="1">
      <alignment horizontal="center"/>
    </xf>
    <xf numFmtId="170" fontId="0" fillId="0" borderId="0" xfId="0" applyNumberFormat="1" applyFont="1"/>
    <xf numFmtId="169" fontId="0" fillId="0" borderId="0" xfId="0" applyNumberFormat="1" applyFont="1"/>
    <xf numFmtId="169" fontId="0" fillId="0" borderId="0" xfId="0" applyNumberFormat="1" applyFont="1" applyAlignment="1">
      <alignment horizontal="left"/>
    </xf>
    <xf numFmtId="170" fontId="0" fillId="0" borderId="0" xfId="0" applyNumberFormat="1" applyFont="1" applyAlignment="1">
      <alignment horizontal="center"/>
    </xf>
    <xf numFmtId="169" fontId="0" fillId="0" borderId="0" xfId="0" applyNumberFormat="1" applyFont="1" applyAlignment="1">
      <alignment horizontal="right"/>
    </xf>
    <xf numFmtId="170" fontId="0" fillId="0" borderId="0" xfId="0" applyNumberFormat="1" applyFont="1" applyBorder="1" applyAlignment="1">
      <alignment horizontal="center"/>
    </xf>
    <xf numFmtId="168" fontId="0" fillId="0" borderId="0" xfId="0" applyNumberFormat="1" applyFont="1" applyBorder="1" applyAlignment="1">
      <alignment horizontal="center"/>
    </xf>
    <xf numFmtId="168" fontId="0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1" fontId="1" fillId="0" borderId="0" xfId="1" applyNumberFormat="1" applyFont="1" applyFill="1" applyAlignment="1">
      <alignment horizontal="left"/>
    </xf>
    <xf numFmtId="168" fontId="1" fillId="0" borderId="0" xfId="1" applyNumberFormat="1" applyFont="1" applyFill="1" applyAlignment="1">
      <alignment horizontal="center"/>
    </xf>
    <xf numFmtId="1" fontId="1" fillId="0" borderId="0" xfId="1" applyNumberFormat="1" applyFont="1" applyFill="1" applyAlignment="1">
      <alignment horizontal="center"/>
    </xf>
    <xf numFmtId="1" fontId="1" fillId="0" borderId="1" xfId="1" applyNumberFormat="1" applyFont="1" applyFill="1" applyBorder="1" applyAlignment="1">
      <alignment horizontal="center"/>
    </xf>
    <xf numFmtId="1" fontId="1" fillId="0" borderId="2" xfId="1" applyNumberFormat="1" applyFont="1" applyFill="1" applyBorder="1" applyAlignment="1">
      <alignment horizontal="center"/>
    </xf>
    <xf numFmtId="170" fontId="1" fillId="0" borderId="0" xfId="1" applyNumberFormat="1" applyFont="1" applyFill="1" applyAlignment="1">
      <alignment horizontal="center"/>
    </xf>
    <xf numFmtId="170" fontId="1" fillId="0" borderId="2" xfId="1" applyNumberFormat="1" applyFont="1" applyFill="1" applyBorder="1" applyAlignment="1">
      <alignment horizontal="center"/>
    </xf>
    <xf numFmtId="3" fontId="1" fillId="0" borderId="1" xfId="1" applyNumberFormat="1" applyFont="1" applyFill="1" applyBorder="1" applyAlignment="1">
      <alignment horizontal="center"/>
    </xf>
    <xf numFmtId="3" fontId="1" fillId="0" borderId="0" xfId="1" applyNumberFormat="1" applyFont="1" applyFill="1" applyAlignment="1">
      <alignment horizontal="center"/>
    </xf>
    <xf numFmtId="0" fontId="1" fillId="0" borderId="2" xfId="1" applyNumberFormat="1" applyFont="1" applyFill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70" fontId="1" fillId="0" borderId="0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3" fontId="1" fillId="0" borderId="10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70" fontId="0" fillId="0" borderId="0" xfId="1" applyNumberFormat="1" applyFont="1" applyBorder="1" applyAlignment="1">
      <alignment horizontal="center"/>
    </xf>
    <xf numFmtId="170" fontId="0" fillId="0" borderId="2" xfId="1" applyNumberFormat="1" applyFont="1" applyBorder="1" applyAlignment="1">
      <alignment horizontal="center"/>
    </xf>
    <xf numFmtId="170" fontId="0" fillId="0" borderId="0" xfId="0" applyNumberFormat="1" applyFont="1" applyAlignment="1">
      <alignment horizontal="left"/>
    </xf>
    <xf numFmtId="170" fontId="2" fillId="0" borderId="0" xfId="0" applyNumberFormat="1" applyFont="1" applyAlignment="1">
      <alignment horizontal="left"/>
    </xf>
    <xf numFmtId="14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3" fontId="9" fillId="0" borderId="10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2" xfId="1" applyNumberFormat="1" applyFont="1" applyFill="1" applyBorder="1" applyAlignment="1">
      <alignment horizontal="center"/>
    </xf>
    <xf numFmtId="3" fontId="9" fillId="0" borderId="0" xfId="1" applyNumberFormat="1" applyFont="1" applyFill="1" applyAlignment="1">
      <alignment horizontal="center"/>
    </xf>
    <xf numFmtId="3" fontId="9" fillId="0" borderId="1" xfId="1" applyNumberFormat="1" applyFont="1" applyFill="1" applyBorder="1" applyAlignment="1">
      <alignment horizontal="center"/>
    </xf>
    <xf numFmtId="164" fontId="9" fillId="0" borderId="2" xfId="1" applyNumberFormat="1" applyFont="1" applyFill="1" applyBorder="1" applyAlignment="1">
      <alignment horizontal="center"/>
    </xf>
    <xf numFmtId="1" fontId="9" fillId="0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1" fontId="9" fillId="0" borderId="1" xfId="1" applyNumberFormat="1" applyFont="1" applyFill="1" applyBorder="1" applyAlignment="1">
      <alignment horizontal="center"/>
    </xf>
    <xf numFmtId="1" fontId="9" fillId="0" borderId="2" xfId="1" applyNumberFormat="1" applyFont="1" applyFill="1" applyBorder="1" applyAlignment="1">
      <alignment horizontal="center"/>
    </xf>
    <xf numFmtId="168" fontId="9" fillId="0" borderId="0" xfId="1" applyNumberFormat="1" applyFont="1" applyFill="1" applyAlignment="1">
      <alignment horizontal="center"/>
    </xf>
    <xf numFmtId="1" fontId="9" fillId="0" borderId="0" xfId="1" applyNumberFormat="1" applyFont="1" applyFill="1" applyAlignment="1">
      <alignment horizontal="left"/>
    </xf>
    <xf numFmtId="0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8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14" fontId="10" fillId="0" borderId="0" xfId="0" applyNumberFormat="1" applyFont="1" applyAlignment="1">
      <alignment horizontal="center"/>
    </xf>
    <xf numFmtId="3" fontId="10" fillId="0" borderId="0" xfId="0" applyNumberFormat="1" applyFont="1" applyAlignment="1">
      <alignment horizontal="center"/>
    </xf>
    <xf numFmtId="3" fontId="10" fillId="0" borderId="10" xfId="0" applyNumberFormat="1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1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0" fontId="10" fillId="0" borderId="2" xfId="1" applyNumberFormat="1" applyFont="1" applyFill="1" applyBorder="1" applyAlignment="1">
      <alignment horizontal="center"/>
    </xf>
    <xf numFmtId="3" fontId="10" fillId="0" borderId="0" xfId="1" applyNumberFormat="1" applyFont="1" applyFill="1" applyAlignment="1">
      <alignment horizontal="center"/>
    </xf>
    <xf numFmtId="3" fontId="10" fillId="0" borderId="1" xfId="1" applyNumberFormat="1" applyFont="1" applyFill="1" applyBorder="1" applyAlignment="1">
      <alignment horizontal="center"/>
    </xf>
    <xf numFmtId="164" fontId="10" fillId="0" borderId="2" xfId="1" applyNumberFormat="1" applyFont="1" applyFill="1" applyBorder="1" applyAlignment="1">
      <alignment horizontal="center"/>
    </xf>
    <xf numFmtId="1" fontId="10" fillId="0" borderId="0" xfId="1" applyNumberFormat="1" applyFont="1" applyFill="1" applyAlignment="1">
      <alignment horizontal="center"/>
    </xf>
    <xf numFmtId="164" fontId="10" fillId="0" borderId="0" xfId="1" applyNumberFormat="1" applyFont="1" applyFill="1" applyAlignment="1">
      <alignment horizontal="center"/>
    </xf>
    <xf numFmtId="1" fontId="10" fillId="0" borderId="1" xfId="1" applyNumberFormat="1" applyFont="1" applyFill="1" applyBorder="1" applyAlignment="1">
      <alignment horizontal="center"/>
    </xf>
    <xf numFmtId="1" fontId="10" fillId="0" borderId="2" xfId="1" applyNumberFormat="1" applyFont="1" applyFill="1" applyBorder="1" applyAlignment="1">
      <alignment horizontal="center"/>
    </xf>
    <xf numFmtId="0" fontId="10" fillId="0" borderId="1" xfId="1" applyNumberFormat="1" applyFont="1" applyFill="1" applyBorder="1" applyAlignment="1">
      <alignment horizontal="center"/>
    </xf>
    <xf numFmtId="168" fontId="10" fillId="0" borderId="2" xfId="1" applyNumberFormat="1" applyFont="1" applyFill="1" applyBorder="1" applyAlignment="1">
      <alignment horizontal="center"/>
    </xf>
    <xf numFmtId="168" fontId="10" fillId="0" borderId="1" xfId="1" applyNumberFormat="1" applyFont="1" applyFill="1" applyBorder="1" applyAlignment="1">
      <alignment horizontal="center"/>
    </xf>
    <xf numFmtId="1" fontId="10" fillId="0" borderId="2" xfId="1" applyNumberFormat="1" applyFont="1" applyFill="1" applyBorder="1" applyAlignment="1">
      <alignment horizontal="left"/>
    </xf>
    <xf numFmtId="170" fontId="9" fillId="0" borderId="0" xfId="0" applyNumberFormat="1" applyFont="1" applyBorder="1" applyAlignment="1">
      <alignment horizontal="center"/>
    </xf>
    <xf numFmtId="170" fontId="9" fillId="0" borderId="0" xfId="0" applyNumberFormat="1" applyFont="1" applyAlignment="1">
      <alignment horizontal="center"/>
    </xf>
    <xf numFmtId="170" fontId="9" fillId="0" borderId="2" xfId="1" applyNumberFormat="1" applyFont="1" applyFill="1" applyBorder="1" applyAlignment="1">
      <alignment horizontal="center"/>
    </xf>
    <xf numFmtId="170" fontId="9" fillId="0" borderId="0" xfId="1" applyNumberFormat="1" applyFont="1" applyFill="1" applyAlignment="1">
      <alignment horizontal="center"/>
    </xf>
    <xf numFmtId="38" fontId="0" fillId="0" borderId="0" xfId="0" applyNumberFormat="1" applyFont="1" applyBorder="1" applyAlignment="1">
      <alignment horizontal="center"/>
    </xf>
    <xf numFmtId="170" fontId="0" fillId="0" borderId="2" xfId="1" applyNumberFormat="1" applyFont="1" applyFill="1" applyBorder="1" applyAlignment="1">
      <alignment horizontal="center"/>
    </xf>
    <xf numFmtId="170" fontId="0" fillId="0" borderId="0" xfId="1" applyNumberFormat="1" applyFont="1" applyFill="1" applyAlignment="1">
      <alignment horizontal="center"/>
    </xf>
    <xf numFmtId="0" fontId="0" fillId="0" borderId="1" xfId="0" applyBorder="1"/>
    <xf numFmtId="1" fontId="0" fillId="0" borderId="10" xfId="0" applyNumberFormat="1" applyBorder="1"/>
    <xf numFmtId="2" fontId="0" fillId="0" borderId="2" xfId="0" applyNumberFormat="1" applyBorder="1"/>
    <xf numFmtId="0" fontId="0" fillId="0" borderId="0" xfId="0" applyFont="1" applyAlignment="1">
      <alignment horizontal="center" vertical="center" textRotation="90"/>
    </xf>
    <xf numFmtId="0" fontId="0" fillId="0" borderId="0" xfId="0" applyFont="1" applyAlignment="1">
      <alignment vertical="center" textRotation="90"/>
    </xf>
    <xf numFmtId="14" fontId="9" fillId="0" borderId="0" xfId="0" applyNumberFormat="1" applyFont="1" applyBorder="1" applyAlignment="1">
      <alignment horizontal="center"/>
    </xf>
    <xf numFmtId="3" fontId="9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9" xfId="0" applyFont="1" applyBorder="1" applyAlignment="1">
      <alignment horizontal="center"/>
    </xf>
    <xf numFmtId="0" fontId="0" fillId="0" borderId="0" xfId="0" applyAlignment="1">
      <alignment horizontal="left"/>
    </xf>
    <xf numFmtId="3" fontId="0" fillId="0" borderId="0" xfId="0" applyNumberFormat="1"/>
    <xf numFmtId="14" fontId="0" fillId="0" borderId="0" xfId="0" applyNumberFormat="1"/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49" fontId="0" fillId="0" borderId="0" xfId="0" applyNumberFormat="1" applyAlignment="1">
      <alignment horizontal="right"/>
    </xf>
    <xf numFmtId="4" fontId="0" fillId="0" borderId="0" xfId="0" applyNumberFormat="1" applyAlignment="1">
      <alignment horizontal="left"/>
    </xf>
    <xf numFmtId="4" fontId="0" fillId="0" borderId="0" xfId="0" applyNumberFormat="1" applyAlignment="1">
      <alignment horizontal="center"/>
    </xf>
    <xf numFmtId="4" fontId="0" fillId="0" borderId="0" xfId="0" applyNumberFormat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right"/>
    </xf>
    <xf numFmtId="168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" fontId="1" fillId="0" borderId="0" xfId="1" applyNumberFormat="1" applyFill="1" applyAlignment="1">
      <alignment horizontal="left"/>
    </xf>
    <xf numFmtId="168" fontId="1" fillId="0" borderId="0" xfId="1" applyNumberFormat="1" applyFill="1" applyAlignment="1">
      <alignment horizontal="center"/>
    </xf>
    <xf numFmtId="1" fontId="1" fillId="0" borderId="0" xfId="1" applyNumberFormat="1" applyFill="1" applyAlignment="1">
      <alignment horizontal="center"/>
    </xf>
    <xf numFmtId="1" fontId="1" fillId="0" borderId="1" xfId="1" applyNumberFormat="1" applyFill="1" applyBorder="1" applyAlignment="1">
      <alignment horizontal="center"/>
    </xf>
    <xf numFmtId="1" fontId="1" fillId="0" borderId="2" xfId="1" applyNumberFormat="1" applyFill="1" applyBorder="1" applyAlignment="1">
      <alignment horizontal="center"/>
    </xf>
    <xf numFmtId="164" fontId="1" fillId="0" borderId="2" xfId="1" applyNumberFormat="1" applyFill="1" applyBorder="1" applyAlignment="1">
      <alignment horizontal="center"/>
    </xf>
    <xf numFmtId="3" fontId="1" fillId="0" borderId="1" xfId="1" applyNumberFormat="1" applyFill="1" applyBorder="1" applyAlignment="1">
      <alignment horizontal="center"/>
    </xf>
    <xf numFmtId="3" fontId="1" fillId="0" borderId="0" xfId="1" applyNumberFormat="1" applyFill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3" fontId="0" fillId="0" borderId="10" xfId="0" applyNumberFormat="1" applyBorder="1" applyAlignment="1">
      <alignment horizontal="center"/>
    </xf>
    <xf numFmtId="1" fontId="0" fillId="0" borderId="0" xfId="0" applyNumberFormat="1" applyAlignment="1">
      <alignment horizontal="left"/>
    </xf>
    <xf numFmtId="1" fontId="11" fillId="0" borderId="0" xfId="0" applyNumberFormat="1" applyFont="1" applyAlignment="1">
      <alignment horizontal="left"/>
    </xf>
    <xf numFmtId="164" fontId="11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2" fontId="0" fillId="0" borderId="0" xfId="0" applyNumberFormat="1"/>
    <xf numFmtId="1" fontId="0" fillId="0" borderId="0" xfId="0" applyNumberFormat="1"/>
    <xf numFmtId="0" fontId="0" fillId="0" borderId="0" xfId="0" applyFont="1" applyBorder="1"/>
    <xf numFmtId="14" fontId="0" fillId="0" borderId="0" xfId="0" applyNumberFormat="1" applyBorder="1"/>
    <xf numFmtId="3" fontId="0" fillId="0" borderId="0" xfId="0" applyNumberFormat="1" applyBorder="1"/>
    <xf numFmtId="1" fontId="0" fillId="0" borderId="0" xfId="0" applyNumberFormat="1" applyBorder="1"/>
    <xf numFmtId="14" fontId="12" fillId="0" borderId="0" xfId="0" applyNumberFormat="1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3" fontId="12" fillId="0" borderId="10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1" fontId="12" fillId="0" borderId="0" xfId="0" applyNumberFormat="1" applyFont="1" applyBorder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0" fontId="12" fillId="0" borderId="2" xfId="1" applyNumberFormat="1" applyFont="1" applyFill="1" applyBorder="1" applyAlignment="1">
      <alignment horizontal="center"/>
    </xf>
    <xf numFmtId="3" fontId="12" fillId="0" borderId="0" xfId="1" applyNumberFormat="1" applyFont="1" applyFill="1" applyAlignment="1">
      <alignment horizontal="center"/>
    </xf>
    <xf numFmtId="3" fontId="12" fillId="0" borderId="1" xfId="1" applyNumberFormat="1" applyFont="1" applyFill="1" applyBorder="1" applyAlignment="1">
      <alignment horizontal="center"/>
    </xf>
    <xf numFmtId="164" fontId="12" fillId="0" borderId="2" xfId="1" applyNumberFormat="1" applyFont="1" applyFill="1" applyBorder="1" applyAlignment="1">
      <alignment horizontal="center"/>
    </xf>
    <xf numFmtId="1" fontId="12" fillId="0" borderId="0" xfId="1" applyNumberFormat="1" applyFont="1" applyFill="1" applyAlignment="1">
      <alignment horizontal="center"/>
    </xf>
    <xf numFmtId="164" fontId="12" fillId="0" borderId="0" xfId="1" applyNumberFormat="1" applyFont="1" applyFill="1" applyAlignment="1">
      <alignment horizontal="center"/>
    </xf>
    <xf numFmtId="1" fontId="12" fillId="0" borderId="1" xfId="1" applyNumberFormat="1" applyFont="1" applyFill="1" applyBorder="1" applyAlignment="1">
      <alignment horizontal="center"/>
    </xf>
    <xf numFmtId="1" fontId="12" fillId="0" borderId="2" xfId="1" applyNumberFormat="1" applyFont="1" applyFill="1" applyBorder="1" applyAlignment="1">
      <alignment horizontal="center"/>
    </xf>
    <xf numFmtId="168" fontId="12" fillId="0" borderId="0" xfId="1" applyNumberFormat="1" applyFont="1" applyFill="1" applyAlignment="1">
      <alignment horizontal="center"/>
    </xf>
    <xf numFmtId="1" fontId="12" fillId="0" borderId="0" xfId="1" applyNumberFormat="1" applyFont="1" applyFill="1" applyAlignment="1">
      <alignment horizontal="left"/>
    </xf>
    <xf numFmtId="3" fontId="12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/>
    </xf>
    <xf numFmtId="3" fontId="13" fillId="0" borderId="10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1" fontId="13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3" fillId="0" borderId="2" xfId="1" applyNumberFormat="1" applyFont="1" applyFill="1" applyBorder="1" applyAlignment="1">
      <alignment horizontal="center"/>
    </xf>
    <xf numFmtId="3" fontId="13" fillId="0" borderId="0" xfId="1" applyNumberFormat="1" applyFont="1" applyFill="1" applyAlignment="1">
      <alignment horizontal="center"/>
    </xf>
    <xf numFmtId="3" fontId="13" fillId="0" borderId="1" xfId="1" applyNumberFormat="1" applyFont="1" applyFill="1" applyBorder="1" applyAlignment="1">
      <alignment horizontal="center"/>
    </xf>
    <xf numFmtId="164" fontId="13" fillId="0" borderId="2" xfId="1" applyNumberFormat="1" applyFont="1" applyFill="1" applyBorder="1" applyAlignment="1">
      <alignment horizontal="center"/>
    </xf>
    <xf numFmtId="1" fontId="13" fillId="0" borderId="0" xfId="1" applyNumberFormat="1" applyFont="1" applyFill="1" applyAlignment="1">
      <alignment horizontal="center"/>
    </xf>
    <xf numFmtId="164" fontId="13" fillId="0" borderId="0" xfId="1" applyNumberFormat="1" applyFont="1" applyFill="1" applyAlignment="1">
      <alignment horizontal="center"/>
    </xf>
    <xf numFmtId="1" fontId="13" fillId="0" borderId="1" xfId="1" applyNumberFormat="1" applyFont="1" applyFill="1" applyBorder="1" applyAlignment="1">
      <alignment horizontal="center"/>
    </xf>
    <xf numFmtId="1" fontId="13" fillId="0" borderId="2" xfId="1" applyNumberFormat="1" applyFont="1" applyFill="1" applyBorder="1" applyAlignment="1">
      <alignment horizontal="center"/>
    </xf>
    <xf numFmtId="0" fontId="13" fillId="0" borderId="1" xfId="1" applyNumberFormat="1" applyFont="1" applyFill="1" applyBorder="1" applyAlignment="1">
      <alignment horizontal="center"/>
    </xf>
    <xf numFmtId="168" fontId="13" fillId="0" borderId="2" xfId="1" applyNumberFormat="1" applyFont="1" applyFill="1" applyBorder="1" applyAlignment="1">
      <alignment horizontal="center"/>
    </xf>
    <xf numFmtId="168" fontId="13" fillId="0" borderId="1" xfId="1" applyNumberFormat="1" applyFont="1" applyFill="1" applyBorder="1" applyAlignment="1">
      <alignment horizontal="center"/>
    </xf>
    <xf numFmtId="1" fontId="13" fillId="0" borderId="2" xfId="1" applyNumberFormat="1" applyFont="1" applyFill="1" applyBorder="1" applyAlignment="1">
      <alignment horizontal="left"/>
    </xf>
    <xf numFmtId="170" fontId="12" fillId="0" borderId="0" xfId="0" applyNumberFormat="1" applyFont="1" applyAlignment="1">
      <alignment horizontal="center"/>
    </xf>
    <xf numFmtId="170" fontId="12" fillId="0" borderId="2" xfId="1" applyNumberFormat="1" applyFont="1" applyFill="1" applyBorder="1" applyAlignment="1">
      <alignment horizontal="center"/>
    </xf>
    <xf numFmtId="170" fontId="12" fillId="0" borderId="0" xfId="1" applyNumberFormat="1" applyFont="1" applyFill="1" applyAlignment="1">
      <alignment horizontal="center"/>
    </xf>
    <xf numFmtId="166" fontId="0" fillId="0" borderId="13" xfId="0" applyNumberFormat="1" applyBorder="1"/>
    <xf numFmtId="166" fontId="0" fillId="0" borderId="9" xfId="0" applyNumberFormat="1" applyBorder="1"/>
    <xf numFmtId="166" fontId="0" fillId="0" borderId="14" xfId="0" applyNumberFormat="1" applyBorder="1"/>
    <xf numFmtId="166" fontId="0" fillId="0" borderId="0" xfId="0" applyNumberFormat="1"/>
    <xf numFmtId="166" fontId="0" fillId="0" borderId="0" xfId="0" applyNumberFormat="1" applyFont="1"/>
    <xf numFmtId="166" fontId="0" fillId="0" borderId="4" xfId="0" applyNumberFormat="1" applyFont="1" applyBorder="1"/>
    <xf numFmtId="166" fontId="0" fillId="0" borderId="10" xfId="0" applyNumberFormat="1" applyBorder="1"/>
    <xf numFmtId="14" fontId="14" fillId="0" borderId="0" xfId="0" applyNumberFormat="1" applyFont="1" applyBorder="1" applyAlignment="1">
      <alignment horizontal="center"/>
    </xf>
    <xf numFmtId="3" fontId="14" fillId="0" borderId="0" xfId="0" applyNumberFormat="1" applyFont="1" applyBorder="1" applyAlignment="1">
      <alignment horizontal="center"/>
    </xf>
    <xf numFmtId="3" fontId="14" fillId="0" borderId="10" xfId="0" applyNumberFormat="1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64" fontId="14" fillId="0" borderId="0" xfId="0" applyNumberFormat="1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0" fontId="14" fillId="0" borderId="2" xfId="1" applyNumberFormat="1" applyFont="1" applyFill="1" applyBorder="1" applyAlignment="1">
      <alignment horizontal="center"/>
    </xf>
    <xf numFmtId="3" fontId="14" fillId="0" borderId="0" xfId="1" applyNumberFormat="1" applyFont="1" applyFill="1" applyAlignment="1">
      <alignment horizontal="center"/>
    </xf>
    <xf numFmtId="3" fontId="14" fillId="0" borderId="1" xfId="1" applyNumberFormat="1" applyFont="1" applyFill="1" applyBorder="1" applyAlignment="1">
      <alignment horizontal="center"/>
    </xf>
    <xf numFmtId="164" fontId="14" fillId="0" borderId="2" xfId="1" applyNumberFormat="1" applyFont="1" applyFill="1" applyBorder="1" applyAlignment="1">
      <alignment horizontal="center"/>
    </xf>
    <xf numFmtId="1" fontId="14" fillId="0" borderId="0" xfId="1" applyNumberFormat="1" applyFont="1" applyFill="1" applyAlignment="1">
      <alignment horizontal="center"/>
    </xf>
    <xf numFmtId="164" fontId="14" fillId="0" borderId="0" xfId="1" applyNumberFormat="1" applyFont="1" applyFill="1" applyAlignment="1">
      <alignment horizontal="center"/>
    </xf>
    <xf numFmtId="1" fontId="14" fillId="0" borderId="1" xfId="1" applyNumberFormat="1" applyFont="1" applyFill="1" applyBorder="1" applyAlignment="1">
      <alignment horizontal="center"/>
    </xf>
    <xf numFmtId="1" fontId="14" fillId="0" borderId="2" xfId="1" applyNumberFormat="1" applyFont="1" applyFill="1" applyBorder="1" applyAlignment="1">
      <alignment horizontal="center"/>
    </xf>
    <xf numFmtId="168" fontId="14" fillId="0" borderId="0" xfId="1" applyNumberFormat="1" applyFont="1" applyFill="1" applyAlignment="1">
      <alignment horizontal="center"/>
    </xf>
    <xf numFmtId="1" fontId="14" fillId="0" borderId="0" xfId="1" applyNumberFormat="1" applyFont="1" applyFill="1" applyAlignment="1">
      <alignment horizontal="left"/>
    </xf>
    <xf numFmtId="0" fontId="14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" fontId="14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4" fontId="14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5" fillId="0" borderId="10" xfId="0" applyNumberFormat="1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" fontId="15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" fontId="15" fillId="0" borderId="1" xfId="0" applyNumberFormat="1" applyFont="1" applyBorder="1" applyAlignment="1">
      <alignment horizontal="center"/>
    </xf>
    <xf numFmtId="1" fontId="15" fillId="0" borderId="2" xfId="0" applyNumberFormat="1" applyFont="1" applyBorder="1" applyAlignment="1">
      <alignment horizontal="center"/>
    </xf>
    <xf numFmtId="0" fontId="15" fillId="0" borderId="2" xfId="1" applyNumberFormat="1" applyFont="1" applyFill="1" applyBorder="1" applyAlignment="1">
      <alignment horizontal="center"/>
    </xf>
    <xf numFmtId="3" fontId="15" fillId="0" borderId="0" xfId="1" applyNumberFormat="1" applyFont="1" applyFill="1" applyAlignment="1">
      <alignment horizontal="center"/>
    </xf>
    <xf numFmtId="3" fontId="15" fillId="0" borderId="1" xfId="1" applyNumberFormat="1" applyFont="1" applyFill="1" applyBorder="1" applyAlignment="1">
      <alignment horizontal="center"/>
    </xf>
    <xf numFmtId="164" fontId="15" fillId="0" borderId="2" xfId="1" applyNumberFormat="1" applyFont="1" applyFill="1" applyBorder="1" applyAlignment="1">
      <alignment horizontal="center"/>
    </xf>
    <xf numFmtId="1" fontId="15" fillId="0" borderId="0" xfId="1" applyNumberFormat="1" applyFont="1" applyFill="1" applyAlignment="1">
      <alignment horizontal="center"/>
    </xf>
    <xf numFmtId="164" fontId="15" fillId="0" borderId="0" xfId="1" applyNumberFormat="1" applyFont="1" applyFill="1" applyAlignment="1">
      <alignment horizontal="center"/>
    </xf>
    <xf numFmtId="1" fontId="15" fillId="0" borderId="1" xfId="1" applyNumberFormat="1" applyFont="1" applyFill="1" applyBorder="1" applyAlignment="1">
      <alignment horizontal="center"/>
    </xf>
    <xf numFmtId="1" fontId="15" fillId="0" borderId="2" xfId="1" applyNumberFormat="1" applyFont="1" applyFill="1" applyBorder="1" applyAlignment="1">
      <alignment horizontal="center"/>
    </xf>
    <xf numFmtId="0" fontId="15" fillId="0" borderId="1" xfId="1" applyNumberFormat="1" applyFont="1" applyFill="1" applyBorder="1" applyAlignment="1">
      <alignment horizontal="center"/>
    </xf>
    <xf numFmtId="168" fontId="15" fillId="0" borderId="2" xfId="1" applyNumberFormat="1" applyFont="1" applyFill="1" applyBorder="1" applyAlignment="1">
      <alignment horizontal="center"/>
    </xf>
    <xf numFmtId="168" fontId="15" fillId="0" borderId="1" xfId="1" applyNumberFormat="1" applyFont="1" applyFill="1" applyBorder="1" applyAlignment="1">
      <alignment horizontal="center"/>
    </xf>
    <xf numFmtId="1" fontId="15" fillId="0" borderId="2" xfId="1" applyNumberFormat="1" applyFont="1" applyFill="1" applyBorder="1" applyAlignment="1">
      <alignment horizontal="left"/>
    </xf>
    <xf numFmtId="170" fontId="14" fillId="0" borderId="0" xfId="0" applyNumberFormat="1" applyFont="1" applyAlignment="1">
      <alignment horizontal="center"/>
    </xf>
    <xf numFmtId="170" fontId="14" fillId="0" borderId="2" xfId="1" applyNumberFormat="1" applyFont="1" applyFill="1" applyBorder="1" applyAlignment="1">
      <alignment horizontal="center"/>
    </xf>
    <xf numFmtId="170" fontId="14" fillId="0" borderId="0" xfId="1" applyNumberFormat="1" applyFont="1" applyFill="1" applyAlignment="1">
      <alignment horizontal="center"/>
    </xf>
    <xf numFmtId="0" fontId="0" fillId="0" borderId="0" xfId="0" applyFont="1" applyAlignment="1">
      <alignment horizontal="center"/>
    </xf>
    <xf numFmtId="3" fontId="0" fillId="0" borderId="4" xfId="0" applyNumberFormat="1" applyFont="1" applyBorder="1"/>
    <xf numFmtId="3" fontId="0" fillId="0" borderId="10" xfId="0" applyNumberFormat="1" applyBorder="1"/>
    <xf numFmtId="49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" fontId="14" fillId="0" borderId="0" xfId="0" applyNumberFormat="1" applyFont="1" applyAlignment="1">
      <alignment horizontal="left"/>
    </xf>
    <xf numFmtId="1" fontId="14" fillId="0" borderId="0" xfId="0" applyNumberFormat="1" applyFont="1"/>
    <xf numFmtId="0" fontId="4" fillId="2" borderId="3" xfId="2" applyFont="1" applyFill="1" applyBorder="1" applyAlignment="1">
      <alignment horizontal="center"/>
    </xf>
    <xf numFmtId="0" fontId="4" fillId="2" borderId="4" xfId="2" applyFont="1" applyFill="1" applyBorder="1" applyAlignment="1">
      <alignment horizontal="center"/>
    </xf>
    <xf numFmtId="0" fontId="4" fillId="2" borderId="5" xfId="2" applyFont="1" applyFill="1" applyBorder="1" applyAlignment="1">
      <alignment horizontal="center"/>
    </xf>
    <xf numFmtId="0" fontId="4" fillId="2" borderId="6" xfId="2" applyFont="1" applyFill="1" applyBorder="1" applyAlignment="1">
      <alignment horizontal="right"/>
    </xf>
    <xf numFmtId="0" fontId="4" fillId="2" borderId="7" xfId="2" applyFont="1" applyFill="1" applyBorder="1" applyAlignment="1">
      <alignment horizontal="right"/>
    </xf>
    <xf numFmtId="167" fontId="1" fillId="2" borderId="7" xfId="0" applyNumberFormat="1" applyFont="1" applyFill="1" applyBorder="1" applyAlignment="1">
      <alignment horizontal="left"/>
    </xf>
    <xf numFmtId="167" fontId="1" fillId="2" borderId="8" xfId="0" applyNumberFormat="1" applyFont="1" applyFill="1" applyBorder="1" applyAlignment="1">
      <alignment horizontal="left"/>
    </xf>
    <xf numFmtId="0" fontId="4" fillId="0" borderId="3" xfId="2" applyFont="1" applyBorder="1" applyAlignment="1">
      <alignment horizontal="center" wrapText="1"/>
    </xf>
    <xf numFmtId="0" fontId="4" fillId="0" borderId="4" xfId="2" applyFont="1" applyBorder="1" applyAlignment="1">
      <alignment horizontal="center" wrapText="1"/>
    </xf>
    <xf numFmtId="0" fontId="4" fillId="0" borderId="5" xfId="2" applyFont="1" applyBorder="1" applyAlignment="1">
      <alignment horizontal="center" wrapText="1"/>
    </xf>
    <xf numFmtId="0" fontId="4" fillId="0" borderId="2" xfId="2" applyFont="1" applyBorder="1" applyAlignment="1">
      <alignment horizontal="center" wrapText="1"/>
    </xf>
    <xf numFmtId="0" fontId="4" fillId="0" borderId="0" xfId="2" applyFont="1" applyBorder="1" applyAlignment="1">
      <alignment horizontal="center" wrapText="1"/>
    </xf>
    <xf numFmtId="0" fontId="4" fillId="0" borderId="1" xfId="2" applyFont="1" applyBorder="1" applyAlignment="1">
      <alignment horizontal="center" wrapText="1"/>
    </xf>
    <xf numFmtId="0" fontId="4" fillId="0" borderId="6" xfId="2" applyFont="1" applyBorder="1" applyAlignment="1">
      <alignment horizontal="center" wrapText="1"/>
    </xf>
    <xf numFmtId="0" fontId="4" fillId="0" borderId="7" xfId="2" applyFont="1" applyBorder="1" applyAlignment="1">
      <alignment horizontal="center" wrapText="1"/>
    </xf>
    <xf numFmtId="0" fontId="4" fillId="0" borderId="8" xfId="2" applyFont="1" applyBorder="1" applyAlignment="1">
      <alignment horizontal="center" wrapText="1"/>
    </xf>
    <xf numFmtId="0" fontId="4" fillId="0" borderId="12" xfId="2" applyFont="1" applyBorder="1" applyAlignment="1">
      <alignment horizontal="center"/>
    </xf>
    <xf numFmtId="0" fontId="4" fillId="0" borderId="15" xfId="2" applyFont="1" applyBorder="1" applyAlignment="1">
      <alignment horizontal="center"/>
    </xf>
    <xf numFmtId="0" fontId="4" fillId="0" borderId="11" xfId="2" applyFont="1" applyBorder="1" applyAlignment="1">
      <alignment horizontal="center"/>
    </xf>
    <xf numFmtId="0" fontId="3" fillId="2" borderId="6" xfId="2" applyFont="1" applyFill="1" applyBorder="1" applyAlignment="1">
      <alignment horizontal="right"/>
    </xf>
    <xf numFmtId="0" fontId="3" fillId="2" borderId="7" xfId="2" applyFont="1" applyFill="1" applyBorder="1" applyAlignment="1">
      <alignment horizontal="right"/>
    </xf>
    <xf numFmtId="0" fontId="6" fillId="0" borderId="0" xfId="0" applyFont="1" applyAlignment="1">
      <alignment horizontal="center" vertical="center" textRotation="90"/>
    </xf>
    <xf numFmtId="49" fontId="0" fillId="0" borderId="9" xfId="0" applyNumberFormat="1" applyFont="1" applyBorder="1" applyAlignment="1">
      <alignment horizontal="center"/>
    </xf>
    <xf numFmtId="49" fontId="0" fillId="0" borderId="12" xfId="0" applyNumberFormat="1" applyFont="1" applyBorder="1" applyAlignment="1">
      <alignment horizontal="center"/>
    </xf>
    <xf numFmtId="49" fontId="0" fillId="0" borderId="15" xfId="0" applyNumberFormat="1" applyFont="1" applyBorder="1" applyAlignment="1">
      <alignment horizontal="center"/>
    </xf>
    <xf numFmtId="49" fontId="0" fillId="0" borderId="11" xfId="0" applyNumberFormat="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7" xfId="0" applyFont="1" applyBorder="1" applyAlignment="1">
      <alignment horizontal="center"/>
    </xf>
    <xf numFmtId="1" fontId="0" fillId="0" borderId="7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shrinkToFit="1"/>
    </xf>
    <xf numFmtId="0" fontId="0" fillId="0" borderId="8" xfId="0" applyFont="1" applyBorder="1" applyAlignment="1">
      <alignment horizontal="center" shrinkToFit="1"/>
    </xf>
    <xf numFmtId="164" fontId="0" fillId="0" borderId="6" xfId="0" applyNumberFormat="1" applyFont="1" applyBorder="1" applyAlignment="1">
      <alignment horizontal="center"/>
    </xf>
    <xf numFmtId="164" fontId="0" fillId="0" borderId="7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168" fontId="0" fillId="0" borderId="0" xfId="0" applyNumberFormat="1" applyFont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0" fillId="0" borderId="7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shrinkToFit="1"/>
    </xf>
    <xf numFmtId="0" fontId="0" fillId="0" borderId="8" xfId="0" applyBorder="1" applyAlignment="1">
      <alignment horizontal="center" shrinkToFit="1"/>
    </xf>
    <xf numFmtId="0" fontId="0" fillId="0" borderId="8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353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68" formatCode="0_);[Red]\(0\)"/>
      <alignment horizontal="center" vertical="bottom" textRotation="0" wrapText="0" indent="0" justifyLastLine="0" shrinkToFit="0" readingOrder="0"/>
    </dxf>
    <dxf>
      <numFmt numFmtId="168" formatCode="0_);[Red]\(0\)"/>
      <alignment horizontal="center" vertical="bottom" textRotation="0" wrapText="0" relativeIndent="0" justifyLastLine="0" shrinkToFit="0" readingOrder="0"/>
    </dxf>
    <dxf>
      <numFmt numFmtId="168" formatCode="0_);[Red]\(0\)"/>
      <alignment horizontal="center" vertical="bottom" textRotation="0" wrapText="0" indent="0" justifyLastLine="0" shrinkToFit="0" readingOrder="0"/>
    </dxf>
    <dxf>
      <numFmt numFmtId="168" formatCode="0_);[Red]\(0\)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relative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9" formatCode="m/d/yyyy"/>
      <alignment horizontal="center" vertical="bottom" textRotation="0" wrapText="0" relative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9" formatCode="m/d/yyyy"/>
      <alignment horizontal="center" vertical="bottom" textRotation="0" wrapText="0" relative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9" formatCode="m/d/yyyy"/>
      <alignment horizontal="center" vertical="bottom" textRotation="0" wrapText="0" relative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9" formatCode="m/d/yyyy"/>
      <alignment horizontal="center" vertical="bottom" textRotation="0" wrapText="0" relativeIndent="0" justifyLastLine="0" shrinkToFit="0" readingOrder="0"/>
    </dxf>
    <dxf>
      <alignment horizontal="center" vertical="bottom" textRotation="0" wrapText="0" relative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0.0_);[Red]\(0.0\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0.0_);[Red]\(0.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0.0_);[Red]\(0.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70" formatCode="0.0_);[Red]\(0.0\)"/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0.0_);[Red]\(0.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70" formatCode="0.0_);[Red]\(0.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0.0_);[Red]\(0.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70" formatCode="0.0_);[Red]\(0.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68" formatCode="0_);[Red]\(0\)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68" formatCode="0_);[Red]\(0\)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9" formatCode="m/d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9" formatCode="m/d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9" formatCode="m/d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numFmt numFmtId="19" formatCode="m/d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1" formatCode="0"/>
    </dxf>
    <dxf>
      <font>
        <strike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8" formatCode="0_);[Red]\(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" formatCode="#,##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9" formatCode="m/d/yyyy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center" vertical="bottom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" formatCode="#,##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9" formatCode="m/d/yyyy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9" formatCode="m/d/yyyy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" formatCode="#,##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9" formatCode="m/d/yyyy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9" formatCode="m/d/yyyy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" formatCode="#,##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9" formatCode="m/d/yyyy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9" formatCode="m/d/yyyy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" formatCode="#,##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9" formatCode="m/d/yyyy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9" formatCode="m/d/yyyy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" formatCode="#,##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9" formatCode="m/d/yyyy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9" formatCode="m/d/yyyy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" formatCode="#,##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9" formatCode="m/d/yyyy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9" formatCode="m/d/yyyy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" formatCode="#,##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9" formatCode="m/d/yyyy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9" formatCode="m/d/yyyy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5" formatCode="0.0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5" formatCode="0.00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2" formatCode="0.0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3" formatCode="#,##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6" formatCode="#,##0.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" formatCode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4" name="Table4" displayName="Table4" ref="B2:L17" totalsRowShown="0" headerRowDxfId="3538" headerRowBorderDxfId="3537" tableBorderDxfId="3536" totalsRowBorderDxfId="3535">
  <autoFilter ref="B2:L17"/>
  <tableColumns count="11">
    <tableColumn id="1" name="#" dataDxfId="3534"/>
    <tableColumn id="2" name="W" dataDxfId="3533"/>
    <tableColumn id="3" name="L" dataDxfId="3532"/>
    <tableColumn id="4" name="IP" dataDxfId="3531"/>
    <tableColumn id="5" name="H" dataDxfId="3530"/>
    <tableColumn id="6" name="R" dataDxfId="3529"/>
    <tableColumn id="7" name="ER" dataDxfId="3528"/>
    <tableColumn id="8" name="BB" dataDxfId="3527"/>
    <tableColumn id="9" name="SO" dataDxfId="3526"/>
    <tableColumn id="10" name="HR" dataDxfId="3525"/>
    <tableColumn id="11" name="ERA" dataDxfId="3524">
      <calculatedColumnFormula>((H3/E3)*9)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3" name="Table514" displayName="Table514" ref="N104:V114" totalsRowShown="0" headerRowDxfId="3427" headerRowBorderDxfId="3426" tableBorderDxfId="3425" totalsRowBorderDxfId="3424">
  <autoFilter ref="N104:V114"/>
  <tableColumns count="9">
    <tableColumn id="1" name="BP" dataDxfId="3423"/>
    <tableColumn id="2" name="MCS" dataDxfId="3422"/>
    <tableColumn id="3" name="GS" dataDxfId="3421"/>
    <tableColumn id="4" name="R" dataDxfId="3420"/>
    <tableColumn id="5" name="RBI" dataDxfId="3419"/>
    <tableColumn id="6" name="AVG" dataDxfId="3418"/>
    <tableColumn id="7" name="OBP" dataDxfId="3417"/>
    <tableColumn id="8" name="SLG" dataDxfId="3416"/>
    <tableColumn id="9" name="GPA" dataDxfId="3415">
      <calculatedColumnFormula>(SUM((1.8*(T105)),U105)/4)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4" name="Table615" displayName="Table615" ref="X104:AD107" totalsRowShown="0" headerRowDxfId="3414" headerRowBorderDxfId="3413" tableBorderDxfId="3412" totalsRowBorderDxfId="3411">
  <autoFilter ref="X104:AD107"/>
  <tableColumns count="7">
    <tableColumn id="1" name="Vs" dataDxfId="3410"/>
    <tableColumn id="2" name="Inn" dataDxfId="3409"/>
    <tableColumn id="3" name="SB" dataDxfId="3408"/>
    <tableColumn id="4" name="SBA" dataDxfId="3407"/>
    <tableColumn id="5" name="%" dataDxfId="3406">
      <calculatedColumnFormula>(Z105/AA105)</calculatedColumnFormula>
    </tableColumn>
    <tableColumn id="6" name="SB/9" dataDxfId="3405">
      <calculatedColumnFormula>((Z105/Y105)*9)</calculatedColumnFormula>
    </tableColumn>
    <tableColumn id="7" name="SBA/9" dataDxfId="3404">
      <calculatedColumnFormula>((AA105/Y105)*9)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5" name="Table716" displayName="Table716" ref="AF104:AJ107" totalsRowShown="0" headerRowDxfId="3403" headerRowBorderDxfId="3402" tableBorderDxfId="3401" totalsRowBorderDxfId="3400">
  <autoFilter ref="AF104:AJ107"/>
  <tableColumns count="5">
    <tableColumn id="1" name="Loc" dataDxfId="3399"/>
    <tableColumn id="2" name="G" dataDxfId="3398"/>
    <tableColumn id="3" name="AA" dataDxfId="3397"/>
    <tableColumn id="4" name="TA" dataDxfId="3396"/>
    <tableColumn id="5" name="PA" dataDxfId="339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7" name="Table418" displayName="Table418" ref="B121:L124" totalsRowShown="0" headerRowDxfId="3394" headerRowBorderDxfId="3393" tableBorderDxfId="3392" totalsRowBorderDxfId="3391">
  <autoFilter ref="B121:L124"/>
  <tableColumns count="11">
    <tableColumn id="1" name="#" dataDxfId="3390"/>
    <tableColumn id="2" name="W" dataDxfId="3389"/>
    <tableColumn id="3" name="L" dataDxfId="3388"/>
    <tableColumn id="4" name="IP" dataDxfId="3387"/>
    <tableColumn id="5" name="H" dataDxfId="3386"/>
    <tableColumn id="6" name="R" dataDxfId="3385"/>
    <tableColumn id="7" name="ER" dataDxfId="3384"/>
    <tableColumn id="8" name="BB" dataDxfId="3383"/>
    <tableColumn id="9" name="SO" dataDxfId="3382"/>
    <tableColumn id="10" name="HR" dataDxfId="3381"/>
    <tableColumn id="11" name="ERA" dataDxfId="3380">
      <calculatedColumnFormula>((H122/E122)*9)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8" name="Table519" displayName="Table519" ref="N121:V131" totalsRowShown="0" headerRowDxfId="3379" headerRowBorderDxfId="3378" tableBorderDxfId="3377" totalsRowBorderDxfId="3376">
  <autoFilter ref="N121:V131"/>
  <tableColumns count="9">
    <tableColumn id="1" name="BP" dataDxfId="3375"/>
    <tableColumn id="2" name="MCS" dataDxfId="3374"/>
    <tableColumn id="3" name="GS" dataDxfId="3373"/>
    <tableColumn id="4" name="R" dataDxfId="3372"/>
    <tableColumn id="5" name="RBI" dataDxfId="3371"/>
    <tableColumn id="6" name="AVG" dataDxfId="3370"/>
    <tableColumn id="7" name="OBP" dataDxfId="3369"/>
    <tableColumn id="8" name="SLG" dataDxfId="3368"/>
    <tableColumn id="9" name="GPA" dataDxfId="3367">
      <calculatedColumnFormula>(SUM((1.8*(T122)),U122)/4)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9" name="Table620" displayName="Table620" ref="X121:AD124" totalsRowShown="0" headerRowDxfId="3366" headerRowBorderDxfId="3365" tableBorderDxfId="3364" totalsRowBorderDxfId="3363">
  <autoFilter ref="X121:AD124"/>
  <tableColumns count="7">
    <tableColumn id="1" name="Vs" dataDxfId="3362"/>
    <tableColumn id="2" name="Inn" dataDxfId="3361"/>
    <tableColumn id="3" name="SB" dataDxfId="3360"/>
    <tableColumn id="4" name="SBA" dataDxfId="3359"/>
    <tableColumn id="5" name="%" dataDxfId="3358">
      <calculatedColumnFormula>(Z122/AA122)</calculatedColumnFormula>
    </tableColumn>
    <tableColumn id="6" name="SB/9" dataDxfId="3357">
      <calculatedColumnFormula>((Z122/Y122)*9)</calculatedColumnFormula>
    </tableColumn>
    <tableColumn id="7" name="SBA/9" dataDxfId="3356">
      <calculatedColumnFormula>((AA122/Y122)*9)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22" name="Table423" displayName="Table423" ref="B19:L34" totalsRowShown="0" headerRowDxfId="3355" headerRowBorderDxfId="3354" tableBorderDxfId="3353" totalsRowBorderDxfId="3352">
  <autoFilter ref="B19:L34"/>
  <tableColumns count="11">
    <tableColumn id="1" name="#" dataDxfId="3351"/>
    <tableColumn id="2" name="W" dataDxfId="3350"/>
    <tableColumn id="3" name="L" dataDxfId="3349"/>
    <tableColumn id="4" name="IP" dataDxfId="3348"/>
    <tableColumn id="5" name="H" dataDxfId="3347"/>
    <tableColumn id="6" name="R" dataDxfId="3346"/>
    <tableColumn id="7" name="ER" dataDxfId="3345"/>
    <tableColumn id="8" name="BB" dataDxfId="3344"/>
    <tableColumn id="9" name="SO" dataDxfId="3343"/>
    <tableColumn id="10" name="HR" dataDxfId="3342"/>
    <tableColumn id="11" name="ERA" dataDxfId="3341">
      <calculatedColumnFormula>((H20/E20)*9)</calculatedColumn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23" name="Table524" displayName="Table524" ref="N19:V29" totalsRowShown="0" headerRowDxfId="3340" headerRowBorderDxfId="3339" tableBorderDxfId="3338" totalsRowBorderDxfId="3337">
  <autoFilter ref="N19:V29"/>
  <tableColumns count="9">
    <tableColumn id="1" name="BP" dataDxfId="3336"/>
    <tableColumn id="2" name="MCS" dataDxfId="3335"/>
    <tableColumn id="3" name="GS" dataDxfId="3334"/>
    <tableColumn id="4" name="R" dataDxfId="3333"/>
    <tableColumn id="5" name="RBI" dataDxfId="3332"/>
    <tableColumn id="6" name="AVG" dataDxfId="3331"/>
    <tableColumn id="7" name="OBP" dataDxfId="3330"/>
    <tableColumn id="8" name="SLG" dataDxfId="3329"/>
    <tableColumn id="9" name="GPA" dataDxfId="3328">
      <calculatedColumnFormula>(SUM((1.8*(T20)),U20)/4)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24" name="Table625" displayName="Table625" ref="X19:AD22" totalsRowShown="0" headerRowDxfId="3327" headerRowBorderDxfId="3326" tableBorderDxfId="3325" totalsRowBorderDxfId="3324">
  <autoFilter ref="X19:AD22"/>
  <tableColumns count="7">
    <tableColumn id="1" name="Vs" dataDxfId="3323"/>
    <tableColumn id="2" name="Inn" dataDxfId="3322"/>
    <tableColumn id="3" name="SB" dataDxfId="3321"/>
    <tableColumn id="4" name="SBA" dataDxfId="3320"/>
    <tableColumn id="5" name="%" dataDxfId="3319">
      <calculatedColumnFormula>(Z20/AA20)</calculatedColumnFormula>
    </tableColumn>
    <tableColumn id="6" name="SB/9" dataDxfId="3318">
      <calculatedColumnFormula>((Z20/Y20)*9)</calculatedColumnFormula>
    </tableColumn>
    <tableColumn id="7" name="SBA/9" dataDxfId="3317">
      <calculatedColumnFormula>((AA20/Y20)*9)</calculatedColumn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25" name="Table726" displayName="Table726" ref="AF19:AJ22" totalsRowShown="0" headerRowDxfId="3316" headerRowBorderDxfId="3315" tableBorderDxfId="3314" totalsRowBorderDxfId="3313">
  <autoFilter ref="AF19:AJ22"/>
  <tableColumns count="5">
    <tableColumn id="1" name="Loc" dataDxfId="3312"/>
    <tableColumn id="2" name="G" dataDxfId="3311"/>
    <tableColumn id="3" name="AA" dataDxfId="3310"/>
    <tableColumn id="4" name="TA" dataDxfId="3309"/>
    <tableColumn id="5" name="PA" dataDxfId="330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Table5" displayName="Table5" ref="N2:V12" totalsRowShown="0" headerRowDxfId="3523" headerRowBorderDxfId="3522" tableBorderDxfId="3521" totalsRowBorderDxfId="3520">
  <autoFilter ref="N2:V12"/>
  <tableColumns count="9">
    <tableColumn id="1" name="BP" dataDxfId="3519"/>
    <tableColumn id="2" name="MCS" dataDxfId="3518"/>
    <tableColumn id="3" name="GS" dataDxfId="3517"/>
    <tableColumn id="4" name="R" dataDxfId="3516"/>
    <tableColumn id="5" name="RBI" dataDxfId="3515"/>
    <tableColumn id="6" name="AVG" dataDxfId="3514"/>
    <tableColumn id="7" name="OBP" dataDxfId="3513"/>
    <tableColumn id="8" name="SLG" dataDxfId="3512"/>
    <tableColumn id="9" name="GPA" dataDxfId="3511">
      <calculatedColumnFormula>(SUM((1.8*(T3)),U3)/4)</calculatedColumnFormula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7" name="Table428" displayName="Table428" ref="B36:L51" totalsRowShown="0" headerRowDxfId="3307" headerRowBorderDxfId="3306" tableBorderDxfId="3305" totalsRowBorderDxfId="3304">
  <autoFilter ref="B36:L51"/>
  <tableColumns count="11">
    <tableColumn id="1" name="#" dataDxfId="3303"/>
    <tableColumn id="2" name="W" dataDxfId="3302"/>
    <tableColumn id="3" name="L" dataDxfId="3301"/>
    <tableColumn id="4" name="IP" dataDxfId="3300"/>
    <tableColumn id="5" name="H" dataDxfId="3299"/>
    <tableColumn id="6" name="R" dataDxfId="3298"/>
    <tableColumn id="7" name="ER" dataDxfId="3297"/>
    <tableColumn id="8" name="BB" dataDxfId="3296"/>
    <tableColumn id="9" name="SO" dataDxfId="3295"/>
    <tableColumn id="10" name="HR" dataDxfId="3294"/>
    <tableColumn id="11" name="ERA" dataDxfId="3293">
      <calculatedColumnFormula>((H37/E37)*9)</calculatedColumnFormula>
    </tableColumn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8" name="Table529" displayName="Table529" ref="N36:V46" totalsRowShown="0" headerRowDxfId="3292" headerRowBorderDxfId="3291" tableBorderDxfId="3290" totalsRowBorderDxfId="3289">
  <autoFilter ref="N36:V46"/>
  <tableColumns count="9">
    <tableColumn id="1" name="BP" dataDxfId="3288"/>
    <tableColumn id="2" name="MCS" dataDxfId="3287"/>
    <tableColumn id="3" name="GS" dataDxfId="3286"/>
    <tableColumn id="4" name="R" dataDxfId="3285"/>
    <tableColumn id="5" name="RBI" dataDxfId="3284"/>
    <tableColumn id="6" name="AVG" dataDxfId="3283"/>
    <tableColumn id="7" name="OBP" dataDxfId="3282"/>
    <tableColumn id="8" name="SLG" dataDxfId="3281"/>
    <tableColumn id="9" name="GPA" dataDxfId="3280">
      <calculatedColumnFormula>(SUM((1.8*(T37)),U37)/4)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29" name="Table630" displayName="Table630" ref="X36:AD39" totalsRowShown="0" headerRowDxfId="3279" headerRowBorderDxfId="3278" tableBorderDxfId="3277" totalsRowBorderDxfId="3276">
  <autoFilter ref="X36:AD39"/>
  <tableColumns count="7">
    <tableColumn id="1" name="Vs" dataDxfId="3275"/>
    <tableColumn id="2" name="Inn" dataDxfId="3274"/>
    <tableColumn id="3" name="SB" dataDxfId="3273"/>
    <tableColumn id="4" name="SBA" dataDxfId="3272"/>
    <tableColumn id="5" name="%" dataDxfId="3271">
      <calculatedColumnFormula>(Z37/AA37)</calculatedColumnFormula>
    </tableColumn>
    <tableColumn id="6" name="SB/9" dataDxfId="3270">
      <calculatedColumnFormula>((Z37/Y37)*9)</calculatedColumnFormula>
    </tableColumn>
    <tableColumn id="7" name="SBA/9" dataDxfId="3269">
      <calculatedColumnFormula>((AA37/Y37)*9)</calculatedColumnFormula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0" name="Table731" displayName="Table731" ref="AF36:AJ39" totalsRowShown="0" headerRowDxfId="3268" headerRowBorderDxfId="3267" tableBorderDxfId="3266" totalsRowBorderDxfId="3265">
  <autoFilter ref="AF36:AJ39"/>
  <tableColumns count="5">
    <tableColumn id="1" name="Loc" dataDxfId="3264"/>
    <tableColumn id="2" name="G" dataDxfId="3263"/>
    <tableColumn id="3" name="AA" dataDxfId="3262"/>
    <tableColumn id="4" name="TA" dataDxfId="3261"/>
    <tableColumn id="5" name="PA" dataDxfId="3260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2" name="Table42833" displayName="Table42833" ref="B53:L68" totalsRowShown="0" headerRowDxfId="3259" headerRowBorderDxfId="3258" tableBorderDxfId="3257" totalsRowBorderDxfId="3256">
  <autoFilter ref="B53:L68"/>
  <tableColumns count="11">
    <tableColumn id="1" name="#" dataDxfId="3255"/>
    <tableColumn id="2" name="W" dataDxfId="3254"/>
    <tableColumn id="3" name="L" dataDxfId="3253"/>
    <tableColumn id="4" name="IP" dataDxfId="3252"/>
    <tableColumn id="5" name="H" dataDxfId="3251"/>
    <tableColumn id="6" name="R" dataDxfId="3250"/>
    <tableColumn id="7" name="ER" dataDxfId="3249"/>
    <tableColumn id="8" name="BB" dataDxfId="3248"/>
    <tableColumn id="9" name="SO" dataDxfId="3247"/>
    <tableColumn id="10" name="HR" dataDxfId="3246"/>
    <tableColumn id="11" name="ERA" dataDxfId="3245">
      <calculatedColumnFormula>((H54/E54)*9)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id="33" name="Table52934" displayName="Table52934" ref="N53:V63" totalsRowShown="0" headerRowDxfId="3244" headerRowBorderDxfId="3243" tableBorderDxfId="3242" totalsRowBorderDxfId="3241">
  <autoFilter ref="N53:V63"/>
  <tableColumns count="9">
    <tableColumn id="1" name="BP" dataDxfId="3240"/>
    <tableColumn id="2" name="MCS" dataDxfId="3239"/>
    <tableColumn id="3" name="GS" dataDxfId="3238"/>
    <tableColumn id="4" name="R" dataDxfId="3237"/>
    <tableColumn id="5" name="RBI" dataDxfId="3236"/>
    <tableColumn id="6" name="AVG" dataDxfId="3235"/>
    <tableColumn id="7" name="OBP" dataDxfId="3234"/>
    <tableColumn id="8" name="SLG" dataDxfId="3233"/>
    <tableColumn id="9" name="GPA" dataDxfId="3232">
      <calculatedColumnFormula>(SUM((1.8*(T54)),U54)/4)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id="34" name="Table63035" displayName="Table63035" ref="X53:AD56" totalsRowShown="0" headerRowDxfId="3231" headerRowBorderDxfId="3230" tableBorderDxfId="3229" totalsRowBorderDxfId="3228">
  <autoFilter ref="X53:AD56"/>
  <tableColumns count="7">
    <tableColumn id="1" name="Vs" dataDxfId="3227"/>
    <tableColumn id="2" name="Inn" dataDxfId="3226"/>
    <tableColumn id="3" name="SB" dataDxfId="3225"/>
    <tableColumn id="4" name="SBA" dataDxfId="3224"/>
    <tableColumn id="5" name="%" dataDxfId="3223">
      <calculatedColumnFormula>(Z54/AA54)</calculatedColumnFormula>
    </tableColumn>
    <tableColumn id="6" name="SB/9" dataDxfId="3222">
      <calculatedColumnFormula>((Z54/Y54)*9)</calculatedColumnFormula>
    </tableColumn>
    <tableColumn id="7" name="SBA/9" dataDxfId="3221">
      <calculatedColumnFormula>((AA54/Y54)*9)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id="35" name="Table73136" displayName="Table73136" ref="AF53:AJ56" totalsRowShown="0" headerRowDxfId="3220" headerRowBorderDxfId="3219" tableBorderDxfId="3218" totalsRowBorderDxfId="3217">
  <autoFilter ref="AF53:AJ56"/>
  <tableColumns count="5">
    <tableColumn id="1" name="Loc" dataDxfId="3216"/>
    <tableColumn id="2" name="G" dataDxfId="3215"/>
    <tableColumn id="3" name="AA" dataDxfId="3214"/>
    <tableColumn id="4" name="TA" dataDxfId="3213"/>
    <tableColumn id="5" name="PA" dataDxfId="3212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id="37" name="Table42838" displayName="Table42838" ref="B70:L85" totalsRowShown="0" headerRowDxfId="3211" headerRowBorderDxfId="3210" tableBorderDxfId="3209" totalsRowBorderDxfId="3208">
  <autoFilter ref="B70:L85"/>
  <tableColumns count="11">
    <tableColumn id="1" name="#" dataDxfId="3207"/>
    <tableColumn id="2" name="W" dataDxfId="3206"/>
    <tableColumn id="3" name="L" dataDxfId="3205"/>
    <tableColumn id="4" name="IP" dataDxfId="3204"/>
    <tableColumn id="5" name="H" dataDxfId="3203"/>
    <tableColumn id="6" name="R" dataDxfId="3202"/>
    <tableColumn id="7" name="ER" dataDxfId="3201"/>
    <tableColumn id="8" name="BB" dataDxfId="3200"/>
    <tableColumn id="9" name="SO" dataDxfId="3199"/>
    <tableColumn id="10" name="HR" dataDxfId="3198"/>
    <tableColumn id="11" name="ERA" dataDxfId="3197">
      <calculatedColumnFormula>((H71/E71)*9)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id="38" name="Table52939" displayName="Table52939" ref="N70:V80" totalsRowShown="0" headerRowDxfId="3196" headerRowBorderDxfId="3195" tableBorderDxfId="3194" totalsRowBorderDxfId="3193">
  <autoFilter ref="N70:V80"/>
  <tableColumns count="9">
    <tableColumn id="1" name="BP" dataDxfId="3192"/>
    <tableColumn id="2" name="MCS" dataDxfId="3191"/>
    <tableColumn id="3" name="GS" dataDxfId="3190"/>
    <tableColumn id="4" name="R" dataDxfId="3189"/>
    <tableColumn id="5" name="RBI" dataDxfId="3188"/>
    <tableColumn id="6" name="AVG" dataDxfId="3187"/>
    <tableColumn id="7" name="OBP" dataDxfId="3186"/>
    <tableColumn id="8" name="SLG" dataDxfId="3185"/>
    <tableColumn id="9" name="GPA" dataDxfId="3184">
      <calculatedColumnFormula>(SUM((1.8*(T71)),U71)/4)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6" displayName="Table6" ref="X2:AD5" totalsRowShown="0" headerRowDxfId="3510" headerRowBorderDxfId="3509" tableBorderDxfId="3508" totalsRowBorderDxfId="3507">
  <autoFilter ref="X2:AD5"/>
  <tableColumns count="7">
    <tableColumn id="1" name="Vs" dataDxfId="3506"/>
    <tableColumn id="2" name="Inn" dataDxfId="3505"/>
    <tableColumn id="3" name="SB" dataDxfId="3504"/>
    <tableColumn id="4" name="SBA" dataDxfId="3503"/>
    <tableColumn id="5" name="%" dataDxfId="3502"/>
    <tableColumn id="6" name="SB/9" dataDxfId="3501"/>
    <tableColumn id="7" name="SBA/9" dataDxfId="3500">
      <calculatedColumnFormula>((AA3/Y3)*9)</calculatedColumnFormula>
    </tableColumn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id="39" name="Table63040" displayName="Table63040" ref="X70:AD73" totalsRowShown="0" headerRowDxfId="3183" headerRowBorderDxfId="3182" tableBorderDxfId="3181" totalsRowBorderDxfId="3180">
  <autoFilter ref="X70:AD73"/>
  <tableColumns count="7">
    <tableColumn id="1" name="Vs" dataDxfId="3179"/>
    <tableColumn id="2" name="Inn" dataDxfId="3178"/>
    <tableColumn id="3" name="SB" dataDxfId="3177"/>
    <tableColumn id="4" name="SBA" dataDxfId="3176"/>
    <tableColumn id="5" name="%" dataDxfId="3175">
      <calculatedColumnFormula>(Z71/AA71)</calculatedColumnFormula>
    </tableColumn>
    <tableColumn id="6" name="SB/9" dataDxfId="3174">
      <calculatedColumnFormula>((Z71/Y71)*9)</calculatedColumnFormula>
    </tableColumn>
    <tableColumn id="7" name="SBA/9" dataDxfId="3173">
      <calculatedColumnFormula>((AA71/Y71)*9)</calculatedColumn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id="40" name="Table73141" displayName="Table73141" ref="AF70:AJ73" totalsRowShown="0" headerRowDxfId="3172" headerRowBorderDxfId="3171" tableBorderDxfId="3170" totalsRowBorderDxfId="3169">
  <autoFilter ref="AF70:AJ73"/>
  <tableColumns count="5">
    <tableColumn id="1" name="Loc" dataDxfId="3168"/>
    <tableColumn id="2" name="G" dataDxfId="3167"/>
    <tableColumn id="3" name="AA" dataDxfId="3166"/>
    <tableColumn id="4" name="TA" dataDxfId="3165"/>
    <tableColumn id="5" name="PA" dataDxfId="3164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id="42" name="Table443" displayName="Table443" ref="B133:L136" totalsRowShown="0" headerRowDxfId="3163" headerRowBorderDxfId="3162" tableBorderDxfId="3161" totalsRowBorderDxfId="3160">
  <autoFilter ref="B133:L136"/>
  <tableColumns count="11">
    <tableColumn id="1" name="#" dataDxfId="3159"/>
    <tableColumn id="2" name="W" dataDxfId="3158"/>
    <tableColumn id="3" name="L" dataDxfId="3157"/>
    <tableColumn id="4" name="IP" dataDxfId="3156"/>
    <tableColumn id="5" name="H" dataDxfId="3155"/>
    <tableColumn id="6" name="R" dataDxfId="3154"/>
    <tableColumn id="7" name="ER" dataDxfId="3153"/>
    <tableColumn id="8" name="BB" dataDxfId="3152"/>
    <tableColumn id="9" name="SO" dataDxfId="3151"/>
    <tableColumn id="10" name="HR" dataDxfId="3150"/>
    <tableColumn id="11" name="ERA" dataDxfId="3149">
      <calculatedColumnFormula>((H134/E134)*9)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id="43" name="Table544" displayName="Table544" ref="N133:V143" totalsRowShown="0" headerRowDxfId="3148" headerRowBorderDxfId="3147" tableBorderDxfId="3146" totalsRowBorderDxfId="3145">
  <autoFilter ref="N133:V143"/>
  <tableColumns count="9">
    <tableColumn id="1" name="BP" dataDxfId="3144"/>
    <tableColumn id="2" name="MCS" dataDxfId="3143"/>
    <tableColumn id="3" name="GS" dataDxfId="3142"/>
    <tableColumn id="4" name="R" dataDxfId="3141"/>
    <tableColumn id="5" name="RBI" dataDxfId="3140"/>
    <tableColumn id="6" name="AVG" dataDxfId="3139"/>
    <tableColumn id="7" name="OBP" dataDxfId="3138"/>
    <tableColumn id="8" name="SLG" dataDxfId="3137"/>
    <tableColumn id="9" name="GPA" dataDxfId="3136">
      <calculatedColumnFormula>(SUM((1.8*(T134)),U134)/4)</calculatedColumnFormula>
    </tableColumn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id="44" name="Table645" displayName="Table645" ref="X133:AD136" totalsRowShown="0" headerRowDxfId="3135" headerRowBorderDxfId="3134" tableBorderDxfId="3133" totalsRowBorderDxfId="3132">
  <autoFilter ref="X133:AD136"/>
  <tableColumns count="7">
    <tableColumn id="1" name="Column1" dataDxfId="3131"/>
    <tableColumn id="2" name="Inn" dataDxfId="3130"/>
    <tableColumn id="3" name="SB" dataDxfId="3129"/>
    <tableColumn id="4" name="SBA" dataDxfId="3128"/>
    <tableColumn id="5" name="%" dataDxfId="3127">
      <calculatedColumnFormula>(Z134/AA134)</calculatedColumnFormula>
    </tableColumn>
    <tableColumn id="6" name="SB/9" dataDxfId="3126">
      <calculatedColumnFormula>((Z134/Y134)*9)</calculatedColumnFormula>
    </tableColumn>
    <tableColumn id="7" name="SBA/9" dataDxfId="3125">
      <calculatedColumnFormula>((AA134/Y134)*9)</calculatedColumn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id="1" name="Table1" displayName="Table1" ref="A3:GM171" totalsRowCount="1" headerRowDxfId="3124" dataDxfId="3123" totalsRowDxfId="3122">
  <autoFilter ref="A3:GM170"/>
  <tableColumns count="195">
    <tableColumn id="2" name="Date" totalsRowFunction="count" dataDxfId="3121" totalsRowDxfId="194"/>
    <tableColumn id="126" name="Loc" dataDxfId="3120" totalsRowDxfId="193"/>
    <tableColumn id="125" name="Res" dataDxfId="3119" totalsRowDxfId="192"/>
    <tableColumn id="124" name="Opp" dataDxfId="3118" totalsRowDxfId="191"/>
    <tableColumn id="133" name="Att" totalsRowFunction="sum" dataDxfId="3117" totalsRowDxfId="190"/>
    <tableColumn id="195" name="Time" totalsRowFunction="average" dataDxfId="3116" totalsRowDxfId="189"/>
    <tableColumn id="160" name="PS" dataDxfId="3115" totalsRowDxfId="188"/>
    <tableColumn id="1" name="Pitcher" totalsRowLabel="Total" dataDxfId="3114" totalsRowDxfId="187"/>
    <tableColumn id="26" name="S-W" totalsRowFunction="sum" dataDxfId="3113" totalsRowDxfId="186"/>
    <tableColumn id="25" name="S-L" totalsRowFunction="sum" dataDxfId="3112" totalsRowDxfId="185"/>
    <tableColumn id="3" name="S-IP" totalsRowFunction="sum" dataDxfId="3111" totalsRowDxfId="184"/>
    <tableColumn id="4" name="S-H" totalsRowFunction="sum" dataDxfId="3110" totalsRowDxfId="183"/>
    <tableColumn id="5" name="S-R" totalsRowFunction="sum" dataDxfId="3109" totalsRowDxfId="182"/>
    <tableColumn id="6" name="S-ER" totalsRowFunction="sum" dataDxfId="3108" totalsRowDxfId="181"/>
    <tableColumn id="7" name="S-BB" totalsRowFunction="sum" dataDxfId="3107" totalsRowDxfId="180"/>
    <tableColumn id="8" name="S-SO" totalsRowFunction="sum" dataDxfId="3106" totalsRowDxfId="179"/>
    <tableColumn id="9" name="S-HR" totalsRowFunction="sum" dataDxfId="3105" totalsRowDxfId="178"/>
    <tableColumn id="10" name="S-HBP" totalsRowFunction="sum" dataDxfId="3104" totalsRowDxfId="177"/>
    <tableColumn id="11" name="S-BF" totalsRowFunction="sum" dataDxfId="3103" totalsRowDxfId="176"/>
    <tableColumn id="12" name="S-Pit" totalsRowFunction="sum" dataDxfId="3102" totalsRowDxfId="175"/>
    <tableColumn id="13" name="S-Str" totalsRowFunction="sum" dataDxfId="3101" totalsRowDxfId="174"/>
    <tableColumn id="32" name="IRL" totalsRowFunction="sum" dataDxfId="3100" totalsRowDxfId="173"/>
    <tableColumn id="33" name="IRS" totalsRowFunction="sum" dataDxfId="3099" totalsRowDxfId="172"/>
    <tableColumn id="29" name="B-W" totalsRowFunction="sum" dataDxfId="3098" totalsRowDxfId="171"/>
    <tableColumn id="31" name="B-L" totalsRowFunction="sum" dataDxfId="3097" totalsRowDxfId="170"/>
    <tableColumn id="30" name="Hld" totalsRowFunction="sum" dataDxfId="3096" totalsRowDxfId="169"/>
    <tableColumn id="28" name="Sv" totalsRowFunction="sum" dataDxfId="3095" totalsRowDxfId="168"/>
    <tableColumn id="27" name="BS" totalsRowFunction="sum" dataDxfId="3094" totalsRowDxfId="167"/>
    <tableColumn id="14" name="B-IP" totalsRowFunction="sum" dataDxfId="3093" totalsRowDxfId="166"/>
    <tableColumn id="15" name="B-H" totalsRowFunction="sum" dataDxfId="3092" totalsRowDxfId="165"/>
    <tableColumn id="16" name="B-R" totalsRowFunction="sum" dataDxfId="3091" totalsRowDxfId="164"/>
    <tableColumn id="17" name="B-ER" totalsRowFunction="sum" dataDxfId="3090" totalsRowDxfId="163"/>
    <tableColumn id="18" name="B-BB" totalsRowFunction="sum" dataDxfId="3089" totalsRowDxfId="162"/>
    <tableColumn id="19" name="B-SO" totalsRowFunction="sum" dataDxfId="3088" totalsRowDxfId="161"/>
    <tableColumn id="20" name="B-HR" totalsRowFunction="sum" dataDxfId="3087" totalsRowDxfId="160"/>
    <tableColumn id="21" name="B-HBP" totalsRowFunction="sum" dataDxfId="3086" totalsRowDxfId="159"/>
    <tableColumn id="22" name="B-BF" totalsRowFunction="sum" dataDxfId="3085" totalsRowDxfId="158"/>
    <tableColumn id="23" name="B-Pit" totalsRowFunction="sum" dataDxfId="3084" totalsRowDxfId="157"/>
    <tableColumn id="24" name="B-Str" totalsRowFunction="sum" dataDxfId="3083" totalsRowDxfId="156"/>
    <tableColumn id="34" name="Starter1" totalsRowFunction="custom" dataDxfId="3082" totalsRowDxfId="155" dataCellStyle="Normal 2">
      <totalsRowFormula>INDEX(Table1[Starter1],MODE(MATCH(Table1[Starter1],Table1[Starter1],0)))</totalsRowFormula>
    </tableColumn>
    <tableColumn id="35" name="AB1" totalsRowFunction="sum" dataDxfId="3081" totalsRowDxfId="154" dataCellStyle="Normal 2"/>
    <tableColumn id="36" name="R1" totalsRowFunction="sum" dataDxfId="3080" totalsRowDxfId="153" dataCellStyle="Normal 2"/>
    <tableColumn id="37" name="H1" totalsRowFunction="sum" dataDxfId="3079" totalsRowDxfId="152" dataCellStyle="Normal 2"/>
    <tableColumn id="38" name="RBI1" totalsRowFunction="sum" dataDxfId="3078" totalsRowDxfId="151" dataCellStyle="Normal 2"/>
    <tableColumn id="39" name="BB1" totalsRowFunction="sum" dataDxfId="3077" totalsRowDxfId="150" dataCellStyle="Normal 2"/>
    <tableColumn id="40" name="SO1" totalsRowFunction="sum" dataDxfId="3076" totalsRowDxfId="149" dataCellStyle="Normal 2"/>
    <tableColumn id="41" name="HBP1" totalsRowFunction="sum" dataDxfId="3075" totalsRowDxfId="148" dataCellStyle="Normal 2"/>
    <tableColumn id="42" name="SF1" totalsRowFunction="sum" dataDxfId="3074" totalsRowDxfId="147" dataCellStyle="Normal 2"/>
    <tableColumn id="43" name="TB1" totalsRowFunction="sum" dataDxfId="3073" totalsRowDxfId="146" dataCellStyle="Normal 2"/>
    <tableColumn id="44" name="Starter2" totalsRowFunction="custom" dataDxfId="3072" totalsRowDxfId="145" dataCellStyle="Normal 2">
      <totalsRowFormula>INDEX(Table1[Starter2],MODE(MATCH(Table1[Starter2],Table1[Starter2],0)))</totalsRowFormula>
    </tableColumn>
    <tableColumn id="45" name="AB2" totalsRowFunction="sum" dataDxfId="3071" totalsRowDxfId="144" dataCellStyle="Normal 2"/>
    <tableColumn id="46" name="R2" totalsRowFunction="sum" dataDxfId="3070" totalsRowDxfId="143" dataCellStyle="Normal 2"/>
    <tableColumn id="47" name="H2" totalsRowFunction="sum" dataDxfId="3069" totalsRowDxfId="142" dataCellStyle="Normal 2"/>
    <tableColumn id="48" name="RBI2" totalsRowFunction="sum" dataDxfId="3068" totalsRowDxfId="141" dataCellStyle="Normal 2"/>
    <tableColumn id="49" name="BB2" totalsRowFunction="sum" dataDxfId="3067" totalsRowDxfId="140" dataCellStyle="Normal 2"/>
    <tableColumn id="50" name="SO2" totalsRowFunction="sum" dataDxfId="3066" totalsRowDxfId="139" dataCellStyle="Normal 2"/>
    <tableColumn id="51" name="HBP2" totalsRowFunction="sum" dataDxfId="3065" totalsRowDxfId="138" dataCellStyle="Normal 2"/>
    <tableColumn id="52" name="SF2" totalsRowFunction="sum" dataDxfId="3064" totalsRowDxfId="137" dataCellStyle="Normal 2"/>
    <tableColumn id="53" name="TB2" totalsRowFunction="sum" dataDxfId="3063" totalsRowDxfId="136" dataCellStyle="Normal 2"/>
    <tableColumn id="54" name="Starter3" totalsRowFunction="custom" dataDxfId="3062" totalsRowDxfId="135" dataCellStyle="Normal 2">
      <totalsRowFormula>INDEX(Table1[Starter3],MODE(MATCH(Table1[Starter3],Table1[Starter3],0)))</totalsRowFormula>
    </tableColumn>
    <tableColumn id="55" name="AB3" totalsRowFunction="sum" dataDxfId="3061" totalsRowDxfId="134" dataCellStyle="Normal 2"/>
    <tableColumn id="56" name="R3" totalsRowFunction="sum" dataDxfId="3060" totalsRowDxfId="133" dataCellStyle="Normal 2"/>
    <tableColumn id="57" name="H3" totalsRowFunction="sum" dataDxfId="3059" totalsRowDxfId="132" dataCellStyle="Normal 2"/>
    <tableColumn id="58" name="RBI3" totalsRowFunction="sum" dataDxfId="3058" totalsRowDxfId="131" dataCellStyle="Normal 2"/>
    <tableColumn id="59" name="BB3" totalsRowFunction="sum" dataDxfId="3057" totalsRowDxfId="130" dataCellStyle="Normal 2"/>
    <tableColumn id="60" name="SO3" totalsRowFunction="sum" dataDxfId="3056" totalsRowDxfId="129" dataCellStyle="Normal 2"/>
    <tableColumn id="61" name="HBP3" totalsRowFunction="sum" dataDxfId="3055" totalsRowDxfId="128" dataCellStyle="Normal 2"/>
    <tableColumn id="62" name="SF3" totalsRowFunction="sum" dataDxfId="3054" totalsRowDxfId="127" dataCellStyle="Normal 2"/>
    <tableColumn id="63" name="TB3" totalsRowFunction="sum" dataDxfId="3053" totalsRowDxfId="126" dataCellStyle="Normal 2"/>
    <tableColumn id="64" name="Starter4" totalsRowFunction="custom" dataDxfId="3052" totalsRowDxfId="125" dataCellStyle="Normal 2">
      <totalsRowFormula>INDEX(Table1[Starter4],MODE(MATCH(Table1[Starter4],Table1[Starter4],0)))</totalsRowFormula>
    </tableColumn>
    <tableColumn id="65" name="AB4" totalsRowFunction="sum" dataDxfId="3051" totalsRowDxfId="124" dataCellStyle="Normal 2"/>
    <tableColumn id="66" name="R4" totalsRowFunction="sum" dataDxfId="3050" totalsRowDxfId="123" dataCellStyle="Normal 2"/>
    <tableColumn id="67" name="H4" totalsRowFunction="sum" dataDxfId="3049" totalsRowDxfId="122" dataCellStyle="Normal 2"/>
    <tableColumn id="68" name="RBI4" totalsRowFunction="sum" dataDxfId="3048" totalsRowDxfId="121" dataCellStyle="Normal 2"/>
    <tableColumn id="69" name="BB4" totalsRowFunction="sum" dataDxfId="3047" totalsRowDxfId="120" dataCellStyle="Normal 2"/>
    <tableColumn id="70" name="SO4" totalsRowFunction="sum" dataDxfId="3046" totalsRowDxfId="119" dataCellStyle="Normal 2"/>
    <tableColumn id="71" name="HBP4" totalsRowFunction="sum" dataDxfId="3045" totalsRowDxfId="118" dataCellStyle="Normal 2"/>
    <tableColumn id="72" name="SF4" totalsRowFunction="sum" dataDxfId="3044" totalsRowDxfId="117" dataCellStyle="Normal 2"/>
    <tableColumn id="73" name="TB4" totalsRowFunction="sum" dataDxfId="3043" totalsRowDxfId="116" dataCellStyle="Normal 2"/>
    <tableColumn id="74" name="Starter5" totalsRowFunction="custom" dataDxfId="3042" totalsRowDxfId="115" dataCellStyle="Normal 2">
      <totalsRowFormula>INDEX(Table1[Starter5],MODE(MATCH(Table1[Starter5],Table1[Starter5],0)))</totalsRowFormula>
    </tableColumn>
    <tableColumn id="75" name="AB5" totalsRowFunction="sum" dataDxfId="3041" totalsRowDxfId="114" dataCellStyle="Normal 2"/>
    <tableColumn id="76" name="R5" totalsRowFunction="sum" dataDxfId="3040" totalsRowDxfId="113" dataCellStyle="Normal 2"/>
    <tableColumn id="77" name="H5" totalsRowFunction="sum" dataDxfId="3039" totalsRowDxfId="112" dataCellStyle="Normal 2"/>
    <tableColumn id="78" name="RBI5" totalsRowFunction="sum" dataDxfId="3038" totalsRowDxfId="111" dataCellStyle="Normal 2"/>
    <tableColumn id="79" name="BB5" totalsRowFunction="sum" dataDxfId="3037" totalsRowDxfId="110" dataCellStyle="Normal 2"/>
    <tableColumn id="80" name="SO5" totalsRowFunction="sum" dataDxfId="3036" totalsRowDxfId="109" dataCellStyle="Normal 2"/>
    <tableColumn id="81" name="HBP5" totalsRowFunction="sum" dataDxfId="3035" totalsRowDxfId="108" dataCellStyle="Normal 2"/>
    <tableColumn id="82" name="SF5" totalsRowFunction="sum" dataDxfId="3034" totalsRowDxfId="107" dataCellStyle="Normal 2"/>
    <tableColumn id="83" name="TB5" totalsRowFunction="sum" dataDxfId="3033" totalsRowDxfId="106" dataCellStyle="Normal 2"/>
    <tableColumn id="84" name="Starter6" totalsRowFunction="custom" dataDxfId="3032" totalsRowDxfId="105" dataCellStyle="Normal 2">
      <totalsRowFormula>INDEX(Table1[Starter6],MODE(MATCH(Table1[Starter6],Table1[Starter6],0)))</totalsRowFormula>
    </tableColumn>
    <tableColumn id="85" name="AB6" totalsRowFunction="sum" dataDxfId="3031" totalsRowDxfId="104" dataCellStyle="Normal 2"/>
    <tableColumn id="86" name="R6" totalsRowFunction="sum" dataDxfId="3030" totalsRowDxfId="103" dataCellStyle="Normal 2"/>
    <tableColumn id="87" name="H6" totalsRowFunction="sum" dataDxfId="3029" totalsRowDxfId="102" dataCellStyle="Normal 2"/>
    <tableColumn id="88" name="RBI6" totalsRowFunction="sum" dataDxfId="3028" totalsRowDxfId="101" dataCellStyle="Normal 2"/>
    <tableColumn id="89" name="BB6" totalsRowFunction="sum" dataDxfId="3027" totalsRowDxfId="100" dataCellStyle="Normal 2"/>
    <tableColumn id="90" name="SO6" totalsRowFunction="sum" dataDxfId="3026" totalsRowDxfId="99" dataCellStyle="Normal 2"/>
    <tableColumn id="91" name="HBP6" totalsRowFunction="sum" dataDxfId="3025" totalsRowDxfId="98" dataCellStyle="Normal 2"/>
    <tableColumn id="92" name="SF6" totalsRowFunction="sum" dataDxfId="3024" totalsRowDxfId="97" dataCellStyle="Normal 2"/>
    <tableColumn id="93" name="TB6" totalsRowFunction="sum" dataDxfId="3023" totalsRowDxfId="96" dataCellStyle="Normal 2"/>
    <tableColumn id="94" name="Starter7" totalsRowFunction="custom" dataDxfId="3022" totalsRowDxfId="95" dataCellStyle="Normal 2">
      <totalsRowFormula>INDEX(Table1[Starter7],MODE(MATCH(Table1[Starter7],Table1[Starter7],0)))</totalsRowFormula>
    </tableColumn>
    <tableColumn id="95" name="AB7" totalsRowFunction="sum" dataDxfId="3021" totalsRowDxfId="94" dataCellStyle="Normal 2"/>
    <tableColumn id="96" name="R7" totalsRowFunction="sum" dataDxfId="3020" totalsRowDxfId="93" dataCellStyle="Normal 2"/>
    <tableColumn id="97" name="H7" totalsRowFunction="sum" dataDxfId="3019" totalsRowDxfId="92" dataCellStyle="Normal 2"/>
    <tableColumn id="98" name="RBI7" totalsRowFunction="sum" dataDxfId="3018" totalsRowDxfId="91" dataCellStyle="Normal 2"/>
    <tableColumn id="99" name="BB7" totalsRowFunction="sum" dataDxfId="3017" totalsRowDxfId="90" dataCellStyle="Normal 2"/>
    <tableColumn id="100" name="SO7" totalsRowFunction="sum" dataDxfId="3016" totalsRowDxfId="89" dataCellStyle="Normal 2"/>
    <tableColumn id="101" name="HBP7" totalsRowFunction="sum" dataDxfId="3015" totalsRowDxfId="88" dataCellStyle="Normal 2"/>
    <tableColumn id="102" name="SF7" totalsRowFunction="sum" dataDxfId="3014" totalsRowDxfId="87" dataCellStyle="Normal 2"/>
    <tableColumn id="103" name="TB7" totalsRowFunction="sum" dataDxfId="3013" totalsRowDxfId="86" dataCellStyle="Normal 2"/>
    <tableColumn id="104" name="Starter8" totalsRowFunction="custom" dataDxfId="3012" totalsRowDxfId="85" dataCellStyle="Normal 2">
      <totalsRowFormula>INDEX(Table1[Starter8],MODE(MATCH(Table1[Starter8],Table1[Starter8],0)))</totalsRowFormula>
    </tableColumn>
    <tableColumn id="105" name="AB8" totalsRowFunction="sum" dataDxfId="3011" totalsRowDxfId="84" dataCellStyle="Normal 2"/>
    <tableColumn id="106" name="R8" totalsRowFunction="sum" dataDxfId="3010" totalsRowDxfId="83" dataCellStyle="Normal 2"/>
    <tableColumn id="107" name="H8" totalsRowFunction="sum" dataDxfId="3009" totalsRowDxfId="82" dataCellStyle="Normal 2"/>
    <tableColumn id="108" name="RBI8" totalsRowFunction="sum" dataDxfId="3008" totalsRowDxfId="81" dataCellStyle="Normal 2"/>
    <tableColumn id="109" name="BB8" totalsRowFunction="sum" dataDxfId="3007" totalsRowDxfId="80" dataCellStyle="Normal 2"/>
    <tableColumn id="110" name="SO8" totalsRowFunction="sum" dataDxfId="3006" totalsRowDxfId="79" dataCellStyle="Normal 2"/>
    <tableColumn id="111" name="HBP8" totalsRowFunction="sum" dataDxfId="3005" totalsRowDxfId="78" dataCellStyle="Normal 2"/>
    <tableColumn id="112" name="SF8" totalsRowFunction="sum" dataDxfId="3004" totalsRowDxfId="77" dataCellStyle="Normal 2"/>
    <tableColumn id="113" name="TB8" totalsRowFunction="sum" dataDxfId="3003" totalsRowDxfId="76" dataCellStyle="Normal 2"/>
    <tableColumn id="114" name="Starter9" totalsRowFunction="custom" dataDxfId="3002" totalsRowDxfId="75" dataCellStyle="Normal 2">
      <totalsRowFormula>INDEX(Table1[Starter9],MODE(MATCH(Table1[Starter9],Table1[Starter9],0)))</totalsRowFormula>
    </tableColumn>
    <tableColumn id="115" name="AB9" totalsRowFunction="sum" dataDxfId="3001" totalsRowDxfId="74" dataCellStyle="Normal 2"/>
    <tableColumn id="116" name="R9" totalsRowFunction="sum" dataDxfId="3000" totalsRowDxfId="73" dataCellStyle="Normal 2"/>
    <tableColumn id="117" name="H9" totalsRowFunction="sum" dataDxfId="2999" totalsRowDxfId="72" dataCellStyle="Normal 2"/>
    <tableColumn id="118" name="RBI9" totalsRowFunction="sum" dataDxfId="2998" totalsRowDxfId="71" dataCellStyle="Normal 2"/>
    <tableColumn id="119" name="BB9" totalsRowFunction="sum" dataDxfId="2997" totalsRowDxfId="70" dataCellStyle="Normal 2"/>
    <tableColumn id="120" name="SO9" totalsRowFunction="sum" dataDxfId="2996" totalsRowDxfId="69" dataCellStyle="Normal 2"/>
    <tableColumn id="121" name="HBP9" totalsRowFunction="sum" dataDxfId="2995" totalsRowDxfId="68" dataCellStyle="Normal 2"/>
    <tableColumn id="122" name="SF9" totalsRowFunction="sum" dataDxfId="2994" totalsRowDxfId="67" dataCellStyle="Normal 2"/>
    <tableColumn id="123" name="TB9" totalsRowFunction="sum" dataDxfId="2993" totalsRowDxfId="66" dataCellStyle="Normal 2"/>
    <tableColumn id="127" name="IVL" totalsRowFunction="sum" dataDxfId="2992" totalsRowDxfId="65" dataCellStyle="Normal 2"/>
    <tableColumn id="128" name="SVL" totalsRowFunction="sum" dataDxfId="2991" totalsRowDxfId="64" dataCellStyle="Normal 2"/>
    <tableColumn id="129" name="CVL" totalsRowFunction="sum" dataDxfId="2990" totalsRowDxfId="63" dataCellStyle="Normal 2"/>
    <tableColumn id="130" name="IVR" totalsRowFunction="sum" dataDxfId="2989" totalsRowDxfId="62" dataCellStyle="Normal 2"/>
    <tableColumn id="131" name="SVR" totalsRowFunction="sum" dataDxfId="2988" totalsRowDxfId="61" dataCellStyle="Normal 2"/>
    <tableColumn id="132" name="CVR" totalsRowFunction="sum" dataDxfId="2987" totalsRowDxfId="60" dataCellStyle="Normal 2"/>
    <tableColumn id="134" name="RI1" totalsRowFunction="sum" dataDxfId="2986" totalsRowDxfId="59" dataCellStyle="Normal 2"/>
    <tableColumn id="135" name="RI2" totalsRowFunction="sum" dataDxfId="2985" totalsRowDxfId="58" dataCellStyle="Normal 2"/>
    <tableColumn id="136" name="RI3" totalsRowFunction="sum" dataDxfId="2984" totalsRowDxfId="57" dataCellStyle="Normal 2"/>
    <tableColumn id="137" name="RI4" totalsRowFunction="sum" dataDxfId="2983" totalsRowDxfId="56" dataCellStyle="Normal 2"/>
    <tableColumn id="138" name="RI5" totalsRowFunction="sum" dataDxfId="2982" totalsRowDxfId="55" dataCellStyle="Normal 2"/>
    <tableColumn id="139" name="RI6" totalsRowFunction="sum" dataDxfId="2981" totalsRowDxfId="54" dataCellStyle="Normal 2"/>
    <tableColumn id="140" name="RI7" totalsRowFunction="sum" dataDxfId="2980" totalsRowDxfId="53" dataCellStyle="Normal 2"/>
    <tableColumn id="141" name="RI8" totalsRowFunction="sum" dataDxfId="2979" totalsRowDxfId="52" dataCellStyle="Normal 2"/>
    <tableColumn id="142" name="RI9" totalsRowFunction="sum" dataDxfId="2978" totalsRowDxfId="51" dataCellStyle="Normal 2"/>
    <tableColumn id="143" name="RI10" totalsRowFunction="sum" dataDxfId="2977" totalsRowDxfId="50" dataCellStyle="Normal 2"/>
    <tableColumn id="144" name="RI11" totalsRowFunction="sum" dataDxfId="2976" totalsRowDxfId="49" dataCellStyle="Normal 2"/>
    <tableColumn id="145" name="RI12" totalsRowFunction="sum" dataDxfId="2975" totalsRowDxfId="48" dataCellStyle="Normal 2"/>
    <tableColumn id="183" name="RI13" totalsRowFunction="sum" dataDxfId="2974" totalsRowDxfId="47" dataCellStyle="Normal 2"/>
    <tableColumn id="146" name="RT" totalsRowFunction="sum" dataDxfId="2973" totalsRowDxfId="46" dataCellStyle="Normal 2">
      <calculatedColumnFormula>SUM(EF4:ER4)</calculatedColumnFormula>
    </tableColumn>
    <tableColumn id="147" name="OI1" totalsRowFunction="sum" dataDxfId="2972" totalsRowDxfId="45" dataCellStyle="Normal 2"/>
    <tableColumn id="148" name="OI2" totalsRowFunction="sum" dataDxfId="2971" totalsRowDxfId="44" dataCellStyle="Normal 2"/>
    <tableColumn id="149" name="OI3" totalsRowFunction="sum" dataDxfId="2970" totalsRowDxfId="43" dataCellStyle="Normal 2"/>
    <tableColumn id="150" name="OI4" totalsRowFunction="sum" dataDxfId="2969" totalsRowDxfId="42" dataCellStyle="Normal 2"/>
    <tableColumn id="151" name="OI5" totalsRowFunction="sum" dataDxfId="2968" totalsRowDxfId="41" dataCellStyle="Normal 2"/>
    <tableColumn id="152" name="OI6" totalsRowFunction="sum" dataDxfId="2967" totalsRowDxfId="40" dataCellStyle="Normal 2"/>
    <tableColumn id="153" name="OI7" totalsRowFunction="sum" dataDxfId="2966" totalsRowDxfId="39" dataCellStyle="Normal 2"/>
    <tableColumn id="154" name="OI8" totalsRowFunction="sum" dataDxfId="2965" totalsRowDxfId="38" dataCellStyle="Normal 2"/>
    <tableColumn id="155" name="OI9" totalsRowFunction="sum" dataDxfId="2964" totalsRowDxfId="37" dataCellStyle="Normal 2"/>
    <tableColumn id="156" name="OI10" totalsRowFunction="sum" dataDxfId="2963" totalsRowDxfId="36" dataCellStyle="Normal 2"/>
    <tableColumn id="157" name="OI11" totalsRowFunction="sum" dataDxfId="2962" totalsRowDxfId="35" dataCellStyle="Normal 2"/>
    <tableColumn id="158" name="OI12" totalsRowFunction="sum" dataDxfId="2961" totalsRowDxfId="34" dataCellStyle="Normal 2"/>
    <tableColumn id="184" name="OI13" totalsRowFunction="sum" dataDxfId="2960" totalsRowDxfId="33" dataCellStyle="Normal 2"/>
    <tableColumn id="159" name="OT" totalsRowFunction="sum" dataDxfId="2959" totalsRowDxfId="32" dataCellStyle="Normal 2">
      <calculatedColumnFormula>SUM(ET4:FF4)</calculatedColumnFormula>
    </tableColumn>
    <tableColumn id="169" name="RTAB" totalsRowFunction="sum" dataDxfId="2958" totalsRowDxfId="31" dataCellStyle="Normal 2"/>
    <tableColumn id="168" name="RTR" totalsRowFunction="sum" dataDxfId="2957" totalsRowDxfId="30" dataCellStyle="Normal 2"/>
    <tableColumn id="167" name="RTH" totalsRowFunction="sum" dataDxfId="2956" totalsRowDxfId="29" dataCellStyle="Normal 2"/>
    <tableColumn id="166" name="RTBI" totalsRowFunction="sum" dataDxfId="2955" totalsRowDxfId="28" dataCellStyle="Normal 2"/>
    <tableColumn id="165" name="RTBB" totalsRowFunction="sum" dataDxfId="2954" totalsRowDxfId="27" dataCellStyle="Normal 2"/>
    <tableColumn id="164" name="RTSO" totalsRowFunction="sum" dataDxfId="2953" totalsRowDxfId="26" dataCellStyle="Normal 2"/>
    <tableColumn id="161" name="RRAisORS" dataDxfId="2952" totalsRowDxfId="25" dataCellStyle="Normal 2">
      <calculatedColumnFormula>((SUM(M4,AE4))-(FG4))</calculatedColumnFormula>
    </tableColumn>
    <tableColumn id="162" name="ORAisRRS" dataDxfId="2951" totalsRowDxfId="24" dataCellStyle="Normal 2">
      <calculatedColumnFormula>((SUM(AP4,AZ4,BJ4,BT4,CD4,CN4,CX4,DH4,DR4))-(ES4))</calculatedColumnFormula>
    </tableColumn>
    <tableColumn id="191" name="RABE" dataDxfId="2950" totalsRowDxfId="23" dataCellStyle="Normal 2">
      <calculatedColumnFormula>((SUM(AO4,AY4,BI4,BS4,CC4,CM4,CW4,DG4,DQ4))-(FH4))</calculatedColumnFormula>
    </tableColumn>
    <tableColumn id="190" name="RRE" dataDxfId="2949" totalsRowDxfId="22" dataCellStyle="Normal 2">
      <calculatedColumnFormula>((SUM(AP4,AZ4,BJ4,BT4,CD4,CN4,CX4,DH4,DR4))-(FI4))</calculatedColumnFormula>
    </tableColumn>
    <tableColumn id="189" name="RHE" dataDxfId="2948" totalsRowDxfId="21" dataCellStyle="Normal 2">
      <calculatedColumnFormula>((SUM(AQ4,BA4,BK4,BU4,CE4,CO4,CY4,DI4,DS4))-(FJ4))</calculatedColumnFormula>
    </tableColumn>
    <tableColumn id="188" name="RBIE" dataDxfId="2947" totalsRowDxfId="20" dataCellStyle="Normal 2">
      <calculatedColumnFormula>((SUM(AR4,BB4,BL4,BV4,CF4,CP4,CZ4,DJ4,DT4))-(FK4))</calculatedColumnFormula>
    </tableColumn>
    <tableColumn id="187" name="RBBE" dataDxfId="2946" totalsRowDxfId="19" dataCellStyle="Normal 2">
      <calculatedColumnFormula>((SUM(AS4,BC4,BM4,BW4,CG4,CQ4,DA4,DK4,DU4))-(FL4))</calculatedColumnFormula>
    </tableColumn>
    <tableColumn id="186" name="RSOE" dataDxfId="2945" totalsRowDxfId="18" dataCellStyle="Normal 2">
      <calculatedColumnFormula>((SUM(AT4,BD4,BN4,BX4,CH4,CR4,DB4,DL4,DV4))-(FM4))</calculatedColumnFormula>
    </tableColumn>
    <tableColumn id="172" name="RD1" totalsRowFunction="sum" dataDxfId="2944" totalsRowDxfId="17" dataCellStyle="Normal 2">
      <calculatedColumnFormula>(EF4-ET4)</calculatedColumnFormula>
    </tableColumn>
    <tableColumn id="175" name="RD2" totalsRowFunction="sum" dataDxfId="2943" totalsRowDxfId="16" dataCellStyle="Normal 2">
      <calculatedColumnFormula>(EG4-EU4)</calculatedColumnFormula>
    </tableColumn>
    <tableColumn id="181" name="RD3" totalsRowFunction="sum" dataDxfId="2942" totalsRowDxfId="15" dataCellStyle="Normal 2">
      <calculatedColumnFormula>(EH4-EV4)</calculatedColumnFormula>
    </tableColumn>
    <tableColumn id="180" name="RD4" totalsRowFunction="sum" dataDxfId="2941" totalsRowDxfId="14" dataCellStyle="Normal 2">
      <calculatedColumnFormula>(EI4-EW4)</calculatedColumnFormula>
    </tableColumn>
    <tableColumn id="179" name="RD5" totalsRowFunction="sum" dataDxfId="2940" totalsRowDxfId="13" dataCellStyle="Normal 2">
      <calculatedColumnFormula>(EJ4-EX4)</calculatedColumnFormula>
    </tableColumn>
    <tableColumn id="178" name="RD6" totalsRowFunction="sum" dataDxfId="2939" totalsRowDxfId="12" dataCellStyle="Normal 2">
      <calculatedColumnFormula>(EK4-EY4)</calculatedColumnFormula>
    </tableColumn>
    <tableColumn id="177" name="RD7" totalsRowFunction="sum" dataDxfId="2938" totalsRowDxfId="11" dataCellStyle="Normal 2">
      <calculatedColumnFormula>(EL4-EZ4)</calculatedColumnFormula>
    </tableColumn>
    <tableColumn id="176" name="RD8" totalsRowFunction="sum" dataDxfId="2937" totalsRowDxfId="10" dataCellStyle="Normal 2">
      <calculatedColumnFormula>(EM4-FA4)</calculatedColumnFormula>
    </tableColumn>
    <tableColumn id="174" name="RD9" totalsRowFunction="sum" dataDxfId="2936" totalsRowDxfId="9" dataCellStyle="Normal 2">
      <calculatedColumnFormula>(EN4-FB4)</calculatedColumnFormula>
    </tableColumn>
    <tableColumn id="173" name="RD10" totalsRowFunction="sum" dataDxfId="2935" totalsRowDxfId="8" dataCellStyle="Normal 2">
      <calculatedColumnFormula>(EO4-FC4)</calculatedColumnFormula>
    </tableColumn>
    <tableColumn id="171" name="RD11" totalsRowFunction="sum" dataDxfId="2934" totalsRowDxfId="7" dataCellStyle="Normal 2">
      <calculatedColumnFormula>(EP4-FD4)</calculatedColumnFormula>
    </tableColumn>
    <tableColumn id="170" name="RD12" totalsRowFunction="sum" dataDxfId="2933" totalsRowDxfId="6" dataCellStyle="Normal 2">
      <calculatedColumnFormula>(EQ4-FE4)</calculatedColumnFormula>
    </tableColumn>
    <tableColumn id="185" name="RD13" totalsRowFunction="sum" dataDxfId="2932" totalsRowDxfId="5" dataCellStyle="Normal 2">
      <calculatedColumnFormula>(ER4-FF4)</calculatedColumnFormula>
    </tableColumn>
    <tableColumn id="182" name="RDT" totalsRowFunction="sum" dataDxfId="2931" totalsRowDxfId="4" dataCellStyle="Normal 2">
      <calculatedColumnFormula>(ES4-FG4)</calculatedColumnFormula>
    </tableColumn>
    <tableColumn id="163" name="Notes" dataDxfId="2930" totalsRowDxfId="3" dataCellStyle="Normal 2"/>
    <tableColumn id="192" name="Tops" dataDxfId="2929" totalsRowDxfId="2" dataCellStyle="Normal 2"/>
    <tableColumn id="193" name="Pants" dataDxfId="2928" totalsRowDxfId="1"/>
    <tableColumn id="194" name="Caps" dataDxfId="2927" totalsRowDxfId="0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id="21" name="Table122" displayName="Table122" ref="A3:FG147" totalsRowCount="1" headerRowDxfId="2926" dataDxfId="2925" totalsRowDxfId="2924">
  <autoFilter ref="A3:FG146"/>
  <tableColumns count="163">
    <tableColumn id="2" name="Date" totalsRowFunction="count" dataDxfId="2923" totalsRowDxfId="2922"/>
    <tableColumn id="126" name="Loc" dataDxfId="2921" totalsRowDxfId="2920"/>
    <tableColumn id="125" name="Res" dataDxfId="2919" totalsRowDxfId="2918"/>
    <tableColumn id="124" name="Opp" dataDxfId="2917" totalsRowDxfId="2916"/>
    <tableColumn id="133" name="Att" totalsRowFunction="sum" dataDxfId="2915" totalsRowDxfId="2914"/>
    <tableColumn id="160" name="PS" dataDxfId="2913" totalsRowDxfId="2912"/>
    <tableColumn id="1" name="Pitcher" totalsRowLabel="Total" dataDxfId="2911" totalsRowDxfId="2910"/>
    <tableColumn id="26" name="S-W" totalsRowFunction="sum" dataDxfId="2909" totalsRowDxfId="2908"/>
    <tableColumn id="25" name="S-L" totalsRowFunction="sum" dataDxfId="2907" totalsRowDxfId="2906"/>
    <tableColumn id="3" name="S-IP" totalsRowFunction="sum" dataDxfId="2905" totalsRowDxfId="2904"/>
    <tableColumn id="4" name="S-H" totalsRowFunction="sum" dataDxfId="2903" totalsRowDxfId="2902"/>
    <tableColumn id="5" name="S-R" totalsRowFunction="sum" dataDxfId="2901" totalsRowDxfId="2900"/>
    <tableColumn id="6" name="S-ER" totalsRowFunction="sum" dataDxfId="2899" totalsRowDxfId="2898"/>
    <tableColumn id="7" name="S-BB" totalsRowFunction="sum" dataDxfId="2897" totalsRowDxfId="2896"/>
    <tableColumn id="8" name="S-SO" totalsRowFunction="sum" dataDxfId="2895" totalsRowDxfId="2894"/>
    <tableColumn id="9" name="S-HR" totalsRowFunction="sum" dataDxfId="2893" totalsRowDxfId="2892"/>
    <tableColumn id="10" name="S-HBP" totalsRowFunction="sum" dataDxfId="2891" totalsRowDxfId="2890"/>
    <tableColumn id="11" name="S-BF" totalsRowFunction="sum" dataDxfId="2889" totalsRowDxfId="2888"/>
    <tableColumn id="12" name="S-Pit" totalsRowFunction="sum" dataDxfId="2887" totalsRowDxfId="2886"/>
    <tableColumn id="13" name="S-Str" totalsRowFunction="sum" dataDxfId="2885" totalsRowDxfId="2884"/>
    <tableColumn id="32" name="IRL" totalsRowFunction="sum" dataDxfId="2883" totalsRowDxfId="2882"/>
    <tableColumn id="33" name="IRS" totalsRowFunction="sum" dataDxfId="2881" totalsRowDxfId="2880"/>
    <tableColumn id="29" name="B-W" totalsRowFunction="sum" dataDxfId="2879" totalsRowDxfId="2878"/>
    <tableColumn id="31" name="B-L" totalsRowFunction="sum" dataDxfId="2877" totalsRowDxfId="2876"/>
    <tableColumn id="30" name="Hld" totalsRowFunction="sum" dataDxfId="2875" totalsRowDxfId="2874"/>
    <tableColumn id="28" name="Sv" totalsRowFunction="sum" dataDxfId="2873" totalsRowDxfId="2872"/>
    <tableColumn id="27" name="BS" totalsRowFunction="sum" dataDxfId="2871" totalsRowDxfId="2870"/>
    <tableColumn id="14" name="B-IP" totalsRowFunction="sum" dataDxfId="2869" totalsRowDxfId="2868"/>
    <tableColumn id="15" name="B-H" totalsRowFunction="sum" dataDxfId="2867" totalsRowDxfId="2866"/>
    <tableColumn id="16" name="B-R" totalsRowFunction="sum" dataDxfId="2865" totalsRowDxfId="2864"/>
    <tableColumn id="17" name="B-ER" totalsRowFunction="sum" dataDxfId="2863" totalsRowDxfId="2862"/>
    <tableColumn id="18" name="B-BB" totalsRowFunction="sum" dataDxfId="2861" totalsRowDxfId="2860"/>
    <tableColumn id="19" name="B-SO" totalsRowFunction="sum" dataDxfId="2859" totalsRowDxfId="2858"/>
    <tableColumn id="20" name="B-HR" totalsRowFunction="sum" dataDxfId="2857" totalsRowDxfId="2856"/>
    <tableColumn id="21" name="B-HBP" totalsRowFunction="sum" dataDxfId="2855" totalsRowDxfId="2854"/>
    <tableColumn id="22" name="B-BF" totalsRowFunction="sum" dataDxfId="2853" totalsRowDxfId="2852"/>
    <tableColumn id="23" name="B-Pit" totalsRowFunction="sum" dataDxfId="2851" totalsRowDxfId="2850"/>
    <tableColumn id="24" name="B-Str" totalsRowFunction="sum" dataDxfId="2849" totalsRowDxfId="2848"/>
    <tableColumn id="34" name="Starter1" totalsRowFunction="custom" dataDxfId="2847" totalsRowDxfId="2846" dataCellStyle="Normal 2">
      <totalsRowFormula>INDEX(Table122[Starter1],MODE(MATCH(Table122[Starter1],Table122[Starter1],0)))</totalsRowFormula>
    </tableColumn>
    <tableColumn id="35" name="AB1" totalsRowFunction="sum" dataDxfId="2845" totalsRowDxfId="2844" dataCellStyle="Normal 2"/>
    <tableColumn id="36" name="R1" totalsRowFunction="sum" dataDxfId="2843" totalsRowDxfId="2842" dataCellStyle="Normal 2"/>
    <tableColumn id="37" name="H1" totalsRowFunction="sum" dataDxfId="2841" totalsRowDxfId="2840" dataCellStyle="Normal 2"/>
    <tableColumn id="38" name="RBI1" totalsRowFunction="sum" dataDxfId="2839" totalsRowDxfId="2838" dataCellStyle="Normal 2"/>
    <tableColumn id="39" name="BB1" totalsRowFunction="sum" dataDxfId="2837" totalsRowDxfId="2836" dataCellStyle="Normal 2"/>
    <tableColumn id="40" name="SO1" totalsRowFunction="sum" dataDxfId="2835" totalsRowDxfId="2834" dataCellStyle="Normal 2"/>
    <tableColumn id="41" name="HBP1" totalsRowFunction="sum" dataDxfId="2833" totalsRowDxfId="2832" dataCellStyle="Normal 2"/>
    <tableColumn id="42" name="SF1" totalsRowFunction="sum" dataDxfId="2831" totalsRowDxfId="2830" dataCellStyle="Normal 2"/>
    <tableColumn id="43" name="TB1" totalsRowFunction="sum" dataDxfId="2829" totalsRowDxfId="2828" dataCellStyle="Normal 2"/>
    <tableColumn id="44" name="Starter2" totalsRowFunction="custom" dataDxfId="2827" totalsRowDxfId="2826" dataCellStyle="Normal 2">
      <totalsRowFormula>INDEX(Table122[Starter2],MODE(MATCH(Table122[Starter2],Table122[Starter2],0)))</totalsRowFormula>
    </tableColumn>
    <tableColumn id="45" name="AB2" totalsRowFunction="sum" dataDxfId="2825" totalsRowDxfId="2824" dataCellStyle="Normal 2"/>
    <tableColumn id="46" name="R2" totalsRowFunction="sum" dataDxfId="2823" totalsRowDxfId="2822" dataCellStyle="Normal 2"/>
    <tableColumn id="47" name="H2" totalsRowFunction="sum" dataDxfId="2821" totalsRowDxfId="2820" dataCellStyle="Normal 2"/>
    <tableColumn id="48" name="RBI2" totalsRowFunction="sum" dataDxfId="2819" totalsRowDxfId="2818" dataCellStyle="Normal 2"/>
    <tableColumn id="49" name="BB2" totalsRowFunction="sum" dataDxfId="2817" totalsRowDxfId="2816" dataCellStyle="Normal 2"/>
    <tableColumn id="50" name="SO2" totalsRowFunction="sum" dataDxfId="2815" totalsRowDxfId="2814" dataCellStyle="Normal 2"/>
    <tableColumn id="51" name="HBP2" totalsRowFunction="sum" dataDxfId="2813" totalsRowDxfId="2812" dataCellStyle="Normal 2"/>
    <tableColumn id="52" name="SF2" totalsRowFunction="sum" dataDxfId="2811" totalsRowDxfId="2810" dataCellStyle="Normal 2"/>
    <tableColumn id="53" name="TB2" totalsRowFunction="sum" dataDxfId="2809" totalsRowDxfId="2808" dataCellStyle="Normal 2"/>
    <tableColumn id="54" name="Starter3" totalsRowFunction="custom" dataDxfId="2807" totalsRowDxfId="2806" dataCellStyle="Normal 2">
      <totalsRowFormula>INDEX(Table122[Starter3],MODE(MATCH(Table122[Starter3],Table122[Starter3],0)))</totalsRowFormula>
    </tableColumn>
    <tableColumn id="55" name="AB3" totalsRowFunction="sum" dataDxfId="2805" totalsRowDxfId="2804" dataCellStyle="Normal 2"/>
    <tableColumn id="56" name="R3" totalsRowFunction="sum" dataDxfId="2803" totalsRowDxfId="2802" dataCellStyle="Normal 2"/>
    <tableColumn id="57" name="H3" totalsRowFunction="sum" dataDxfId="2801" totalsRowDxfId="2800" dataCellStyle="Normal 2"/>
    <tableColumn id="58" name="RBI3" totalsRowFunction="sum" dataDxfId="2799" totalsRowDxfId="2798" dataCellStyle="Normal 2"/>
    <tableColumn id="59" name="BB3" totalsRowFunction="sum" dataDxfId="2797" totalsRowDxfId="2796" dataCellStyle="Normal 2"/>
    <tableColumn id="60" name="SO3" totalsRowFunction="sum" dataDxfId="2795" totalsRowDxfId="2794" dataCellStyle="Normal 2"/>
    <tableColumn id="61" name="HBP3" totalsRowFunction="sum" dataDxfId="2793" totalsRowDxfId="2792" dataCellStyle="Normal 2"/>
    <tableColumn id="62" name="SF3" totalsRowFunction="sum" dataDxfId="2791" totalsRowDxfId="2790" dataCellStyle="Normal 2"/>
    <tableColumn id="63" name="TB3" totalsRowFunction="sum" dataDxfId="2789" totalsRowDxfId="2788" dataCellStyle="Normal 2"/>
    <tableColumn id="64" name="Starter4" totalsRowFunction="custom" dataDxfId="2787" totalsRowDxfId="2786" dataCellStyle="Normal 2">
      <totalsRowFormula>INDEX(Table122[Starter4],MODE(MATCH(Table122[Starter4],Table122[Starter4],0)))</totalsRowFormula>
    </tableColumn>
    <tableColumn id="65" name="AB4" totalsRowFunction="sum" dataDxfId="2785" totalsRowDxfId="2784" dataCellStyle="Normal 2"/>
    <tableColumn id="66" name="R4" totalsRowFunction="sum" dataDxfId="2783" totalsRowDxfId="2782" dataCellStyle="Normal 2"/>
    <tableColumn id="67" name="H4" totalsRowFunction="sum" dataDxfId="2781" totalsRowDxfId="2780" dataCellStyle="Normal 2"/>
    <tableColumn id="68" name="RBI4" totalsRowFunction="sum" dataDxfId="2779" totalsRowDxfId="2778" dataCellStyle="Normal 2"/>
    <tableColumn id="69" name="BB4" totalsRowFunction="sum" dataDxfId="2777" totalsRowDxfId="2776" dataCellStyle="Normal 2"/>
    <tableColumn id="70" name="SO4" totalsRowFunction="sum" dataDxfId="2775" totalsRowDxfId="2774" dataCellStyle="Normal 2"/>
    <tableColumn id="71" name="HBP4" totalsRowFunction="sum" dataDxfId="2773" totalsRowDxfId="2772" dataCellStyle="Normal 2"/>
    <tableColumn id="72" name="SF4" totalsRowFunction="sum" dataDxfId="2771" totalsRowDxfId="2770" dataCellStyle="Normal 2"/>
    <tableColumn id="73" name="TB4" totalsRowFunction="sum" dataDxfId="2769" totalsRowDxfId="2768" dataCellStyle="Normal 2"/>
    <tableColumn id="74" name="Starter5" totalsRowFunction="custom" dataDxfId="2767" totalsRowDxfId="2766" dataCellStyle="Normal 2">
      <totalsRowFormula>INDEX(Table122[Starter5],MODE(MATCH(Table122[Starter5],Table122[Starter5],0)))</totalsRowFormula>
    </tableColumn>
    <tableColumn id="75" name="AB5" totalsRowFunction="sum" dataDxfId="2765" totalsRowDxfId="2764" dataCellStyle="Normal 2"/>
    <tableColumn id="76" name="R5" totalsRowFunction="sum" dataDxfId="2763" totalsRowDxfId="2762" dataCellStyle="Normal 2"/>
    <tableColumn id="77" name="H5" totalsRowFunction="sum" dataDxfId="2761" totalsRowDxfId="2760" dataCellStyle="Normal 2"/>
    <tableColumn id="78" name="RBI5" totalsRowFunction="sum" dataDxfId="2759" totalsRowDxfId="2758" dataCellStyle="Normal 2"/>
    <tableColumn id="79" name="BB5" totalsRowFunction="sum" dataDxfId="2757" totalsRowDxfId="2756" dataCellStyle="Normal 2"/>
    <tableColumn id="80" name="SO5" totalsRowFunction="sum" dataDxfId="2755" totalsRowDxfId="2754" dataCellStyle="Normal 2"/>
    <tableColumn id="81" name="HBP5" totalsRowFunction="sum" dataDxfId="2753" totalsRowDxfId="2752" dataCellStyle="Normal 2"/>
    <tableColumn id="82" name="SF5" totalsRowFunction="sum" dataDxfId="2751" totalsRowDxfId="2750" dataCellStyle="Normal 2"/>
    <tableColumn id="83" name="TB5" totalsRowFunction="sum" dataDxfId="2749" totalsRowDxfId="2748" dataCellStyle="Normal 2"/>
    <tableColumn id="84" name="Starter6" totalsRowFunction="custom" dataDxfId="2747" totalsRowDxfId="2746" dataCellStyle="Normal 2">
      <totalsRowFormula>INDEX(Table122[Starter6],MODE(MATCH(Table122[Starter6],Table122[Starter6],0)))</totalsRowFormula>
    </tableColumn>
    <tableColumn id="85" name="AB6" totalsRowFunction="sum" dataDxfId="2745" totalsRowDxfId="2744" dataCellStyle="Normal 2"/>
    <tableColumn id="86" name="R6" totalsRowFunction="sum" dataDxfId="2743" totalsRowDxfId="2742" dataCellStyle="Normal 2"/>
    <tableColumn id="87" name="H6" totalsRowFunction="sum" dataDxfId="2741" totalsRowDxfId="2740" dataCellStyle="Normal 2"/>
    <tableColumn id="88" name="RBI6" totalsRowFunction="sum" dataDxfId="2739" totalsRowDxfId="2738" dataCellStyle="Normal 2"/>
    <tableColumn id="89" name="BB6" totalsRowFunction="sum" dataDxfId="2737" totalsRowDxfId="2736" dataCellStyle="Normal 2"/>
    <tableColumn id="90" name="SO6" totalsRowFunction="sum" dataDxfId="2735" totalsRowDxfId="2734" dataCellStyle="Normal 2"/>
    <tableColumn id="91" name="HBP6" totalsRowFunction="sum" dataDxfId="2733" totalsRowDxfId="2732" dataCellStyle="Normal 2"/>
    <tableColumn id="92" name="SF6" totalsRowFunction="sum" dataDxfId="2731" totalsRowDxfId="2730" dataCellStyle="Normal 2"/>
    <tableColumn id="93" name="TB6" totalsRowFunction="sum" dataDxfId="2729" totalsRowDxfId="2728" dataCellStyle="Normal 2"/>
    <tableColumn id="94" name="Starter7" totalsRowFunction="custom" dataDxfId="2727" totalsRowDxfId="2726" dataCellStyle="Normal 2">
      <totalsRowFormula>INDEX(Table122[Starter7],MODE(MATCH(Table122[Starter7],Table122[Starter7],0)))</totalsRowFormula>
    </tableColumn>
    <tableColumn id="95" name="AB7" totalsRowFunction="sum" dataDxfId="2725" totalsRowDxfId="2724" dataCellStyle="Normal 2"/>
    <tableColumn id="96" name="R7" totalsRowFunction="sum" dataDxfId="2723" totalsRowDxfId="2722" dataCellStyle="Normal 2"/>
    <tableColumn id="97" name="H7" totalsRowFunction="sum" dataDxfId="2721" totalsRowDxfId="2720" dataCellStyle="Normal 2"/>
    <tableColumn id="98" name="RBI7" totalsRowFunction="sum" dataDxfId="2719" totalsRowDxfId="2718" dataCellStyle="Normal 2"/>
    <tableColumn id="99" name="BB7" totalsRowFunction="sum" dataDxfId="2717" totalsRowDxfId="2716" dataCellStyle="Normal 2"/>
    <tableColumn id="100" name="SO7" totalsRowFunction="sum" dataDxfId="2715" totalsRowDxfId="2714" dataCellStyle="Normal 2"/>
    <tableColumn id="101" name="HBP7" totalsRowFunction="sum" dataDxfId="2713" totalsRowDxfId="2712" dataCellStyle="Normal 2"/>
    <tableColumn id="102" name="SF7" totalsRowFunction="sum" dataDxfId="2711" totalsRowDxfId="2710" dataCellStyle="Normal 2"/>
    <tableColumn id="103" name="TB7" totalsRowFunction="sum" dataDxfId="2709" totalsRowDxfId="2708" dataCellStyle="Normal 2"/>
    <tableColumn id="104" name="Starter8" totalsRowFunction="custom" dataDxfId="2707" totalsRowDxfId="2706" dataCellStyle="Normal 2">
      <totalsRowFormula>INDEX(Table122[Starter8],MODE(MATCH(Table122[Starter8],Table122[Starter8],0)))</totalsRowFormula>
    </tableColumn>
    <tableColumn id="105" name="AB8" totalsRowFunction="sum" dataDxfId="2705" totalsRowDxfId="2704" dataCellStyle="Normal 2"/>
    <tableColumn id="106" name="R8" totalsRowFunction="sum" dataDxfId="2703" totalsRowDxfId="2702" dataCellStyle="Normal 2"/>
    <tableColumn id="107" name="H8" totalsRowFunction="sum" dataDxfId="2701" totalsRowDxfId="2700" dataCellStyle="Normal 2"/>
    <tableColumn id="108" name="RBI8" totalsRowFunction="sum" dataDxfId="2699" totalsRowDxfId="2698" dataCellStyle="Normal 2"/>
    <tableColumn id="109" name="BB8" totalsRowFunction="sum" dataDxfId="2697" totalsRowDxfId="2696" dataCellStyle="Normal 2"/>
    <tableColumn id="110" name="SO8" totalsRowFunction="sum" dataDxfId="2695" totalsRowDxfId="2694" dataCellStyle="Normal 2"/>
    <tableColumn id="111" name="HBP8" totalsRowFunction="sum" dataDxfId="2693" totalsRowDxfId="2692" dataCellStyle="Normal 2"/>
    <tableColumn id="112" name="SF8" totalsRowFunction="sum" dataDxfId="2691" totalsRowDxfId="2690" dataCellStyle="Normal 2"/>
    <tableColumn id="113" name="TB8" totalsRowFunction="sum" dataDxfId="2689" totalsRowDxfId="2688" dataCellStyle="Normal 2"/>
    <tableColumn id="114" name="Starter9" totalsRowFunction="custom" dataDxfId="2687" totalsRowDxfId="2686" dataCellStyle="Normal 2">
      <totalsRowFormula>INDEX(Table122[Starter9],MODE(MATCH(Table122[Starter9],Table122[Starter9],0)))</totalsRowFormula>
    </tableColumn>
    <tableColumn id="115" name="AB9" totalsRowFunction="sum" dataDxfId="2685" totalsRowDxfId="2684" dataCellStyle="Normal 2"/>
    <tableColumn id="116" name="R9" totalsRowFunction="sum" dataDxfId="2683" totalsRowDxfId="2682" dataCellStyle="Normal 2"/>
    <tableColumn id="117" name="H9" totalsRowFunction="sum" dataDxfId="2681" totalsRowDxfId="2680" dataCellStyle="Normal 2"/>
    <tableColumn id="118" name="RBI9" totalsRowFunction="sum" dataDxfId="2679" totalsRowDxfId="2678" dataCellStyle="Normal 2"/>
    <tableColumn id="119" name="BB9" totalsRowFunction="sum" dataDxfId="2677" totalsRowDxfId="2676" dataCellStyle="Normal 2"/>
    <tableColumn id="120" name="SO9" totalsRowFunction="sum" dataDxfId="2675" totalsRowDxfId="2674" dataCellStyle="Normal 2"/>
    <tableColumn id="121" name="HBP9" totalsRowFunction="sum" dataDxfId="2673" totalsRowDxfId="2672" dataCellStyle="Normal 2"/>
    <tableColumn id="122" name="SF9" totalsRowFunction="sum" dataDxfId="2671" totalsRowDxfId="2670" dataCellStyle="Normal 2"/>
    <tableColumn id="123" name="TB9" totalsRowFunction="sum" dataDxfId="2669" totalsRowDxfId="2668" dataCellStyle="Normal 2"/>
    <tableColumn id="127" name="IVL" totalsRowFunction="sum" dataDxfId="2667" totalsRowDxfId="2666" dataCellStyle="Normal 2"/>
    <tableColumn id="128" name="SVL" totalsRowFunction="sum" dataDxfId="2665" totalsRowDxfId="2664" dataCellStyle="Normal 2"/>
    <tableColumn id="129" name="CVL" totalsRowFunction="sum" dataDxfId="2663" totalsRowDxfId="2662" dataCellStyle="Normal 2"/>
    <tableColumn id="130" name="IVR" totalsRowFunction="sum" dataDxfId="2661" totalsRowDxfId="2660" dataCellStyle="Normal 2"/>
    <tableColumn id="131" name="SVR" totalsRowFunction="sum" dataDxfId="2659" totalsRowDxfId="2658" dataCellStyle="Normal 2"/>
    <tableColumn id="132" name="CVR" totalsRowFunction="sum" dataDxfId="2657" totalsRowDxfId="2656" dataCellStyle="Normal 2"/>
    <tableColumn id="134" name="RI1" totalsRowFunction="sum" dataDxfId="2655" totalsRowDxfId="2654" dataCellStyle="Normal 2"/>
    <tableColumn id="135" name="RI2" totalsRowFunction="sum" dataDxfId="2653" totalsRowDxfId="2652" dataCellStyle="Normal 2"/>
    <tableColumn id="136" name="RI3" totalsRowFunction="sum" dataDxfId="2651" totalsRowDxfId="2650" dataCellStyle="Normal 2"/>
    <tableColumn id="137" name="RI4" totalsRowFunction="sum" dataDxfId="2649" totalsRowDxfId="2648" dataCellStyle="Normal 2"/>
    <tableColumn id="138" name="RI5" totalsRowFunction="sum" dataDxfId="2647" totalsRowDxfId="2646" dataCellStyle="Normal 2"/>
    <tableColumn id="139" name="RI6" totalsRowFunction="sum" dataDxfId="2645" totalsRowDxfId="2644" dataCellStyle="Normal 2"/>
    <tableColumn id="140" name="RI7" totalsRowFunction="sum" dataDxfId="2643" totalsRowDxfId="2642" dataCellStyle="Normal 2"/>
    <tableColumn id="141" name="RI8" totalsRowFunction="sum" dataDxfId="2641" totalsRowDxfId="2640" dataCellStyle="Normal 2"/>
    <tableColumn id="142" name="RI9" totalsRowFunction="sum" dataDxfId="2639" totalsRowDxfId="2638" dataCellStyle="Normal 2"/>
    <tableColumn id="143" name="RI10" totalsRowFunction="sum" dataDxfId="2637" totalsRowDxfId="2636" dataCellStyle="Normal 2"/>
    <tableColumn id="144" name="RI11" totalsRowFunction="sum" dataDxfId="2635" totalsRowDxfId="2634" dataCellStyle="Normal 2"/>
    <tableColumn id="145" name="RI12" totalsRowFunction="sum" dataDxfId="2633" totalsRowDxfId="2632" dataCellStyle="Normal 2"/>
    <tableColumn id="146" name="RT" totalsRowFunction="sum" dataDxfId="2631" totalsRowDxfId="2630" dataCellStyle="Normal 2">
      <calculatedColumnFormula>SUM(EE4:EP4)</calculatedColumnFormula>
    </tableColumn>
    <tableColumn id="147" name="OI1" totalsRowFunction="sum" dataDxfId="2629" totalsRowDxfId="2628" dataCellStyle="Normal 2"/>
    <tableColumn id="148" name="OI2" totalsRowFunction="sum" dataDxfId="2627" totalsRowDxfId="2626" dataCellStyle="Normal 2"/>
    <tableColumn id="149" name="OI3" totalsRowFunction="sum" dataDxfId="2625" totalsRowDxfId="2624" dataCellStyle="Normal 2"/>
    <tableColumn id="150" name="OI4" totalsRowFunction="sum" dataDxfId="2623" totalsRowDxfId="2622" dataCellStyle="Normal 2"/>
    <tableColumn id="151" name="OI5" totalsRowFunction="sum" dataDxfId="2621" totalsRowDxfId="2620" dataCellStyle="Normal 2"/>
    <tableColumn id="152" name="OI6" totalsRowFunction="sum" dataDxfId="2619" totalsRowDxfId="2618" dataCellStyle="Normal 2"/>
    <tableColumn id="153" name="OI7" totalsRowFunction="sum" dataDxfId="2617" totalsRowDxfId="2616" dataCellStyle="Normal 2"/>
    <tableColumn id="154" name="OI8" totalsRowFunction="sum" dataDxfId="2615" totalsRowDxfId="2614" dataCellStyle="Normal 2"/>
    <tableColumn id="155" name="OI9" totalsRowFunction="sum" dataDxfId="2613" totalsRowDxfId="2612" dataCellStyle="Normal 2"/>
    <tableColumn id="156" name="OI10" totalsRowFunction="sum" dataDxfId="2611" totalsRowDxfId="2610" dataCellStyle="Normal 2"/>
    <tableColumn id="157" name="OI11" totalsRowFunction="sum" dataDxfId="2609" totalsRowDxfId="2608" dataCellStyle="Normal 2"/>
    <tableColumn id="158" name="OI12" totalsRowFunction="sum" dataDxfId="2607" totalsRowDxfId="2606" dataCellStyle="Normal 2"/>
    <tableColumn id="159" name="OT" totalsRowFunction="sum" dataDxfId="2605" totalsRowDxfId="2604" dataCellStyle="Normal 2">
      <calculatedColumnFormula>SUM(ER4:FC4)</calculatedColumnFormula>
    </tableColumn>
    <tableColumn id="161" name="RRAisORS" dataDxfId="2603" totalsRowDxfId="2602" dataCellStyle="Normal 2">
      <calculatedColumnFormula>((SUM(L4,AD4))-(FD4))</calculatedColumnFormula>
    </tableColumn>
    <tableColumn id="162" name="ORAisRRS" dataDxfId="2601" totalsRowDxfId="2600" dataCellStyle="Normal 2">
      <calculatedColumnFormula>((SUM(AO4,AY4,BI4,BS4,CC4,CM4,CW4,DG4,DQ4))-(EQ4))</calculatedColumnFormula>
    </tableColumn>
    <tableColumn id="163" name="Notes" dataDxfId="2599" totalsRowDxfId="2598" dataCellStyle="Normal 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id="26" name="Table127" displayName="Table127" ref="A3:FM142" totalsRowCount="1" headerRowDxfId="2597" dataDxfId="2596" totalsRowDxfId="2595">
  <autoFilter ref="A3:FM141"/>
  <tableColumns count="169">
    <tableColumn id="2" name="Date" totalsRowFunction="count" dataDxfId="2594" totalsRowDxfId="2593"/>
    <tableColumn id="126" name="Loc" dataDxfId="2592" totalsRowDxfId="2591"/>
    <tableColumn id="125" name="Res" dataDxfId="2590" totalsRowDxfId="2589"/>
    <tableColumn id="124" name="Opp" dataDxfId="2588" totalsRowDxfId="2587"/>
    <tableColumn id="133" name="Att" totalsRowFunction="sum" dataDxfId="2586" totalsRowDxfId="2585"/>
    <tableColumn id="160" name="PS" dataDxfId="2584" totalsRowDxfId="2583"/>
    <tableColumn id="1" name="Pitcher" totalsRowLabel="Total" dataDxfId="2582" totalsRowDxfId="2581"/>
    <tableColumn id="26" name="S-W" totalsRowFunction="sum" dataDxfId="2580" totalsRowDxfId="2579"/>
    <tableColumn id="25" name="S-L" totalsRowFunction="sum" dataDxfId="2578" totalsRowDxfId="2577"/>
    <tableColumn id="3" name="S-IP" totalsRowFunction="sum" dataDxfId="2576" totalsRowDxfId="2575"/>
    <tableColumn id="4" name="S-H" totalsRowFunction="sum" dataDxfId="2574" totalsRowDxfId="2573"/>
    <tableColumn id="5" name="S-R" totalsRowFunction="sum" dataDxfId="2572" totalsRowDxfId="2571"/>
    <tableColumn id="6" name="S-ER" totalsRowFunction="sum" dataDxfId="2570" totalsRowDxfId="2569"/>
    <tableColumn id="7" name="S-BB" totalsRowFunction="sum" dataDxfId="2568" totalsRowDxfId="2567"/>
    <tableColumn id="8" name="S-SO" totalsRowFunction="sum" dataDxfId="2566" totalsRowDxfId="2565"/>
    <tableColumn id="9" name="S-HR" totalsRowFunction="sum" dataDxfId="2564" totalsRowDxfId="2563"/>
    <tableColumn id="10" name="S-HBP" totalsRowFunction="sum" dataDxfId="2562" totalsRowDxfId="2561"/>
    <tableColumn id="11" name="S-BF" totalsRowFunction="sum" dataDxfId="2560" totalsRowDxfId="2559"/>
    <tableColumn id="12" name="S-Pit" totalsRowFunction="sum" dataDxfId="2558" totalsRowDxfId="2557"/>
    <tableColumn id="13" name="S-Str" totalsRowFunction="sum" dataDxfId="2556" totalsRowDxfId="2555"/>
    <tableColumn id="32" name="IRL" totalsRowFunction="sum" dataDxfId="2554" totalsRowDxfId="2553"/>
    <tableColumn id="33" name="IRS" totalsRowFunction="sum" dataDxfId="2552" totalsRowDxfId="2551"/>
    <tableColumn id="29" name="B-W" totalsRowFunction="sum" dataDxfId="2550" totalsRowDxfId="2549"/>
    <tableColumn id="31" name="B-L" totalsRowFunction="sum" dataDxfId="2548" totalsRowDxfId="2547"/>
    <tableColumn id="30" name="Hld" totalsRowFunction="sum" dataDxfId="2546" totalsRowDxfId="2545"/>
    <tableColumn id="28" name="Sv" totalsRowFunction="sum" dataDxfId="2544" totalsRowDxfId="2543"/>
    <tableColumn id="27" name="BS" totalsRowFunction="sum" dataDxfId="2542" totalsRowDxfId="2541"/>
    <tableColumn id="14" name="B-IP" totalsRowFunction="sum" dataDxfId="2540" totalsRowDxfId="2539"/>
    <tableColumn id="15" name="B-H" totalsRowFunction="sum" dataDxfId="2538" totalsRowDxfId="2537"/>
    <tableColumn id="16" name="B-R" totalsRowFunction="sum" dataDxfId="2536" totalsRowDxfId="2535"/>
    <tableColumn id="17" name="B-ER" totalsRowFunction="sum" dataDxfId="2534" totalsRowDxfId="2533"/>
    <tableColumn id="18" name="B-BB" totalsRowFunction="sum" dataDxfId="2532" totalsRowDxfId="2531"/>
    <tableColumn id="19" name="B-SO" totalsRowFunction="sum" dataDxfId="2530" totalsRowDxfId="2529"/>
    <tableColumn id="20" name="B-HR" totalsRowFunction="sum" dataDxfId="2528" totalsRowDxfId="2527"/>
    <tableColumn id="21" name="B-HBP" totalsRowFunction="sum" dataDxfId="2526" totalsRowDxfId="2525"/>
    <tableColumn id="22" name="B-BF" totalsRowFunction="sum" dataDxfId="2524" totalsRowDxfId="2523"/>
    <tableColumn id="23" name="B-Pit" totalsRowFunction="sum" dataDxfId="2522" totalsRowDxfId="2521"/>
    <tableColumn id="24" name="B-Str" totalsRowFunction="sum" dataDxfId="2520" totalsRowDxfId="2519"/>
    <tableColumn id="34" name="Starter1" totalsRowFunction="custom" dataDxfId="2518" totalsRowDxfId="2517" dataCellStyle="Normal 2">
      <totalsRowFormula>INDEX(Table127[Starter1],MODE(MATCH(Table127[Starter1],Table127[Starter1],0)))</totalsRowFormula>
    </tableColumn>
    <tableColumn id="35" name="AB1" totalsRowFunction="sum" dataDxfId="2516" totalsRowDxfId="2515" dataCellStyle="Normal 2"/>
    <tableColumn id="36" name="R1" totalsRowFunction="sum" dataDxfId="2514" totalsRowDxfId="2513" dataCellStyle="Normal 2"/>
    <tableColumn id="37" name="H1" totalsRowFunction="sum" dataDxfId="2512" totalsRowDxfId="2511" dataCellStyle="Normal 2"/>
    <tableColumn id="38" name="RBI1" totalsRowFunction="sum" dataDxfId="2510" totalsRowDxfId="2509" dataCellStyle="Normal 2"/>
    <tableColumn id="39" name="BB1" totalsRowFunction="sum" dataDxfId="2508" totalsRowDxfId="2507" dataCellStyle="Normal 2"/>
    <tableColumn id="40" name="SO1" totalsRowFunction="sum" dataDxfId="2506" totalsRowDxfId="2505" dataCellStyle="Normal 2"/>
    <tableColumn id="41" name="HBP1" totalsRowFunction="sum" dataDxfId="2504" totalsRowDxfId="2503" dataCellStyle="Normal 2"/>
    <tableColumn id="42" name="SF1" totalsRowFunction="sum" dataDxfId="2502" totalsRowDxfId="2501" dataCellStyle="Normal 2"/>
    <tableColumn id="43" name="TB1" totalsRowFunction="sum" dataDxfId="2500" totalsRowDxfId="2499" dataCellStyle="Normal 2"/>
    <tableColumn id="44" name="Starter2" totalsRowFunction="custom" dataDxfId="2498" totalsRowDxfId="2497" dataCellStyle="Normal 2">
      <totalsRowFormula>INDEX(Table127[Starter2],MODE(MATCH(Table127[Starter2],Table127[Starter2],0)))</totalsRowFormula>
    </tableColumn>
    <tableColumn id="45" name="AB2" totalsRowFunction="sum" dataDxfId="2496" totalsRowDxfId="2495" dataCellStyle="Normal 2"/>
    <tableColumn id="46" name="R2" totalsRowFunction="sum" dataDxfId="2494" totalsRowDxfId="2493" dataCellStyle="Normal 2"/>
    <tableColumn id="47" name="H2" totalsRowFunction="sum" dataDxfId="2492" totalsRowDxfId="2491" dataCellStyle="Normal 2"/>
    <tableColumn id="48" name="RBI2" totalsRowFunction="sum" dataDxfId="2490" totalsRowDxfId="2489" dataCellStyle="Normal 2"/>
    <tableColumn id="49" name="BB2" totalsRowFunction="sum" dataDxfId="2488" totalsRowDxfId="2487" dataCellStyle="Normal 2"/>
    <tableColumn id="50" name="SO2" totalsRowFunction="sum" dataDxfId="2486" totalsRowDxfId="2485" dataCellStyle="Normal 2"/>
    <tableColumn id="51" name="HBP2" totalsRowFunction="sum" dataDxfId="2484" totalsRowDxfId="2483" dataCellStyle="Normal 2"/>
    <tableColumn id="52" name="SF2" totalsRowFunction="sum" dataDxfId="2482" totalsRowDxfId="2481" dataCellStyle="Normal 2"/>
    <tableColumn id="53" name="TB2" totalsRowFunction="sum" dataDxfId="2480" totalsRowDxfId="2479" dataCellStyle="Normal 2"/>
    <tableColumn id="54" name="Starter3" totalsRowFunction="custom" dataDxfId="2478" totalsRowDxfId="2477" dataCellStyle="Normal 2">
      <totalsRowFormula>INDEX(Table127[Starter3],MODE(MATCH(Table127[Starter3],Table127[Starter3],0)))</totalsRowFormula>
    </tableColumn>
    <tableColumn id="55" name="AB3" totalsRowFunction="sum" dataDxfId="2476" totalsRowDxfId="2475" dataCellStyle="Normal 2"/>
    <tableColumn id="56" name="R3" totalsRowFunction="sum" dataDxfId="2474" totalsRowDxfId="2473" dataCellStyle="Normal 2"/>
    <tableColumn id="57" name="H3" totalsRowFunction="sum" dataDxfId="2472" totalsRowDxfId="2471" dataCellStyle="Normal 2"/>
    <tableColumn id="58" name="RBI3" totalsRowFunction="sum" dataDxfId="2470" totalsRowDxfId="2469" dataCellStyle="Normal 2"/>
    <tableColumn id="59" name="BB3" totalsRowFunction="sum" dataDxfId="2468" totalsRowDxfId="2467" dataCellStyle="Normal 2"/>
    <tableColumn id="60" name="SO3" totalsRowFunction="sum" dataDxfId="2466" totalsRowDxfId="2465" dataCellStyle="Normal 2"/>
    <tableColumn id="61" name="HBP3" totalsRowFunction="sum" dataDxfId="2464" totalsRowDxfId="2463" dataCellStyle="Normal 2"/>
    <tableColumn id="62" name="SF3" totalsRowFunction="sum" dataDxfId="2462" totalsRowDxfId="2461" dataCellStyle="Normal 2"/>
    <tableColumn id="63" name="TB3" totalsRowFunction="sum" dataDxfId="2460" totalsRowDxfId="2459" dataCellStyle="Normal 2"/>
    <tableColumn id="64" name="Starter4" totalsRowFunction="custom" dataDxfId="2458" totalsRowDxfId="2457" dataCellStyle="Normal 2">
      <totalsRowFormula>INDEX(Table127[Starter4],MODE(MATCH(Table127[Starter4],Table127[Starter4],0)))</totalsRowFormula>
    </tableColumn>
    <tableColumn id="65" name="AB4" totalsRowFunction="sum" dataDxfId="2456" totalsRowDxfId="2455" dataCellStyle="Normal 2"/>
    <tableColumn id="66" name="R4" totalsRowFunction="sum" dataDxfId="2454" totalsRowDxfId="2453" dataCellStyle="Normal 2"/>
    <tableColumn id="67" name="H4" totalsRowFunction="sum" dataDxfId="2452" totalsRowDxfId="2451" dataCellStyle="Normal 2"/>
    <tableColumn id="68" name="RBI4" totalsRowFunction="sum" dataDxfId="2450" totalsRowDxfId="2449" dataCellStyle="Normal 2"/>
    <tableColumn id="69" name="BB4" totalsRowFunction="sum" dataDxfId="2448" totalsRowDxfId="2447" dataCellStyle="Normal 2"/>
    <tableColumn id="70" name="SO4" totalsRowFunction="sum" dataDxfId="2446" totalsRowDxfId="2445" dataCellStyle="Normal 2"/>
    <tableColumn id="71" name="HBP4" totalsRowFunction="sum" dataDxfId="2444" totalsRowDxfId="2443" dataCellStyle="Normal 2"/>
    <tableColumn id="72" name="SF4" totalsRowFunction="sum" dataDxfId="2442" totalsRowDxfId="2441" dataCellStyle="Normal 2"/>
    <tableColumn id="73" name="TB4" totalsRowFunction="sum" dataDxfId="2440" totalsRowDxfId="2439" dataCellStyle="Normal 2"/>
    <tableColumn id="74" name="Starter5" totalsRowFunction="custom" dataDxfId="2438" totalsRowDxfId="2437" dataCellStyle="Normal 2">
      <totalsRowFormula>INDEX(Table127[Starter5],MODE(MATCH(Table127[Starter5],Table127[Starter5],0)))</totalsRowFormula>
    </tableColumn>
    <tableColumn id="75" name="AB5" totalsRowFunction="sum" dataDxfId="2436" totalsRowDxfId="2435" dataCellStyle="Normal 2"/>
    <tableColumn id="76" name="R5" totalsRowFunction="sum" dataDxfId="2434" totalsRowDxfId="2433" dataCellStyle="Normal 2"/>
    <tableColumn id="77" name="H5" totalsRowFunction="sum" dataDxfId="2432" totalsRowDxfId="2431" dataCellStyle="Normal 2"/>
    <tableColumn id="78" name="RBI5" totalsRowFunction="sum" dataDxfId="2430" totalsRowDxfId="2429" dataCellStyle="Normal 2"/>
    <tableColumn id="79" name="BB5" totalsRowFunction="sum" dataDxfId="2428" totalsRowDxfId="2427" dataCellStyle="Normal 2"/>
    <tableColumn id="80" name="SO5" totalsRowFunction="sum" dataDxfId="2426" totalsRowDxfId="2425" dataCellStyle="Normal 2"/>
    <tableColumn id="81" name="HBP5" totalsRowFunction="sum" dataDxfId="2424" totalsRowDxfId="2423" dataCellStyle="Normal 2"/>
    <tableColumn id="82" name="SF5" totalsRowFunction="sum" dataDxfId="2422" totalsRowDxfId="2421" dataCellStyle="Normal 2"/>
    <tableColumn id="83" name="TB5" totalsRowFunction="sum" dataDxfId="2420" totalsRowDxfId="2419" dataCellStyle="Normal 2"/>
    <tableColumn id="84" name="Starter6" totalsRowFunction="custom" dataDxfId="2418" totalsRowDxfId="2417" dataCellStyle="Normal 2">
      <totalsRowFormula>INDEX(Table127[Starter6],MODE(MATCH(Table127[Starter6],Table127[Starter6],0)))</totalsRowFormula>
    </tableColumn>
    <tableColumn id="85" name="AB6" totalsRowFunction="sum" dataDxfId="2416" totalsRowDxfId="2415" dataCellStyle="Normal 2"/>
    <tableColumn id="86" name="R6" totalsRowFunction="sum" dataDxfId="2414" totalsRowDxfId="2413" dataCellStyle="Normal 2"/>
    <tableColumn id="87" name="H6" totalsRowFunction="sum" dataDxfId="2412" totalsRowDxfId="2411" dataCellStyle="Normal 2"/>
    <tableColumn id="88" name="RBI6" totalsRowFunction="sum" dataDxfId="2410" totalsRowDxfId="2409" dataCellStyle="Normal 2"/>
    <tableColumn id="89" name="BB6" totalsRowFunction="sum" dataDxfId="2408" totalsRowDxfId="2407" dataCellStyle="Normal 2"/>
    <tableColumn id="90" name="SO6" totalsRowFunction="sum" dataDxfId="2406" totalsRowDxfId="2405" dataCellStyle="Normal 2"/>
    <tableColumn id="91" name="HBP6" totalsRowFunction="sum" dataDxfId="2404" totalsRowDxfId="2403" dataCellStyle="Normal 2"/>
    <tableColumn id="92" name="SF6" totalsRowFunction="sum" dataDxfId="2402" totalsRowDxfId="2401" dataCellStyle="Normal 2"/>
    <tableColumn id="93" name="TB6" totalsRowFunction="sum" dataDxfId="2400" totalsRowDxfId="2399" dataCellStyle="Normal 2"/>
    <tableColumn id="94" name="Starter7" totalsRowFunction="custom" dataDxfId="2398" totalsRowDxfId="2397" dataCellStyle="Normal 2">
      <totalsRowFormula>INDEX(Table127[Starter7],MODE(MATCH(Table127[Starter7],Table127[Starter7],0)))</totalsRowFormula>
    </tableColumn>
    <tableColumn id="95" name="AB7" totalsRowFunction="sum" dataDxfId="2396" totalsRowDxfId="2395" dataCellStyle="Normal 2"/>
    <tableColumn id="96" name="R7" totalsRowFunction="sum" dataDxfId="2394" totalsRowDxfId="2393" dataCellStyle="Normal 2"/>
    <tableColumn id="97" name="H7" totalsRowFunction="sum" dataDxfId="2392" totalsRowDxfId="2391" dataCellStyle="Normal 2"/>
    <tableColumn id="98" name="RBI7" totalsRowFunction="sum" dataDxfId="2390" totalsRowDxfId="2389" dataCellStyle="Normal 2"/>
    <tableColumn id="99" name="BB7" totalsRowFunction="sum" dataDxfId="2388" totalsRowDxfId="2387" dataCellStyle="Normal 2"/>
    <tableColumn id="100" name="SO7" totalsRowFunction="sum" dataDxfId="2386" totalsRowDxfId="2385" dataCellStyle="Normal 2"/>
    <tableColumn id="101" name="HBP7" totalsRowFunction="sum" dataDxfId="2384" totalsRowDxfId="2383" dataCellStyle="Normal 2"/>
    <tableColumn id="102" name="SF7" totalsRowFunction="sum" dataDxfId="2382" totalsRowDxfId="2381" dataCellStyle="Normal 2"/>
    <tableColumn id="103" name="TB7" totalsRowFunction="sum" dataDxfId="2380" totalsRowDxfId="2379" dataCellStyle="Normal 2"/>
    <tableColumn id="104" name="Starter8" totalsRowFunction="custom" dataDxfId="2378" totalsRowDxfId="2377" dataCellStyle="Normal 2">
      <totalsRowFormula>INDEX(Table127[Starter8],MODE(MATCH(Table127[Starter8],Table127[Starter8],0)))</totalsRowFormula>
    </tableColumn>
    <tableColumn id="105" name="AB8" totalsRowFunction="sum" dataDxfId="2376" totalsRowDxfId="2375" dataCellStyle="Normal 2"/>
    <tableColumn id="106" name="R8" totalsRowFunction="sum" dataDxfId="2374" totalsRowDxfId="2373" dataCellStyle="Normal 2"/>
    <tableColumn id="107" name="H8" totalsRowFunction="sum" dataDxfId="2372" totalsRowDxfId="2371" dataCellStyle="Normal 2"/>
    <tableColumn id="108" name="RBI8" totalsRowFunction="sum" dataDxfId="2370" totalsRowDxfId="2369" dataCellStyle="Normal 2"/>
    <tableColumn id="109" name="BB8" totalsRowFunction="sum" dataDxfId="2368" totalsRowDxfId="2367" dataCellStyle="Normal 2"/>
    <tableColumn id="110" name="SO8" totalsRowFunction="sum" dataDxfId="2366" totalsRowDxfId="2365" dataCellStyle="Normal 2"/>
    <tableColumn id="111" name="HBP8" totalsRowFunction="sum" dataDxfId="2364" totalsRowDxfId="2363" dataCellStyle="Normal 2"/>
    <tableColumn id="112" name="SF8" totalsRowFunction="sum" dataDxfId="2362" totalsRowDxfId="2361" dataCellStyle="Normal 2"/>
    <tableColumn id="113" name="TB8" totalsRowFunction="sum" dataDxfId="2360" totalsRowDxfId="2359" dataCellStyle="Normal 2"/>
    <tableColumn id="114" name="Starter9" totalsRowFunction="custom" dataDxfId="2358" totalsRowDxfId="2357" dataCellStyle="Normal 2">
      <totalsRowFormula>INDEX(Table127[Starter9],MODE(MATCH(Table127[Starter9],Table127[Starter9],0)))</totalsRowFormula>
    </tableColumn>
    <tableColumn id="115" name="AB9" totalsRowFunction="sum" dataDxfId="2356" totalsRowDxfId="2355" dataCellStyle="Normal 2"/>
    <tableColumn id="116" name="R9" totalsRowFunction="sum" dataDxfId="2354" totalsRowDxfId="2353" dataCellStyle="Normal 2"/>
    <tableColumn id="117" name="H9" totalsRowFunction="sum" dataDxfId="2352" totalsRowDxfId="2351" dataCellStyle="Normal 2"/>
    <tableColumn id="118" name="RBI9" totalsRowFunction="sum" dataDxfId="2350" totalsRowDxfId="2349" dataCellStyle="Normal 2"/>
    <tableColumn id="119" name="BB9" totalsRowFunction="sum" dataDxfId="2348" totalsRowDxfId="2347" dataCellStyle="Normal 2"/>
    <tableColumn id="120" name="SO9" totalsRowFunction="sum" dataDxfId="2346" totalsRowDxfId="2345" dataCellStyle="Normal 2"/>
    <tableColumn id="121" name="HBP9" totalsRowFunction="sum" dataDxfId="2344" totalsRowDxfId="2343" dataCellStyle="Normal 2"/>
    <tableColumn id="122" name="SF9" totalsRowFunction="sum" dataDxfId="2342" totalsRowDxfId="2341" dataCellStyle="Normal 2"/>
    <tableColumn id="123" name="TB9" totalsRowFunction="sum" dataDxfId="2340" totalsRowDxfId="2339" dataCellStyle="Normal 2"/>
    <tableColumn id="127" name="IVL" totalsRowFunction="sum" dataDxfId="2338" totalsRowDxfId="2337" dataCellStyle="Normal 2"/>
    <tableColumn id="128" name="SVL" totalsRowFunction="sum" dataDxfId="2336" totalsRowDxfId="2335" dataCellStyle="Normal 2"/>
    <tableColumn id="129" name="CVL" totalsRowFunction="sum" dataDxfId="2334" totalsRowDxfId="2333" dataCellStyle="Normal 2"/>
    <tableColumn id="130" name="IVR" totalsRowFunction="sum" dataDxfId="2332" totalsRowDxfId="2331" dataCellStyle="Normal 2"/>
    <tableColumn id="131" name="SVR" totalsRowFunction="sum" dataDxfId="2330" totalsRowDxfId="2329" dataCellStyle="Normal 2"/>
    <tableColumn id="132" name="CVR" totalsRowFunction="sum" dataDxfId="2328" totalsRowDxfId="2327" dataCellStyle="Normal 2"/>
    <tableColumn id="134" name="RI1" totalsRowFunction="sum" dataDxfId="2326" totalsRowDxfId="2325" dataCellStyle="Normal 2"/>
    <tableColumn id="135" name="RI2" totalsRowFunction="sum" dataDxfId="2324" totalsRowDxfId="2323" dataCellStyle="Normal 2"/>
    <tableColumn id="136" name="RI3" totalsRowFunction="sum" dataDxfId="2322" totalsRowDxfId="2321" dataCellStyle="Normal 2"/>
    <tableColumn id="137" name="RI4" totalsRowFunction="sum" dataDxfId="2320" totalsRowDxfId="2319" dataCellStyle="Normal 2"/>
    <tableColumn id="138" name="RI5" totalsRowFunction="sum" dataDxfId="2318" totalsRowDxfId="2317" dataCellStyle="Normal 2"/>
    <tableColumn id="139" name="RI6" totalsRowFunction="sum" dataDxfId="2316" totalsRowDxfId="2315" dataCellStyle="Normal 2"/>
    <tableColumn id="140" name="RI7" totalsRowFunction="sum" dataDxfId="2314" totalsRowDxfId="2313" dataCellStyle="Normal 2"/>
    <tableColumn id="141" name="RI8" totalsRowFunction="sum" dataDxfId="2312" totalsRowDxfId="2311" dataCellStyle="Normal 2"/>
    <tableColumn id="142" name="RI9" totalsRowFunction="sum" dataDxfId="2310" totalsRowDxfId="2309" dataCellStyle="Normal 2"/>
    <tableColumn id="143" name="RI10" totalsRowFunction="sum" dataDxfId="2308" totalsRowDxfId="2307" dataCellStyle="Normal 2"/>
    <tableColumn id="144" name="RI11" totalsRowFunction="sum" dataDxfId="2306" totalsRowDxfId="2305" dataCellStyle="Normal 2"/>
    <tableColumn id="145" name="RI12" totalsRowFunction="sum" dataDxfId="2304" totalsRowDxfId="2303" dataCellStyle="Normal 2"/>
    <tableColumn id="164" name="RI13" totalsRowFunction="sum" dataDxfId="2302" totalsRowDxfId="2301" dataCellStyle="Normal 2"/>
    <tableColumn id="166" name="RI14" totalsRowFunction="sum" dataDxfId="2300" totalsRowDxfId="2299" dataCellStyle="Normal 2"/>
    <tableColumn id="168" name="RI15" totalsRowFunction="sum" dataDxfId="2298" totalsRowDxfId="2297" dataCellStyle="Normal 2"/>
    <tableColumn id="146" name="RT" totalsRowFunction="sum" dataDxfId="2296" totalsRowDxfId="2295" dataCellStyle="Normal 2">
      <calculatedColumnFormula>SUM(EE4:ES4)</calculatedColumnFormula>
    </tableColumn>
    <tableColumn id="147" name="OI1" totalsRowFunction="sum" dataDxfId="2294" totalsRowDxfId="2293" dataCellStyle="Normal 2"/>
    <tableColumn id="148" name="OI2" totalsRowFunction="sum" dataDxfId="2292" totalsRowDxfId="2291" dataCellStyle="Normal 2"/>
    <tableColumn id="149" name="OI3" totalsRowFunction="sum" dataDxfId="2290" totalsRowDxfId="2289" dataCellStyle="Normal 2"/>
    <tableColumn id="150" name="OI4" totalsRowFunction="sum" dataDxfId="2288" totalsRowDxfId="2287" dataCellStyle="Normal 2"/>
    <tableColumn id="151" name="OI5" totalsRowFunction="sum" dataDxfId="2286" totalsRowDxfId="2285" dataCellStyle="Normal 2"/>
    <tableColumn id="152" name="OI6" totalsRowFunction="sum" dataDxfId="2284" totalsRowDxfId="2283" dataCellStyle="Normal 2"/>
    <tableColumn id="153" name="OI7" totalsRowFunction="sum" dataDxfId="2282" totalsRowDxfId="2281" dataCellStyle="Normal 2"/>
    <tableColumn id="154" name="OI8" totalsRowFunction="sum" dataDxfId="2280" totalsRowDxfId="2279" dataCellStyle="Normal 2"/>
    <tableColumn id="155" name="OI9" totalsRowFunction="sum" dataDxfId="2278" totalsRowDxfId="2277" dataCellStyle="Normal 2"/>
    <tableColumn id="156" name="OI10" totalsRowFunction="sum" dataDxfId="2276" totalsRowDxfId="2275" dataCellStyle="Normal 2"/>
    <tableColumn id="157" name="OI11" totalsRowFunction="sum" dataDxfId="2274" totalsRowDxfId="2273" dataCellStyle="Normal 2"/>
    <tableColumn id="158" name="OI12" totalsRowFunction="sum" dataDxfId="2272" totalsRowDxfId="2271" dataCellStyle="Normal 2"/>
    <tableColumn id="165" name="OI13" totalsRowFunction="sum" dataDxfId="2270" totalsRowDxfId="2269" dataCellStyle="Normal 2"/>
    <tableColumn id="167" name="OI14" totalsRowFunction="sum" dataDxfId="2268" totalsRowDxfId="2267" dataCellStyle="Normal 2"/>
    <tableColumn id="169" name="OI15" totalsRowFunction="sum" dataDxfId="2266" totalsRowDxfId="2265" dataCellStyle="Normal 2"/>
    <tableColumn id="159" name="OT" totalsRowFunction="sum" dataDxfId="2264" totalsRowDxfId="2263" dataCellStyle="Normal 2">
      <calculatedColumnFormula>SUM(EU4:FI4)</calculatedColumnFormula>
    </tableColumn>
    <tableColumn id="161" name="RRAisORS" dataDxfId="2262" totalsRowDxfId="2261" dataCellStyle="Normal 2">
      <calculatedColumnFormula>((SUM(L4,AD4))-(FJ4))</calculatedColumnFormula>
    </tableColumn>
    <tableColumn id="162" name="ORAisRRS" dataDxfId="2260" totalsRowDxfId="2259" dataCellStyle="Normal 2">
      <calculatedColumnFormula>((SUM(AO4,AY4,BI4,BS4,CC4,CM4,CW4,DG4,DQ4))-(ET4))</calculatedColumnFormula>
    </tableColumn>
    <tableColumn id="163" name="Notes" dataDxfId="2258" totalsRowDxfId="2257" dataCellStyle="Normal 2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id="31" name="Table12732" displayName="Table12732" ref="A3:FU143" totalsRowCount="1" headerRowDxfId="2256" dataDxfId="2255" totalsRowDxfId="2254" dataCellStyle="Normal 2">
  <autoFilter ref="A3:FU142"/>
  <tableColumns count="177">
    <tableColumn id="2" name="Date" totalsRowFunction="count" dataDxfId="2253" totalsRowDxfId="2252"/>
    <tableColumn id="126" name="Loc" dataDxfId="2251" totalsRowDxfId="2250"/>
    <tableColumn id="125" name="Res" dataDxfId="2249" totalsRowDxfId="2248"/>
    <tableColumn id="124" name="Opp" dataDxfId="2247" totalsRowDxfId="2246"/>
    <tableColumn id="133" name="Att" totalsRowFunction="sum" dataDxfId="2245" totalsRowDxfId="2244"/>
    <tableColumn id="160" name="PS" dataDxfId="2243" totalsRowDxfId="2242"/>
    <tableColumn id="1" name="Pitcher" totalsRowLabel="Total" dataDxfId="2241" totalsRowDxfId="2240"/>
    <tableColumn id="26" name="S-W" totalsRowFunction="sum" dataDxfId="2239" totalsRowDxfId="2238"/>
    <tableColumn id="25" name="S-L" totalsRowFunction="sum" dataDxfId="2237" totalsRowDxfId="2236"/>
    <tableColumn id="3" name="S-IP" totalsRowFunction="sum" dataDxfId="2235" totalsRowDxfId="2234"/>
    <tableColumn id="4" name="S-H" totalsRowFunction="sum" dataDxfId="2233" totalsRowDxfId="2232"/>
    <tableColumn id="5" name="S-R" totalsRowFunction="sum" dataDxfId="2231" totalsRowDxfId="2230"/>
    <tableColumn id="6" name="S-ER" totalsRowFunction="sum" dataDxfId="2229" totalsRowDxfId="2228"/>
    <tableColumn id="7" name="S-BB" totalsRowFunction="sum" dataDxfId="2227" totalsRowDxfId="2226"/>
    <tableColumn id="8" name="S-SO" totalsRowFunction="sum" dataDxfId="2225" totalsRowDxfId="2224"/>
    <tableColumn id="9" name="S-HR" totalsRowFunction="sum" dataDxfId="2223" totalsRowDxfId="2222"/>
    <tableColumn id="10" name="S-HBP" totalsRowFunction="sum" dataDxfId="2221" totalsRowDxfId="2220"/>
    <tableColumn id="11" name="S-BF" totalsRowFunction="sum" dataDxfId="2219" totalsRowDxfId="2218"/>
    <tableColumn id="12" name="S-Pit" totalsRowFunction="sum" dataDxfId="2217" totalsRowDxfId="2216"/>
    <tableColumn id="13" name="S-Str" totalsRowFunction="sum" dataDxfId="2215" totalsRowDxfId="2214"/>
    <tableColumn id="32" name="IRL" totalsRowFunction="sum" dataDxfId="2213" totalsRowDxfId="2212"/>
    <tableColumn id="33" name="IRS" totalsRowFunction="sum" dataDxfId="2211" totalsRowDxfId="2210"/>
    <tableColumn id="29" name="B-W" totalsRowFunction="sum" dataDxfId="2209" totalsRowDxfId="2208"/>
    <tableColumn id="31" name="B-L" totalsRowFunction="sum" dataDxfId="2207" totalsRowDxfId="2206"/>
    <tableColumn id="30" name="Hld" totalsRowFunction="sum" dataDxfId="2205" totalsRowDxfId="2204"/>
    <tableColumn id="28" name="Sv" totalsRowFunction="sum" dataDxfId="2203" totalsRowDxfId="2202"/>
    <tableColumn id="27" name="BS" totalsRowFunction="sum" dataDxfId="2201" totalsRowDxfId="2200"/>
    <tableColumn id="14" name="B-IP" totalsRowFunction="sum" dataDxfId="2199" totalsRowDxfId="2198"/>
    <tableColumn id="15" name="B-H" totalsRowFunction="sum" dataDxfId="2197" totalsRowDxfId="2196"/>
    <tableColumn id="16" name="B-R" totalsRowFunction="sum" dataDxfId="2195" totalsRowDxfId="2194"/>
    <tableColumn id="17" name="B-ER" totalsRowFunction="sum" dataDxfId="2193" totalsRowDxfId="2192"/>
    <tableColumn id="18" name="B-BB" totalsRowFunction="sum" dataDxfId="2191" totalsRowDxfId="2190"/>
    <tableColumn id="19" name="B-SO" totalsRowFunction="sum" dataDxfId="2189" totalsRowDxfId="2188"/>
    <tableColumn id="20" name="B-HR" totalsRowFunction="sum" dataDxfId="2187" totalsRowDxfId="2186"/>
    <tableColumn id="21" name="B-HBP" totalsRowFunction="sum" dataDxfId="2185" totalsRowDxfId="2184"/>
    <tableColumn id="22" name="B-BF" totalsRowFunction="sum" dataDxfId="2183" totalsRowDxfId="2182"/>
    <tableColumn id="23" name="B-Pit" totalsRowFunction="sum" dataDxfId="2181" totalsRowDxfId="2180"/>
    <tableColumn id="24" name="B-Str" totalsRowFunction="sum" dataDxfId="2179" totalsRowDxfId="2178"/>
    <tableColumn id="34" name="Starter1" totalsRowFunction="custom" dataDxfId="2177" totalsRowDxfId="2176" dataCellStyle="Normal 2">
      <totalsRowFormula>INDEX(Table12732[Starter1],MODE(MATCH(Table12732[Starter1],Table12732[Starter1],0)))</totalsRowFormula>
    </tableColumn>
    <tableColumn id="35" name="AB1" totalsRowFunction="sum" dataDxfId="2175" totalsRowDxfId="2174" dataCellStyle="Normal 2"/>
    <tableColumn id="36" name="R1" totalsRowFunction="sum" dataDxfId="2173" totalsRowDxfId="2172" dataCellStyle="Normal 2"/>
    <tableColumn id="37" name="H1" totalsRowFunction="sum" dataDxfId="2171" totalsRowDxfId="2170" dataCellStyle="Normal 2"/>
    <tableColumn id="38" name="RBI1" totalsRowFunction="sum" dataDxfId="2169" totalsRowDxfId="2168" dataCellStyle="Normal 2"/>
    <tableColumn id="39" name="BB1" totalsRowFunction="sum" dataDxfId="2167" totalsRowDxfId="2166" dataCellStyle="Normal 2"/>
    <tableColumn id="40" name="SO1" totalsRowFunction="sum" dataDxfId="2165" totalsRowDxfId="2164" dataCellStyle="Normal 2"/>
    <tableColumn id="41" name="HBP1" totalsRowFunction="sum" dataDxfId="2163" totalsRowDxfId="2162" dataCellStyle="Normal 2"/>
    <tableColumn id="42" name="SF1" totalsRowFunction="sum" dataDxfId="2161" totalsRowDxfId="2160" dataCellStyle="Normal 2"/>
    <tableColumn id="43" name="TB1" totalsRowFunction="sum" dataDxfId="2159" totalsRowDxfId="2158" dataCellStyle="Normal 2"/>
    <tableColumn id="44" name="Starter2" totalsRowFunction="custom" dataDxfId="2157" totalsRowDxfId="2156" dataCellStyle="Normal 2">
      <totalsRowFormula>INDEX(Table12732[Starter2],MODE(MATCH(Table12732[Starter2],Table12732[Starter2],0)))</totalsRowFormula>
    </tableColumn>
    <tableColumn id="45" name="AB2" totalsRowFunction="sum" dataDxfId="2155" totalsRowDxfId="2154" dataCellStyle="Normal 2"/>
    <tableColumn id="46" name="R2" totalsRowFunction="sum" dataDxfId="2153" totalsRowDxfId="2152" dataCellStyle="Normal 2"/>
    <tableColumn id="47" name="H2" totalsRowFunction="sum" dataDxfId="2151" totalsRowDxfId="2150" dataCellStyle="Normal 2"/>
    <tableColumn id="48" name="RBI2" totalsRowFunction="sum" dataDxfId="2149" totalsRowDxfId="2148" dataCellStyle="Normal 2"/>
    <tableColumn id="49" name="BB2" totalsRowFunction="sum" dataDxfId="2147" totalsRowDxfId="2146" dataCellStyle="Normal 2"/>
    <tableColumn id="50" name="SO2" totalsRowFunction="sum" dataDxfId="2145" totalsRowDxfId="2144" dataCellStyle="Normal 2"/>
    <tableColumn id="51" name="HBP2" totalsRowFunction="sum" dataDxfId="2143" totalsRowDxfId="2142" dataCellStyle="Normal 2"/>
    <tableColumn id="52" name="SF2" totalsRowFunction="sum" dataDxfId="2141" totalsRowDxfId="2140" dataCellStyle="Normal 2"/>
    <tableColumn id="53" name="TB2" totalsRowFunction="sum" dataDxfId="2139" totalsRowDxfId="2138" dataCellStyle="Normal 2"/>
    <tableColumn id="54" name="Starter3" totalsRowFunction="custom" dataDxfId="2137" totalsRowDxfId="2136" dataCellStyle="Normal 2">
      <totalsRowFormula>INDEX(Table12732[Starter3],MODE(MATCH(Table12732[Starter3],Table12732[Starter3],0)))</totalsRowFormula>
    </tableColumn>
    <tableColumn id="55" name="AB3" totalsRowFunction="sum" dataDxfId="2135" totalsRowDxfId="2134" dataCellStyle="Normal 2"/>
    <tableColumn id="56" name="R3" totalsRowFunction="sum" dataDxfId="2133" totalsRowDxfId="2132" dataCellStyle="Normal 2"/>
    <tableColumn id="57" name="H3" totalsRowFunction="sum" dataDxfId="2131" totalsRowDxfId="2130" dataCellStyle="Normal 2"/>
    <tableColumn id="58" name="RBI3" totalsRowFunction="sum" dataDxfId="2129" totalsRowDxfId="2128" dataCellStyle="Normal 2"/>
    <tableColumn id="59" name="BB3" totalsRowFunction="sum" dataDxfId="2127" totalsRowDxfId="2126" dataCellStyle="Normal 2"/>
    <tableColumn id="60" name="SO3" totalsRowFunction="sum" dataDxfId="2125" totalsRowDxfId="2124" dataCellStyle="Normal 2"/>
    <tableColumn id="61" name="HBP3" totalsRowFunction="sum" dataDxfId="2123" totalsRowDxfId="2122" dataCellStyle="Normal 2"/>
    <tableColumn id="62" name="SF3" totalsRowFunction="sum" dataDxfId="2121" totalsRowDxfId="2120" dataCellStyle="Normal 2"/>
    <tableColumn id="63" name="TB3" totalsRowFunction="sum" dataDxfId="2119" totalsRowDxfId="2118" dataCellStyle="Normal 2"/>
    <tableColumn id="64" name="Starter4" totalsRowFunction="custom" dataDxfId="2117" totalsRowDxfId="2116" dataCellStyle="Normal 2">
      <totalsRowFormula>INDEX(Table12732[Starter4],MODE(MATCH(Table12732[Starter4],Table12732[Starter4],0)))</totalsRowFormula>
    </tableColumn>
    <tableColumn id="65" name="AB4" totalsRowFunction="sum" dataDxfId="2115" totalsRowDxfId="2114" dataCellStyle="Normal 2"/>
    <tableColumn id="66" name="R4" totalsRowFunction="sum" dataDxfId="2113" totalsRowDxfId="2112" dataCellStyle="Normal 2"/>
    <tableColumn id="67" name="H4" totalsRowFunction="sum" dataDxfId="2111" totalsRowDxfId="2110" dataCellStyle="Normal 2"/>
    <tableColumn id="68" name="RBI4" totalsRowFunction="sum" dataDxfId="2109" totalsRowDxfId="2108" dataCellStyle="Normal 2"/>
    <tableColumn id="69" name="BB4" totalsRowFunction="sum" dataDxfId="2107" totalsRowDxfId="2106" dataCellStyle="Normal 2"/>
    <tableColumn id="70" name="SO4" totalsRowFunction="sum" dataDxfId="2105" totalsRowDxfId="2104" dataCellStyle="Normal 2"/>
    <tableColumn id="71" name="HBP4" totalsRowFunction="sum" dataDxfId="2103" totalsRowDxfId="2102" dataCellStyle="Normal 2"/>
    <tableColumn id="72" name="SF4" totalsRowFunction="sum" dataDxfId="2101" totalsRowDxfId="2100" dataCellStyle="Normal 2"/>
    <tableColumn id="73" name="TB4" totalsRowFunction="sum" dataDxfId="2099" totalsRowDxfId="2098" dataCellStyle="Normal 2"/>
    <tableColumn id="74" name="Starter5" totalsRowFunction="custom" dataDxfId="2097" totalsRowDxfId="2096" dataCellStyle="Normal 2">
      <totalsRowFormula>INDEX(Table12732[Starter5],MODE(MATCH(Table12732[Starter5],Table12732[Starter5],0)))</totalsRowFormula>
    </tableColumn>
    <tableColumn id="75" name="AB5" totalsRowFunction="sum" dataDxfId="2095" totalsRowDxfId="2094" dataCellStyle="Normal 2"/>
    <tableColumn id="76" name="R5" totalsRowFunction="sum" dataDxfId="2093" totalsRowDxfId="2092" dataCellStyle="Normal 2"/>
    <tableColumn id="77" name="H5" totalsRowFunction="sum" dataDxfId="2091" totalsRowDxfId="2090" dataCellStyle="Normal 2"/>
    <tableColumn id="78" name="RBI5" totalsRowFunction="sum" dataDxfId="2089" totalsRowDxfId="2088" dataCellStyle="Normal 2"/>
    <tableColumn id="79" name="BB5" totalsRowFunction="sum" dataDxfId="2087" totalsRowDxfId="2086" dataCellStyle="Normal 2"/>
    <tableColumn id="80" name="SO5" totalsRowFunction="sum" dataDxfId="2085" totalsRowDxfId="2084" dataCellStyle="Normal 2"/>
    <tableColumn id="81" name="HBP5" totalsRowFunction="sum" dataDxfId="2083" totalsRowDxfId="2082" dataCellStyle="Normal 2"/>
    <tableColumn id="82" name="SF5" totalsRowFunction="sum" dataDxfId="2081" totalsRowDxfId="2080" dataCellStyle="Normal 2"/>
    <tableColumn id="83" name="TB5" totalsRowFunction="sum" dataDxfId="2079" totalsRowDxfId="2078" dataCellStyle="Normal 2"/>
    <tableColumn id="84" name="Starter6" totalsRowFunction="custom" dataDxfId="2077" totalsRowDxfId="2076" dataCellStyle="Normal 2">
      <totalsRowFormula>INDEX(Table12732[Starter6],MODE(MATCH(Table12732[Starter6],Table12732[Starter6],0)))</totalsRowFormula>
    </tableColumn>
    <tableColumn id="85" name="AB6" totalsRowFunction="sum" dataDxfId="2075" totalsRowDxfId="2074" dataCellStyle="Normal 2"/>
    <tableColumn id="86" name="R6" totalsRowFunction="sum" dataDxfId="2073" totalsRowDxfId="2072" dataCellStyle="Normal 2"/>
    <tableColumn id="87" name="H6" totalsRowFunction="sum" dataDxfId="2071" totalsRowDxfId="2070" dataCellStyle="Normal 2"/>
    <tableColumn id="88" name="RBI6" totalsRowFunction="sum" dataDxfId="2069" totalsRowDxfId="2068" dataCellStyle="Normal 2"/>
    <tableColumn id="89" name="BB6" totalsRowFunction="sum" dataDxfId="2067" totalsRowDxfId="2066" dataCellStyle="Normal 2"/>
    <tableColumn id="90" name="SO6" totalsRowFunction="sum" dataDxfId="2065" totalsRowDxfId="2064" dataCellStyle="Normal 2"/>
    <tableColumn id="91" name="HBP6" totalsRowFunction="sum" dataDxfId="2063" totalsRowDxfId="2062" dataCellStyle="Normal 2"/>
    <tableColumn id="92" name="SF6" totalsRowFunction="sum" dataDxfId="2061" totalsRowDxfId="2060" dataCellStyle="Normal 2"/>
    <tableColumn id="93" name="TB6" totalsRowFunction="sum" dataDxfId="2059" totalsRowDxfId="2058" dataCellStyle="Normal 2"/>
    <tableColumn id="94" name="Starter7" totalsRowFunction="custom" dataDxfId="2057" totalsRowDxfId="2056" dataCellStyle="Normal 2">
      <totalsRowFormula>INDEX(Table12732[Starter7],MODE(MATCH(Table12732[Starter7],Table12732[Starter7],0)))</totalsRowFormula>
    </tableColumn>
    <tableColumn id="95" name="AB7" totalsRowFunction="sum" dataDxfId="2055" totalsRowDxfId="2054" dataCellStyle="Normal 2"/>
    <tableColumn id="96" name="R7" totalsRowFunction="sum" dataDxfId="2053" totalsRowDxfId="2052" dataCellStyle="Normal 2"/>
    <tableColumn id="97" name="H7" totalsRowFunction="sum" dataDxfId="2051" totalsRowDxfId="2050" dataCellStyle="Normal 2"/>
    <tableColumn id="98" name="RBI7" totalsRowFunction="sum" dataDxfId="2049" totalsRowDxfId="2048" dataCellStyle="Normal 2"/>
    <tableColumn id="99" name="BB7" totalsRowFunction="sum" dataDxfId="2047" totalsRowDxfId="2046" dataCellStyle="Normal 2"/>
    <tableColumn id="100" name="SO7" totalsRowFunction="sum" dataDxfId="2045" totalsRowDxfId="2044" dataCellStyle="Normal 2"/>
    <tableColumn id="101" name="HBP7" totalsRowFunction="sum" dataDxfId="2043" totalsRowDxfId="2042" dataCellStyle="Normal 2"/>
    <tableColumn id="102" name="SF7" totalsRowFunction="sum" dataDxfId="2041" totalsRowDxfId="2040" dataCellStyle="Normal 2"/>
    <tableColumn id="103" name="TB7" totalsRowFunction="sum" dataDxfId="2039" totalsRowDxfId="2038" dataCellStyle="Normal 2"/>
    <tableColumn id="104" name="Starter8" totalsRowFunction="custom" dataDxfId="2037" totalsRowDxfId="2036" dataCellStyle="Normal 2">
      <totalsRowFormula>INDEX(Table12732[Starter8],MODE(MATCH(Table12732[Starter8],Table12732[Starter8],0)))</totalsRowFormula>
    </tableColumn>
    <tableColumn id="105" name="AB8" totalsRowFunction="sum" dataDxfId="2035" totalsRowDxfId="2034" dataCellStyle="Normal 2"/>
    <tableColumn id="106" name="R8" totalsRowFunction="sum" dataDxfId="2033" totalsRowDxfId="2032" dataCellStyle="Normal 2"/>
    <tableColumn id="107" name="H8" totalsRowFunction="sum" dataDxfId="2031" totalsRowDxfId="2030" dataCellStyle="Normal 2"/>
    <tableColumn id="108" name="RBI8" totalsRowFunction="sum" dataDxfId="2029" totalsRowDxfId="2028" dataCellStyle="Normal 2"/>
    <tableColumn id="109" name="BB8" totalsRowFunction="sum" dataDxfId="2027" totalsRowDxfId="2026" dataCellStyle="Normal 2"/>
    <tableColumn id="110" name="SO8" totalsRowFunction="sum" dataDxfId="2025" totalsRowDxfId="2024" dataCellStyle="Normal 2"/>
    <tableColumn id="111" name="HBP8" totalsRowFunction="sum" dataDxfId="2023" totalsRowDxfId="2022" dataCellStyle="Normal 2"/>
    <tableColumn id="112" name="SF8" totalsRowFunction="sum" dataDxfId="2021" totalsRowDxfId="2020" dataCellStyle="Normal 2"/>
    <tableColumn id="113" name="TB8" totalsRowFunction="sum" dataDxfId="2019" totalsRowDxfId="2018" dataCellStyle="Normal 2"/>
    <tableColumn id="114" name="Starter9" totalsRowFunction="custom" dataDxfId="2017" totalsRowDxfId="2016" dataCellStyle="Normal 2">
      <totalsRowFormula>INDEX(Table12732[Starter9],MODE(MATCH(Table12732[Starter9],Table12732[Starter9],0)))</totalsRowFormula>
    </tableColumn>
    <tableColumn id="115" name="AB9" totalsRowFunction="sum" dataDxfId="2015" totalsRowDxfId="2014" dataCellStyle="Normal 2"/>
    <tableColumn id="116" name="R9" totalsRowFunction="sum" dataDxfId="2013" totalsRowDxfId="2012" dataCellStyle="Normal 2"/>
    <tableColumn id="117" name="H9" totalsRowFunction="sum" dataDxfId="2011" totalsRowDxfId="2010" dataCellStyle="Normal 2"/>
    <tableColumn id="118" name="RBI9" totalsRowFunction="sum" dataDxfId="2009" totalsRowDxfId="2008" dataCellStyle="Normal 2"/>
    <tableColumn id="119" name="BB9" totalsRowFunction="sum" dataDxfId="2007" totalsRowDxfId="2006" dataCellStyle="Normal 2"/>
    <tableColumn id="120" name="SO9" totalsRowFunction="sum" dataDxfId="2005" totalsRowDxfId="2004" dataCellStyle="Normal 2"/>
    <tableColumn id="121" name="HBP9" totalsRowFunction="sum" dataDxfId="2003" totalsRowDxfId="2002" dataCellStyle="Normal 2"/>
    <tableColumn id="122" name="SF9" totalsRowFunction="sum" dataDxfId="2001" totalsRowDxfId="2000" dataCellStyle="Normal 2"/>
    <tableColumn id="123" name="TB9" totalsRowFunction="sum" dataDxfId="1999" totalsRowDxfId="1998" dataCellStyle="Normal 2"/>
    <tableColumn id="127" name="IVL" totalsRowFunction="sum" dataDxfId="1997" totalsRowDxfId="1996" dataCellStyle="Normal 2"/>
    <tableColumn id="128" name="SVL" totalsRowFunction="sum" dataDxfId="1995" totalsRowDxfId="1994" dataCellStyle="Normal 2"/>
    <tableColumn id="129" name="CVL" totalsRowFunction="sum" dataDxfId="1993" totalsRowDxfId="1992" dataCellStyle="Normal 2"/>
    <tableColumn id="130" name="IVR" totalsRowFunction="sum" dataDxfId="1991" totalsRowDxfId="1990" dataCellStyle="Normal 2"/>
    <tableColumn id="131" name="SVR" totalsRowFunction="sum" dataDxfId="1989" totalsRowDxfId="1988" dataCellStyle="Normal 2"/>
    <tableColumn id="132" name="CVR" totalsRowFunction="sum" dataDxfId="1987" totalsRowDxfId="1986" dataCellStyle="Normal 2"/>
    <tableColumn id="134" name="RI1" totalsRowFunction="sum" dataDxfId="1985" totalsRowDxfId="1984" dataCellStyle="Normal 2"/>
    <tableColumn id="135" name="RI2" totalsRowFunction="sum" dataDxfId="1983" totalsRowDxfId="1982" dataCellStyle="Normal 2"/>
    <tableColumn id="136" name="RI3" totalsRowFunction="sum" dataDxfId="1981" totalsRowDxfId="1980" dataCellStyle="Normal 2"/>
    <tableColumn id="137" name="RI4" totalsRowFunction="sum" dataDxfId="1979" totalsRowDxfId="1978" dataCellStyle="Normal 2"/>
    <tableColumn id="138" name="RI5" totalsRowFunction="sum" dataDxfId="1977" totalsRowDxfId="1976" dataCellStyle="Normal 2"/>
    <tableColumn id="139" name="RI6" totalsRowFunction="sum" dataDxfId="1975" totalsRowDxfId="1974" dataCellStyle="Normal 2"/>
    <tableColumn id="140" name="RI7" totalsRowFunction="sum" dataDxfId="1973" totalsRowDxfId="1972" dataCellStyle="Normal 2"/>
    <tableColumn id="141" name="RI8" totalsRowFunction="sum" dataDxfId="1971" totalsRowDxfId="1970" dataCellStyle="Normal 2"/>
    <tableColumn id="142" name="RI9" totalsRowFunction="sum" dataDxfId="1969" totalsRowDxfId="1968" dataCellStyle="Normal 2"/>
    <tableColumn id="143" name="RI10" totalsRowFunction="sum" dataDxfId="1967" totalsRowDxfId="1966" dataCellStyle="Normal 2"/>
    <tableColumn id="144" name="RI11" totalsRowFunction="sum" dataDxfId="1965" totalsRowDxfId="1964" dataCellStyle="Normal 2"/>
    <tableColumn id="145" name="RI12" totalsRowFunction="sum" dataDxfId="1963" totalsRowDxfId="1962" dataCellStyle="Normal 2"/>
    <tableColumn id="164" name="RI13" totalsRowFunction="sum" dataDxfId="1961" totalsRowDxfId="1960" dataCellStyle="Normal 2"/>
    <tableColumn id="166" name="RI14" totalsRowFunction="sum" dataDxfId="1959" totalsRowDxfId="1958" dataCellStyle="Normal 2"/>
    <tableColumn id="167" name="RI15" totalsRowFunction="sum" dataDxfId="1957" totalsRowDxfId="1956" dataCellStyle="Normal 2"/>
    <tableColumn id="174" name="RI16" totalsRowFunction="sum" dataDxfId="1955" totalsRowDxfId="1954" dataCellStyle="Normal 2"/>
    <tableColumn id="175" name="RI17" totalsRowFunction="sum" dataDxfId="1953" totalsRowDxfId="1952" dataCellStyle="Normal 2"/>
    <tableColumn id="176" name="RI18" totalsRowFunction="sum" dataDxfId="1951" totalsRowDxfId="1950" dataCellStyle="Normal 2"/>
    <tableColumn id="177" name="RI19" totalsRowFunction="sum" dataDxfId="1949" totalsRowDxfId="1948" dataCellStyle="Normal 2"/>
    <tableColumn id="146" name="RT" totalsRowFunction="sum" dataDxfId="1947" totalsRowDxfId="1946" dataCellStyle="Normal 2">
      <calculatedColumnFormula>SUM(EE4:EW4)</calculatedColumnFormula>
    </tableColumn>
    <tableColumn id="147" name="OI1" totalsRowFunction="sum" dataDxfId="1945" totalsRowDxfId="1944" dataCellStyle="Normal 2"/>
    <tableColumn id="148" name="OI2" totalsRowFunction="sum" dataDxfId="1943" totalsRowDxfId="1942" dataCellStyle="Normal 2"/>
    <tableColumn id="149" name="OI3" totalsRowFunction="sum" dataDxfId="1941" totalsRowDxfId="1940" dataCellStyle="Normal 2"/>
    <tableColumn id="150" name="OI4" totalsRowFunction="sum" dataDxfId="1939" totalsRowDxfId="1938" dataCellStyle="Normal 2"/>
    <tableColumn id="151" name="OI5" totalsRowFunction="sum" dataDxfId="1937" totalsRowDxfId="1936" dataCellStyle="Normal 2"/>
    <tableColumn id="152" name="OI6" totalsRowFunction="sum" dataDxfId="1935" totalsRowDxfId="1934" dataCellStyle="Normal 2"/>
    <tableColumn id="153" name="OI7" totalsRowFunction="sum" dataDxfId="1933" totalsRowDxfId="1932" dataCellStyle="Normal 2"/>
    <tableColumn id="154" name="OI8" totalsRowFunction="sum" dataDxfId="1931" totalsRowDxfId="1930" dataCellStyle="Normal 2"/>
    <tableColumn id="155" name="OI9" totalsRowFunction="sum" dataDxfId="1929" totalsRowDxfId="1928" dataCellStyle="Normal 2"/>
    <tableColumn id="156" name="OI10" totalsRowFunction="sum" dataDxfId="1927" totalsRowDxfId="1926" dataCellStyle="Normal 2"/>
    <tableColumn id="157" name="OI11" totalsRowFunction="sum" dataDxfId="1925" totalsRowDxfId="1924" dataCellStyle="Normal 2"/>
    <tableColumn id="158" name="OI12" totalsRowFunction="sum" dataDxfId="1923" totalsRowDxfId="1922" dataCellStyle="Normal 2"/>
    <tableColumn id="165" name="OI13" totalsRowFunction="sum" dataDxfId="1921" totalsRowDxfId="1920" dataCellStyle="Normal 2"/>
    <tableColumn id="168" name="OI14" totalsRowFunction="sum" dataDxfId="1919" totalsRowDxfId="1918" dataCellStyle="Normal 2"/>
    <tableColumn id="169" name="OI15" totalsRowFunction="sum" dataDxfId="1917" totalsRowDxfId="1916" dataCellStyle="Normal 2"/>
    <tableColumn id="170" name="OI16" totalsRowFunction="sum" dataDxfId="1915" totalsRowDxfId="1914" dataCellStyle="Normal 2"/>
    <tableColumn id="171" name="OI17" totalsRowFunction="sum" dataDxfId="1913" totalsRowDxfId="1912" dataCellStyle="Normal 2"/>
    <tableColumn id="172" name="OI18" totalsRowFunction="sum" dataDxfId="1911" totalsRowDxfId="1910" dataCellStyle="Normal 2"/>
    <tableColumn id="173" name="OI19" totalsRowFunction="sum" dataDxfId="1909" totalsRowDxfId="1908" dataCellStyle="Normal 2"/>
    <tableColumn id="159" name="OT" totalsRowFunction="sum" dataDxfId="1907" totalsRowDxfId="1906" dataCellStyle="Normal 2">
      <calculatedColumnFormula>SUM(EY4:FQ4)</calculatedColumnFormula>
    </tableColumn>
    <tableColumn id="161" name="RRAisORS" dataDxfId="1905" totalsRowDxfId="1904" dataCellStyle="Normal 2">
      <calculatedColumnFormula>((L4+AD4)-FR4)</calculatedColumnFormula>
    </tableColumn>
    <tableColumn id="162" name="ORAisRRS" dataDxfId="1903" totalsRowDxfId="1902" dataCellStyle="Normal 2">
      <calculatedColumnFormula>((AO4+AY4+BI4+BS4+CC4+CM4+CW4+DG4+DQ4)-EX4)</calculatedColumnFormula>
    </tableColumn>
    <tableColumn id="163" name="Notes" dataDxfId="1901" totalsRowDxfId="1900" dataCellStyle="Normal 2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id="36" name="Table137" displayName="Table137" ref="A3:FW143" totalsRowCount="1" headerRowDxfId="1899" dataDxfId="1898" totalsRowDxfId="1897">
  <autoFilter ref="A3:FW142"/>
  <tableColumns count="179">
    <tableColumn id="2" name="Date" totalsRowFunction="count" dataDxfId="1896" totalsRowDxfId="1895"/>
    <tableColumn id="126" name="Loc" dataDxfId="1894" totalsRowDxfId="1893"/>
    <tableColumn id="125" name="Res" dataDxfId="1892" totalsRowDxfId="1891"/>
    <tableColumn id="124" name="Opp" dataDxfId="1890" totalsRowDxfId="1889"/>
    <tableColumn id="133" name="Att" totalsRowFunction="sum" dataDxfId="1888" totalsRowDxfId="1887"/>
    <tableColumn id="160" name="PS" dataDxfId="1886" totalsRowDxfId="1885"/>
    <tableColumn id="1" name="Pitcher" totalsRowLabel="Total" dataDxfId="1884" totalsRowDxfId="1883"/>
    <tableColumn id="26" name="S-W" totalsRowFunction="sum" dataDxfId="1882" totalsRowDxfId="1881"/>
    <tableColumn id="25" name="S-L" totalsRowFunction="sum" dataDxfId="1880" totalsRowDxfId="1879"/>
    <tableColumn id="3" name="S-IP" totalsRowFunction="sum" dataDxfId="1878" totalsRowDxfId="1877"/>
    <tableColumn id="4" name="S-H" totalsRowFunction="sum" dataDxfId="1876" totalsRowDxfId="1875"/>
    <tableColumn id="5" name="S-R" totalsRowFunction="sum" dataDxfId="1874" totalsRowDxfId="1873"/>
    <tableColumn id="6" name="S-ER" totalsRowFunction="sum" dataDxfId="1872" totalsRowDxfId="1871"/>
    <tableColumn id="7" name="S-BB" totalsRowFunction="sum" dataDxfId="1870" totalsRowDxfId="1869"/>
    <tableColumn id="8" name="S-SO" totalsRowFunction="sum" dataDxfId="1868" totalsRowDxfId="1867"/>
    <tableColumn id="9" name="S-HR" totalsRowFunction="sum" dataDxfId="1866" totalsRowDxfId="1865"/>
    <tableColumn id="10" name="S-HBP" totalsRowFunction="sum" dataDxfId="1864" totalsRowDxfId="1863"/>
    <tableColumn id="11" name="S-BF" totalsRowFunction="sum" dataDxfId="1862" totalsRowDxfId="1861"/>
    <tableColumn id="12" name="S-Pit" dataDxfId="1860" totalsRowDxfId="1859"/>
    <tableColumn id="13" name="S-Str" dataDxfId="1858" totalsRowDxfId="1857"/>
    <tableColumn id="32" name="IRL" totalsRowFunction="sum" dataDxfId="1856" totalsRowDxfId="1855"/>
    <tableColumn id="33" name="IRS" totalsRowFunction="sum" dataDxfId="1854" totalsRowDxfId="1853"/>
    <tableColumn id="29" name="B-W" totalsRowFunction="sum" dataDxfId="1852" totalsRowDxfId="1851"/>
    <tableColumn id="31" name="B-L" totalsRowFunction="sum" dataDxfId="1850" totalsRowDxfId="1849"/>
    <tableColumn id="30" name="Hld" totalsRowFunction="sum" dataDxfId="1848" totalsRowDxfId="1847"/>
    <tableColumn id="28" name="Sv" totalsRowFunction="sum" dataDxfId="1846" totalsRowDxfId="1845"/>
    <tableColumn id="27" name="BS" totalsRowFunction="sum" dataDxfId="1844" totalsRowDxfId="1843"/>
    <tableColumn id="14" name="B-IP" totalsRowFunction="sum" dataDxfId="1842" totalsRowDxfId="1841"/>
    <tableColumn id="15" name="B-H" totalsRowFunction="sum" dataDxfId="1840" totalsRowDxfId="1839"/>
    <tableColumn id="16" name="B-R" totalsRowFunction="sum" dataDxfId="1838" totalsRowDxfId="1837"/>
    <tableColumn id="17" name="B-ER" totalsRowFunction="sum" dataDxfId="1836" totalsRowDxfId="1835"/>
    <tableColumn id="18" name="B-BB" totalsRowFunction="sum" dataDxfId="1834" totalsRowDxfId="1833"/>
    <tableColumn id="19" name="B-SO" totalsRowFunction="sum" dataDxfId="1832" totalsRowDxfId="1831"/>
    <tableColumn id="20" name="B-HR" totalsRowFunction="sum" dataDxfId="1830" totalsRowDxfId="1829"/>
    <tableColumn id="21" name="B-HBP" totalsRowFunction="sum" dataDxfId="1828" totalsRowDxfId="1827"/>
    <tableColumn id="22" name="B-BF" totalsRowFunction="sum" dataDxfId="1826" totalsRowDxfId="1825"/>
    <tableColumn id="23" name="B-Pit" dataDxfId="1824" totalsRowDxfId="1823"/>
    <tableColumn id="24" name="B-Str" dataDxfId="1822" totalsRowDxfId="1821"/>
    <tableColumn id="34" name="Starter1" totalsRowFunction="custom" dataDxfId="1820" totalsRowDxfId="1819" dataCellStyle="Normal 2">
      <totalsRowFormula>INDEX(Table137[Starter1],MODE(MATCH(Table137[Starter1],Table137[Starter1],0)))</totalsRowFormula>
    </tableColumn>
    <tableColumn id="35" name="AB1" totalsRowFunction="sum" dataDxfId="1818" totalsRowDxfId="1817" dataCellStyle="Normal 2"/>
    <tableColumn id="36" name="R1" totalsRowFunction="sum" dataDxfId="1816" totalsRowDxfId="1815" dataCellStyle="Normal 2"/>
    <tableColumn id="37" name="H1" totalsRowFunction="sum" dataDxfId="1814" totalsRowDxfId="1813" dataCellStyle="Normal 2"/>
    <tableColumn id="38" name="RBI1" totalsRowFunction="sum" dataDxfId="1812" totalsRowDxfId="1811" dataCellStyle="Normal 2"/>
    <tableColumn id="39" name="BB1" totalsRowFunction="sum" dataDxfId="1810" totalsRowDxfId="1809" dataCellStyle="Normal 2"/>
    <tableColumn id="40" name="SO1" totalsRowFunction="sum" dataDxfId="1808" totalsRowDxfId="1807" dataCellStyle="Normal 2"/>
    <tableColumn id="41" name="HBP1" totalsRowFunction="sum" dataDxfId="1806" totalsRowDxfId="1805" dataCellStyle="Normal 2"/>
    <tableColumn id="42" name="SF1" totalsRowFunction="sum" dataDxfId="1804" totalsRowDxfId="1803" dataCellStyle="Normal 2"/>
    <tableColumn id="43" name="TB1" totalsRowFunction="sum" dataDxfId="1802" totalsRowDxfId="1801" dataCellStyle="Normal 2"/>
    <tableColumn id="44" name="Starter2" totalsRowFunction="custom" dataDxfId="1800" totalsRowDxfId="1799" dataCellStyle="Normal 2">
      <totalsRowFormula>INDEX(Table137[Starter2],MODE(MATCH(Table137[Starter2],Table137[Starter2],0)))</totalsRowFormula>
    </tableColumn>
    <tableColumn id="45" name="AB2" totalsRowFunction="sum" dataDxfId="1798" totalsRowDxfId="1797" dataCellStyle="Normal 2"/>
    <tableColumn id="46" name="R2" totalsRowFunction="sum" dataDxfId="1796" totalsRowDxfId="1795" dataCellStyle="Normal 2"/>
    <tableColumn id="47" name="H2" totalsRowFunction="sum" dataDxfId="1794" totalsRowDxfId="1793" dataCellStyle="Normal 2"/>
    <tableColumn id="48" name="RBI2" totalsRowFunction="sum" dataDxfId="1792" totalsRowDxfId="1791" dataCellStyle="Normal 2"/>
    <tableColumn id="49" name="BB2" totalsRowFunction="sum" dataDxfId="1790" totalsRowDxfId="1789" dataCellStyle="Normal 2"/>
    <tableColumn id="50" name="SO2" totalsRowFunction="sum" dataDxfId="1788" totalsRowDxfId="1787" dataCellStyle="Normal 2"/>
    <tableColumn id="51" name="HBP2" totalsRowFunction="sum" dataDxfId="1786" totalsRowDxfId="1785" dataCellStyle="Normal 2"/>
    <tableColumn id="52" name="SF2" totalsRowFunction="sum" dataDxfId="1784" totalsRowDxfId="1783" dataCellStyle="Normal 2"/>
    <tableColumn id="53" name="TB2" totalsRowFunction="sum" dataDxfId="1782" totalsRowDxfId="1781" dataCellStyle="Normal 2"/>
    <tableColumn id="54" name="Starter3" totalsRowFunction="custom" dataDxfId="1780" totalsRowDxfId="1779" dataCellStyle="Normal 2">
      <totalsRowFormula>INDEX(Table137[Starter3],MODE(MATCH(Table137[Starter3],Table137[Starter3],0)))</totalsRowFormula>
    </tableColumn>
    <tableColumn id="55" name="AB3" totalsRowFunction="sum" dataDxfId="1778" totalsRowDxfId="1777" dataCellStyle="Normal 2"/>
    <tableColumn id="56" name="R3" totalsRowFunction="sum" dataDxfId="1776" totalsRowDxfId="1775" dataCellStyle="Normal 2"/>
    <tableColumn id="57" name="H3" totalsRowFunction="sum" dataDxfId="1774" totalsRowDxfId="1773" dataCellStyle="Normal 2"/>
    <tableColumn id="58" name="RBI3" totalsRowFunction="sum" dataDxfId="1772" totalsRowDxfId="1771" dataCellStyle="Normal 2"/>
    <tableColumn id="59" name="BB3" totalsRowFunction="sum" dataDxfId="1770" totalsRowDxfId="1769" dataCellStyle="Normal 2"/>
    <tableColumn id="60" name="SO3" totalsRowFunction="sum" dataDxfId="1768" totalsRowDxfId="1767" dataCellStyle="Normal 2"/>
    <tableColumn id="61" name="HBP3" totalsRowFunction="sum" dataDxfId="1766" totalsRowDxfId="1765" dataCellStyle="Normal 2"/>
    <tableColumn id="62" name="SF3" totalsRowFunction="sum" dataDxfId="1764" totalsRowDxfId="1763" dataCellStyle="Normal 2"/>
    <tableColumn id="63" name="TB3" totalsRowFunction="sum" dataDxfId="1762" totalsRowDxfId="1761" dataCellStyle="Normal 2"/>
    <tableColumn id="64" name="Starter4" totalsRowFunction="custom" dataDxfId="1760" totalsRowDxfId="1759" dataCellStyle="Normal 2">
      <totalsRowFormula>INDEX(Table137[Starter4],MODE(MATCH(Table137[Starter4],Table137[Starter4],0)))</totalsRowFormula>
    </tableColumn>
    <tableColumn id="65" name="AB4" totalsRowFunction="sum" dataDxfId="1758" totalsRowDxfId="1757" dataCellStyle="Normal 2"/>
    <tableColumn id="66" name="R4" totalsRowFunction="sum" dataDxfId="1756" totalsRowDxfId="1755" dataCellStyle="Normal 2"/>
    <tableColumn id="67" name="H4" totalsRowFunction="sum" dataDxfId="1754" totalsRowDxfId="1753" dataCellStyle="Normal 2"/>
    <tableColumn id="68" name="RBI4" totalsRowFunction="sum" dataDxfId="1752" totalsRowDxfId="1751" dataCellStyle="Normal 2"/>
    <tableColumn id="69" name="BB4" totalsRowFunction="sum" dataDxfId="1750" totalsRowDxfId="1749" dataCellStyle="Normal 2"/>
    <tableColumn id="70" name="SO4" totalsRowFunction="sum" dataDxfId="1748" totalsRowDxfId="1747" dataCellStyle="Normal 2"/>
    <tableColumn id="71" name="HBP4" totalsRowFunction="sum" dataDxfId="1746" totalsRowDxfId="1745" dataCellStyle="Normal 2"/>
    <tableColumn id="72" name="SF4" totalsRowFunction="sum" dataDxfId="1744" totalsRowDxfId="1743" dataCellStyle="Normal 2"/>
    <tableColumn id="73" name="TB4" totalsRowFunction="sum" dataDxfId="1742" totalsRowDxfId="1741" dataCellStyle="Normal 2"/>
    <tableColumn id="74" name="Starter5" totalsRowFunction="custom" dataDxfId="1740" totalsRowDxfId="1739" dataCellStyle="Normal 2">
      <totalsRowFormula>INDEX(Table137[Starter5],MODE(MATCH(Table137[Starter5],Table137[Starter5],0)))</totalsRowFormula>
    </tableColumn>
    <tableColumn id="75" name="AB5" totalsRowFunction="sum" dataDxfId="1738" totalsRowDxfId="1737" dataCellStyle="Normal 2"/>
    <tableColumn id="76" name="R5" totalsRowFunction="sum" dataDxfId="1736" totalsRowDxfId="1735" dataCellStyle="Normal 2"/>
    <tableColumn id="77" name="H5" totalsRowFunction="sum" dataDxfId="1734" totalsRowDxfId="1733" dataCellStyle="Normal 2"/>
    <tableColumn id="78" name="RBI5" totalsRowFunction="sum" dataDxfId="1732" totalsRowDxfId="1731" dataCellStyle="Normal 2"/>
    <tableColumn id="79" name="BB5" totalsRowFunction="sum" dataDxfId="1730" totalsRowDxfId="1729" dataCellStyle="Normal 2"/>
    <tableColumn id="80" name="SO5" totalsRowFunction="sum" dataDxfId="1728" totalsRowDxfId="1727" dataCellStyle="Normal 2"/>
    <tableColumn id="81" name="HBP5" totalsRowFunction="sum" dataDxfId="1726" totalsRowDxfId="1725" dataCellStyle="Normal 2"/>
    <tableColumn id="82" name="SF5" totalsRowFunction="sum" dataDxfId="1724" totalsRowDxfId="1723" dataCellStyle="Normal 2"/>
    <tableColumn id="83" name="TB5" totalsRowFunction="sum" dataDxfId="1722" totalsRowDxfId="1721" dataCellStyle="Normal 2"/>
    <tableColumn id="84" name="Starter6" totalsRowFunction="custom" dataDxfId="1720" totalsRowDxfId="1719" dataCellStyle="Normal 2">
      <totalsRowFormula>INDEX(Table137[Starter6],MODE(MATCH(Table137[Starter6],Table137[Starter6],0)))</totalsRowFormula>
    </tableColumn>
    <tableColumn id="85" name="AB6" totalsRowFunction="sum" dataDxfId="1718" totalsRowDxfId="1717" dataCellStyle="Normal 2"/>
    <tableColumn id="86" name="R6" totalsRowFunction="sum" dataDxfId="1716" totalsRowDxfId="1715" dataCellStyle="Normal 2"/>
    <tableColumn id="87" name="H6" totalsRowFunction="sum" dataDxfId="1714" totalsRowDxfId="1713" dataCellStyle="Normal 2"/>
    <tableColumn id="88" name="RBI6" totalsRowFunction="sum" dataDxfId="1712" totalsRowDxfId="1711" dataCellStyle="Normal 2"/>
    <tableColumn id="89" name="BB6" totalsRowFunction="sum" dataDxfId="1710" totalsRowDxfId="1709" dataCellStyle="Normal 2"/>
    <tableColumn id="90" name="SO6" totalsRowFunction="sum" dataDxfId="1708" totalsRowDxfId="1707" dataCellStyle="Normal 2"/>
    <tableColumn id="91" name="HBP6" totalsRowFunction="sum" dataDxfId="1706" totalsRowDxfId="1705" dataCellStyle="Normal 2"/>
    <tableColumn id="92" name="SF6" totalsRowFunction="sum" dataDxfId="1704" totalsRowDxfId="1703" dataCellStyle="Normal 2"/>
    <tableColumn id="93" name="TB6" totalsRowFunction="sum" dataDxfId="1702" totalsRowDxfId="1701" dataCellStyle="Normal 2"/>
    <tableColumn id="94" name="Starter7" totalsRowFunction="custom" dataDxfId="1700" totalsRowDxfId="1699" dataCellStyle="Normal 2">
      <totalsRowFormula>INDEX(Table137[Starter7],MODE(MATCH(Table137[Starter7],Table137[Starter7],0)))</totalsRowFormula>
    </tableColumn>
    <tableColumn id="95" name="AB7" totalsRowFunction="sum" dataDxfId="1698" totalsRowDxfId="1697" dataCellStyle="Normal 2"/>
    <tableColumn id="96" name="R7" totalsRowFunction="sum" dataDxfId="1696" totalsRowDxfId="1695" dataCellStyle="Normal 2"/>
    <tableColumn id="97" name="H7" totalsRowFunction="sum" dataDxfId="1694" totalsRowDxfId="1693" dataCellStyle="Normal 2"/>
    <tableColumn id="98" name="RBI7" totalsRowFunction="sum" dataDxfId="1692" totalsRowDxfId="1691" dataCellStyle="Normal 2"/>
    <tableColumn id="99" name="BB7" totalsRowFunction="sum" dataDxfId="1690" totalsRowDxfId="1689" dataCellStyle="Normal 2"/>
    <tableColumn id="100" name="SO7" totalsRowFunction="sum" dataDxfId="1688" totalsRowDxfId="1687" dataCellStyle="Normal 2"/>
    <tableColumn id="101" name="HBP7" totalsRowFunction="sum" dataDxfId="1686" totalsRowDxfId="1685" dataCellStyle="Normal 2"/>
    <tableColumn id="102" name="SF7" totalsRowFunction="sum" dataDxfId="1684" totalsRowDxfId="1683" dataCellStyle="Normal 2"/>
    <tableColumn id="103" name="TB7" totalsRowFunction="sum" dataDxfId="1682" totalsRowDxfId="1681" dataCellStyle="Normal 2"/>
    <tableColumn id="104" name="Starter8" totalsRowFunction="custom" dataDxfId="1680" totalsRowDxfId="1679" dataCellStyle="Normal 2">
      <totalsRowFormula>INDEX(Table137[Starter8],MODE(MATCH(Table137[Starter8],Table137[Starter8],0)))</totalsRowFormula>
    </tableColumn>
    <tableColumn id="105" name="AB8" totalsRowFunction="sum" dataDxfId="1678" totalsRowDxfId="1677" dataCellStyle="Normal 2"/>
    <tableColumn id="106" name="R8" totalsRowFunction="sum" dataDxfId="1676" totalsRowDxfId="1675" dataCellStyle="Normal 2"/>
    <tableColumn id="107" name="H8" totalsRowFunction="sum" dataDxfId="1674" totalsRowDxfId="1673" dataCellStyle="Normal 2"/>
    <tableColumn id="108" name="RBI8" totalsRowFunction="sum" dataDxfId="1672" totalsRowDxfId="1671" dataCellStyle="Normal 2"/>
    <tableColumn id="109" name="BB8" totalsRowFunction="sum" dataDxfId="1670" totalsRowDxfId="1669" dataCellStyle="Normal 2"/>
    <tableColumn id="110" name="SO8" totalsRowFunction="sum" dataDxfId="1668" totalsRowDxfId="1667" dataCellStyle="Normal 2"/>
    <tableColumn id="111" name="HBP8" totalsRowFunction="sum" dataDxfId="1666" totalsRowDxfId="1665" dataCellStyle="Normal 2"/>
    <tableColumn id="112" name="SF8" totalsRowFunction="sum" dataDxfId="1664" totalsRowDxfId="1663" dataCellStyle="Normal 2"/>
    <tableColumn id="113" name="TB8" totalsRowFunction="sum" dataDxfId="1662" totalsRowDxfId="1661" dataCellStyle="Normal 2"/>
    <tableColumn id="114" name="Starter9" totalsRowFunction="custom" dataDxfId="1660" totalsRowDxfId="1659" dataCellStyle="Normal 2">
      <totalsRowFormula>INDEX(Table137[Starter9],MODE(MATCH(Table137[Starter9],Table137[Starter9],0)))</totalsRowFormula>
    </tableColumn>
    <tableColumn id="115" name="AB9" totalsRowFunction="sum" dataDxfId="1658" totalsRowDxfId="1657" dataCellStyle="Normal 2"/>
    <tableColumn id="116" name="R9" totalsRowFunction="sum" dataDxfId="1656" totalsRowDxfId="1655" dataCellStyle="Normal 2"/>
    <tableColumn id="117" name="H9" totalsRowFunction="sum" dataDxfId="1654" totalsRowDxfId="1653" dataCellStyle="Normal 2"/>
    <tableColumn id="118" name="RBI9" totalsRowFunction="sum" dataDxfId="1652" totalsRowDxfId="1651" dataCellStyle="Normal 2"/>
    <tableColumn id="119" name="BB9" totalsRowFunction="sum" dataDxfId="1650" totalsRowDxfId="1649" dataCellStyle="Normal 2"/>
    <tableColumn id="120" name="SO9" totalsRowFunction="sum" dataDxfId="1648" totalsRowDxfId="1647" dataCellStyle="Normal 2"/>
    <tableColumn id="121" name="HBP9" totalsRowFunction="sum" dataDxfId="1646" totalsRowDxfId="1645" dataCellStyle="Normal 2"/>
    <tableColumn id="122" name="SF9" totalsRowFunction="sum" dataDxfId="1644" totalsRowDxfId="1643" dataCellStyle="Normal 2"/>
    <tableColumn id="123" name="TB9" totalsRowFunction="sum" dataDxfId="1642" totalsRowDxfId="1641" dataCellStyle="Normal 2"/>
    <tableColumn id="127" name="IVL" totalsRowFunction="sum" dataDxfId="1640" totalsRowDxfId="1639" dataCellStyle="Normal 2"/>
    <tableColumn id="128" name="SVL" totalsRowFunction="sum" dataDxfId="1638" totalsRowDxfId="1637" dataCellStyle="Normal 2"/>
    <tableColumn id="129" name="CVL" totalsRowFunction="sum" dataDxfId="1636" totalsRowDxfId="1635" dataCellStyle="Normal 2"/>
    <tableColumn id="130" name="IVR" totalsRowFunction="sum" dataDxfId="1634" totalsRowDxfId="1633" dataCellStyle="Normal 2"/>
    <tableColumn id="131" name="SVR" totalsRowFunction="sum" dataDxfId="1632" totalsRowDxfId="1631" dataCellStyle="Normal 2"/>
    <tableColumn id="132" name="CVR" totalsRowFunction="sum" dataDxfId="1630" totalsRowDxfId="1629" dataCellStyle="Normal 2"/>
    <tableColumn id="134" name="RI1" totalsRowFunction="sum" dataDxfId="1628" totalsRowDxfId="1627" dataCellStyle="Normal 2"/>
    <tableColumn id="135" name="RI2" totalsRowFunction="sum" dataDxfId="1626" totalsRowDxfId="1625" dataCellStyle="Normal 2"/>
    <tableColumn id="136" name="RI3" totalsRowFunction="sum" dataDxfId="1624" totalsRowDxfId="1623" dataCellStyle="Normal 2"/>
    <tableColumn id="137" name="RI4" totalsRowFunction="sum" dataDxfId="1622" totalsRowDxfId="1621" dataCellStyle="Normal 2"/>
    <tableColumn id="138" name="RI5" totalsRowFunction="sum" dataDxfId="1620" totalsRowDxfId="1619" dataCellStyle="Normal 2"/>
    <tableColumn id="139" name="RI6" totalsRowFunction="sum" dataDxfId="1618" totalsRowDxfId="1617" dataCellStyle="Normal 2"/>
    <tableColumn id="140" name="RI7" totalsRowFunction="sum" dataDxfId="1616" totalsRowDxfId="1615" dataCellStyle="Normal 2"/>
    <tableColumn id="141" name="RI8" totalsRowFunction="sum" dataDxfId="1614" totalsRowDxfId="1613" dataCellStyle="Normal 2"/>
    <tableColumn id="142" name="RI9" totalsRowFunction="sum" dataDxfId="1612" totalsRowDxfId="1611" dataCellStyle="Normal 2"/>
    <tableColumn id="143" name="RI10" totalsRowFunction="sum" dataDxfId="1610" totalsRowDxfId="1609" dataCellStyle="Normal 2"/>
    <tableColumn id="144" name="RI11" totalsRowFunction="sum" dataDxfId="1608" totalsRowDxfId="1607" dataCellStyle="Normal 2"/>
    <tableColumn id="145" name="RI12" totalsRowFunction="sum" dataDxfId="1606" totalsRowDxfId="1605" dataCellStyle="Normal 2"/>
    <tableColumn id="166" name="RI13" totalsRowFunction="sum" dataDxfId="1604" totalsRowDxfId="1603" dataCellStyle="Normal 2"/>
    <tableColumn id="146" name="RT" totalsRowFunction="sum" dataDxfId="1602" totalsRowDxfId="1601" dataCellStyle="Normal 2">
      <calculatedColumnFormula>SUM(EE4:EQ4)</calculatedColumnFormula>
    </tableColumn>
    <tableColumn id="147" name="OI1" totalsRowFunction="sum" dataDxfId="1600" totalsRowDxfId="1599" dataCellStyle="Normal 2"/>
    <tableColumn id="148" name="OI2" totalsRowFunction="sum" dataDxfId="1598" totalsRowDxfId="1597" dataCellStyle="Normal 2"/>
    <tableColumn id="149" name="OI3" totalsRowFunction="sum" dataDxfId="1596" totalsRowDxfId="1595" dataCellStyle="Normal 2"/>
    <tableColumn id="150" name="OI4" totalsRowFunction="sum" dataDxfId="1594" totalsRowDxfId="1593" dataCellStyle="Normal 2"/>
    <tableColumn id="151" name="OI5" totalsRowFunction="sum" dataDxfId="1592" totalsRowDxfId="1591" dataCellStyle="Normal 2"/>
    <tableColumn id="152" name="OI6" totalsRowFunction="sum" dataDxfId="1590" totalsRowDxfId="1589" dataCellStyle="Normal 2"/>
    <tableColumn id="153" name="OI7" totalsRowFunction="sum" dataDxfId="1588" totalsRowDxfId="1587" dataCellStyle="Normal 2"/>
    <tableColumn id="154" name="OI8" totalsRowFunction="sum" dataDxfId="1586" totalsRowDxfId="1585" dataCellStyle="Normal 2"/>
    <tableColumn id="155" name="OI9" totalsRowFunction="sum" dataDxfId="1584" totalsRowDxfId="1583" dataCellStyle="Normal 2"/>
    <tableColumn id="156" name="OI10" totalsRowFunction="sum" dataDxfId="1582" totalsRowDxfId="1581" dataCellStyle="Normal 2"/>
    <tableColumn id="157" name="OI11" totalsRowFunction="sum" dataDxfId="1580" totalsRowDxfId="1579" dataCellStyle="Normal 2"/>
    <tableColumn id="158" name="OI12" totalsRowFunction="sum" dataDxfId="1578" totalsRowDxfId="1577" dataCellStyle="Normal 2"/>
    <tableColumn id="165" name="OI13" totalsRowFunction="sum" dataDxfId="1576" totalsRowDxfId="1575" dataCellStyle="Normal 2"/>
    <tableColumn id="159" name="OT" totalsRowFunction="sum" dataDxfId="1574" totalsRowDxfId="1573" dataCellStyle="Normal 2">
      <calculatedColumnFormula>SUM(ES4:FE4)</calculatedColumnFormula>
    </tableColumn>
    <tableColumn id="161" name="RRAisORS" dataDxfId="1572" totalsRowDxfId="1571" dataCellStyle="Normal 2">
      <calculatedColumnFormula>((SUM(L4,AD4))-(FF4))</calculatedColumnFormula>
    </tableColumn>
    <tableColumn id="162" name="ORAisRRS" dataDxfId="1570" totalsRowDxfId="1569" dataCellStyle="Normal 2">
      <calculatedColumnFormula>((SUM(AO4,AY4,BI4,BS4,CC4,CM4,CW4,DG4,DQ4))-(ER4))</calculatedColumnFormula>
    </tableColumn>
    <tableColumn id="172" name="RD1" totalsRowFunction="sum" dataDxfId="1568" totalsRowDxfId="1567" dataCellStyle="Normal 2">
      <calculatedColumnFormula>(EE4-ES4)</calculatedColumnFormula>
    </tableColumn>
    <tableColumn id="175" name="RD2" totalsRowFunction="sum" dataDxfId="1566" totalsRowDxfId="1565" dataCellStyle="Normal 2">
      <calculatedColumnFormula>(EF4-ET4)</calculatedColumnFormula>
    </tableColumn>
    <tableColumn id="181" name="RD3" totalsRowFunction="sum" dataDxfId="1564" totalsRowDxfId="1563" dataCellStyle="Normal 2">
      <calculatedColumnFormula>(EG4-EU4)</calculatedColumnFormula>
    </tableColumn>
    <tableColumn id="180" name="RD4" totalsRowFunction="sum" dataDxfId="1562" totalsRowDxfId="1561" dataCellStyle="Normal 2">
      <calculatedColumnFormula>(EH4-EV4)</calculatedColumnFormula>
    </tableColumn>
    <tableColumn id="179" name="RD5" totalsRowFunction="sum" dataDxfId="1560" totalsRowDxfId="1559" dataCellStyle="Normal 2">
      <calculatedColumnFormula>(EI4-EW4)</calculatedColumnFormula>
    </tableColumn>
    <tableColumn id="178" name="RD6" totalsRowFunction="sum" dataDxfId="1558" totalsRowDxfId="1557" dataCellStyle="Normal 2">
      <calculatedColumnFormula>(EJ4-EX4)</calculatedColumnFormula>
    </tableColumn>
    <tableColumn id="177" name="RD7" totalsRowFunction="sum" dataDxfId="1556" totalsRowDxfId="1555" dataCellStyle="Normal 2">
      <calculatedColumnFormula>(EK4-EY4)</calculatedColumnFormula>
    </tableColumn>
    <tableColumn id="176" name="RD8" totalsRowFunction="sum" dataDxfId="1554" totalsRowDxfId="1553" dataCellStyle="Normal 2">
      <calculatedColumnFormula>(EL4-EZ4)</calculatedColumnFormula>
    </tableColumn>
    <tableColumn id="174" name="RD9" totalsRowFunction="sum" dataDxfId="1552" totalsRowDxfId="1551" dataCellStyle="Normal 2">
      <calculatedColumnFormula>(EM4-FA4)</calculatedColumnFormula>
    </tableColumn>
    <tableColumn id="173" name="RD10" totalsRowFunction="sum" dataDxfId="1550" totalsRowDxfId="1549" dataCellStyle="Normal 2">
      <calculatedColumnFormula>(EN4-FB4)</calculatedColumnFormula>
    </tableColumn>
    <tableColumn id="171" name="RD11" totalsRowFunction="sum" dataDxfId="1548" totalsRowDxfId="1547" dataCellStyle="Normal 2">
      <calculatedColumnFormula>(EO4-FC4)</calculatedColumnFormula>
    </tableColumn>
    <tableColumn id="170" name="RD12" totalsRowFunction="sum" dataDxfId="1546" totalsRowDxfId="1545" dataCellStyle="Normal 2">
      <calculatedColumnFormula>(EP4-FD4)</calculatedColumnFormula>
    </tableColumn>
    <tableColumn id="164" name="RD13" totalsRowFunction="sum" dataDxfId="1544" totalsRowDxfId="1543" dataCellStyle="Normal 2">
      <calculatedColumnFormula>(EQ4-FE4)</calculatedColumnFormula>
    </tableColumn>
    <tableColumn id="182" name="RDT" totalsRowFunction="sum" dataDxfId="1542" totalsRowDxfId="1541" dataCellStyle="Normal 2">
      <calculatedColumnFormula>(ER4-FF4)</calculatedColumnFormula>
    </tableColumn>
    <tableColumn id="163" name="Notes" dataDxfId="1540" totalsRowDxfId="1539" dataCellStyle="Normal 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7" name="Table7" displayName="Table7" ref="AF2:AJ5" totalsRowShown="0" headerRowDxfId="3499" headerRowBorderDxfId="3498" tableBorderDxfId="3497" totalsRowBorderDxfId="3496">
  <autoFilter ref="AF2:AJ5"/>
  <tableColumns count="5">
    <tableColumn id="1" name="Loc" dataDxfId="3495"/>
    <tableColumn id="2" name="G" dataDxfId="3494"/>
    <tableColumn id="3" name="AA" dataDxfId="3493"/>
    <tableColumn id="4" name="TA" dataDxfId="3492"/>
    <tableColumn id="5" name="PA" dataDxfId="3491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id="2" name="Table13" displayName="Table13" ref="A3:FI65" totalsRowCount="1" headerRowDxfId="1538" dataDxfId="1537" totalsRowDxfId="1536">
  <autoFilter ref="A3:FI64"/>
  <tableColumns count="165">
    <tableColumn id="2" name="Date" totalsRowFunction="count" dataDxfId="1535" totalsRowDxfId="1534"/>
    <tableColumn id="126" name="Loc" dataDxfId="1533" totalsRowDxfId="1532"/>
    <tableColumn id="125" name="Res" dataDxfId="1531" totalsRowDxfId="1530"/>
    <tableColumn id="124" name="Opp" dataDxfId="1529" totalsRowDxfId="1528"/>
    <tableColumn id="133" name="Att" totalsRowFunction="sum" dataDxfId="1527" totalsRowDxfId="1526"/>
    <tableColumn id="160" name="PS" dataDxfId="1525" totalsRowDxfId="1524"/>
    <tableColumn id="1" name="Pitcher" totalsRowLabel="Total" dataDxfId="1523" totalsRowDxfId="1522"/>
    <tableColumn id="26" name="S-W" totalsRowFunction="sum" dataDxfId="1521" totalsRowDxfId="1520"/>
    <tableColumn id="25" name="S-L" totalsRowFunction="sum" dataDxfId="1519" totalsRowDxfId="1518"/>
    <tableColumn id="3" name="S-IP" totalsRowFunction="sum" dataDxfId="1517" totalsRowDxfId="1516"/>
    <tableColumn id="4" name="S-H" totalsRowFunction="sum" dataDxfId="1515" totalsRowDxfId="1514"/>
    <tableColumn id="5" name="S-R" totalsRowFunction="sum" dataDxfId="1513" totalsRowDxfId="1512"/>
    <tableColumn id="6" name="S-ER" totalsRowFunction="sum" dataDxfId="1511" totalsRowDxfId="1510"/>
    <tableColumn id="7" name="S-BB" totalsRowFunction="sum" dataDxfId="1509" totalsRowDxfId="1508"/>
    <tableColumn id="8" name="S-SO" totalsRowFunction="sum" dataDxfId="1507" totalsRowDxfId="1506"/>
    <tableColumn id="9" name="S-HR" totalsRowFunction="sum" dataDxfId="1505" totalsRowDxfId="1504"/>
    <tableColumn id="10" name="S-HBP" totalsRowFunction="sum" dataDxfId="1503" totalsRowDxfId="1502"/>
    <tableColumn id="11" name="S-BF" totalsRowFunction="sum" dataDxfId="1501" totalsRowDxfId="1500"/>
    <tableColumn id="12" name="S-Pit" dataDxfId="1499" totalsRowDxfId="1498"/>
    <tableColumn id="13" name="S-Str" dataDxfId="1497" totalsRowDxfId="1496"/>
    <tableColumn id="32" name="IRL" totalsRowFunction="sum" dataDxfId="1495" totalsRowDxfId="1494"/>
    <tableColumn id="33" name="IRS" totalsRowFunction="sum" dataDxfId="1493" totalsRowDxfId="1492"/>
    <tableColumn id="29" name="B-W" totalsRowFunction="sum" dataDxfId="1491" totalsRowDxfId="1490"/>
    <tableColumn id="31" name="B-L" totalsRowFunction="sum" dataDxfId="1489" totalsRowDxfId="1488"/>
    <tableColumn id="30" name="Hld" totalsRowFunction="sum" dataDxfId="1487" totalsRowDxfId="1486"/>
    <tableColumn id="28" name="Sv" totalsRowFunction="sum" dataDxfId="1485" totalsRowDxfId="1484"/>
    <tableColumn id="27" name="BS" totalsRowFunction="sum" dataDxfId="1483" totalsRowDxfId="1482"/>
    <tableColumn id="14" name="B-IP" totalsRowFunction="sum" dataDxfId="1481" totalsRowDxfId="1480"/>
    <tableColumn id="15" name="B-H" totalsRowFunction="sum" dataDxfId="1479" totalsRowDxfId="1478"/>
    <tableColumn id="16" name="B-R" totalsRowFunction="sum" dataDxfId="1477" totalsRowDxfId="1476"/>
    <tableColumn id="17" name="B-ER" totalsRowFunction="sum" dataDxfId="1475" totalsRowDxfId="1474"/>
    <tableColumn id="18" name="B-BB" totalsRowFunction="sum" dataDxfId="1473" totalsRowDxfId="1472"/>
    <tableColumn id="19" name="B-SO" totalsRowFunction="sum" dataDxfId="1471" totalsRowDxfId="1470"/>
    <tableColumn id="20" name="B-HR" totalsRowFunction="sum" dataDxfId="1469" totalsRowDxfId="1468"/>
    <tableColumn id="21" name="B-HBP" totalsRowFunction="sum" dataDxfId="1467" totalsRowDxfId="1466"/>
    <tableColumn id="22" name="B-BF" totalsRowFunction="sum" dataDxfId="1465" totalsRowDxfId="1464"/>
    <tableColumn id="23" name="B-Pit" dataDxfId="1463" totalsRowDxfId="1462"/>
    <tableColumn id="24" name="B-Str" dataDxfId="1461" totalsRowDxfId="1460"/>
    <tableColumn id="34" name="Starter1" totalsRowFunction="custom" dataDxfId="1459" totalsRowDxfId="1458" dataCellStyle="Normal 2">
      <totalsRowFormula>INDEX(Table13[Starter1],MODE(MATCH(Table13[Starter1],Table13[Starter1],0)))</totalsRowFormula>
    </tableColumn>
    <tableColumn id="35" name="AB1" totalsRowFunction="sum" dataDxfId="1457" totalsRowDxfId="1456" dataCellStyle="Normal 2"/>
    <tableColumn id="36" name="R1" totalsRowFunction="sum" dataDxfId="1455" totalsRowDxfId="1454" dataCellStyle="Normal 2"/>
    <tableColumn id="37" name="H1" totalsRowFunction="sum" dataDxfId="1453" totalsRowDxfId="1452" dataCellStyle="Normal 2"/>
    <tableColumn id="38" name="RBI1" totalsRowFunction="sum" dataDxfId="1451" totalsRowDxfId="1450" dataCellStyle="Normal 2"/>
    <tableColumn id="39" name="BB1" totalsRowFunction="sum" dataDxfId="1449" totalsRowDxfId="1448" dataCellStyle="Normal 2"/>
    <tableColumn id="40" name="SO1" totalsRowFunction="sum" dataDxfId="1447" totalsRowDxfId="1446" dataCellStyle="Normal 2"/>
    <tableColumn id="41" name="HBP1" totalsRowFunction="sum" dataDxfId="1445" totalsRowDxfId="1444" dataCellStyle="Normal 2"/>
    <tableColumn id="42" name="SF1" totalsRowFunction="sum" dataDxfId="1443" totalsRowDxfId="1442" dataCellStyle="Normal 2"/>
    <tableColumn id="43" name="TB1" totalsRowFunction="sum" dataDxfId="1441" totalsRowDxfId="1440" dataCellStyle="Normal 2"/>
    <tableColumn id="44" name="Starter2" totalsRowFunction="custom" dataDxfId="1439" totalsRowDxfId="1438" dataCellStyle="Normal 2">
      <totalsRowFormula>INDEX(Table13[Starter2],MODE(MATCH(Table13[Starter2],Table13[Starter2],0)))</totalsRowFormula>
    </tableColumn>
    <tableColumn id="45" name="AB2" totalsRowFunction="sum" dataDxfId="1437" totalsRowDxfId="1436" dataCellStyle="Normal 2"/>
    <tableColumn id="46" name="R2" totalsRowFunction="sum" dataDxfId="1435" totalsRowDxfId="1434" dataCellStyle="Normal 2"/>
    <tableColumn id="47" name="H2" totalsRowFunction="sum" dataDxfId="1433" totalsRowDxfId="1432" dataCellStyle="Normal 2"/>
    <tableColumn id="48" name="RBI2" totalsRowFunction="sum" dataDxfId="1431" totalsRowDxfId="1430" dataCellStyle="Normal 2"/>
    <tableColumn id="49" name="BB2" totalsRowFunction="sum" dataDxfId="1429" totalsRowDxfId="1428" dataCellStyle="Normal 2"/>
    <tableColumn id="50" name="SO2" totalsRowFunction="sum" dataDxfId="1427" totalsRowDxfId="1426" dataCellStyle="Normal 2"/>
    <tableColumn id="51" name="HBP2" totalsRowFunction="sum" dataDxfId="1425" totalsRowDxfId="1424" dataCellStyle="Normal 2"/>
    <tableColumn id="52" name="SF2" totalsRowFunction="sum" dataDxfId="1423" totalsRowDxfId="1422" dataCellStyle="Normal 2"/>
    <tableColumn id="53" name="TB2" totalsRowFunction="sum" dataDxfId="1421" totalsRowDxfId="1420" dataCellStyle="Normal 2"/>
    <tableColumn id="54" name="Starter3" totalsRowFunction="custom" dataDxfId="1419" totalsRowDxfId="1418" dataCellStyle="Normal 2">
      <totalsRowFormula>INDEX(Table13[Starter3],MODE(MATCH(Table13[Starter3],Table13[Starter3],0)))</totalsRowFormula>
    </tableColumn>
    <tableColumn id="55" name="AB3" totalsRowFunction="sum" dataDxfId="1417" totalsRowDxfId="1416" dataCellStyle="Normal 2"/>
    <tableColumn id="56" name="R3" totalsRowFunction="sum" dataDxfId="1415" totalsRowDxfId="1414" dataCellStyle="Normal 2"/>
    <tableColumn id="57" name="H3" totalsRowFunction="sum" dataDxfId="1413" totalsRowDxfId="1412" dataCellStyle="Normal 2"/>
    <tableColumn id="58" name="RBI3" totalsRowFunction="sum" dataDxfId="1411" totalsRowDxfId="1410" dataCellStyle="Normal 2"/>
    <tableColumn id="59" name="BB3" totalsRowFunction="sum" dataDxfId="1409" totalsRowDxfId="1408" dataCellStyle="Normal 2"/>
    <tableColumn id="60" name="SO3" totalsRowFunction="sum" dataDxfId="1407" totalsRowDxfId="1406" dataCellStyle="Normal 2"/>
    <tableColumn id="61" name="HBP3" totalsRowFunction="sum" dataDxfId="1405" totalsRowDxfId="1404" dataCellStyle="Normal 2"/>
    <tableColumn id="62" name="SF3" totalsRowFunction="sum" dataDxfId="1403" totalsRowDxfId="1402" dataCellStyle="Normal 2"/>
    <tableColumn id="63" name="TB3" totalsRowFunction="sum" dataDxfId="1401" totalsRowDxfId="1400" dataCellStyle="Normal 2"/>
    <tableColumn id="64" name="Starter4" totalsRowFunction="custom" dataDxfId="1399" totalsRowDxfId="1398" dataCellStyle="Normal 2">
      <totalsRowFormula>INDEX(Table13[Starter4],MODE(MATCH(Table13[Starter4],Table13[Starter4],0)))</totalsRowFormula>
    </tableColumn>
    <tableColumn id="65" name="AB4" totalsRowFunction="sum" dataDxfId="1397" totalsRowDxfId="1396" dataCellStyle="Normal 2"/>
    <tableColumn id="66" name="R4" totalsRowFunction="sum" dataDxfId="1395" totalsRowDxfId="1394" dataCellStyle="Normal 2"/>
    <tableColumn id="67" name="H4" totalsRowFunction="sum" dataDxfId="1393" totalsRowDxfId="1392" dataCellStyle="Normal 2"/>
    <tableColumn id="68" name="RBI4" totalsRowFunction="sum" dataDxfId="1391" totalsRowDxfId="1390" dataCellStyle="Normal 2"/>
    <tableColumn id="69" name="BB4" totalsRowFunction="sum" dataDxfId="1389" totalsRowDxfId="1388" dataCellStyle="Normal 2"/>
    <tableColumn id="70" name="SO4" totalsRowFunction="sum" dataDxfId="1387" totalsRowDxfId="1386" dataCellStyle="Normal 2"/>
    <tableColumn id="71" name="HBP4" totalsRowFunction="sum" dataDxfId="1385" totalsRowDxfId="1384" dataCellStyle="Normal 2"/>
    <tableColumn id="72" name="SF4" totalsRowFunction="sum" dataDxfId="1383" totalsRowDxfId="1382" dataCellStyle="Normal 2"/>
    <tableColumn id="73" name="TB4" totalsRowFunction="sum" dataDxfId="1381" totalsRowDxfId="1380" dataCellStyle="Normal 2"/>
    <tableColumn id="74" name="Starter5" totalsRowFunction="custom" dataDxfId="1379" totalsRowDxfId="1378" dataCellStyle="Normal 2">
      <totalsRowFormula>INDEX(Table13[Starter5],MODE(MATCH(Table13[Starter5],Table13[Starter5],0)))</totalsRowFormula>
    </tableColumn>
    <tableColumn id="75" name="AB5" totalsRowFunction="sum" dataDxfId="1377" totalsRowDxfId="1376" dataCellStyle="Normal 2"/>
    <tableColumn id="76" name="R5" totalsRowFunction="sum" dataDxfId="1375" totalsRowDxfId="1374" dataCellStyle="Normal 2"/>
    <tableColumn id="77" name="H5" totalsRowFunction="sum" dataDxfId="1373" totalsRowDxfId="1372" dataCellStyle="Normal 2"/>
    <tableColumn id="78" name="RBI5" totalsRowFunction="sum" dataDxfId="1371" totalsRowDxfId="1370" dataCellStyle="Normal 2"/>
    <tableColumn id="79" name="BB5" totalsRowFunction="sum" dataDxfId="1369" totalsRowDxfId="1368" dataCellStyle="Normal 2"/>
    <tableColumn id="80" name="SO5" totalsRowFunction="sum" dataDxfId="1367" totalsRowDxfId="1366" dataCellStyle="Normal 2"/>
    <tableColumn id="81" name="HBP5" totalsRowFunction="sum" dataDxfId="1365" totalsRowDxfId="1364" dataCellStyle="Normal 2"/>
    <tableColumn id="82" name="SF5" totalsRowFunction="sum" dataDxfId="1363" totalsRowDxfId="1362" dataCellStyle="Normal 2"/>
    <tableColumn id="83" name="TB5" totalsRowFunction="sum" dataDxfId="1361" totalsRowDxfId="1360" dataCellStyle="Normal 2"/>
    <tableColumn id="84" name="Starter6" totalsRowFunction="custom" dataDxfId="1359" totalsRowDxfId="1358" dataCellStyle="Normal 2">
      <totalsRowFormula>INDEX(Table13[Starter6],MODE(MATCH(Table13[Starter6],Table13[Starter6],0)))</totalsRowFormula>
    </tableColumn>
    <tableColumn id="85" name="AB6" totalsRowFunction="sum" dataDxfId="1357" totalsRowDxfId="1356" dataCellStyle="Normal 2"/>
    <tableColumn id="86" name="R6" totalsRowFunction="sum" dataDxfId="1355" totalsRowDxfId="1354" dataCellStyle="Normal 2"/>
    <tableColumn id="87" name="H6" totalsRowFunction="sum" dataDxfId="1353" totalsRowDxfId="1352" dataCellStyle="Normal 2"/>
    <tableColumn id="88" name="RBI6" totalsRowFunction="sum" dataDxfId="1351" totalsRowDxfId="1350" dataCellStyle="Normal 2"/>
    <tableColumn id="89" name="BB6" totalsRowFunction="sum" dataDxfId="1349" totalsRowDxfId="1348" dataCellStyle="Normal 2"/>
    <tableColumn id="90" name="SO6" totalsRowFunction="sum" dataDxfId="1347" totalsRowDxfId="1346" dataCellStyle="Normal 2"/>
    <tableColumn id="91" name="HBP6" totalsRowFunction="sum" dataDxfId="1345" totalsRowDxfId="1344" dataCellStyle="Normal 2"/>
    <tableColumn id="92" name="SF6" totalsRowFunction="sum" dataDxfId="1343" totalsRowDxfId="1342" dataCellStyle="Normal 2"/>
    <tableColumn id="93" name="TB6" totalsRowFunction="sum" dataDxfId="1341" totalsRowDxfId="1340" dataCellStyle="Normal 2"/>
    <tableColumn id="94" name="Starter7" totalsRowFunction="custom" dataDxfId="1339" totalsRowDxfId="1338" dataCellStyle="Normal 2">
      <totalsRowFormula>INDEX(Table13[Starter7],MODE(MATCH(Table13[Starter7],Table13[Starter7],0)))</totalsRowFormula>
    </tableColumn>
    <tableColumn id="95" name="AB7" totalsRowFunction="sum" dataDxfId="1337" totalsRowDxfId="1336" dataCellStyle="Normal 2"/>
    <tableColumn id="96" name="R7" totalsRowFunction="sum" dataDxfId="1335" totalsRowDxfId="1334" dataCellStyle="Normal 2"/>
    <tableColumn id="97" name="H7" totalsRowFunction="sum" dataDxfId="1333" totalsRowDxfId="1332" dataCellStyle="Normal 2"/>
    <tableColumn id="98" name="RBI7" totalsRowFunction="sum" dataDxfId="1331" totalsRowDxfId="1330" dataCellStyle="Normal 2"/>
    <tableColumn id="99" name="BB7" totalsRowFunction="sum" dataDxfId="1329" totalsRowDxfId="1328" dataCellStyle="Normal 2"/>
    <tableColumn id="100" name="SO7" totalsRowFunction="sum" dataDxfId="1327" totalsRowDxfId="1326" dataCellStyle="Normal 2"/>
    <tableColumn id="101" name="HBP7" totalsRowFunction="sum" dataDxfId="1325" totalsRowDxfId="1324" dataCellStyle="Normal 2"/>
    <tableColumn id="102" name="SF7" totalsRowFunction="sum" dataDxfId="1323" totalsRowDxfId="1322" dataCellStyle="Normal 2"/>
    <tableColumn id="103" name="TB7" totalsRowFunction="sum" dataDxfId="1321" totalsRowDxfId="1320" dataCellStyle="Normal 2"/>
    <tableColumn id="104" name="Starter8" totalsRowFunction="custom" dataDxfId="1319" totalsRowDxfId="1318" dataCellStyle="Normal 2">
      <totalsRowFormula>INDEX(Table13[Starter8],MODE(MATCH(Table13[Starter8],Table13[Starter8],0)))</totalsRowFormula>
    </tableColumn>
    <tableColumn id="105" name="AB8" totalsRowFunction="sum" dataDxfId="1317" totalsRowDxfId="1316" dataCellStyle="Normal 2"/>
    <tableColumn id="106" name="R8" totalsRowFunction="sum" dataDxfId="1315" totalsRowDxfId="1314" dataCellStyle="Normal 2"/>
    <tableColumn id="107" name="H8" totalsRowFunction="sum" dataDxfId="1313" totalsRowDxfId="1312" dataCellStyle="Normal 2"/>
    <tableColumn id="108" name="RBI8" totalsRowFunction="sum" dataDxfId="1311" totalsRowDxfId="1310" dataCellStyle="Normal 2"/>
    <tableColumn id="109" name="BB8" totalsRowFunction="sum" dataDxfId="1309" totalsRowDxfId="1308" dataCellStyle="Normal 2"/>
    <tableColumn id="110" name="SO8" totalsRowFunction="sum" dataDxfId="1307" totalsRowDxfId="1306" dataCellStyle="Normal 2"/>
    <tableColumn id="111" name="HBP8" totalsRowFunction="sum" dataDxfId="1305" totalsRowDxfId="1304" dataCellStyle="Normal 2"/>
    <tableColumn id="112" name="SF8" totalsRowFunction="sum" dataDxfId="1303" totalsRowDxfId="1302" dataCellStyle="Normal 2"/>
    <tableColumn id="113" name="TB8" totalsRowFunction="sum" dataDxfId="1301" totalsRowDxfId="1300" dataCellStyle="Normal 2"/>
    <tableColumn id="114" name="Starter9" totalsRowFunction="custom" dataDxfId="1299" totalsRowDxfId="1298" dataCellStyle="Normal 2">
      <totalsRowFormula>INDEX(Table13[Starter9],MODE(MATCH(Table13[Starter9],Table13[Starter9],0)))</totalsRowFormula>
    </tableColumn>
    <tableColumn id="115" name="AB9" totalsRowFunction="sum" dataDxfId="1297" totalsRowDxfId="1296" dataCellStyle="Normal 2"/>
    <tableColumn id="116" name="R9" totalsRowFunction="sum" dataDxfId="1295" totalsRowDxfId="1294" dataCellStyle="Normal 2"/>
    <tableColumn id="117" name="H9" totalsRowFunction="sum" dataDxfId="1293" totalsRowDxfId="1292" dataCellStyle="Normal 2"/>
    <tableColumn id="118" name="RBI9" totalsRowFunction="sum" dataDxfId="1291" totalsRowDxfId="1290" dataCellStyle="Normal 2"/>
    <tableColumn id="119" name="BB9" totalsRowFunction="sum" dataDxfId="1289" totalsRowDxfId="1288" dataCellStyle="Normal 2"/>
    <tableColumn id="120" name="SO9" totalsRowFunction="sum" dataDxfId="1287" totalsRowDxfId="1286" dataCellStyle="Normal 2"/>
    <tableColumn id="121" name="HBP9" totalsRowFunction="sum" dataDxfId="1285" totalsRowDxfId="1284" dataCellStyle="Normal 2"/>
    <tableColumn id="122" name="SF9" totalsRowFunction="sum" dataDxfId="1283" totalsRowDxfId="1282" dataCellStyle="Normal 2"/>
    <tableColumn id="123" name="TB9" totalsRowFunction="sum" dataDxfId="1281" totalsRowDxfId="1280" dataCellStyle="Normal 2"/>
    <tableColumn id="127" name="IVL" totalsRowFunction="sum" dataDxfId="1279" totalsRowDxfId="1278" dataCellStyle="Normal 2"/>
    <tableColumn id="128" name="SVL" totalsRowFunction="sum" dataDxfId="1277" totalsRowDxfId="1276" dataCellStyle="Normal 2"/>
    <tableColumn id="129" name="CVL" totalsRowFunction="sum" dataDxfId="1275" totalsRowDxfId="1274" dataCellStyle="Normal 2"/>
    <tableColumn id="130" name="IVR" totalsRowFunction="sum" dataDxfId="1273" totalsRowDxfId="1272" dataCellStyle="Normal 2"/>
    <tableColumn id="131" name="SVR" totalsRowFunction="sum" dataDxfId="1271" totalsRowDxfId="1270" dataCellStyle="Normal 2"/>
    <tableColumn id="132" name="CVR" totalsRowFunction="sum" dataDxfId="1269" totalsRowDxfId="1268" dataCellStyle="Normal 2"/>
    <tableColumn id="134" name="RI1" totalsRowFunction="sum" dataDxfId="1267" totalsRowDxfId="1266" dataCellStyle="Normal 2"/>
    <tableColumn id="135" name="RI2" totalsRowFunction="sum" dataDxfId="1265" totalsRowDxfId="1264" dataCellStyle="Normal 2"/>
    <tableColumn id="136" name="RI3" totalsRowFunction="sum" dataDxfId="1263" totalsRowDxfId="1262" dataCellStyle="Normal 2"/>
    <tableColumn id="137" name="RI4" totalsRowFunction="sum" dataDxfId="1261" totalsRowDxfId="1260" dataCellStyle="Normal 2"/>
    <tableColumn id="138" name="RI5" totalsRowFunction="sum" dataDxfId="1259" totalsRowDxfId="1258" dataCellStyle="Normal 2"/>
    <tableColumn id="139" name="RI6" totalsRowFunction="sum" dataDxfId="1257" totalsRowDxfId="1256" dataCellStyle="Normal 2"/>
    <tableColumn id="140" name="RI7" totalsRowFunction="sum" dataDxfId="1255" totalsRowDxfId="1254" dataCellStyle="Normal 2"/>
    <tableColumn id="141" name="RI8" totalsRowFunction="sum" dataDxfId="1253" totalsRowDxfId="1252" dataCellStyle="Normal 2"/>
    <tableColumn id="142" name="RI9" totalsRowFunction="sum" dataDxfId="1251" totalsRowDxfId="1250" dataCellStyle="Normal 2"/>
    <tableColumn id="143" name="RI10" totalsRowFunction="sum" dataDxfId="1249" totalsRowDxfId="1248" dataCellStyle="Normal 2"/>
    <tableColumn id="144" name="RI11" totalsRowFunction="sum" dataDxfId="1247" totalsRowDxfId="1246" dataCellStyle="Normal 2"/>
    <tableColumn id="145" name="RI12" totalsRowFunction="sum" dataDxfId="1245" totalsRowDxfId="1244" dataCellStyle="Normal 2"/>
    <tableColumn id="164" name="RI13" totalsRowFunction="sum" dataDxfId="1243" totalsRowDxfId="1242" dataCellStyle="Normal 2"/>
    <tableColumn id="146" name="RT" totalsRowFunction="sum" dataDxfId="1241" totalsRowDxfId="1240" dataCellStyle="Normal 2">
      <calculatedColumnFormula>SUM(EE4:EQ4)</calculatedColumnFormula>
    </tableColumn>
    <tableColumn id="147" name="OI1" totalsRowFunction="sum" dataDxfId="1239" totalsRowDxfId="1238" dataCellStyle="Normal 2"/>
    <tableColumn id="148" name="OI2" totalsRowFunction="sum" dataDxfId="1237" totalsRowDxfId="1236" dataCellStyle="Normal 2"/>
    <tableColumn id="149" name="OI3" totalsRowFunction="sum" dataDxfId="1235" totalsRowDxfId="1234" dataCellStyle="Normal 2"/>
    <tableColumn id="150" name="OI4" totalsRowFunction="sum" dataDxfId="1233" totalsRowDxfId="1232" dataCellStyle="Normal 2"/>
    <tableColumn id="151" name="OI5" totalsRowFunction="sum" dataDxfId="1231" totalsRowDxfId="1230" dataCellStyle="Normal 2"/>
    <tableColumn id="152" name="OI6" totalsRowFunction="sum" dataDxfId="1229" totalsRowDxfId="1228" dataCellStyle="Normal 2"/>
    <tableColumn id="153" name="OI7" totalsRowFunction="sum" dataDxfId="1227" totalsRowDxfId="1226" dataCellStyle="Normal 2"/>
    <tableColumn id="154" name="OI8" totalsRowFunction="sum" dataDxfId="1225" totalsRowDxfId="1224" dataCellStyle="Normal 2"/>
    <tableColumn id="155" name="OI9" totalsRowFunction="sum" dataDxfId="1223" totalsRowDxfId="1222" dataCellStyle="Normal 2"/>
    <tableColumn id="156" name="OI10" totalsRowFunction="sum" dataDxfId="1221" totalsRowDxfId="1220" dataCellStyle="Normal 2"/>
    <tableColumn id="157" name="OI11" totalsRowFunction="sum" dataDxfId="1219" totalsRowDxfId="1218" dataCellStyle="Normal 2"/>
    <tableColumn id="158" name="OI12" totalsRowFunction="sum" dataDxfId="1217" totalsRowDxfId="1216" dataCellStyle="Normal 2"/>
    <tableColumn id="165" name="OI13" totalsRowFunction="sum" dataDxfId="1215" totalsRowDxfId="1214" dataCellStyle="Normal 2"/>
    <tableColumn id="159" name="OT" totalsRowFunction="sum" dataDxfId="1213" totalsRowDxfId="1212" dataCellStyle="Normal 2">
      <calculatedColumnFormula>SUM(ES4:FE4)</calculatedColumnFormula>
    </tableColumn>
    <tableColumn id="161" name="RRAisORS" dataDxfId="1211" totalsRowDxfId="1210" dataCellStyle="Normal 2">
      <calculatedColumnFormula>((SUM(L4,AD4))-(FF4))</calculatedColumnFormula>
    </tableColumn>
    <tableColumn id="162" name="ORAisRRS" dataDxfId="1209" totalsRowDxfId="1208" dataCellStyle="Normal 2">
      <calculatedColumnFormula>((SUM(AO4,AY4,BI4,BS4,CC4,CM4,CW4,DG4,DQ4))-(ER4))</calculatedColumnFormula>
    </tableColumn>
    <tableColumn id="163" name="Notes" dataDxfId="1207" totalsRowDxfId="1206" dataCellStyle="Normal 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id="11" name="Table112" displayName="Table112" ref="A3:FI56" totalsRowCount="1" headerRowDxfId="1205" dataDxfId="1204" totalsRowDxfId="1203">
  <autoFilter ref="A3:FI55"/>
  <tableColumns count="165">
    <tableColumn id="2" name="Date" totalsRowFunction="count" dataDxfId="1202" totalsRowDxfId="1201"/>
    <tableColumn id="126" name="Loc" dataDxfId="1200" totalsRowDxfId="1199"/>
    <tableColumn id="125" name="Res" dataDxfId="1198" totalsRowDxfId="1197"/>
    <tableColumn id="124" name="Opp" dataDxfId="1196" totalsRowDxfId="1195"/>
    <tableColumn id="133" name="Att" totalsRowFunction="sum" dataDxfId="1194" totalsRowDxfId="1193"/>
    <tableColumn id="160" name="PS" dataDxfId="1192" totalsRowDxfId="1191"/>
    <tableColumn id="1" name="Pitcher" totalsRowLabel="Total" dataDxfId="1190" totalsRowDxfId="1189"/>
    <tableColumn id="26" name="S-W" totalsRowFunction="sum" dataDxfId="1188" totalsRowDxfId="1187"/>
    <tableColumn id="25" name="S-L" totalsRowFunction="sum" dataDxfId="1186" totalsRowDxfId="1185"/>
    <tableColumn id="3" name="S-IP" totalsRowFunction="sum" dataDxfId="1184" totalsRowDxfId="1183"/>
    <tableColumn id="4" name="S-H" totalsRowFunction="sum" dataDxfId="1182" totalsRowDxfId="1181"/>
    <tableColumn id="5" name="S-R" totalsRowFunction="sum" dataDxfId="1180" totalsRowDxfId="1179"/>
    <tableColumn id="6" name="S-ER" totalsRowFunction="sum" dataDxfId="1178" totalsRowDxfId="1177"/>
    <tableColumn id="7" name="S-BB" totalsRowFunction="sum" dataDxfId="1176" totalsRowDxfId="1175"/>
    <tableColumn id="8" name="S-SO" totalsRowFunction="sum" dataDxfId="1174" totalsRowDxfId="1173"/>
    <tableColumn id="9" name="S-HR" totalsRowFunction="sum" dataDxfId="1172" totalsRowDxfId="1171"/>
    <tableColumn id="10" name="S-HBP" totalsRowFunction="sum" dataDxfId="1170" totalsRowDxfId="1169"/>
    <tableColumn id="11" name="S-BF" totalsRowFunction="sum" dataDxfId="1168" totalsRowDxfId="1167"/>
    <tableColumn id="12" name="S-Pit" dataDxfId="1166" totalsRowDxfId="1165"/>
    <tableColumn id="13" name="S-Str" dataDxfId="1164" totalsRowDxfId="1163"/>
    <tableColumn id="32" name="IRL" totalsRowFunction="sum" dataDxfId="1162" totalsRowDxfId="1161"/>
    <tableColumn id="33" name="IRS" totalsRowFunction="sum" dataDxfId="1160" totalsRowDxfId="1159"/>
    <tableColumn id="29" name="B-W" totalsRowFunction="sum" dataDxfId="1158" totalsRowDxfId="1157"/>
    <tableColumn id="31" name="B-L" totalsRowFunction="sum" dataDxfId="1156" totalsRowDxfId="1155"/>
    <tableColumn id="30" name="Hld" totalsRowFunction="sum" dataDxfId="1154" totalsRowDxfId="1153"/>
    <tableColumn id="28" name="Sv" totalsRowFunction="sum" dataDxfId="1152" totalsRowDxfId="1151"/>
    <tableColumn id="27" name="BS" totalsRowFunction="sum" dataDxfId="1150" totalsRowDxfId="1149"/>
    <tableColumn id="14" name="B-IP" totalsRowFunction="sum" dataDxfId="1148" totalsRowDxfId="1147"/>
    <tableColumn id="15" name="B-H" totalsRowFunction="sum" dataDxfId="1146" totalsRowDxfId="1145"/>
    <tableColumn id="16" name="B-R" totalsRowFunction="sum" dataDxfId="1144" totalsRowDxfId="1143"/>
    <tableColumn id="17" name="B-ER" totalsRowFunction="sum" dataDxfId="1142" totalsRowDxfId="1141"/>
    <tableColumn id="18" name="B-BB" totalsRowFunction="sum" dataDxfId="1140" totalsRowDxfId="1139"/>
    <tableColumn id="19" name="B-SO" totalsRowFunction="sum" dataDxfId="1138" totalsRowDxfId="1137"/>
    <tableColumn id="20" name="B-HR" totalsRowFunction="sum" dataDxfId="1136" totalsRowDxfId="1135"/>
    <tableColumn id="21" name="B-HBP" totalsRowFunction="sum" dataDxfId="1134" totalsRowDxfId="1133"/>
    <tableColumn id="22" name="B-BF" totalsRowFunction="sum" dataDxfId="1132" totalsRowDxfId="1131"/>
    <tableColumn id="23" name="B-Pit" dataDxfId="1130" totalsRowDxfId="1129"/>
    <tableColumn id="24" name="B-Str" dataDxfId="1128" totalsRowDxfId="1127"/>
    <tableColumn id="34" name="Starter1" totalsRowFunction="custom" dataDxfId="1126" totalsRowDxfId="1125" dataCellStyle="Normal 2">
      <totalsRowFormula>INDEX(Table112[Starter1],MODE(MATCH(Table112[Starter1],Table112[Starter1],0)))</totalsRowFormula>
    </tableColumn>
    <tableColumn id="35" name="AB1" totalsRowFunction="sum" dataDxfId="1124" totalsRowDxfId="1123" dataCellStyle="Normal 2"/>
    <tableColumn id="36" name="R1" totalsRowFunction="sum" dataDxfId="1122" totalsRowDxfId="1121" dataCellStyle="Normal 2"/>
    <tableColumn id="37" name="H1" totalsRowFunction="sum" dataDxfId="1120" totalsRowDxfId="1119" dataCellStyle="Normal 2"/>
    <tableColumn id="38" name="RBI1" totalsRowFunction="sum" dataDxfId="1118" totalsRowDxfId="1117" dataCellStyle="Normal 2"/>
    <tableColumn id="39" name="BB1" totalsRowFunction="sum" dataDxfId="1116" totalsRowDxfId="1115" dataCellStyle="Normal 2"/>
    <tableColumn id="40" name="SO1" totalsRowFunction="sum" dataDxfId="1114" totalsRowDxfId="1113" dataCellStyle="Normal 2"/>
    <tableColumn id="41" name="HBP1" totalsRowFunction="sum" dataDxfId="1112" totalsRowDxfId="1111" dataCellStyle="Normal 2"/>
    <tableColumn id="42" name="SF1" totalsRowFunction="sum" dataDxfId="1110" totalsRowDxfId="1109" dataCellStyle="Normal 2"/>
    <tableColumn id="43" name="TB1" totalsRowFunction="sum" dataDxfId="1108" totalsRowDxfId="1107" dataCellStyle="Normal 2"/>
    <tableColumn id="44" name="Starter2" totalsRowFunction="custom" dataDxfId="1106" totalsRowDxfId="1105" dataCellStyle="Normal 2">
      <totalsRowFormula>INDEX(Table112[Starter2],MODE(MATCH(Table112[Starter2],Table112[Starter2],0)))</totalsRowFormula>
    </tableColumn>
    <tableColumn id="45" name="AB2" totalsRowFunction="sum" dataDxfId="1104" totalsRowDxfId="1103" dataCellStyle="Normal 2"/>
    <tableColumn id="46" name="R2" totalsRowFunction="sum" dataDxfId="1102" totalsRowDxfId="1101" dataCellStyle="Normal 2"/>
    <tableColumn id="47" name="H2" totalsRowFunction="sum" dataDxfId="1100" totalsRowDxfId="1099" dataCellStyle="Normal 2"/>
    <tableColumn id="48" name="RBI2" totalsRowFunction="sum" dataDxfId="1098" totalsRowDxfId="1097" dataCellStyle="Normal 2"/>
    <tableColumn id="49" name="BB2" totalsRowFunction="sum" dataDxfId="1096" totalsRowDxfId="1095" dataCellStyle="Normal 2"/>
    <tableColumn id="50" name="SO2" totalsRowFunction="sum" dataDxfId="1094" totalsRowDxfId="1093" dataCellStyle="Normal 2"/>
    <tableColumn id="51" name="HBP2" totalsRowFunction="sum" dataDxfId="1092" totalsRowDxfId="1091" dataCellStyle="Normal 2"/>
    <tableColumn id="52" name="SF2" totalsRowFunction="sum" dataDxfId="1090" totalsRowDxfId="1089" dataCellStyle="Normal 2"/>
    <tableColumn id="53" name="TB2" totalsRowFunction="sum" dataDxfId="1088" totalsRowDxfId="1087" dataCellStyle="Normal 2"/>
    <tableColumn id="54" name="Starter3" totalsRowFunction="custom" dataDxfId="1086" totalsRowDxfId="1085" dataCellStyle="Normal 2">
      <totalsRowFormula>INDEX(Table112[Starter3],MODE(MATCH(Table112[Starter3],Table112[Starter3],0)))</totalsRowFormula>
    </tableColumn>
    <tableColumn id="55" name="AB3" totalsRowFunction="sum" dataDxfId="1084" totalsRowDxfId="1083" dataCellStyle="Normal 2"/>
    <tableColumn id="56" name="R3" totalsRowFunction="sum" dataDxfId="1082" totalsRowDxfId="1081" dataCellStyle="Normal 2"/>
    <tableColumn id="57" name="H3" totalsRowFunction="sum" dataDxfId="1080" totalsRowDxfId="1079" dataCellStyle="Normal 2"/>
    <tableColumn id="58" name="RBI3" totalsRowFunction="sum" dataDxfId="1078" totalsRowDxfId="1077" dataCellStyle="Normal 2"/>
    <tableColumn id="59" name="BB3" totalsRowFunction="sum" dataDxfId="1076" totalsRowDxfId="1075" dataCellStyle="Normal 2"/>
    <tableColumn id="60" name="SO3" totalsRowFunction="sum" dataDxfId="1074" totalsRowDxfId="1073" dataCellStyle="Normal 2"/>
    <tableColumn id="61" name="HBP3" totalsRowFunction="sum" dataDxfId="1072" totalsRowDxfId="1071" dataCellStyle="Normal 2"/>
    <tableColumn id="62" name="SF3" totalsRowFunction="sum" dataDxfId="1070" totalsRowDxfId="1069" dataCellStyle="Normal 2"/>
    <tableColumn id="63" name="TB3" totalsRowFunction="sum" dataDxfId="1068" totalsRowDxfId="1067" dataCellStyle="Normal 2"/>
    <tableColumn id="64" name="Starter4" totalsRowFunction="custom" dataDxfId="1066" totalsRowDxfId="1065" dataCellStyle="Normal 2">
      <totalsRowFormula>INDEX(Table112[Starter4],MODE(MATCH(Table112[Starter4],Table112[Starter4],0)))</totalsRowFormula>
    </tableColumn>
    <tableColumn id="65" name="AB4" totalsRowFunction="sum" dataDxfId="1064" totalsRowDxfId="1063" dataCellStyle="Normal 2"/>
    <tableColumn id="66" name="R4" totalsRowFunction="sum" dataDxfId="1062" totalsRowDxfId="1061" dataCellStyle="Normal 2"/>
    <tableColumn id="67" name="H4" totalsRowFunction="sum" dataDxfId="1060" totalsRowDxfId="1059" dataCellStyle="Normal 2"/>
    <tableColumn id="68" name="RBI4" totalsRowFunction="sum" dataDxfId="1058" totalsRowDxfId="1057" dataCellStyle="Normal 2"/>
    <tableColumn id="69" name="BB4" totalsRowFunction="sum" dataDxfId="1056" totalsRowDxfId="1055" dataCellStyle="Normal 2"/>
    <tableColumn id="70" name="SO4" totalsRowFunction="sum" dataDxfId="1054" totalsRowDxfId="1053" dataCellStyle="Normal 2"/>
    <tableColumn id="71" name="HBP4" totalsRowFunction="sum" dataDxfId="1052" totalsRowDxfId="1051" dataCellStyle="Normal 2"/>
    <tableColumn id="72" name="SF4" totalsRowFunction="sum" dataDxfId="1050" totalsRowDxfId="1049" dataCellStyle="Normal 2"/>
    <tableColumn id="73" name="TB4" totalsRowFunction="sum" dataDxfId="1048" totalsRowDxfId="1047" dataCellStyle="Normal 2"/>
    <tableColumn id="74" name="Starter5" totalsRowFunction="custom" dataDxfId="1046" totalsRowDxfId="1045" dataCellStyle="Normal 2">
      <totalsRowFormula>INDEX(Table112[Starter5],MODE(MATCH(Table112[Starter5],Table112[Starter5],0)))</totalsRowFormula>
    </tableColumn>
    <tableColumn id="75" name="AB5" totalsRowFunction="sum" dataDxfId="1044" totalsRowDxfId="1043" dataCellStyle="Normal 2"/>
    <tableColumn id="76" name="R5" totalsRowFunction="sum" dataDxfId="1042" totalsRowDxfId="1041" dataCellStyle="Normal 2"/>
    <tableColumn id="77" name="H5" totalsRowFunction="sum" dataDxfId="1040" totalsRowDxfId="1039" dataCellStyle="Normal 2"/>
    <tableColumn id="78" name="RBI5" totalsRowFunction="sum" dataDxfId="1038" totalsRowDxfId="1037" dataCellStyle="Normal 2"/>
    <tableColumn id="79" name="BB5" totalsRowFunction="sum" dataDxfId="1036" totalsRowDxfId="1035" dataCellStyle="Normal 2"/>
    <tableColumn id="80" name="SO5" totalsRowFunction="sum" dataDxfId="1034" totalsRowDxfId="1033" dataCellStyle="Normal 2"/>
    <tableColumn id="81" name="HBP5" totalsRowFunction="sum" dataDxfId="1032" totalsRowDxfId="1031" dataCellStyle="Normal 2"/>
    <tableColumn id="82" name="SF5" totalsRowFunction="sum" dataDxfId="1030" totalsRowDxfId="1029" dataCellStyle="Normal 2"/>
    <tableColumn id="83" name="TB5" totalsRowFunction="sum" dataDxfId="1028" totalsRowDxfId="1027" dataCellStyle="Normal 2"/>
    <tableColumn id="84" name="Starter6" totalsRowFunction="custom" dataDxfId="1026" totalsRowDxfId="1025" dataCellStyle="Normal 2">
      <totalsRowFormula>INDEX(Table112[Starter6],MODE(MATCH(Table112[Starter6],Table112[Starter6],0)))</totalsRowFormula>
    </tableColumn>
    <tableColumn id="85" name="AB6" totalsRowFunction="sum" dataDxfId="1024" totalsRowDxfId="1023" dataCellStyle="Normal 2"/>
    <tableColumn id="86" name="R6" totalsRowFunction="sum" dataDxfId="1022" totalsRowDxfId="1021" dataCellStyle="Normal 2"/>
    <tableColumn id="87" name="H6" totalsRowFunction="sum" dataDxfId="1020" totalsRowDxfId="1019" dataCellStyle="Normal 2"/>
    <tableColumn id="88" name="RBI6" totalsRowFunction="sum" dataDxfId="1018" totalsRowDxfId="1017" dataCellStyle="Normal 2"/>
    <tableColumn id="89" name="BB6" totalsRowFunction="sum" dataDxfId="1016" totalsRowDxfId="1015" dataCellStyle="Normal 2"/>
    <tableColumn id="90" name="SO6" totalsRowFunction="sum" dataDxfId="1014" totalsRowDxfId="1013" dataCellStyle="Normal 2"/>
    <tableColumn id="91" name="HBP6" totalsRowFunction="sum" dataDxfId="1012" totalsRowDxfId="1011" dataCellStyle="Normal 2"/>
    <tableColumn id="92" name="SF6" totalsRowFunction="sum" dataDxfId="1010" totalsRowDxfId="1009" dataCellStyle="Normal 2"/>
    <tableColumn id="93" name="TB6" totalsRowFunction="sum" dataDxfId="1008" totalsRowDxfId="1007" dataCellStyle="Normal 2"/>
    <tableColumn id="94" name="Starter7" totalsRowFunction="custom" dataDxfId="1006" totalsRowDxfId="1005" dataCellStyle="Normal 2">
      <totalsRowFormula>INDEX(Table112[Starter7],MODE(MATCH(Table112[Starter7],Table112[Starter7],0)))</totalsRowFormula>
    </tableColumn>
    <tableColumn id="95" name="AB7" totalsRowFunction="sum" dataDxfId="1004" totalsRowDxfId="1003" dataCellStyle="Normal 2"/>
    <tableColumn id="96" name="R7" totalsRowFunction="sum" dataDxfId="1002" totalsRowDxfId="1001" dataCellStyle="Normal 2"/>
    <tableColumn id="97" name="H7" totalsRowFunction="sum" dataDxfId="1000" totalsRowDxfId="999" dataCellStyle="Normal 2"/>
    <tableColumn id="98" name="RBI7" totalsRowFunction="sum" dataDxfId="998" totalsRowDxfId="997" dataCellStyle="Normal 2"/>
    <tableColumn id="99" name="BB7" totalsRowFunction="sum" dataDxfId="996" totalsRowDxfId="995" dataCellStyle="Normal 2"/>
    <tableColumn id="100" name="SO7" totalsRowFunction="sum" dataDxfId="994" totalsRowDxfId="993" dataCellStyle="Normal 2"/>
    <tableColumn id="101" name="HBP7" totalsRowFunction="sum" dataDxfId="992" totalsRowDxfId="991" dataCellStyle="Normal 2"/>
    <tableColumn id="102" name="SF7" totalsRowFunction="sum" dataDxfId="990" totalsRowDxfId="989" dataCellStyle="Normal 2"/>
    <tableColumn id="103" name="TB7" totalsRowFunction="sum" dataDxfId="988" totalsRowDxfId="987" dataCellStyle="Normal 2"/>
    <tableColumn id="104" name="Starter8" totalsRowFunction="custom" dataDxfId="986" totalsRowDxfId="985" dataCellStyle="Normal 2">
      <totalsRowFormula>INDEX(Table112[Starter8],MODE(MATCH(Table112[Starter8],Table112[Starter8],0)))</totalsRowFormula>
    </tableColumn>
    <tableColumn id="105" name="AB8" totalsRowFunction="sum" dataDxfId="984" totalsRowDxfId="983" dataCellStyle="Normal 2"/>
    <tableColumn id="106" name="R8" totalsRowFunction="sum" dataDxfId="982" totalsRowDxfId="981" dataCellStyle="Normal 2"/>
    <tableColumn id="107" name="H8" totalsRowFunction="sum" dataDxfId="980" totalsRowDxfId="979" dataCellStyle="Normal 2"/>
    <tableColumn id="108" name="RBI8" totalsRowFunction="sum" dataDxfId="978" totalsRowDxfId="977" dataCellStyle="Normal 2"/>
    <tableColumn id="109" name="BB8" totalsRowFunction="sum" dataDxfId="976" totalsRowDxfId="975" dataCellStyle="Normal 2"/>
    <tableColumn id="110" name="SO8" totalsRowFunction="sum" dataDxfId="974" totalsRowDxfId="973" dataCellStyle="Normal 2"/>
    <tableColumn id="111" name="HBP8" totalsRowFunction="sum" dataDxfId="972" totalsRowDxfId="971" dataCellStyle="Normal 2"/>
    <tableColumn id="112" name="SF8" totalsRowFunction="sum" dataDxfId="970" totalsRowDxfId="969" dataCellStyle="Normal 2"/>
    <tableColumn id="113" name="TB8" totalsRowFunction="sum" dataDxfId="968" totalsRowDxfId="967" dataCellStyle="Normal 2"/>
    <tableColumn id="114" name="Starter9" totalsRowFunction="custom" dataDxfId="966" totalsRowDxfId="965" dataCellStyle="Normal 2">
      <totalsRowFormula>INDEX(Table112[Starter9],MODE(MATCH(Table112[Starter9],Table112[Starter9],0)))</totalsRowFormula>
    </tableColumn>
    <tableColumn id="115" name="AB9" totalsRowFunction="sum" dataDxfId="964" totalsRowDxfId="963" dataCellStyle="Normal 2"/>
    <tableColumn id="116" name="R9" totalsRowFunction="sum" dataDxfId="962" totalsRowDxfId="961" dataCellStyle="Normal 2"/>
    <tableColumn id="117" name="H9" totalsRowFunction="sum" dataDxfId="960" totalsRowDxfId="959" dataCellStyle="Normal 2"/>
    <tableColumn id="118" name="RBI9" totalsRowFunction="sum" dataDxfId="958" totalsRowDxfId="957" dataCellStyle="Normal 2"/>
    <tableColumn id="119" name="BB9" totalsRowFunction="sum" dataDxfId="956" totalsRowDxfId="955" dataCellStyle="Normal 2"/>
    <tableColumn id="120" name="SO9" totalsRowFunction="sum" dataDxfId="954" totalsRowDxfId="953" dataCellStyle="Normal 2"/>
    <tableColumn id="121" name="HBP9" totalsRowFunction="sum" dataDxfId="952" totalsRowDxfId="951" dataCellStyle="Normal 2"/>
    <tableColumn id="122" name="SF9" totalsRowFunction="sum" dataDxfId="950" totalsRowDxfId="949" dataCellStyle="Normal 2"/>
    <tableColumn id="123" name="TB9" totalsRowFunction="sum" dataDxfId="948" totalsRowDxfId="947" dataCellStyle="Normal 2"/>
    <tableColumn id="127" name="IVL" totalsRowFunction="sum" dataDxfId="946" totalsRowDxfId="945" dataCellStyle="Normal 2"/>
    <tableColumn id="128" name="SVL" totalsRowFunction="sum" dataDxfId="944" totalsRowDxfId="943" dataCellStyle="Normal 2"/>
    <tableColumn id="129" name="CVL" totalsRowFunction="sum" dataDxfId="942" totalsRowDxfId="941" dataCellStyle="Normal 2"/>
    <tableColumn id="130" name="IVR" totalsRowFunction="sum" dataDxfId="940" totalsRowDxfId="939" dataCellStyle="Normal 2"/>
    <tableColumn id="131" name="SVR" totalsRowFunction="sum" dataDxfId="938" totalsRowDxfId="937" dataCellStyle="Normal 2"/>
    <tableColumn id="132" name="CVR" totalsRowFunction="sum" dataDxfId="936" totalsRowDxfId="935" dataCellStyle="Normal 2"/>
    <tableColumn id="134" name="RI1" totalsRowFunction="sum" dataDxfId="934" totalsRowDxfId="933" dataCellStyle="Normal 2"/>
    <tableColumn id="135" name="RI2" totalsRowFunction="sum" dataDxfId="932" totalsRowDxfId="931" dataCellStyle="Normal 2"/>
    <tableColumn id="136" name="RI3" totalsRowFunction="sum" dataDxfId="930" totalsRowDxfId="929" dataCellStyle="Normal 2"/>
    <tableColumn id="137" name="RI4" totalsRowFunction="sum" dataDxfId="928" totalsRowDxfId="927" dataCellStyle="Normal 2"/>
    <tableColumn id="138" name="RI5" totalsRowFunction="sum" dataDxfId="926" totalsRowDxfId="925" dataCellStyle="Normal 2"/>
    <tableColumn id="139" name="RI6" totalsRowFunction="sum" dataDxfId="924" totalsRowDxfId="923" dataCellStyle="Normal 2"/>
    <tableColumn id="140" name="RI7" totalsRowFunction="sum" dataDxfId="922" totalsRowDxfId="921" dataCellStyle="Normal 2"/>
    <tableColumn id="141" name="RI8" totalsRowFunction="sum" dataDxfId="920" totalsRowDxfId="919" dataCellStyle="Normal 2"/>
    <tableColumn id="142" name="RI9" totalsRowFunction="sum" dataDxfId="918" totalsRowDxfId="917" dataCellStyle="Normal 2"/>
    <tableColumn id="143" name="RI10" totalsRowFunction="sum" dataDxfId="916" totalsRowDxfId="915" dataCellStyle="Normal 2"/>
    <tableColumn id="144" name="RI11" totalsRowFunction="sum" dataDxfId="914" totalsRowDxfId="913" dataCellStyle="Normal 2"/>
    <tableColumn id="145" name="RI12" totalsRowFunction="sum" dataDxfId="912" totalsRowDxfId="911" dataCellStyle="Normal 2"/>
    <tableColumn id="164" name="RI13" totalsRowFunction="sum" dataDxfId="910" totalsRowDxfId="909" dataCellStyle="Normal 2"/>
    <tableColumn id="146" name="RT" totalsRowFunction="sum" dataDxfId="908" totalsRowDxfId="907" dataCellStyle="Normal 2">
      <calculatedColumnFormula>SUM(EE4:EQ4)</calculatedColumnFormula>
    </tableColumn>
    <tableColumn id="147" name="OI1" totalsRowFunction="sum" dataDxfId="906" totalsRowDxfId="905" dataCellStyle="Normal 2"/>
    <tableColumn id="148" name="OI2" totalsRowFunction="sum" dataDxfId="904" totalsRowDxfId="903" dataCellStyle="Normal 2"/>
    <tableColumn id="149" name="OI3" totalsRowFunction="sum" dataDxfId="902" totalsRowDxfId="901" dataCellStyle="Normal 2"/>
    <tableColumn id="150" name="OI4" totalsRowFunction="sum" dataDxfId="900" totalsRowDxfId="899" dataCellStyle="Normal 2"/>
    <tableColumn id="151" name="OI5" totalsRowFunction="sum" dataDxfId="898" totalsRowDxfId="897" dataCellStyle="Normal 2"/>
    <tableColumn id="152" name="OI6" totalsRowFunction="sum" dataDxfId="896" totalsRowDxfId="895" dataCellStyle="Normal 2"/>
    <tableColumn id="153" name="OI7" totalsRowFunction="sum" dataDxfId="894" totalsRowDxfId="893" dataCellStyle="Normal 2"/>
    <tableColumn id="154" name="OI8" totalsRowFunction="sum" dataDxfId="892" totalsRowDxfId="891" dataCellStyle="Normal 2"/>
    <tableColumn id="155" name="OI9" totalsRowFunction="sum" dataDxfId="890" totalsRowDxfId="889" dataCellStyle="Normal 2"/>
    <tableColumn id="156" name="OI10" totalsRowFunction="sum" dataDxfId="888" totalsRowDxfId="887" dataCellStyle="Normal 2"/>
    <tableColumn id="157" name="OI11" totalsRowFunction="sum" dataDxfId="886" totalsRowDxfId="885" dataCellStyle="Normal 2"/>
    <tableColumn id="158" name="OI12" totalsRowFunction="sum" dataDxfId="884" totalsRowDxfId="883" dataCellStyle="Normal 2"/>
    <tableColumn id="165" name="OI13" totalsRowFunction="sum" dataDxfId="882" totalsRowDxfId="881" dataCellStyle="Normal 2"/>
    <tableColumn id="159" name="OT" totalsRowFunction="sum" dataDxfId="880" totalsRowDxfId="879" dataCellStyle="Normal 2">
      <calculatedColumnFormula>SUM(ES4:FE4)</calculatedColumnFormula>
    </tableColumn>
    <tableColumn id="161" name="RRAisORS" dataDxfId="878" totalsRowDxfId="877" dataCellStyle="Normal 2">
      <calculatedColumnFormula>((SUM(L4,AD4))-(FF4))</calculatedColumnFormula>
    </tableColumn>
    <tableColumn id="162" name="ORAisRRS" dataDxfId="876" totalsRowDxfId="875" dataCellStyle="Normal 2">
      <calculatedColumnFormula>((SUM(AO4,AY4,BI4,BS4,CC4,CM4,CW4,DG4,DQ4))-(ER4))</calculatedColumnFormula>
    </tableColumn>
    <tableColumn id="163" name="Notes" dataDxfId="874" totalsRowDxfId="873" dataCellStyle="Normal 2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id="16" name="Table117" displayName="Table117" ref="A3:FM35" totalsRowCount="1" headerRowDxfId="872" dataDxfId="871" totalsRowDxfId="870">
  <autoFilter ref="A3:FM34"/>
  <tableColumns count="169">
    <tableColumn id="2" name="Date" totalsRowFunction="count" dataDxfId="869" totalsRowDxfId="868"/>
    <tableColumn id="126" name="Loc" dataDxfId="867" totalsRowDxfId="866"/>
    <tableColumn id="125" name="Res" dataDxfId="865" totalsRowDxfId="864"/>
    <tableColumn id="124" name="Opp" dataDxfId="863" totalsRowDxfId="862"/>
    <tableColumn id="133" name="Att" dataDxfId="861" totalsRowDxfId="860"/>
    <tableColumn id="160" name="PS" dataDxfId="859" totalsRowDxfId="858"/>
    <tableColumn id="1" name="Pitcher" totalsRowLabel="Total" dataDxfId="857" totalsRowDxfId="856"/>
    <tableColumn id="26" name="S-W" totalsRowFunction="sum" dataDxfId="855" totalsRowDxfId="854"/>
    <tableColumn id="25" name="S-L" totalsRowFunction="sum" dataDxfId="853" totalsRowDxfId="852"/>
    <tableColumn id="3" name="S-IP" totalsRowFunction="sum" dataDxfId="851" totalsRowDxfId="850"/>
    <tableColumn id="4" name="S-H" totalsRowFunction="sum" dataDxfId="849" totalsRowDxfId="848"/>
    <tableColumn id="5" name="S-R" totalsRowFunction="sum" dataDxfId="847" totalsRowDxfId="846"/>
    <tableColumn id="6" name="S-ER" totalsRowFunction="sum" dataDxfId="845" totalsRowDxfId="844"/>
    <tableColumn id="7" name="S-BB" totalsRowFunction="sum" dataDxfId="843" totalsRowDxfId="842"/>
    <tableColumn id="8" name="S-SO" totalsRowFunction="sum" dataDxfId="841" totalsRowDxfId="840"/>
    <tableColumn id="9" name="S-HR" totalsRowFunction="sum" dataDxfId="839" totalsRowDxfId="838"/>
    <tableColumn id="10" name="S-HBP" totalsRowFunction="sum" dataDxfId="837" totalsRowDxfId="836"/>
    <tableColumn id="11" name="S-BF" totalsRowFunction="sum" dataDxfId="835" totalsRowDxfId="834"/>
    <tableColumn id="12" name="S-Pit" dataDxfId="833" totalsRowDxfId="832"/>
    <tableColumn id="13" name="S-Str" dataDxfId="831" totalsRowDxfId="830"/>
    <tableColumn id="32" name="IRL" totalsRowFunction="sum" dataDxfId="829" totalsRowDxfId="828"/>
    <tableColumn id="33" name="IRS" totalsRowFunction="sum" dataDxfId="827" totalsRowDxfId="826"/>
    <tableColumn id="29" name="B-W" totalsRowFunction="sum" dataDxfId="825" totalsRowDxfId="824"/>
    <tableColumn id="31" name="B-L" totalsRowFunction="sum" dataDxfId="823" totalsRowDxfId="822"/>
    <tableColumn id="30" name="Hld" totalsRowFunction="sum" dataDxfId="821" totalsRowDxfId="820"/>
    <tableColumn id="28" name="Sv" totalsRowFunction="sum" dataDxfId="819" totalsRowDxfId="818"/>
    <tableColumn id="27" name="BS" totalsRowFunction="sum" dataDxfId="817" totalsRowDxfId="816"/>
    <tableColumn id="14" name="B-IP" totalsRowFunction="sum" dataDxfId="815" totalsRowDxfId="814"/>
    <tableColumn id="15" name="B-H" totalsRowFunction="sum" dataDxfId="813" totalsRowDxfId="812"/>
    <tableColumn id="16" name="B-R" totalsRowFunction="sum" dataDxfId="811" totalsRowDxfId="810"/>
    <tableColumn id="17" name="B-ER" totalsRowFunction="sum" dataDxfId="809" totalsRowDxfId="808"/>
    <tableColumn id="18" name="B-BB" totalsRowFunction="sum" dataDxfId="807" totalsRowDxfId="806"/>
    <tableColumn id="19" name="B-SO" totalsRowFunction="sum" dataDxfId="805" totalsRowDxfId="804"/>
    <tableColumn id="20" name="B-HR" totalsRowFunction="sum" dataDxfId="803" totalsRowDxfId="802"/>
    <tableColumn id="21" name="B-HBP" totalsRowFunction="sum" dataDxfId="801" totalsRowDxfId="800"/>
    <tableColumn id="22" name="B-BF" totalsRowFunction="sum" dataDxfId="799" totalsRowDxfId="798"/>
    <tableColumn id="23" name="B-Pit" dataDxfId="797" totalsRowDxfId="796"/>
    <tableColumn id="24" name="B-Str" dataDxfId="795" totalsRowDxfId="794"/>
    <tableColumn id="34" name="Starter1" totalsRowFunction="custom" dataDxfId="793" totalsRowDxfId="792" dataCellStyle="Normal 2">
      <totalsRowFormula>INDEX(Table117[Starter1],MODE(MATCH(Table117[Starter1],Table117[Starter1],0)))</totalsRowFormula>
    </tableColumn>
    <tableColumn id="35" name="AB1" totalsRowFunction="sum" dataDxfId="791" totalsRowDxfId="790" dataCellStyle="Normal 2"/>
    <tableColumn id="36" name="R1" totalsRowFunction="sum" dataDxfId="789" totalsRowDxfId="788" dataCellStyle="Normal 2"/>
    <tableColumn id="37" name="H1" totalsRowFunction="sum" dataDxfId="787" totalsRowDxfId="786" dataCellStyle="Normal 2"/>
    <tableColumn id="38" name="RBI1" totalsRowFunction="sum" dataDxfId="785" totalsRowDxfId="784" dataCellStyle="Normal 2"/>
    <tableColumn id="39" name="BB1" totalsRowFunction="sum" dataDxfId="783" totalsRowDxfId="782" dataCellStyle="Normal 2"/>
    <tableColumn id="40" name="SO1" totalsRowFunction="sum" dataDxfId="781" totalsRowDxfId="780" dataCellStyle="Normal 2"/>
    <tableColumn id="41" name="HBP1" totalsRowFunction="sum" dataDxfId="779" totalsRowDxfId="778" dataCellStyle="Normal 2"/>
    <tableColumn id="42" name="SF1" totalsRowFunction="sum" dataDxfId="777" totalsRowDxfId="776" dataCellStyle="Normal 2"/>
    <tableColumn id="43" name="TB1" totalsRowFunction="sum" dataDxfId="775" totalsRowDxfId="774" dataCellStyle="Normal 2"/>
    <tableColumn id="44" name="Starter2" totalsRowFunction="custom" dataDxfId="773" totalsRowDxfId="772" dataCellStyle="Normal 2">
      <totalsRowFormula>INDEX(Table117[Starter2],MODE(MATCH(Table117[Starter2],Table117[Starter2],0)))</totalsRowFormula>
    </tableColumn>
    <tableColumn id="45" name="AB2" totalsRowFunction="sum" dataDxfId="771" totalsRowDxfId="770" dataCellStyle="Normal 2"/>
    <tableColumn id="46" name="R2" totalsRowFunction="sum" dataDxfId="769" totalsRowDxfId="768" dataCellStyle="Normal 2"/>
    <tableColumn id="47" name="H2" totalsRowFunction="sum" dataDxfId="767" totalsRowDxfId="766" dataCellStyle="Normal 2"/>
    <tableColumn id="48" name="RBI2" totalsRowFunction="sum" dataDxfId="765" totalsRowDxfId="764" dataCellStyle="Normal 2"/>
    <tableColumn id="49" name="BB2" totalsRowFunction="sum" dataDxfId="763" totalsRowDxfId="762" dataCellStyle="Normal 2"/>
    <tableColumn id="50" name="SO2" totalsRowFunction="sum" dataDxfId="761" totalsRowDxfId="760" dataCellStyle="Normal 2"/>
    <tableColumn id="51" name="HBP2" totalsRowFunction="sum" dataDxfId="759" totalsRowDxfId="758" dataCellStyle="Normal 2"/>
    <tableColumn id="52" name="SF2" totalsRowFunction="sum" dataDxfId="757" totalsRowDxfId="756" dataCellStyle="Normal 2"/>
    <tableColumn id="53" name="TB2" totalsRowFunction="sum" dataDxfId="755" totalsRowDxfId="754" dataCellStyle="Normal 2"/>
    <tableColumn id="54" name="Starter3" totalsRowFunction="custom" dataDxfId="753" totalsRowDxfId="752" dataCellStyle="Normal 2">
      <totalsRowFormula>INDEX(Table117[Starter3],MODE(MATCH(Table117[Starter3],Table117[Starter3],0)))</totalsRowFormula>
    </tableColumn>
    <tableColumn id="55" name="AB3" totalsRowFunction="sum" dataDxfId="751" totalsRowDxfId="750" dataCellStyle="Normal 2"/>
    <tableColumn id="56" name="R3" totalsRowFunction="sum" dataDxfId="749" totalsRowDxfId="748" dataCellStyle="Normal 2"/>
    <tableColumn id="57" name="H3" totalsRowFunction="sum" dataDxfId="747" totalsRowDxfId="746" dataCellStyle="Normal 2"/>
    <tableColumn id="58" name="RBI3" totalsRowFunction="sum" dataDxfId="745" totalsRowDxfId="744" dataCellStyle="Normal 2"/>
    <tableColumn id="59" name="BB3" totalsRowFunction="sum" dataDxfId="743" totalsRowDxfId="742" dataCellStyle="Normal 2"/>
    <tableColumn id="60" name="SO3" totalsRowFunction="sum" dataDxfId="741" totalsRowDxfId="740" dataCellStyle="Normal 2"/>
    <tableColumn id="61" name="HBP3" totalsRowFunction="sum" dataDxfId="739" totalsRowDxfId="738" dataCellStyle="Normal 2"/>
    <tableColumn id="62" name="SF3" totalsRowFunction="sum" dataDxfId="737" totalsRowDxfId="736" dataCellStyle="Normal 2"/>
    <tableColumn id="63" name="TB3" totalsRowFunction="sum" dataDxfId="735" totalsRowDxfId="734" dataCellStyle="Normal 2"/>
    <tableColumn id="64" name="Starter4" totalsRowFunction="custom" dataDxfId="733" totalsRowDxfId="732" dataCellStyle="Normal 2">
      <totalsRowFormula>INDEX(Table117[Starter4],MODE(MATCH(Table117[Starter4],Table117[Starter4],0)))</totalsRowFormula>
    </tableColumn>
    <tableColumn id="65" name="AB4" totalsRowFunction="sum" dataDxfId="731" totalsRowDxfId="730" dataCellStyle="Normal 2"/>
    <tableColumn id="66" name="R4" totalsRowFunction="sum" dataDxfId="729" totalsRowDxfId="728" dataCellStyle="Normal 2"/>
    <tableColumn id="67" name="H4" totalsRowFunction="sum" dataDxfId="727" totalsRowDxfId="726" dataCellStyle="Normal 2"/>
    <tableColumn id="68" name="RBI4" totalsRowFunction="sum" dataDxfId="725" totalsRowDxfId="724" dataCellStyle="Normal 2"/>
    <tableColumn id="69" name="BB4" totalsRowFunction="sum" dataDxfId="723" totalsRowDxfId="722" dataCellStyle="Normal 2"/>
    <tableColumn id="70" name="SO4" totalsRowFunction="sum" dataDxfId="721" totalsRowDxfId="720" dataCellStyle="Normal 2"/>
    <tableColumn id="71" name="HBP4" totalsRowFunction="sum" dataDxfId="719" totalsRowDxfId="718" dataCellStyle="Normal 2"/>
    <tableColumn id="72" name="SF4" totalsRowFunction="sum" dataDxfId="717" totalsRowDxfId="716" dataCellStyle="Normal 2"/>
    <tableColumn id="73" name="TB4" totalsRowFunction="sum" dataDxfId="715" totalsRowDxfId="714" dataCellStyle="Normal 2"/>
    <tableColumn id="74" name="Starter5" totalsRowFunction="custom" dataDxfId="713" totalsRowDxfId="712" dataCellStyle="Normal 2">
      <totalsRowFormula>INDEX(Table117[Starter5],MODE(MATCH(Table117[Starter5],Table117[Starter5],0)))</totalsRowFormula>
    </tableColumn>
    <tableColumn id="75" name="AB5" totalsRowFunction="sum" dataDxfId="711" totalsRowDxfId="710" dataCellStyle="Normal 2"/>
    <tableColumn id="76" name="R5" totalsRowFunction="sum" dataDxfId="709" totalsRowDxfId="708" dataCellStyle="Normal 2"/>
    <tableColumn id="77" name="H5" totalsRowFunction="sum" dataDxfId="707" totalsRowDxfId="706" dataCellStyle="Normal 2"/>
    <tableColumn id="78" name="RBI5" totalsRowFunction="sum" dataDxfId="705" totalsRowDxfId="704" dataCellStyle="Normal 2"/>
    <tableColumn id="79" name="BB5" totalsRowFunction="sum" dataDxfId="703" totalsRowDxfId="702" dataCellStyle="Normal 2"/>
    <tableColumn id="80" name="SO5" totalsRowFunction="sum" dataDxfId="701" totalsRowDxfId="700" dataCellStyle="Normal 2"/>
    <tableColumn id="81" name="HBP5" totalsRowFunction="sum" dataDxfId="699" totalsRowDxfId="698" dataCellStyle="Normal 2"/>
    <tableColumn id="82" name="SF5" totalsRowFunction="sum" dataDxfId="697" totalsRowDxfId="696" dataCellStyle="Normal 2"/>
    <tableColumn id="83" name="TB5" totalsRowFunction="sum" dataDxfId="695" totalsRowDxfId="694" dataCellStyle="Normal 2"/>
    <tableColumn id="84" name="Starter6" totalsRowFunction="custom" dataDxfId="693" totalsRowDxfId="692" dataCellStyle="Normal 2">
      <totalsRowFormula>INDEX(Table117[Starter6],MODE(MATCH(Table117[Starter6],Table117[Starter6],0)))</totalsRowFormula>
    </tableColumn>
    <tableColumn id="85" name="AB6" totalsRowFunction="sum" dataDxfId="691" totalsRowDxfId="690" dataCellStyle="Normal 2"/>
    <tableColumn id="86" name="R6" totalsRowFunction="sum" dataDxfId="689" totalsRowDxfId="688" dataCellStyle="Normal 2"/>
    <tableColumn id="87" name="H6" totalsRowFunction="sum" dataDxfId="687" totalsRowDxfId="686" dataCellStyle="Normal 2"/>
    <tableColumn id="88" name="RBI6" totalsRowFunction="sum" dataDxfId="685" totalsRowDxfId="684" dataCellStyle="Normal 2"/>
    <tableColumn id="89" name="BB6" totalsRowFunction="sum" dataDxfId="683" totalsRowDxfId="682" dataCellStyle="Normal 2"/>
    <tableColumn id="90" name="SO6" totalsRowFunction="sum" dataDxfId="681" totalsRowDxfId="680" dataCellStyle="Normal 2"/>
    <tableColumn id="91" name="HBP6" totalsRowFunction="sum" dataDxfId="679" totalsRowDxfId="678" dataCellStyle="Normal 2"/>
    <tableColumn id="92" name="SF6" totalsRowFunction="sum" dataDxfId="677" totalsRowDxfId="676" dataCellStyle="Normal 2"/>
    <tableColumn id="93" name="TB6" totalsRowFunction="sum" dataDxfId="675" totalsRowDxfId="674" dataCellStyle="Normal 2"/>
    <tableColumn id="94" name="Starter7" totalsRowFunction="custom" dataDxfId="673" totalsRowDxfId="672" dataCellStyle="Normal 2">
      <totalsRowFormula>INDEX(Table117[Starter7],MODE(MATCH(Table117[Starter7],Table117[Starter7],0)))</totalsRowFormula>
    </tableColumn>
    <tableColumn id="95" name="AB7" totalsRowFunction="sum" dataDxfId="671" totalsRowDxfId="670" dataCellStyle="Normal 2"/>
    <tableColumn id="96" name="R7" totalsRowFunction="sum" dataDxfId="669" totalsRowDxfId="668" dataCellStyle="Normal 2"/>
    <tableColumn id="97" name="H7" totalsRowFunction="sum" dataDxfId="667" totalsRowDxfId="666" dataCellStyle="Normal 2"/>
    <tableColumn id="98" name="RBI7" totalsRowFunction="sum" dataDxfId="665" totalsRowDxfId="664" dataCellStyle="Normal 2"/>
    <tableColumn id="99" name="BB7" totalsRowFunction="sum" dataDxfId="663" totalsRowDxfId="662" dataCellStyle="Normal 2"/>
    <tableColumn id="100" name="SO7" totalsRowFunction="sum" dataDxfId="661" totalsRowDxfId="660" dataCellStyle="Normal 2"/>
    <tableColumn id="101" name="HBP7" totalsRowFunction="sum" dataDxfId="659" totalsRowDxfId="658" dataCellStyle="Normal 2"/>
    <tableColumn id="102" name="SF7" totalsRowFunction="sum" dataDxfId="657" totalsRowDxfId="656" dataCellStyle="Normal 2"/>
    <tableColumn id="103" name="TB7" totalsRowFunction="sum" dataDxfId="655" totalsRowDxfId="654" dataCellStyle="Normal 2"/>
    <tableColumn id="104" name="Starter8" totalsRowFunction="custom" dataDxfId="653" totalsRowDxfId="652" dataCellStyle="Normal 2">
      <totalsRowFormula>INDEX(Table117[Starter8],MODE(MATCH(Table117[Starter8],Table117[Starter8],0)))</totalsRowFormula>
    </tableColumn>
    <tableColumn id="105" name="AB8" totalsRowFunction="sum" dataDxfId="651" totalsRowDxfId="650" dataCellStyle="Normal 2"/>
    <tableColumn id="106" name="R8" totalsRowFunction="sum" dataDxfId="649" totalsRowDxfId="648" dataCellStyle="Normal 2"/>
    <tableColumn id="107" name="H8" totalsRowFunction="sum" dataDxfId="647" totalsRowDxfId="646" dataCellStyle="Normal 2"/>
    <tableColumn id="108" name="RBI8" totalsRowFunction="sum" dataDxfId="645" totalsRowDxfId="644" dataCellStyle="Normal 2"/>
    <tableColumn id="109" name="BB8" totalsRowFunction="sum" dataDxfId="643" totalsRowDxfId="642" dataCellStyle="Normal 2"/>
    <tableColumn id="110" name="SO8" totalsRowFunction="sum" dataDxfId="641" totalsRowDxfId="640" dataCellStyle="Normal 2"/>
    <tableColumn id="111" name="HBP8" totalsRowFunction="sum" dataDxfId="639" totalsRowDxfId="638" dataCellStyle="Normal 2"/>
    <tableColumn id="112" name="SF8" totalsRowFunction="sum" dataDxfId="637" totalsRowDxfId="636" dataCellStyle="Normal 2"/>
    <tableColumn id="113" name="TB8" totalsRowFunction="sum" dataDxfId="635" totalsRowDxfId="634" dataCellStyle="Normal 2"/>
    <tableColumn id="114" name="Starter9" totalsRowFunction="custom" dataDxfId="633" totalsRowDxfId="632" dataCellStyle="Normal 2">
      <totalsRowFormula>INDEX(Table117[Starter9],MODE(MATCH(Table117[Starter9],Table117[Starter9],0)))</totalsRowFormula>
    </tableColumn>
    <tableColumn id="115" name="AB9" totalsRowFunction="sum" dataDxfId="631" totalsRowDxfId="630" dataCellStyle="Normal 2"/>
    <tableColumn id="116" name="R9" totalsRowFunction="sum" dataDxfId="629" totalsRowDxfId="628" dataCellStyle="Normal 2"/>
    <tableColumn id="117" name="H9" totalsRowFunction="sum" dataDxfId="627" totalsRowDxfId="626" dataCellStyle="Normal 2"/>
    <tableColumn id="118" name="RBI9" totalsRowFunction="sum" dataDxfId="625" totalsRowDxfId="624" dataCellStyle="Normal 2"/>
    <tableColumn id="119" name="BB9" totalsRowFunction="sum" dataDxfId="623" totalsRowDxfId="622" dataCellStyle="Normal 2"/>
    <tableColumn id="120" name="SO9" totalsRowFunction="sum" dataDxfId="621" totalsRowDxfId="620" dataCellStyle="Normal 2"/>
    <tableColumn id="121" name="HBP9" totalsRowFunction="sum" dataDxfId="619" totalsRowDxfId="618" dataCellStyle="Normal 2"/>
    <tableColumn id="122" name="SF9" totalsRowFunction="sum" dataDxfId="617" totalsRowDxfId="616" dataCellStyle="Normal 2"/>
    <tableColumn id="123" name="TB9" totalsRowFunction="sum" dataDxfId="615" totalsRowDxfId="614" dataCellStyle="Normal 2"/>
    <tableColumn id="127" name="IVL" totalsRowFunction="sum" dataDxfId="613" totalsRowDxfId="612" dataCellStyle="Normal 2"/>
    <tableColumn id="128" name="SVL" totalsRowFunction="sum" dataDxfId="611" totalsRowDxfId="610" dataCellStyle="Normal 2"/>
    <tableColumn id="129" name="CVL" totalsRowFunction="sum" dataDxfId="609" totalsRowDxfId="608" dataCellStyle="Normal 2"/>
    <tableColumn id="130" name="IVR" totalsRowFunction="sum" dataDxfId="607" totalsRowDxfId="606" dataCellStyle="Normal 2"/>
    <tableColumn id="131" name="SVR" totalsRowFunction="sum" dataDxfId="605" totalsRowDxfId="604" dataCellStyle="Normal 2"/>
    <tableColumn id="132" name="CVR" totalsRowFunction="sum" dataDxfId="603" totalsRowDxfId="602" dataCellStyle="Normal 2"/>
    <tableColumn id="134" name="RI1" totalsRowFunction="sum" dataDxfId="601" totalsRowDxfId="600" dataCellStyle="Normal 2"/>
    <tableColumn id="135" name="RI2" totalsRowFunction="sum" dataDxfId="599" totalsRowDxfId="598" dataCellStyle="Normal 2"/>
    <tableColumn id="136" name="RI3" totalsRowFunction="sum" dataDxfId="597" totalsRowDxfId="596" dataCellStyle="Normal 2"/>
    <tableColumn id="137" name="RI4" totalsRowFunction="sum" dataDxfId="595" totalsRowDxfId="594" dataCellStyle="Normal 2"/>
    <tableColumn id="138" name="RI5" totalsRowFunction="sum" dataDxfId="593" totalsRowDxfId="592" dataCellStyle="Normal 2"/>
    <tableColumn id="139" name="RI6" totalsRowFunction="sum" dataDxfId="591" totalsRowDxfId="590" dataCellStyle="Normal 2"/>
    <tableColumn id="140" name="RI7" totalsRowFunction="sum" dataDxfId="589" totalsRowDxfId="588" dataCellStyle="Normal 2"/>
    <tableColumn id="141" name="RI8" totalsRowFunction="sum" dataDxfId="587" totalsRowDxfId="586" dataCellStyle="Normal 2"/>
    <tableColumn id="142" name="RI9" totalsRowFunction="sum" dataDxfId="585" totalsRowDxfId="584" dataCellStyle="Normal 2"/>
    <tableColumn id="143" name="RI10" totalsRowFunction="sum" dataDxfId="583" totalsRowDxfId="582" dataCellStyle="Normal 2"/>
    <tableColumn id="144" name="RI11" totalsRowFunction="sum" dataDxfId="581" totalsRowDxfId="580" dataCellStyle="Normal 2"/>
    <tableColumn id="145" name="RI12" totalsRowFunction="sum" dataDxfId="579" totalsRowDxfId="578" dataCellStyle="Normal 2"/>
    <tableColumn id="164" name="RI13" totalsRowFunction="sum" dataDxfId="577" totalsRowDxfId="576" dataCellStyle="Normal 2"/>
    <tableColumn id="165" name="RI14" totalsRowFunction="sum" dataDxfId="575" totalsRowDxfId="574" dataCellStyle="Normal 2"/>
    <tableColumn id="166" name="RI15" totalsRowFunction="sum" dataDxfId="573" totalsRowDxfId="572" dataCellStyle="Normal 2"/>
    <tableColumn id="146" name="RT" totalsRowFunction="sum" dataDxfId="571" totalsRowDxfId="570" dataCellStyle="Normal 2">
      <calculatedColumnFormula>SUM(EE4:ES4)</calculatedColumnFormula>
    </tableColumn>
    <tableColumn id="147" name="OI1" totalsRowFunction="sum" dataDxfId="569" totalsRowDxfId="568" dataCellStyle="Normal 2"/>
    <tableColumn id="148" name="OI2" totalsRowFunction="sum" dataDxfId="567" totalsRowDxfId="566" dataCellStyle="Normal 2"/>
    <tableColumn id="149" name="OI3" totalsRowFunction="sum" dataDxfId="565" totalsRowDxfId="564" dataCellStyle="Normal 2"/>
    <tableColumn id="150" name="OI4" totalsRowFunction="sum" dataDxfId="563" totalsRowDxfId="562" dataCellStyle="Normal 2"/>
    <tableColumn id="151" name="OI5" totalsRowFunction="sum" dataDxfId="561" totalsRowDxfId="560" dataCellStyle="Normal 2"/>
    <tableColumn id="152" name="OI6" totalsRowFunction="sum" dataDxfId="559" totalsRowDxfId="558" dataCellStyle="Normal 2"/>
    <tableColumn id="153" name="OI7" totalsRowFunction="sum" dataDxfId="557" totalsRowDxfId="556" dataCellStyle="Normal 2"/>
    <tableColumn id="154" name="OI8" totalsRowFunction="sum" dataDxfId="555" totalsRowDxfId="554" dataCellStyle="Normal 2"/>
    <tableColumn id="155" name="OI9" totalsRowFunction="sum" dataDxfId="553" totalsRowDxfId="552" dataCellStyle="Normal 2"/>
    <tableColumn id="156" name="OI10" totalsRowFunction="sum" dataDxfId="551" totalsRowDxfId="550" dataCellStyle="Normal 2"/>
    <tableColumn id="157" name="OI11" totalsRowFunction="sum" dataDxfId="549" totalsRowDxfId="548" dataCellStyle="Normal 2"/>
    <tableColumn id="158" name="OI12" totalsRowFunction="sum" dataDxfId="547" totalsRowDxfId="546" dataCellStyle="Normal 2"/>
    <tableColumn id="167" name="OI13" totalsRowFunction="sum" dataDxfId="545" totalsRowDxfId="544" dataCellStyle="Normal 2"/>
    <tableColumn id="168" name="OI14" totalsRowFunction="sum" dataDxfId="543" totalsRowDxfId="542" dataCellStyle="Normal 2"/>
    <tableColumn id="169" name="OI15" totalsRowFunction="sum" dataDxfId="541" totalsRowDxfId="540" dataCellStyle="Normal 2"/>
    <tableColumn id="159" name="OT" totalsRowFunction="sum" dataDxfId="539" totalsRowDxfId="538" dataCellStyle="Normal 2">
      <calculatedColumnFormula>SUM(EU4:FI4)</calculatedColumnFormula>
    </tableColumn>
    <tableColumn id="161" name="RRAisORS" dataDxfId="537" totalsRowDxfId="536" dataCellStyle="Normal 2">
      <calculatedColumnFormula>((SUM(L4,AD4))-(FJ4))</calculatedColumnFormula>
    </tableColumn>
    <tableColumn id="162" name="ORAisRRS" dataDxfId="535" totalsRowDxfId="534" dataCellStyle="Normal 2">
      <calculatedColumnFormula>((SUM(AO4,AY4,BI4,BS4,CC4,CM4,CW4,DG4,DQ4))-(ET4))</calculatedColumnFormula>
    </tableColumn>
    <tableColumn id="163" name="Notes" dataDxfId="533" totalsRowDxfId="532" dataCellStyle="Normal 2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id="41" name="Table142" displayName="Table142" ref="A3:FG23" totalsRowCount="1" headerRowDxfId="531" dataDxfId="530">
  <autoFilter ref="A3:FG22"/>
  <tableColumns count="163">
    <tableColumn id="2" name="Date" totalsRowFunction="count" dataDxfId="529" totalsRowDxfId="528"/>
    <tableColumn id="126" name="Loc" dataDxfId="527" totalsRowDxfId="526"/>
    <tableColumn id="125" name="Res" dataDxfId="525" totalsRowDxfId="524"/>
    <tableColumn id="124" name="Opp" dataDxfId="523" totalsRowDxfId="522"/>
    <tableColumn id="133" name="Att" dataDxfId="521" totalsRowDxfId="520"/>
    <tableColumn id="160" name="PS" dataDxfId="519" totalsRowDxfId="518"/>
    <tableColumn id="1" name="Pitcher" totalsRowLabel="Total" dataDxfId="517" totalsRowDxfId="516"/>
    <tableColumn id="26" name="S-W" totalsRowFunction="sum" dataDxfId="515" totalsRowDxfId="514"/>
    <tableColumn id="25" name="S-L" totalsRowFunction="sum" dataDxfId="513" totalsRowDxfId="512"/>
    <tableColumn id="3" name="S-IP" totalsRowFunction="sum" dataDxfId="511" totalsRowDxfId="510"/>
    <tableColumn id="4" name="S-H" totalsRowFunction="sum" dataDxfId="509" totalsRowDxfId="508"/>
    <tableColumn id="5" name="S-R" totalsRowFunction="sum" dataDxfId="507" totalsRowDxfId="506"/>
    <tableColumn id="6" name="S-ER" totalsRowFunction="sum" dataDxfId="505" totalsRowDxfId="504"/>
    <tableColumn id="7" name="S-BB" totalsRowFunction="sum" dataDxfId="503" totalsRowDxfId="502"/>
    <tableColumn id="8" name="S-SO" totalsRowFunction="sum" dataDxfId="501" totalsRowDxfId="500"/>
    <tableColumn id="9" name="S-HR" totalsRowFunction="sum" dataDxfId="499" totalsRowDxfId="498"/>
    <tableColumn id="10" name="S-HBP" totalsRowFunction="sum" dataDxfId="497" totalsRowDxfId="496"/>
    <tableColumn id="11" name="S-BF" totalsRowFunction="sum" dataDxfId="495" totalsRowDxfId="494"/>
    <tableColumn id="12" name="S-Pit" totalsRowFunction="sum" dataDxfId="493" totalsRowDxfId="492"/>
    <tableColumn id="13" name="S-Str" totalsRowFunction="sum" dataDxfId="491" totalsRowDxfId="490"/>
    <tableColumn id="32" name="IRL" totalsRowFunction="sum" dataDxfId="489" totalsRowDxfId="488"/>
    <tableColumn id="33" name="IRS" totalsRowFunction="sum" dataDxfId="487" totalsRowDxfId="486"/>
    <tableColumn id="29" name="B-W" totalsRowFunction="sum" dataDxfId="485" totalsRowDxfId="484"/>
    <tableColumn id="31" name="B-L" totalsRowFunction="sum" dataDxfId="483" totalsRowDxfId="482"/>
    <tableColumn id="30" name="Hld" totalsRowFunction="sum" dataDxfId="481" totalsRowDxfId="480"/>
    <tableColumn id="28" name="Sv" totalsRowFunction="sum" dataDxfId="479" totalsRowDxfId="478"/>
    <tableColumn id="27" name="BS" totalsRowFunction="sum" dataDxfId="477" totalsRowDxfId="476"/>
    <tableColumn id="14" name="B-IP" totalsRowFunction="sum" dataDxfId="475" totalsRowDxfId="474"/>
    <tableColumn id="15" name="B-H" totalsRowFunction="sum" dataDxfId="473" totalsRowDxfId="472"/>
    <tableColumn id="16" name="B-R" totalsRowFunction="sum" dataDxfId="471" totalsRowDxfId="470"/>
    <tableColumn id="17" name="B-ER" totalsRowFunction="sum" dataDxfId="469" totalsRowDxfId="468"/>
    <tableColumn id="18" name="B-BB" totalsRowFunction="sum" dataDxfId="467" totalsRowDxfId="466"/>
    <tableColumn id="19" name="B-SO" totalsRowFunction="sum" dataDxfId="465" totalsRowDxfId="464"/>
    <tableColumn id="20" name="B-HR" totalsRowFunction="sum" dataDxfId="463" totalsRowDxfId="462"/>
    <tableColumn id="21" name="B-HBP" totalsRowFunction="sum" dataDxfId="461" totalsRowDxfId="460"/>
    <tableColumn id="22" name="B-BF" totalsRowFunction="sum" dataDxfId="459" totalsRowDxfId="458"/>
    <tableColumn id="23" name="B-Pit" totalsRowFunction="sum" dataDxfId="457" totalsRowDxfId="456"/>
    <tableColumn id="24" name="B-Str" totalsRowFunction="sum" dataDxfId="455" totalsRowDxfId="454"/>
    <tableColumn id="34" name="Starter1" totalsRowFunction="custom" dataDxfId="453" totalsRowDxfId="452" dataCellStyle="Normal 2">
      <totalsRowFormula>INDEX(Table142[Starter1],MODE(MATCH(Table142[Starter1],Table142[Starter1],0)))</totalsRowFormula>
    </tableColumn>
    <tableColumn id="35" name="AB1" totalsRowFunction="sum" dataDxfId="451" totalsRowDxfId="450" dataCellStyle="Normal 2"/>
    <tableColumn id="36" name="R1" totalsRowFunction="sum" dataDxfId="449" totalsRowDxfId="448" dataCellStyle="Normal 2"/>
    <tableColumn id="37" name="H1" totalsRowFunction="sum" dataDxfId="447" totalsRowDxfId="446" dataCellStyle="Normal 2"/>
    <tableColumn id="38" name="RBI1" totalsRowFunction="sum" dataDxfId="445" totalsRowDxfId="444" dataCellStyle="Normal 2"/>
    <tableColumn id="39" name="BB1" totalsRowFunction="sum" dataDxfId="443" totalsRowDxfId="442" dataCellStyle="Normal 2"/>
    <tableColumn id="40" name="SO1" totalsRowFunction="sum" dataDxfId="441" totalsRowDxfId="440" dataCellStyle="Normal 2"/>
    <tableColumn id="41" name="HBP1" totalsRowFunction="sum" dataDxfId="439" totalsRowDxfId="438" dataCellStyle="Normal 2"/>
    <tableColumn id="42" name="SF1" totalsRowFunction="sum" dataDxfId="437" totalsRowDxfId="436" dataCellStyle="Normal 2"/>
    <tableColumn id="43" name="TB1" totalsRowFunction="sum" dataDxfId="435" totalsRowDxfId="434" dataCellStyle="Normal 2"/>
    <tableColumn id="44" name="Starter2" totalsRowFunction="custom" dataDxfId="433" totalsRowDxfId="432" dataCellStyle="Normal 2">
      <totalsRowFormula>INDEX(Table142[Starter2],MODE(MATCH(Table142[Starter2],Table142[Starter2],0)))</totalsRowFormula>
    </tableColumn>
    <tableColumn id="45" name="AB2" totalsRowFunction="sum" dataDxfId="431" totalsRowDxfId="430" dataCellStyle="Normal 2"/>
    <tableColumn id="46" name="R2" totalsRowFunction="sum" dataDxfId="429" totalsRowDxfId="428" dataCellStyle="Normal 2"/>
    <tableColumn id="47" name="H2" totalsRowFunction="sum" dataDxfId="427" totalsRowDxfId="426" dataCellStyle="Normal 2"/>
    <tableColumn id="48" name="RBI2" totalsRowFunction="sum" dataDxfId="425" totalsRowDxfId="424" dataCellStyle="Normal 2"/>
    <tableColumn id="49" name="BB2" totalsRowFunction="sum" dataDxfId="423" totalsRowDxfId="422" dataCellStyle="Normal 2"/>
    <tableColumn id="50" name="SO2" totalsRowFunction="sum" dataDxfId="421" totalsRowDxfId="420" dataCellStyle="Normal 2"/>
    <tableColumn id="51" name="HBP2" totalsRowFunction="sum" dataDxfId="419" totalsRowDxfId="418" dataCellStyle="Normal 2"/>
    <tableColumn id="52" name="SF2" totalsRowFunction="sum" dataDxfId="417" totalsRowDxfId="416" dataCellStyle="Normal 2"/>
    <tableColumn id="53" name="TB2" totalsRowFunction="sum" dataDxfId="415" totalsRowDxfId="414" dataCellStyle="Normal 2"/>
    <tableColumn id="54" name="Starter3" totalsRowFunction="custom" dataDxfId="413" totalsRowDxfId="412" dataCellStyle="Normal 2">
      <totalsRowFormula>INDEX(Table142[Starter3],MODE(MATCH(Table142[Starter3],Table142[Starter3],0)))</totalsRowFormula>
    </tableColumn>
    <tableColumn id="55" name="AB3" totalsRowFunction="sum" dataDxfId="411" totalsRowDxfId="410" dataCellStyle="Normal 2"/>
    <tableColumn id="56" name="R3" totalsRowFunction="sum" dataDxfId="409" totalsRowDxfId="408" dataCellStyle="Normal 2"/>
    <tableColumn id="57" name="H3" totalsRowFunction="sum" dataDxfId="407" totalsRowDxfId="406" dataCellStyle="Normal 2"/>
    <tableColumn id="58" name="RBI3" totalsRowFunction="sum" dataDxfId="405" totalsRowDxfId="404" dataCellStyle="Normal 2"/>
    <tableColumn id="59" name="BB3" totalsRowFunction="sum" dataDxfId="403" totalsRowDxfId="402" dataCellStyle="Normal 2"/>
    <tableColumn id="60" name="SO3" totalsRowFunction="sum" dataDxfId="401" totalsRowDxfId="400" dataCellStyle="Normal 2"/>
    <tableColumn id="61" name="HBP3" totalsRowFunction="sum" dataDxfId="399" totalsRowDxfId="398" dataCellStyle="Normal 2"/>
    <tableColumn id="62" name="SF3" totalsRowFunction="sum" dataDxfId="397" totalsRowDxfId="396" dataCellStyle="Normal 2"/>
    <tableColumn id="63" name="TB3" totalsRowFunction="sum" dataDxfId="395" totalsRowDxfId="394" dataCellStyle="Normal 2"/>
    <tableColumn id="64" name="Starter4" totalsRowFunction="custom" dataDxfId="393" totalsRowDxfId="392" dataCellStyle="Normal 2">
      <totalsRowFormula>INDEX(Table142[Starter4],MODE(MATCH(Table142[Starter4],Table142[Starter4],0)))</totalsRowFormula>
    </tableColumn>
    <tableColumn id="65" name="AB4" totalsRowFunction="sum" dataDxfId="391" totalsRowDxfId="390" dataCellStyle="Normal 2"/>
    <tableColumn id="66" name="R4" totalsRowFunction="sum" dataDxfId="389" totalsRowDxfId="388" dataCellStyle="Normal 2"/>
    <tableColumn id="67" name="H4" totalsRowFunction="sum" dataDxfId="387" totalsRowDxfId="386" dataCellStyle="Normal 2"/>
    <tableColumn id="68" name="RBI4" totalsRowFunction="sum" dataDxfId="385" totalsRowDxfId="384" dataCellStyle="Normal 2"/>
    <tableColumn id="69" name="BB4" totalsRowFunction="sum" dataDxfId="383" totalsRowDxfId="382" dataCellStyle="Normal 2"/>
    <tableColumn id="70" name="SO4" totalsRowFunction="sum" dataDxfId="381" totalsRowDxfId="380" dataCellStyle="Normal 2"/>
    <tableColumn id="71" name="HBP4" totalsRowFunction="sum" dataDxfId="379" totalsRowDxfId="378" dataCellStyle="Normal 2"/>
    <tableColumn id="72" name="SF4" totalsRowFunction="sum" dataDxfId="377" totalsRowDxfId="376" dataCellStyle="Normal 2"/>
    <tableColumn id="73" name="TB4" totalsRowFunction="sum" dataDxfId="375" totalsRowDxfId="374" dataCellStyle="Normal 2"/>
    <tableColumn id="74" name="Starter5" totalsRowFunction="custom" dataDxfId="373" totalsRowDxfId="372" dataCellStyle="Normal 2">
      <totalsRowFormula>INDEX(Table142[Starter5],MODE(MATCH(Table142[Starter5],Table142[Starter5],0)))</totalsRowFormula>
    </tableColumn>
    <tableColumn id="75" name="AB5" totalsRowFunction="sum" dataDxfId="371" totalsRowDxfId="370" dataCellStyle="Normal 2"/>
    <tableColumn id="76" name="R5" totalsRowFunction="sum" dataDxfId="369" totalsRowDxfId="368" dataCellStyle="Normal 2"/>
    <tableColumn id="77" name="H5" totalsRowFunction="sum" dataDxfId="367" totalsRowDxfId="366" dataCellStyle="Normal 2"/>
    <tableColumn id="78" name="RBI5" totalsRowFunction="sum" dataDxfId="365" totalsRowDxfId="364" dataCellStyle="Normal 2"/>
    <tableColumn id="79" name="BB5" totalsRowFunction="sum" dataDxfId="363" totalsRowDxfId="362" dataCellStyle="Normal 2"/>
    <tableColumn id="80" name="SO5" totalsRowFunction="sum" dataDxfId="361" totalsRowDxfId="360" dataCellStyle="Normal 2"/>
    <tableColumn id="81" name="HBP5" totalsRowFunction="sum" dataDxfId="359" totalsRowDxfId="358" dataCellStyle="Normal 2"/>
    <tableColumn id="82" name="SF5" totalsRowFunction="sum" dataDxfId="357" totalsRowDxfId="356" dataCellStyle="Normal 2"/>
    <tableColumn id="83" name="TB5" totalsRowFunction="sum" dataDxfId="355" totalsRowDxfId="354" dataCellStyle="Normal 2"/>
    <tableColumn id="84" name="Starter6" totalsRowFunction="custom" dataDxfId="353" totalsRowDxfId="352" dataCellStyle="Normal 2">
      <totalsRowFormula>INDEX(Table142[Starter6],MODE(MATCH(Table142[Starter6],Table142[Starter6],0)))</totalsRowFormula>
    </tableColumn>
    <tableColumn id="85" name="AB6" totalsRowFunction="sum" dataDxfId="351" totalsRowDxfId="350" dataCellStyle="Normal 2"/>
    <tableColumn id="86" name="R6" totalsRowFunction="sum" dataDxfId="349" totalsRowDxfId="348" dataCellStyle="Normal 2"/>
    <tableColumn id="87" name="H6" totalsRowFunction="sum" dataDxfId="347" totalsRowDxfId="346" dataCellStyle="Normal 2"/>
    <tableColumn id="88" name="RBI6" totalsRowFunction="sum" dataDxfId="345" totalsRowDxfId="344" dataCellStyle="Normal 2"/>
    <tableColumn id="89" name="BB6" totalsRowFunction="sum" dataDxfId="343" totalsRowDxfId="342" dataCellStyle="Normal 2"/>
    <tableColumn id="90" name="SO6" totalsRowFunction="sum" dataDxfId="341" totalsRowDxfId="340" dataCellStyle="Normal 2"/>
    <tableColumn id="91" name="HBP6" totalsRowFunction="sum" dataDxfId="339" totalsRowDxfId="338" dataCellStyle="Normal 2"/>
    <tableColumn id="92" name="SF6" totalsRowFunction="sum" dataDxfId="337" totalsRowDxfId="336" dataCellStyle="Normal 2"/>
    <tableColumn id="93" name="TB6" totalsRowFunction="sum" dataDxfId="335" totalsRowDxfId="334" dataCellStyle="Normal 2"/>
    <tableColumn id="94" name="Starter7" totalsRowFunction="custom" dataDxfId="333" totalsRowDxfId="332" dataCellStyle="Normal 2">
      <totalsRowFormula>INDEX(Table142[Starter7],MODE(MATCH(Table142[Starter7],Table142[Starter7],0)))</totalsRowFormula>
    </tableColumn>
    <tableColumn id="95" name="AB7" totalsRowFunction="sum" dataDxfId="331" totalsRowDxfId="330" dataCellStyle="Normal 2"/>
    <tableColumn id="96" name="R7" totalsRowFunction="sum" dataDxfId="329" totalsRowDxfId="328" dataCellStyle="Normal 2"/>
    <tableColumn id="97" name="H7" totalsRowFunction="sum" dataDxfId="327" totalsRowDxfId="326" dataCellStyle="Normal 2"/>
    <tableColumn id="98" name="RBI7" totalsRowFunction="sum" dataDxfId="325" totalsRowDxfId="324" dataCellStyle="Normal 2"/>
    <tableColumn id="99" name="BB7" totalsRowFunction="sum" dataDxfId="323" totalsRowDxfId="322" dataCellStyle="Normal 2"/>
    <tableColumn id="100" name="SO7" totalsRowFunction="sum" dataDxfId="321" totalsRowDxfId="320" dataCellStyle="Normal 2"/>
    <tableColumn id="101" name="HBP7" totalsRowFunction="sum" dataDxfId="319" totalsRowDxfId="318" dataCellStyle="Normal 2"/>
    <tableColumn id="102" name="SF7" totalsRowFunction="sum" dataDxfId="317" totalsRowDxfId="316" dataCellStyle="Normal 2"/>
    <tableColumn id="103" name="TB7" totalsRowFunction="sum" dataDxfId="315" totalsRowDxfId="314" dataCellStyle="Normal 2"/>
    <tableColumn id="104" name="Starter8" totalsRowFunction="custom" dataDxfId="313" totalsRowDxfId="312" dataCellStyle="Normal 2">
      <totalsRowFormula>INDEX(Table142[Starter8],MODE(MATCH(Table142[Starter8],Table142[Starter8],0)))</totalsRowFormula>
    </tableColumn>
    <tableColumn id="105" name="AB8" totalsRowFunction="sum" dataDxfId="311" totalsRowDxfId="310" dataCellStyle="Normal 2"/>
    <tableColumn id="106" name="R8" totalsRowFunction="sum" dataDxfId="309" totalsRowDxfId="308" dataCellStyle="Normal 2"/>
    <tableColumn id="107" name="H8" totalsRowFunction="sum" dataDxfId="307" totalsRowDxfId="306" dataCellStyle="Normal 2"/>
    <tableColumn id="108" name="RBI8" totalsRowFunction="sum" dataDxfId="305" totalsRowDxfId="304" dataCellStyle="Normal 2"/>
    <tableColumn id="109" name="BB8" totalsRowFunction="sum" dataDxfId="303" totalsRowDxfId="302" dataCellStyle="Normal 2"/>
    <tableColumn id="110" name="SO8" totalsRowFunction="sum" dataDxfId="301" totalsRowDxfId="300" dataCellStyle="Normal 2"/>
    <tableColumn id="111" name="HBP8" totalsRowFunction="sum" dataDxfId="299" totalsRowDxfId="298" dataCellStyle="Normal 2"/>
    <tableColumn id="112" name="SF8" totalsRowFunction="sum" dataDxfId="297" totalsRowDxfId="296" dataCellStyle="Normal 2"/>
    <tableColumn id="113" name="TB8" totalsRowFunction="sum" dataDxfId="295" totalsRowDxfId="294" dataCellStyle="Normal 2"/>
    <tableColumn id="114" name="Starter9" totalsRowFunction="custom" dataDxfId="293" totalsRowDxfId="292" dataCellStyle="Normal 2">
      <totalsRowFormula>INDEX(Table142[Starter9],MODE(MATCH(Table142[Starter9],Table142[Starter9],0)))</totalsRowFormula>
    </tableColumn>
    <tableColumn id="115" name="AB9" totalsRowFunction="sum" dataDxfId="291" totalsRowDxfId="290" dataCellStyle="Normal 2"/>
    <tableColumn id="116" name="R9" totalsRowFunction="sum" dataDxfId="289" totalsRowDxfId="288" dataCellStyle="Normal 2"/>
    <tableColumn id="117" name="H9" totalsRowFunction="sum" dataDxfId="287" totalsRowDxfId="286" dataCellStyle="Normal 2"/>
    <tableColumn id="118" name="RBI9" totalsRowFunction="sum" dataDxfId="285" totalsRowDxfId="284" dataCellStyle="Normal 2"/>
    <tableColumn id="119" name="BB9" totalsRowFunction="sum" dataDxfId="283" totalsRowDxfId="282" dataCellStyle="Normal 2"/>
    <tableColumn id="120" name="SO9" totalsRowFunction="sum" dataDxfId="281" totalsRowDxfId="280" dataCellStyle="Normal 2"/>
    <tableColumn id="121" name="HBP9" totalsRowFunction="sum" dataDxfId="279" totalsRowDxfId="278" dataCellStyle="Normal 2"/>
    <tableColumn id="122" name="SF9" totalsRowFunction="sum" dataDxfId="277" totalsRowDxfId="276" dataCellStyle="Normal 2"/>
    <tableColumn id="123" name="TB9" totalsRowFunction="sum" dataDxfId="275" totalsRowDxfId="274" dataCellStyle="Normal 2"/>
    <tableColumn id="127" name="IVL" totalsRowFunction="sum" dataDxfId="273" totalsRowDxfId="272" dataCellStyle="Normal 2"/>
    <tableColumn id="128" name="SVL" totalsRowFunction="sum" dataDxfId="271" totalsRowDxfId="270" dataCellStyle="Normal 2"/>
    <tableColumn id="129" name="CVL" totalsRowFunction="sum" dataDxfId="269" totalsRowDxfId="268" dataCellStyle="Normal 2"/>
    <tableColumn id="130" name="IVR" totalsRowFunction="sum" dataDxfId="267" totalsRowDxfId="266" dataCellStyle="Normal 2"/>
    <tableColumn id="131" name="SVR" totalsRowFunction="sum" dataDxfId="265" totalsRowDxfId="264" dataCellStyle="Normal 2"/>
    <tableColumn id="132" name="CVR" totalsRowFunction="sum" dataDxfId="263" totalsRowDxfId="262" dataCellStyle="Normal 2"/>
    <tableColumn id="134" name="RI1" totalsRowFunction="sum" dataDxfId="261" totalsRowDxfId="260" dataCellStyle="Normal 2"/>
    <tableColumn id="135" name="RI2" totalsRowFunction="sum" dataDxfId="259" totalsRowDxfId="258" dataCellStyle="Normal 2"/>
    <tableColumn id="136" name="RI3" totalsRowFunction="sum" dataDxfId="257" totalsRowDxfId="256" dataCellStyle="Normal 2"/>
    <tableColumn id="137" name="RI4" totalsRowFunction="sum" dataDxfId="255" totalsRowDxfId="254" dataCellStyle="Normal 2"/>
    <tableColumn id="138" name="RI5" totalsRowFunction="sum" dataDxfId="253" totalsRowDxfId="252" dataCellStyle="Normal 2"/>
    <tableColumn id="139" name="RI6" totalsRowFunction="sum" dataDxfId="251" totalsRowDxfId="250" dataCellStyle="Normal 2"/>
    <tableColumn id="140" name="RI7" totalsRowFunction="sum" dataDxfId="249" totalsRowDxfId="248" dataCellStyle="Normal 2"/>
    <tableColumn id="141" name="RI8" totalsRowFunction="sum" dataDxfId="247" totalsRowDxfId="246" dataCellStyle="Normal 2"/>
    <tableColumn id="142" name="RI9" totalsRowFunction="sum" dataDxfId="245" totalsRowDxfId="244" dataCellStyle="Normal 2"/>
    <tableColumn id="143" name="RI10" totalsRowFunction="sum" dataDxfId="243" totalsRowDxfId="242" dataCellStyle="Normal 2"/>
    <tableColumn id="144" name="RI11" totalsRowFunction="sum" dataDxfId="241" totalsRowDxfId="240" dataCellStyle="Normal 2"/>
    <tableColumn id="145" name="RI12" totalsRowFunction="sum" dataDxfId="239" totalsRowDxfId="238" dataCellStyle="Normal 2"/>
    <tableColumn id="146" name="RT" totalsRowFunction="sum" dataDxfId="237" totalsRowDxfId="236" dataCellStyle="Normal 2">
      <calculatedColumnFormula>SUM(EE4:EP4)</calculatedColumnFormula>
    </tableColumn>
    <tableColumn id="147" name="OI1" totalsRowFunction="sum" dataDxfId="235" totalsRowDxfId="234" dataCellStyle="Normal 2"/>
    <tableColumn id="148" name="OI2" totalsRowFunction="sum" dataDxfId="233" totalsRowDxfId="232" dataCellStyle="Normal 2"/>
    <tableColumn id="149" name="OI3" totalsRowFunction="sum" dataDxfId="231" totalsRowDxfId="230" dataCellStyle="Normal 2"/>
    <tableColumn id="150" name="OI4" totalsRowFunction="sum" dataDxfId="229" totalsRowDxfId="228" dataCellStyle="Normal 2"/>
    <tableColumn id="151" name="OI5" totalsRowFunction="sum" dataDxfId="227" totalsRowDxfId="226" dataCellStyle="Normal 2"/>
    <tableColumn id="152" name="OI6" totalsRowFunction="sum" dataDxfId="225" totalsRowDxfId="224" dataCellStyle="Normal 2"/>
    <tableColumn id="153" name="OI7" totalsRowFunction="sum" dataDxfId="223" totalsRowDxfId="222" dataCellStyle="Normal 2"/>
    <tableColumn id="154" name="OI8" totalsRowFunction="sum" dataDxfId="221" totalsRowDxfId="220" dataCellStyle="Normal 2"/>
    <tableColumn id="155" name="OI9" totalsRowFunction="sum" dataDxfId="219" totalsRowDxfId="218" dataCellStyle="Normal 2"/>
    <tableColumn id="156" name="OI10" totalsRowFunction="sum" dataDxfId="217" totalsRowDxfId="216" dataCellStyle="Normal 2"/>
    <tableColumn id="157" name="OI11" totalsRowFunction="sum" dataDxfId="215" totalsRowDxfId="214" dataCellStyle="Normal 2"/>
    <tableColumn id="158" name="OI12" totalsRowFunction="sum" dataDxfId="213" totalsRowDxfId="212" dataCellStyle="Normal 2"/>
    <tableColumn id="159" name="OT" totalsRowFunction="sum" dataDxfId="211" totalsRowDxfId="210" dataCellStyle="Normal 2">
      <calculatedColumnFormula>SUM(ER4:FC4)</calculatedColumnFormula>
    </tableColumn>
    <tableColumn id="161" name="RRAisORS" dataDxfId="209" totalsRowDxfId="208" dataCellStyle="Normal 2">
      <calculatedColumnFormula>((SUM(L4,AD4))-(FD4))</calculatedColumnFormula>
    </tableColumn>
    <tableColumn id="162" name="ORAisRRS" dataDxfId="207" totalsRowDxfId="206" dataCellStyle="Normal 2">
      <calculatedColumnFormula>((SUM(AO4,AY4,BI4,BS4,CC4,CM4,CW4,DG4,DQ4))-(EQ4))</calculatedColumnFormula>
    </tableColumn>
    <tableColumn id="163" name="Notes" dataDxfId="205" totalsRowDxfId="204" dataCellStyle="Normal 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e44" displayName="Table44" ref="B87:L102" totalsRowShown="0" headerRowDxfId="3490" headerRowBorderDxfId="3489" tableBorderDxfId="3488" totalsRowBorderDxfId="3487">
  <autoFilter ref="B87:L102"/>
  <tableColumns count="11">
    <tableColumn id="1" name="#" dataDxfId="3486"/>
    <tableColumn id="2" name="W" dataDxfId="3485"/>
    <tableColumn id="3" name="L" dataDxfId="3484"/>
    <tableColumn id="4" name="IP" dataDxfId="3483"/>
    <tableColumn id="5" name="H" dataDxfId="3482"/>
    <tableColumn id="6" name="R" dataDxfId="3481"/>
    <tableColumn id="7" name="ER" dataDxfId="3480"/>
    <tableColumn id="8" name="BB" dataDxfId="3479"/>
    <tableColumn id="9" name="SO" dataDxfId="3478"/>
    <tableColumn id="10" name="HR" dataDxfId="3477"/>
    <tableColumn id="11" name="ERA" dataDxfId="3476">
      <calculatedColumnFormula>((H88/E88)*9)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8" name="Table59" displayName="Table59" ref="N87:V97" totalsRowShown="0" headerRowDxfId="3475" headerRowBorderDxfId="3474" tableBorderDxfId="3473" totalsRowBorderDxfId="3472">
  <autoFilter ref="N87:V97"/>
  <tableColumns count="9">
    <tableColumn id="1" name="BP" dataDxfId="3471"/>
    <tableColumn id="2" name="MCS" dataDxfId="3470"/>
    <tableColumn id="3" name="GS" dataDxfId="3469"/>
    <tableColumn id="4" name="R" dataDxfId="3468"/>
    <tableColumn id="5" name="RBI" dataDxfId="3467"/>
    <tableColumn id="6" name="AVG" dataDxfId="3466"/>
    <tableColumn id="7" name="OBP" dataDxfId="3465"/>
    <tableColumn id="8" name="SLG" dataDxfId="3464"/>
    <tableColumn id="9" name="GPA" dataDxfId="3463">
      <calculatedColumnFormula>(SUM((1.8*(T88)),U88)/4)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9" name="Table610" displayName="Table610" ref="X87:AD90" totalsRowShown="0" headerRowDxfId="3462" headerRowBorderDxfId="3461" tableBorderDxfId="3460" totalsRowBorderDxfId="3459">
  <autoFilter ref="X87:AD90"/>
  <tableColumns count="7">
    <tableColumn id="1" name="Vs" dataDxfId="3458"/>
    <tableColumn id="2" name="Inn" dataDxfId="3457"/>
    <tableColumn id="3" name="SB" dataDxfId="3456"/>
    <tableColumn id="4" name="SBA" dataDxfId="3455"/>
    <tableColumn id="5" name="%" dataDxfId="3454">
      <calculatedColumnFormula>(Z88/AA88)</calculatedColumnFormula>
    </tableColumn>
    <tableColumn id="6" name="SB/9" dataDxfId="3453">
      <calculatedColumnFormula>((Z88/Y88)*9)</calculatedColumnFormula>
    </tableColumn>
    <tableColumn id="7" name="SBA/9" dataDxfId="3452">
      <calculatedColumnFormula>((AA88/Y88)*9)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10" name="Table711" displayName="Table711" ref="AF87:AJ90" totalsRowShown="0" headerRowDxfId="3451" headerRowBorderDxfId="3450" tableBorderDxfId="3449" totalsRowBorderDxfId="3448">
  <autoFilter ref="AF87:AJ90"/>
  <tableColumns count="5">
    <tableColumn id="1" name="Loc" dataDxfId="3447"/>
    <tableColumn id="2" name="G" dataDxfId="3446"/>
    <tableColumn id="3" name="AA" dataDxfId="3445"/>
    <tableColumn id="4" name="TA" dataDxfId="3444"/>
    <tableColumn id="5" name="PA" dataDxfId="344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2" name="Table413" displayName="Table413" ref="B104:L119" totalsRowShown="0" headerRowDxfId="3442" headerRowBorderDxfId="3441" tableBorderDxfId="3440" totalsRowBorderDxfId="3439">
  <autoFilter ref="B104:L119"/>
  <tableColumns count="11">
    <tableColumn id="1" name="#" dataDxfId="3438"/>
    <tableColumn id="2" name="W" dataDxfId="3437"/>
    <tableColumn id="3" name="L" dataDxfId="3436"/>
    <tableColumn id="4" name="IP" dataDxfId="3435"/>
    <tableColumn id="5" name="H" dataDxfId="3434"/>
    <tableColumn id="6" name="R" dataDxfId="3433"/>
    <tableColumn id="7" name="ER" dataDxfId="3432"/>
    <tableColumn id="8" name="BB" dataDxfId="3431"/>
    <tableColumn id="9" name="SO" dataDxfId="3430"/>
    <tableColumn id="10" name="HR" dataDxfId="3429"/>
    <tableColumn id="11" name="ERA" dataDxfId="3428">
      <calculatedColumnFormula>((H105/E105)*9)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34" Type="http://schemas.openxmlformats.org/officeDocument/2006/relationships/table" Target="../tables/table33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35" Type="http://schemas.openxmlformats.org/officeDocument/2006/relationships/table" Target="../tables/table3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5"/>
  <sheetViews>
    <sheetView tabSelected="1" workbookViewId="0"/>
  </sheetViews>
  <sheetFormatPr defaultColWidth="10" defaultRowHeight="15" x14ac:dyDescent="0.25"/>
  <cols>
    <col min="1" max="16384" width="10" style="46"/>
  </cols>
  <sheetData>
    <row r="2" spans="2:8" x14ac:dyDescent="0.25">
      <c r="B2" s="419" t="s">
        <v>676</v>
      </c>
      <c r="C2" s="420"/>
      <c r="D2" s="420"/>
      <c r="E2" s="420"/>
      <c r="F2" s="420"/>
      <c r="G2" s="420"/>
      <c r="H2" s="421"/>
    </row>
    <row r="3" spans="2:8" x14ac:dyDescent="0.25">
      <c r="B3" s="422"/>
      <c r="C3" s="423"/>
      <c r="D3" s="423"/>
      <c r="E3" s="423"/>
      <c r="F3" s="423"/>
      <c r="G3" s="423"/>
      <c r="H3" s="424"/>
    </row>
    <row r="4" spans="2:8" x14ac:dyDescent="0.25">
      <c r="B4" s="422"/>
      <c r="C4" s="423"/>
      <c r="D4" s="423"/>
      <c r="E4" s="423"/>
      <c r="F4" s="423"/>
      <c r="G4" s="423"/>
      <c r="H4" s="424"/>
    </row>
    <row r="5" spans="2:8" x14ac:dyDescent="0.25">
      <c r="B5" s="425"/>
      <c r="C5" s="426"/>
      <c r="D5" s="426"/>
      <c r="E5" s="426"/>
      <c r="F5" s="426"/>
      <c r="G5" s="426"/>
      <c r="H5" s="427"/>
    </row>
    <row r="6" spans="2:8" x14ac:dyDescent="0.25">
      <c r="B6" s="428" t="s">
        <v>312</v>
      </c>
      <c r="C6" s="429"/>
      <c r="D6" s="429"/>
      <c r="E6" s="429"/>
      <c r="F6" s="429"/>
      <c r="G6" s="429"/>
      <c r="H6" s="430"/>
    </row>
    <row r="7" spans="2:8" x14ac:dyDescent="0.25">
      <c r="B7" s="47"/>
      <c r="C7" s="47"/>
      <c r="D7" s="47"/>
      <c r="E7" s="47"/>
      <c r="F7" s="47"/>
      <c r="G7" s="47"/>
      <c r="H7" s="47"/>
    </row>
    <row r="8" spans="2:8" x14ac:dyDescent="0.25">
      <c r="B8" s="412" t="s">
        <v>292</v>
      </c>
      <c r="C8" s="413"/>
      <c r="D8" s="413"/>
      <c r="E8" s="413"/>
      <c r="F8" s="413"/>
      <c r="G8" s="413"/>
      <c r="H8" s="414"/>
    </row>
    <row r="9" spans="2:8" x14ac:dyDescent="0.25">
      <c r="B9" s="415" t="s">
        <v>242</v>
      </c>
      <c r="C9" s="416"/>
      <c r="D9" s="416"/>
      <c r="E9" s="416"/>
      <c r="F9" s="417">
        <f>MAX(Table1[Date])</f>
        <v>40463</v>
      </c>
      <c r="G9" s="417"/>
      <c r="H9" s="418"/>
    </row>
    <row r="10" spans="2:8" x14ac:dyDescent="0.25">
      <c r="B10" s="412" t="s">
        <v>363</v>
      </c>
      <c r="C10" s="413"/>
      <c r="D10" s="413"/>
      <c r="E10" s="413"/>
      <c r="F10" s="413"/>
      <c r="G10" s="413"/>
      <c r="H10" s="414"/>
    </row>
    <row r="11" spans="2:8" x14ac:dyDescent="0.25">
      <c r="B11" s="431" t="s">
        <v>242</v>
      </c>
      <c r="C11" s="432"/>
      <c r="D11" s="432"/>
      <c r="E11" s="432"/>
      <c r="F11" s="417">
        <f>MAX(Table122[Date])</f>
        <v>40427</v>
      </c>
      <c r="G11" s="417"/>
      <c r="H11" s="418"/>
    </row>
    <row r="12" spans="2:8" x14ac:dyDescent="0.25">
      <c r="B12" s="412" t="s">
        <v>373</v>
      </c>
      <c r="C12" s="413"/>
      <c r="D12" s="413"/>
      <c r="E12" s="413"/>
      <c r="F12" s="413"/>
      <c r="G12" s="413"/>
      <c r="H12" s="414"/>
    </row>
    <row r="13" spans="2:8" x14ac:dyDescent="0.25">
      <c r="B13" s="415" t="s">
        <v>242</v>
      </c>
      <c r="C13" s="416"/>
      <c r="D13" s="416"/>
      <c r="E13" s="416"/>
      <c r="F13" s="417">
        <f>MAX(Table127[Date])</f>
        <v>40427</v>
      </c>
      <c r="G13" s="417"/>
      <c r="H13" s="418"/>
    </row>
    <row r="14" spans="2:8" x14ac:dyDescent="0.25">
      <c r="B14" s="412" t="s">
        <v>518</v>
      </c>
      <c r="C14" s="413"/>
      <c r="D14" s="413"/>
      <c r="E14" s="413"/>
      <c r="F14" s="413"/>
      <c r="G14" s="413"/>
      <c r="H14" s="414"/>
    </row>
    <row r="15" spans="2:8" x14ac:dyDescent="0.25">
      <c r="B15" s="415" t="s">
        <v>242</v>
      </c>
      <c r="C15" s="416"/>
      <c r="D15" s="416"/>
      <c r="E15" s="416"/>
      <c r="F15" s="417">
        <f>MAX(Table12732[Date])</f>
        <v>40426</v>
      </c>
      <c r="G15" s="417"/>
      <c r="H15" s="418"/>
    </row>
    <row r="16" spans="2:8" x14ac:dyDescent="0.25">
      <c r="B16" s="412" t="s">
        <v>542</v>
      </c>
      <c r="C16" s="413"/>
      <c r="D16" s="413"/>
      <c r="E16" s="413"/>
      <c r="F16" s="413"/>
      <c r="G16" s="413"/>
      <c r="H16" s="414"/>
    </row>
    <row r="17" spans="2:8" x14ac:dyDescent="0.25">
      <c r="B17" s="415" t="s">
        <v>242</v>
      </c>
      <c r="C17" s="416"/>
      <c r="D17" s="416"/>
      <c r="E17" s="416"/>
      <c r="F17" s="417">
        <f>MAX(Table137[Date])</f>
        <v>40427</v>
      </c>
      <c r="G17" s="417"/>
      <c r="H17" s="418"/>
    </row>
    <row r="18" spans="2:8" x14ac:dyDescent="0.25">
      <c r="B18" s="412" t="s">
        <v>554</v>
      </c>
      <c r="C18" s="413"/>
      <c r="D18" s="413"/>
      <c r="E18" s="413"/>
      <c r="F18" s="413"/>
      <c r="G18" s="413"/>
      <c r="H18" s="414"/>
    </row>
    <row r="19" spans="2:8" x14ac:dyDescent="0.25">
      <c r="B19" s="415" t="s">
        <v>242</v>
      </c>
      <c r="C19" s="416"/>
      <c r="D19" s="416"/>
      <c r="E19" s="416"/>
      <c r="F19" s="417">
        <f>MAX(Table13[Date])</f>
        <v>40413</v>
      </c>
      <c r="G19" s="417"/>
      <c r="H19" s="418"/>
    </row>
    <row r="20" spans="2:8" x14ac:dyDescent="0.25">
      <c r="B20" s="412" t="s">
        <v>311</v>
      </c>
      <c r="C20" s="413"/>
      <c r="D20" s="413"/>
      <c r="E20" s="413"/>
      <c r="F20" s="413"/>
      <c r="G20" s="413"/>
      <c r="H20" s="414"/>
    </row>
    <row r="21" spans="2:8" x14ac:dyDescent="0.25">
      <c r="B21" s="415" t="s">
        <v>242</v>
      </c>
      <c r="C21" s="416"/>
      <c r="D21" s="416"/>
      <c r="E21" s="416"/>
      <c r="F21" s="417">
        <f>MAX(Table112[Date])</f>
        <v>40404</v>
      </c>
      <c r="G21" s="417"/>
      <c r="H21" s="418"/>
    </row>
    <row r="22" spans="2:8" x14ac:dyDescent="0.25">
      <c r="B22" s="412" t="s">
        <v>329</v>
      </c>
      <c r="C22" s="413"/>
      <c r="D22" s="413"/>
      <c r="E22" s="413"/>
      <c r="F22" s="413"/>
      <c r="G22" s="413"/>
      <c r="H22" s="414"/>
    </row>
    <row r="23" spans="2:8" x14ac:dyDescent="0.25">
      <c r="B23" s="415" t="s">
        <v>242</v>
      </c>
      <c r="C23" s="416"/>
      <c r="D23" s="416"/>
      <c r="E23" s="416"/>
      <c r="F23" s="417">
        <f>MAX(Table117[Date])</f>
        <v>40385</v>
      </c>
      <c r="G23" s="417"/>
      <c r="H23" s="418"/>
    </row>
    <row r="24" spans="2:8" x14ac:dyDescent="0.25">
      <c r="B24" s="412" t="s">
        <v>621</v>
      </c>
      <c r="C24" s="413"/>
      <c r="D24" s="413"/>
      <c r="E24" s="413"/>
      <c r="F24" s="413"/>
      <c r="G24" s="413"/>
      <c r="H24" s="414"/>
    </row>
    <row r="25" spans="2:8" x14ac:dyDescent="0.25">
      <c r="B25" s="415" t="s">
        <v>242</v>
      </c>
      <c r="C25" s="416"/>
      <c r="D25" s="416"/>
      <c r="E25" s="416"/>
      <c r="F25" s="417">
        <f>MAX(Table142[Date])</f>
        <v>40339</v>
      </c>
      <c r="G25" s="417"/>
      <c r="H25" s="418"/>
    </row>
  </sheetData>
  <mergeCells count="29">
    <mergeCell ref="B10:H10"/>
    <mergeCell ref="B14:H14"/>
    <mergeCell ref="B15:E15"/>
    <mergeCell ref="F15:H15"/>
    <mergeCell ref="B2:H5"/>
    <mergeCell ref="F9:H9"/>
    <mergeCell ref="B9:E9"/>
    <mergeCell ref="B8:H8"/>
    <mergeCell ref="B6:H6"/>
    <mergeCell ref="F11:H11"/>
    <mergeCell ref="B11:E11"/>
    <mergeCell ref="B12:H12"/>
    <mergeCell ref="B20:H20"/>
    <mergeCell ref="F21:H21"/>
    <mergeCell ref="B21:E21"/>
    <mergeCell ref="F13:H13"/>
    <mergeCell ref="B13:E13"/>
    <mergeCell ref="B16:H16"/>
    <mergeCell ref="B17:E17"/>
    <mergeCell ref="F17:H17"/>
    <mergeCell ref="B18:H18"/>
    <mergeCell ref="F19:H19"/>
    <mergeCell ref="B19:E19"/>
    <mergeCell ref="B24:H24"/>
    <mergeCell ref="B25:E25"/>
    <mergeCell ref="F25:H25"/>
    <mergeCell ref="B22:H22"/>
    <mergeCell ref="F23:H23"/>
    <mergeCell ref="B23:E2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8"/>
  <sheetViews>
    <sheetView workbookViewId="0">
      <pane xSplit="1" ySplit="3" topLeftCell="B10" activePane="bottomRight" state="frozen"/>
      <selection pane="topRight" activeCell="B1" sqref="B1"/>
      <selection pane="bottomLeft" activeCell="A3" sqref="A3"/>
      <selection pane="bottomRight" activeCell="A34" sqref="A34"/>
    </sheetView>
  </sheetViews>
  <sheetFormatPr defaultRowHeight="15" x14ac:dyDescent="0.25"/>
  <cols>
    <col min="1" max="1" width="9.7109375" style="48" bestFit="1" customWidth="1"/>
    <col min="2" max="2" width="6.140625" style="48" bestFit="1" customWidth="1"/>
    <col min="3" max="3" width="6.42578125" style="48" bestFit="1" customWidth="1"/>
    <col min="4" max="4" width="8" style="48" bestFit="1" customWidth="1"/>
    <col min="5" max="5" width="6" style="49" bestFit="1" customWidth="1"/>
    <col min="6" max="6" width="5.42578125" style="49" bestFit="1" customWidth="1"/>
    <col min="7" max="7" width="11.5703125" style="52" bestFit="1" customWidth="1"/>
    <col min="8" max="8" width="7" style="52" bestFit="1" customWidth="1"/>
    <col min="9" max="9" width="5.85546875" style="52" bestFit="1" customWidth="1"/>
    <col min="10" max="10" width="6.7109375" style="52" bestFit="1" customWidth="1"/>
    <col min="11" max="11" width="6.28515625" style="52" bestFit="1" customWidth="1"/>
    <col min="12" max="12" width="6.140625" style="52" bestFit="1" customWidth="1"/>
    <col min="13" max="13" width="7.140625" style="52" bestFit="1" customWidth="1"/>
    <col min="14" max="14" width="7.28515625" style="52" bestFit="1" customWidth="1"/>
    <col min="15" max="16" width="7.42578125" style="52" bestFit="1" customWidth="1"/>
    <col min="17" max="17" width="8.5703125" style="52" bestFit="1" customWidth="1"/>
    <col min="18" max="18" width="7.140625" style="52" bestFit="1" customWidth="1"/>
    <col min="19" max="20" width="7.42578125" style="52" bestFit="1" customWidth="1"/>
    <col min="21" max="22" width="6" style="52" bestFit="1" customWidth="1"/>
    <col min="23" max="23" width="7.140625" style="52" bestFit="1" customWidth="1"/>
    <col min="24" max="24" width="6" style="52" bestFit="1" customWidth="1"/>
    <col min="25" max="25" width="6.28515625" style="52" bestFit="1" customWidth="1"/>
    <col min="26" max="26" width="5.28515625" style="52" bestFit="1" customWidth="1"/>
    <col min="27" max="27" width="5.42578125" style="52" bestFit="1" customWidth="1"/>
    <col min="28" max="28" width="6.85546875" style="52" bestFit="1" customWidth="1"/>
    <col min="29" max="29" width="6.42578125" style="52" bestFit="1" customWidth="1"/>
    <col min="30" max="30" width="6.28515625" style="52" bestFit="1" customWidth="1"/>
    <col min="31" max="31" width="7.28515625" style="52" bestFit="1" customWidth="1"/>
    <col min="32" max="32" width="7.42578125" style="52" bestFit="1" customWidth="1"/>
    <col min="33" max="34" width="7.5703125" style="52" bestFit="1" customWidth="1"/>
    <col min="35" max="35" width="8.7109375" style="52" bestFit="1" customWidth="1"/>
    <col min="36" max="36" width="7.28515625" style="52" bestFit="1" customWidth="1"/>
    <col min="37" max="38" width="7.5703125" style="52" bestFit="1" customWidth="1"/>
    <col min="39" max="39" width="10.28515625" style="52" bestFit="1" customWidth="1"/>
    <col min="40" max="40" width="6.7109375" style="52" bestFit="1" customWidth="1"/>
    <col min="41" max="42" width="6" style="52" bestFit="1" customWidth="1"/>
    <col min="43" max="43" width="7.140625" style="52" bestFit="1" customWidth="1"/>
    <col min="44" max="44" width="6.5703125" style="52" bestFit="1" customWidth="1"/>
    <col min="45" max="45" width="6.7109375" style="52" bestFit="1" customWidth="1"/>
    <col min="46" max="46" width="7.85546875" style="52" bestFit="1" customWidth="1"/>
    <col min="47" max="47" width="6.28515625" style="52" bestFit="1" customWidth="1"/>
    <col min="48" max="48" width="6.42578125" style="52" bestFit="1" customWidth="1"/>
    <col min="49" max="49" width="12.140625" style="52" bestFit="1" customWidth="1"/>
    <col min="50" max="50" width="6.7109375" style="52" bestFit="1" customWidth="1"/>
    <col min="51" max="52" width="6" style="52" bestFit="1" customWidth="1"/>
    <col min="53" max="53" width="7.140625" style="52" bestFit="1" customWidth="1"/>
    <col min="54" max="54" width="6.5703125" style="52" bestFit="1" customWidth="1"/>
    <col min="55" max="55" width="6.7109375" style="52" bestFit="1" customWidth="1"/>
    <col min="56" max="56" width="7.85546875" style="52" bestFit="1" customWidth="1"/>
    <col min="57" max="57" width="6.28515625" style="52" bestFit="1" customWidth="1"/>
    <col min="58" max="58" width="6.42578125" style="52" bestFit="1" customWidth="1"/>
    <col min="59" max="59" width="11.28515625" style="52" bestFit="1" customWidth="1"/>
    <col min="60" max="60" width="6.7109375" style="52" bestFit="1" customWidth="1"/>
    <col min="61" max="62" width="6" style="52" bestFit="1" customWidth="1"/>
    <col min="63" max="63" width="7.140625" style="52" bestFit="1" customWidth="1"/>
    <col min="64" max="64" width="6.5703125" style="52" bestFit="1" customWidth="1"/>
    <col min="65" max="65" width="6.7109375" style="52" bestFit="1" customWidth="1"/>
    <col min="66" max="66" width="7.85546875" style="52" bestFit="1" customWidth="1"/>
    <col min="67" max="67" width="6.28515625" style="52" bestFit="1" customWidth="1"/>
    <col min="68" max="68" width="6.42578125" style="52" bestFit="1" customWidth="1"/>
    <col min="69" max="69" width="11" style="52" bestFit="1" customWidth="1"/>
    <col min="70" max="70" width="6.7109375" style="52" bestFit="1" customWidth="1"/>
    <col min="71" max="72" width="6" style="52" bestFit="1" customWidth="1"/>
    <col min="73" max="73" width="7.140625" style="52" bestFit="1" customWidth="1"/>
    <col min="74" max="74" width="6.5703125" style="52" bestFit="1" customWidth="1"/>
    <col min="75" max="75" width="6.7109375" style="52" bestFit="1" customWidth="1"/>
    <col min="76" max="76" width="7.85546875" style="52" bestFit="1" customWidth="1"/>
    <col min="77" max="77" width="6.28515625" style="52" bestFit="1" customWidth="1"/>
    <col min="78" max="78" width="6.42578125" style="52" bestFit="1" customWidth="1"/>
    <col min="79" max="79" width="11" style="52" bestFit="1" customWidth="1"/>
    <col min="80" max="80" width="6.7109375" style="52" bestFit="1" customWidth="1"/>
    <col min="81" max="82" width="6" style="52" bestFit="1" customWidth="1"/>
    <col min="83" max="83" width="7.140625" style="52" bestFit="1" customWidth="1"/>
    <col min="84" max="84" width="6.5703125" style="52" bestFit="1" customWidth="1"/>
    <col min="85" max="85" width="6.7109375" style="52" bestFit="1" customWidth="1"/>
    <col min="86" max="86" width="7.85546875" style="52" bestFit="1" customWidth="1"/>
    <col min="87" max="87" width="6.28515625" style="52" bestFit="1" customWidth="1"/>
    <col min="88" max="88" width="6.42578125" style="52" bestFit="1" customWidth="1"/>
    <col min="89" max="89" width="11.28515625" style="52" bestFit="1" customWidth="1"/>
    <col min="90" max="90" width="6.7109375" style="52" bestFit="1" customWidth="1"/>
    <col min="91" max="92" width="6" style="52" bestFit="1" customWidth="1"/>
    <col min="93" max="93" width="7.140625" style="52" bestFit="1" customWidth="1"/>
    <col min="94" max="94" width="6.5703125" style="52" bestFit="1" customWidth="1"/>
    <col min="95" max="95" width="6.7109375" style="52" bestFit="1" customWidth="1"/>
    <col min="96" max="96" width="7.85546875" style="52" bestFit="1" customWidth="1"/>
    <col min="97" max="97" width="6.28515625" style="52" bestFit="1" customWidth="1"/>
    <col min="98" max="98" width="6.42578125" style="52" bestFit="1" customWidth="1"/>
    <col min="99" max="99" width="12.140625" style="52" bestFit="1" customWidth="1"/>
    <col min="100" max="100" width="6.7109375" style="52" bestFit="1" customWidth="1"/>
    <col min="101" max="102" width="6" style="52" bestFit="1" customWidth="1"/>
    <col min="103" max="103" width="7.140625" style="52" bestFit="1" customWidth="1"/>
    <col min="104" max="104" width="6.5703125" style="52" bestFit="1" customWidth="1"/>
    <col min="105" max="105" width="6.7109375" style="52" bestFit="1" customWidth="1"/>
    <col min="106" max="106" width="7.85546875" style="52" bestFit="1" customWidth="1"/>
    <col min="107" max="107" width="6.28515625" style="52" bestFit="1" customWidth="1"/>
    <col min="108" max="108" width="6.42578125" style="52" bestFit="1" customWidth="1"/>
    <col min="109" max="109" width="12.140625" style="52" bestFit="1" customWidth="1"/>
    <col min="110" max="110" width="6.7109375" style="52" bestFit="1" customWidth="1"/>
    <col min="111" max="112" width="6" style="52" bestFit="1" customWidth="1"/>
    <col min="113" max="113" width="7.140625" style="52" bestFit="1" customWidth="1"/>
    <col min="114" max="114" width="6.5703125" style="52" bestFit="1" customWidth="1"/>
    <col min="115" max="115" width="6.7109375" style="52" bestFit="1" customWidth="1"/>
    <col min="116" max="116" width="7.85546875" style="52" bestFit="1" customWidth="1"/>
    <col min="117" max="117" width="6.28515625" style="52" bestFit="1" customWidth="1"/>
    <col min="118" max="118" width="6.42578125" style="52" bestFit="1" customWidth="1"/>
    <col min="119" max="119" width="12.140625" style="52" bestFit="1" customWidth="1"/>
    <col min="120" max="120" width="6.7109375" style="52" bestFit="1" customWidth="1"/>
    <col min="121" max="122" width="6" style="52" bestFit="1" customWidth="1"/>
    <col min="123" max="123" width="7.140625" style="52" bestFit="1" customWidth="1"/>
    <col min="124" max="124" width="6.5703125" style="52" bestFit="1" customWidth="1"/>
    <col min="125" max="125" width="6.7109375" style="52" bestFit="1" customWidth="1"/>
    <col min="126" max="126" width="7.85546875" style="52" bestFit="1" customWidth="1"/>
    <col min="127" max="127" width="6.28515625" style="52" bestFit="1" customWidth="1"/>
    <col min="128" max="128" width="6.42578125" style="52" bestFit="1" customWidth="1"/>
    <col min="129" max="129" width="6.28515625" style="52" bestFit="1" customWidth="1"/>
    <col min="130" max="130" width="6.42578125" style="52" bestFit="1" customWidth="1"/>
    <col min="131" max="131" width="6.5703125" style="52" bestFit="1" customWidth="1"/>
    <col min="132" max="132" width="6.28515625" style="52" bestFit="1" customWidth="1"/>
    <col min="133" max="133" width="6.7109375" style="52" bestFit="1" customWidth="1"/>
    <col min="134" max="134" width="6.85546875" style="52" bestFit="1" customWidth="1"/>
    <col min="135" max="143" width="6" style="52" bestFit="1" customWidth="1"/>
    <col min="144" max="146" width="7" style="52" bestFit="1" customWidth="1"/>
    <col min="147" max="149" width="7.7109375" style="52" customWidth="1"/>
    <col min="150" max="159" width="6.28515625" style="52" bestFit="1" customWidth="1"/>
    <col min="160" max="162" width="7.28515625" style="52" bestFit="1" customWidth="1"/>
    <col min="163" max="165" width="7.7109375" style="52" customWidth="1"/>
    <col min="166" max="166" width="6.28515625" style="52" bestFit="1" customWidth="1"/>
    <col min="167" max="168" width="11.85546875" style="52" bestFit="1" customWidth="1"/>
    <col min="169" max="169" width="33.42578125" style="51" bestFit="1" customWidth="1"/>
    <col min="170" max="16384" width="9.140625" style="52"/>
  </cols>
  <sheetData>
    <row r="1" spans="1:169" x14ac:dyDescent="0.25">
      <c r="F1" s="442" t="s">
        <v>125</v>
      </c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  <c r="AM1" s="442" t="s">
        <v>185</v>
      </c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43"/>
      <c r="BZ1" s="443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43"/>
      <c r="CP1" s="443"/>
      <c r="CQ1" s="443"/>
      <c r="CR1" s="443"/>
      <c r="CS1" s="443"/>
      <c r="CT1" s="443"/>
      <c r="CU1" s="443"/>
      <c r="CV1" s="443"/>
      <c r="CW1" s="443"/>
      <c r="CX1" s="443"/>
      <c r="CY1" s="443"/>
      <c r="CZ1" s="443"/>
      <c r="DA1" s="443"/>
      <c r="DB1" s="443"/>
      <c r="DC1" s="443"/>
      <c r="DD1" s="443"/>
      <c r="DE1" s="443"/>
      <c r="DF1" s="443"/>
      <c r="DG1" s="443"/>
      <c r="DH1" s="443"/>
      <c r="DI1" s="443"/>
      <c r="DJ1" s="443"/>
      <c r="DK1" s="443"/>
      <c r="DL1" s="443"/>
      <c r="DM1" s="443"/>
      <c r="DN1" s="443"/>
      <c r="DO1" s="443"/>
      <c r="DP1" s="443"/>
      <c r="DQ1" s="443"/>
      <c r="DR1" s="443"/>
      <c r="DS1" s="443"/>
      <c r="DT1" s="443"/>
      <c r="DU1" s="443"/>
      <c r="DV1" s="443"/>
      <c r="DW1" s="443"/>
      <c r="DX1" s="444"/>
      <c r="DY1" s="445" t="s">
        <v>184</v>
      </c>
      <c r="DZ1" s="446"/>
      <c r="EA1" s="446"/>
      <c r="EB1" s="446"/>
      <c r="EC1" s="446"/>
      <c r="ED1" s="447"/>
      <c r="EE1" s="441" t="s">
        <v>178</v>
      </c>
      <c r="EF1" s="441"/>
      <c r="EG1" s="441"/>
      <c r="EH1" s="441"/>
      <c r="EI1" s="441"/>
      <c r="EJ1" s="441"/>
      <c r="EK1" s="441"/>
      <c r="EL1" s="441"/>
      <c r="EM1" s="441"/>
      <c r="EN1" s="441"/>
      <c r="EO1" s="441"/>
      <c r="EP1" s="441"/>
      <c r="EQ1" s="441"/>
      <c r="ER1" s="441"/>
      <c r="ES1" s="441"/>
      <c r="ET1" s="441"/>
      <c r="EU1" s="441"/>
      <c r="EV1" s="441"/>
      <c r="EW1" s="441"/>
      <c r="EX1" s="441"/>
      <c r="EY1" s="441"/>
      <c r="EZ1" s="441"/>
      <c r="FA1" s="441"/>
      <c r="FB1" s="441"/>
      <c r="FC1" s="441"/>
      <c r="FD1" s="441"/>
      <c r="FE1" s="441"/>
      <c r="FF1" s="441"/>
      <c r="FG1" s="441"/>
      <c r="FH1" s="441"/>
      <c r="FI1" s="441"/>
      <c r="FJ1" s="441"/>
      <c r="FK1" s="438" t="s">
        <v>247</v>
      </c>
      <c r="FL1" s="438"/>
    </row>
    <row r="2" spans="1:169" x14ac:dyDescent="0.25">
      <c r="A2" s="53"/>
      <c r="B2" s="53"/>
      <c r="C2" s="53"/>
      <c r="D2" s="53"/>
      <c r="E2" s="54"/>
      <c r="F2" s="450" t="s">
        <v>0</v>
      </c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48" t="s">
        <v>186</v>
      </c>
      <c r="V2" s="449"/>
      <c r="W2" s="440" t="s">
        <v>1</v>
      </c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52">
        <v>1</v>
      </c>
      <c r="AN2" s="439"/>
      <c r="AO2" s="439"/>
      <c r="AP2" s="439"/>
      <c r="AQ2" s="439"/>
      <c r="AR2" s="439"/>
      <c r="AS2" s="439"/>
      <c r="AT2" s="439"/>
      <c r="AU2" s="439"/>
      <c r="AV2" s="439"/>
      <c r="AW2" s="439">
        <v>2</v>
      </c>
      <c r="AX2" s="439"/>
      <c r="AY2" s="439"/>
      <c r="AZ2" s="439"/>
      <c r="BA2" s="439"/>
      <c r="BB2" s="439"/>
      <c r="BC2" s="439"/>
      <c r="BD2" s="439"/>
      <c r="BE2" s="439"/>
      <c r="BF2" s="439"/>
      <c r="BG2" s="439">
        <v>3</v>
      </c>
      <c r="BH2" s="439"/>
      <c r="BI2" s="439"/>
      <c r="BJ2" s="439"/>
      <c r="BK2" s="439"/>
      <c r="BL2" s="439"/>
      <c r="BM2" s="439"/>
      <c r="BN2" s="439"/>
      <c r="BO2" s="439"/>
      <c r="BP2" s="439"/>
      <c r="BQ2" s="439">
        <v>4</v>
      </c>
      <c r="BR2" s="439"/>
      <c r="BS2" s="439"/>
      <c r="BT2" s="439"/>
      <c r="BU2" s="439"/>
      <c r="BV2" s="439"/>
      <c r="BW2" s="439"/>
      <c r="BX2" s="439"/>
      <c r="BY2" s="439"/>
      <c r="BZ2" s="439"/>
      <c r="CA2" s="439">
        <v>5</v>
      </c>
      <c r="CB2" s="439"/>
      <c r="CC2" s="439"/>
      <c r="CD2" s="439"/>
      <c r="CE2" s="439"/>
      <c r="CF2" s="439"/>
      <c r="CG2" s="439"/>
      <c r="CH2" s="439"/>
      <c r="CI2" s="439"/>
      <c r="CJ2" s="439"/>
      <c r="CK2" s="439">
        <v>6</v>
      </c>
      <c r="CL2" s="439"/>
      <c r="CM2" s="439"/>
      <c r="CN2" s="439"/>
      <c r="CO2" s="439"/>
      <c r="CP2" s="439"/>
      <c r="CQ2" s="439"/>
      <c r="CR2" s="439"/>
      <c r="CS2" s="439"/>
      <c r="CT2" s="439"/>
      <c r="CU2" s="439">
        <v>7</v>
      </c>
      <c r="CV2" s="439"/>
      <c r="CW2" s="439"/>
      <c r="CX2" s="439"/>
      <c r="CY2" s="439"/>
      <c r="CZ2" s="439"/>
      <c r="DA2" s="439"/>
      <c r="DB2" s="439"/>
      <c r="DC2" s="439"/>
      <c r="DD2" s="439"/>
      <c r="DE2" s="439">
        <v>8</v>
      </c>
      <c r="DF2" s="439"/>
      <c r="DG2" s="439"/>
      <c r="DH2" s="439"/>
      <c r="DI2" s="439"/>
      <c r="DJ2" s="439"/>
      <c r="DK2" s="439"/>
      <c r="DL2" s="439"/>
      <c r="DM2" s="439"/>
      <c r="DN2" s="439"/>
      <c r="DO2" s="439">
        <v>9</v>
      </c>
      <c r="DP2" s="439"/>
      <c r="DQ2" s="439"/>
      <c r="DR2" s="439"/>
      <c r="DS2" s="439"/>
      <c r="DT2" s="439"/>
      <c r="DU2" s="439"/>
      <c r="DV2" s="439"/>
      <c r="DW2" s="439"/>
      <c r="DX2" s="453"/>
      <c r="DY2" s="445"/>
      <c r="DZ2" s="446"/>
      <c r="EA2" s="446"/>
      <c r="EB2" s="446"/>
      <c r="EC2" s="446"/>
      <c r="ED2" s="447"/>
      <c r="EE2" s="441" t="s">
        <v>179</v>
      </c>
      <c r="EF2" s="441"/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/>
      <c r="ES2" s="441"/>
      <c r="ET2" s="441"/>
      <c r="EU2" s="441" t="s">
        <v>180</v>
      </c>
      <c r="EV2" s="441"/>
      <c r="EW2" s="441"/>
      <c r="EX2" s="441"/>
      <c r="EY2" s="441"/>
      <c r="EZ2" s="441"/>
      <c r="FA2" s="441"/>
      <c r="FB2" s="441"/>
      <c r="FC2" s="441"/>
      <c r="FD2" s="441"/>
      <c r="FE2" s="441"/>
      <c r="FF2" s="441"/>
      <c r="FG2" s="441"/>
      <c r="FH2" s="441"/>
      <c r="FI2" s="441"/>
      <c r="FJ2" s="441"/>
      <c r="FK2" s="438"/>
      <c r="FL2" s="438"/>
    </row>
    <row r="3" spans="1:169" s="51" customFormat="1" x14ac:dyDescent="0.25">
      <c r="A3" s="55" t="s">
        <v>3</v>
      </c>
      <c r="B3" s="55" t="s">
        <v>126</v>
      </c>
      <c r="C3" s="55" t="s">
        <v>127</v>
      </c>
      <c r="D3" s="55" t="s">
        <v>128</v>
      </c>
      <c r="E3" s="56" t="s">
        <v>151</v>
      </c>
      <c r="F3" s="56" t="s">
        <v>181</v>
      </c>
      <c r="G3" s="36" t="s">
        <v>2</v>
      </c>
      <c r="H3" s="37" t="s">
        <v>4</v>
      </c>
      <c r="I3" s="37" t="s">
        <v>5</v>
      </c>
      <c r="J3" s="35" t="s">
        <v>6</v>
      </c>
      <c r="K3" s="36" t="s">
        <v>7</v>
      </c>
      <c r="L3" s="36" t="s">
        <v>8</v>
      </c>
      <c r="M3" s="36" t="s">
        <v>9</v>
      </c>
      <c r="N3" s="36" t="s">
        <v>10</v>
      </c>
      <c r="O3" s="36" t="s">
        <v>11</v>
      </c>
      <c r="P3" s="36" t="s">
        <v>12</v>
      </c>
      <c r="Q3" s="36" t="s">
        <v>13</v>
      </c>
      <c r="R3" s="36" t="s">
        <v>14</v>
      </c>
      <c r="S3" s="36" t="s">
        <v>15</v>
      </c>
      <c r="T3" s="36" t="s">
        <v>16</v>
      </c>
      <c r="U3" s="37" t="s">
        <v>32</v>
      </c>
      <c r="V3" s="37" t="s">
        <v>33</v>
      </c>
      <c r="W3" s="36" t="s">
        <v>17</v>
      </c>
      <c r="X3" s="36" t="s">
        <v>18</v>
      </c>
      <c r="Y3" s="36" t="s">
        <v>182</v>
      </c>
      <c r="Z3" s="36" t="s">
        <v>183</v>
      </c>
      <c r="AA3" s="36" t="s">
        <v>20</v>
      </c>
      <c r="AB3" s="35" t="s">
        <v>21</v>
      </c>
      <c r="AC3" s="37" t="s">
        <v>22</v>
      </c>
      <c r="AD3" s="37" t="s">
        <v>23</v>
      </c>
      <c r="AE3" s="37" t="s">
        <v>24</v>
      </c>
      <c r="AF3" s="37" t="s">
        <v>25</v>
      </c>
      <c r="AG3" s="37" t="s">
        <v>26</v>
      </c>
      <c r="AH3" s="37" t="s">
        <v>27</v>
      </c>
      <c r="AI3" s="37" t="s">
        <v>28</v>
      </c>
      <c r="AJ3" s="37" t="s">
        <v>29</v>
      </c>
      <c r="AK3" s="37" t="s">
        <v>30</v>
      </c>
      <c r="AL3" s="37" t="s">
        <v>31</v>
      </c>
      <c r="AM3" s="37" t="s">
        <v>35</v>
      </c>
      <c r="AN3" s="37" t="s">
        <v>36</v>
      </c>
      <c r="AO3" s="37" t="s">
        <v>37</v>
      </c>
      <c r="AP3" s="37" t="s">
        <v>38</v>
      </c>
      <c r="AQ3" s="37" t="s">
        <v>39</v>
      </c>
      <c r="AR3" s="37" t="s">
        <v>40</v>
      </c>
      <c r="AS3" s="37" t="s">
        <v>41</v>
      </c>
      <c r="AT3" s="37" t="s">
        <v>42</v>
      </c>
      <c r="AU3" s="37" t="s">
        <v>43</v>
      </c>
      <c r="AV3" s="37" t="s">
        <v>44</v>
      </c>
      <c r="AW3" s="37" t="s">
        <v>45</v>
      </c>
      <c r="AX3" s="37" t="s">
        <v>46</v>
      </c>
      <c r="AY3" s="37" t="s">
        <v>47</v>
      </c>
      <c r="AZ3" s="57" t="s">
        <v>48</v>
      </c>
      <c r="BA3" s="57" t="s">
        <v>49</v>
      </c>
      <c r="BB3" s="57" t="s">
        <v>50</v>
      </c>
      <c r="BC3" s="57" t="s">
        <v>51</v>
      </c>
      <c r="BD3" s="57" t="s">
        <v>52</v>
      </c>
      <c r="BE3" s="57" t="s">
        <v>53</v>
      </c>
      <c r="BF3" s="57" t="s">
        <v>54</v>
      </c>
      <c r="BG3" s="57" t="s">
        <v>55</v>
      </c>
      <c r="BH3" s="57" t="s">
        <v>56</v>
      </c>
      <c r="BI3" s="57" t="s">
        <v>57</v>
      </c>
      <c r="BJ3" s="57" t="s">
        <v>58</v>
      </c>
      <c r="BK3" s="57" t="s">
        <v>59</v>
      </c>
      <c r="BL3" s="57" t="s">
        <v>60</v>
      </c>
      <c r="BM3" s="57" t="s">
        <v>61</v>
      </c>
      <c r="BN3" s="57" t="s">
        <v>62</v>
      </c>
      <c r="BO3" s="57" t="s">
        <v>63</v>
      </c>
      <c r="BP3" s="57" t="s">
        <v>64</v>
      </c>
      <c r="BQ3" s="57" t="s">
        <v>65</v>
      </c>
      <c r="BR3" s="57" t="s">
        <v>66</v>
      </c>
      <c r="BS3" s="57" t="s">
        <v>67</v>
      </c>
      <c r="BT3" s="57" t="s">
        <v>68</v>
      </c>
      <c r="BU3" s="57" t="s">
        <v>69</v>
      </c>
      <c r="BV3" s="57" t="s">
        <v>70</v>
      </c>
      <c r="BW3" s="57" t="s">
        <v>71</v>
      </c>
      <c r="BX3" s="57" t="s">
        <v>72</v>
      </c>
      <c r="BY3" s="57" t="s">
        <v>73</v>
      </c>
      <c r="BZ3" s="57" t="s">
        <v>74</v>
      </c>
      <c r="CA3" s="57" t="s">
        <v>75</v>
      </c>
      <c r="CB3" s="57" t="s">
        <v>76</v>
      </c>
      <c r="CC3" s="57" t="s">
        <v>77</v>
      </c>
      <c r="CD3" s="57" t="s">
        <v>78</v>
      </c>
      <c r="CE3" s="57" t="s">
        <v>79</v>
      </c>
      <c r="CF3" s="57" t="s">
        <v>80</v>
      </c>
      <c r="CG3" s="57" t="s">
        <v>81</v>
      </c>
      <c r="CH3" s="57" t="s">
        <v>82</v>
      </c>
      <c r="CI3" s="57" t="s">
        <v>83</v>
      </c>
      <c r="CJ3" s="57" t="s">
        <v>84</v>
      </c>
      <c r="CK3" s="57" t="s">
        <v>85</v>
      </c>
      <c r="CL3" s="57" t="s">
        <v>86</v>
      </c>
      <c r="CM3" s="57" t="s">
        <v>87</v>
      </c>
      <c r="CN3" s="57" t="s">
        <v>88</v>
      </c>
      <c r="CO3" s="57" t="s">
        <v>89</v>
      </c>
      <c r="CP3" s="57" t="s">
        <v>90</v>
      </c>
      <c r="CQ3" s="57" t="s">
        <v>91</v>
      </c>
      <c r="CR3" s="57" t="s">
        <v>92</v>
      </c>
      <c r="CS3" s="57" t="s">
        <v>93</v>
      </c>
      <c r="CT3" s="57" t="s">
        <v>94</v>
      </c>
      <c r="CU3" s="57" t="s">
        <v>95</v>
      </c>
      <c r="CV3" s="57" t="s">
        <v>96</v>
      </c>
      <c r="CW3" s="57" t="s">
        <v>97</v>
      </c>
      <c r="CX3" s="57" t="s">
        <v>98</v>
      </c>
      <c r="CY3" s="57" t="s">
        <v>99</v>
      </c>
      <c r="CZ3" s="57" t="s">
        <v>100</v>
      </c>
      <c r="DA3" s="57" t="s">
        <v>101</v>
      </c>
      <c r="DB3" s="57" t="s">
        <v>102</v>
      </c>
      <c r="DC3" s="57" t="s">
        <v>103</v>
      </c>
      <c r="DD3" s="57" t="s">
        <v>104</v>
      </c>
      <c r="DE3" s="57" t="s">
        <v>105</v>
      </c>
      <c r="DF3" s="57" t="s">
        <v>106</v>
      </c>
      <c r="DG3" s="57" t="s">
        <v>107</v>
      </c>
      <c r="DH3" s="57" t="s">
        <v>108</v>
      </c>
      <c r="DI3" s="57" t="s">
        <v>109</v>
      </c>
      <c r="DJ3" s="57" t="s">
        <v>110</v>
      </c>
      <c r="DK3" s="57" t="s">
        <v>111</v>
      </c>
      <c r="DL3" s="57" t="s">
        <v>112</v>
      </c>
      <c r="DM3" s="57" t="s">
        <v>113</v>
      </c>
      <c r="DN3" s="57" t="s">
        <v>114</v>
      </c>
      <c r="DO3" s="57" t="s">
        <v>115</v>
      </c>
      <c r="DP3" s="57" t="s">
        <v>116</v>
      </c>
      <c r="DQ3" s="57" t="s">
        <v>117</v>
      </c>
      <c r="DR3" s="57" t="s">
        <v>118</v>
      </c>
      <c r="DS3" s="57" t="s">
        <v>119</v>
      </c>
      <c r="DT3" s="57" t="s">
        <v>120</v>
      </c>
      <c r="DU3" s="57" t="s">
        <v>121</v>
      </c>
      <c r="DV3" s="57" t="s">
        <v>122</v>
      </c>
      <c r="DW3" s="57" t="s">
        <v>123</v>
      </c>
      <c r="DX3" s="57" t="s">
        <v>124</v>
      </c>
      <c r="DY3" s="57" t="s">
        <v>145</v>
      </c>
      <c r="DZ3" s="57" t="s">
        <v>148</v>
      </c>
      <c r="EA3" s="57" t="s">
        <v>149</v>
      </c>
      <c r="EB3" s="57" t="s">
        <v>146</v>
      </c>
      <c r="EC3" s="57" t="s">
        <v>147</v>
      </c>
      <c r="ED3" s="57" t="s">
        <v>150</v>
      </c>
      <c r="EE3" s="57" t="s">
        <v>152</v>
      </c>
      <c r="EF3" s="57" t="s">
        <v>153</v>
      </c>
      <c r="EG3" s="57" t="s">
        <v>154</v>
      </c>
      <c r="EH3" s="57" t="s">
        <v>155</v>
      </c>
      <c r="EI3" s="57" t="s">
        <v>156</v>
      </c>
      <c r="EJ3" s="57" t="s">
        <v>157</v>
      </c>
      <c r="EK3" s="57" t="s">
        <v>158</v>
      </c>
      <c r="EL3" s="57" t="s">
        <v>159</v>
      </c>
      <c r="EM3" s="57" t="s">
        <v>160</v>
      </c>
      <c r="EN3" s="57" t="s">
        <v>161</v>
      </c>
      <c r="EO3" s="57" t="s">
        <v>162</v>
      </c>
      <c r="EP3" s="57" t="s">
        <v>163</v>
      </c>
      <c r="EQ3" s="57" t="s">
        <v>372</v>
      </c>
      <c r="ER3" s="57" t="s">
        <v>466</v>
      </c>
      <c r="ES3" s="57" t="s">
        <v>467</v>
      </c>
      <c r="ET3" s="57" t="s">
        <v>164</v>
      </c>
      <c r="EU3" s="57" t="s">
        <v>165</v>
      </c>
      <c r="EV3" s="57" t="s">
        <v>166</v>
      </c>
      <c r="EW3" s="57" t="s">
        <v>167</v>
      </c>
      <c r="EX3" s="57" t="s">
        <v>168</v>
      </c>
      <c r="EY3" s="57" t="s">
        <v>169</v>
      </c>
      <c r="EZ3" s="57" t="s">
        <v>170</v>
      </c>
      <c r="FA3" s="57" t="s">
        <v>171</v>
      </c>
      <c r="FB3" s="57" t="s">
        <v>172</v>
      </c>
      <c r="FC3" s="57" t="s">
        <v>173</v>
      </c>
      <c r="FD3" s="57" t="s">
        <v>174</v>
      </c>
      <c r="FE3" s="57" t="s">
        <v>175</v>
      </c>
      <c r="FF3" s="57" t="s">
        <v>176</v>
      </c>
      <c r="FG3" s="57" t="s">
        <v>371</v>
      </c>
      <c r="FH3" s="57" t="s">
        <v>468</v>
      </c>
      <c r="FI3" s="57" t="s">
        <v>469</v>
      </c>
      <c r="FJ3" s="57" t="s">
        <v>177</v>
      </c>
      <c r="FK3" s="57" t="s">
        <v>245</v>
      </c>
      <c r="FL3" s="57" t="s">
        <v>246</v>
      </c>
      <c r="FM3" s="57" t="s">
        <v>248</v>
      </c>
    </row>
    <row r="4" spans="1:169" x14ac:dyDescent="0.25">
      <c r="A4" s="53">
        <v>40350</v>
      </c>
      <c r="B4" s="53" t="s">
        <v>133</v>
      </c>
      <c r="C4" s="53" t="s">
        <v>131</v>
      </c>
      <c r="D4" s="53" t="s">
        <v>324</v>
      </c>
      <c r="E4" s="54"/>
      <c r="F4" s="58"/>
      <c r="G4" s="59" t="s">
        <v>321</v>
      </c>
      <c r="H4" s="6">
        <v>0</v>
      </c>
      <c r="I4" s="6">
        <v>0</v>
      </c>
      <c r="J4" s="60">
        <v>3</v>
      </c>
      <c r="K4" s="6">
        <v>4</v>
      </c>
      <c r="L4" s="6">
        <v>1</v>
      </c>
      <c r="M4" s="6">
        <v>1</v>
      </c>
      <c r="N4" s="6">
        <v>0</v>
      </c>
      <c r="O4" s="6">
        <v>3</v>
      </c>
      <c r="P4" s="6">
        <v>0</v>
      </c>
      <c r="Q4" s="6">
        <v>0</v>
      </c>
      <c r="R4" s="6">
        <v>13</v>
      </c>
      <c r="S4" s="6"/>
      <c r="T4" s="6"/>
      <c r="U4" s="6">
        <v>0</v>
      </c>
      <c r="V4" s="61">
        <v>0</v>
      </c>
      <c r="W4" s="62">
        <v>0</v>
      </c>
      <c r="X4" s="62">
        <v>1</v>
      </c>
      <c r="Y4" s="62">
        <v>0</v>
      </c>
      <c r="Z4" s="62">
        <v>0</v>
      </c>
      <c r="AA4" s="62">
        <v>0</v>
      </c>
      <c r="AB4" s="63">
        <f>5+1/3</f>
        <v>5.333333333333333</v>
      </c>
      <c r="AC4" s="62">
        <v>6</v>
      </c>
      <c r="AD4" s="62">
        <v>7</v>
      </c>
      <c r="AE4" s="62">
        <v>6</v>
      </c>
      <c r="AF4" s="62">
        <v>1</v>
      </c>
      <c r="AG4" s="62">
        <v>0</v>
      </c>
      <c r="AH4" s="62">
        <v>2</v>
      </c>
      <c r="AI4" s="62">
        <v>0</v>
      </c>
      <c r="AJ4" s="62">
        <v>24</v>
      </c>
      <c r="AK4" s="62"/>
      <c r="AL4" s="62"/>
      <c r="AM4" s="1" t="s">
        <v>454</v>
      </c>
      <c r="AN4" s="78">
        <v>5</v>
      </c>
      <c r="AO4" s="78">
        <v>1</v>
      </c>
      <c r="AP4" s="78">
        <v>3</v>
      </c>
      <c r="AQ4" s="78">
        <v>2</v>
      </c>
      <c r="AR4" s="78">
        <v>0</v>
      </c>
      <c r="AS4" s="78">
        <v>0</v>
      </c>
      <c r="AT4" s="78">
        <v>0</v>
      </c>
      <c r="AU4" s="78">
        <v>0</v>
      </c>
      <c r="AV4" s="76">
        <v>4</v>
      </c>
      <c r="AW4" s="1" t="s">
        <v>457</v>
      </c>
      <c r="AX4" s="78">
        <v>5</v>
      </c>
      <c r="AY4" s="78">
        <v>1</v>
      </c>
      <c r="AZ4" s="78">
        <v>4</v>
      </c>
      <c r="BA4" s="78">
        <v>1</v>
      </c>
      <c r="BB4" s="78">
        <v>0</v>
      </c>
      <c r="BC4" s="78">
        <v>1</v>
      </c>
      <c r="BD4" s="78">
        <v>0</v>
      </c>
      <c r="BE4" s="78">
        <v>0</v>
      </c>
      <c r="BF4" s="76">
        <v>5</v>
      </c>
      <c r="BG4" s="1" t="s">
        <v>442</v>
      </c>
      <c r="BH4" s="78">
        <v>4</v>
      </c>
      <c r="BI4" s="78">
        <v>0</v>
      </c>
      <c r="BJ4" s="78">
        <v>2</v>
      </c>
      <c r="BK4" s="78">
        <v>1</v>
      </c>
      <c r="BL4" s="78">
        <v>0</v>
      </c>
      <c r="BM4" s="78">
        <v>0</v>
      </c>
      <c r="BN4" s="78">
        <v>0</v>
      </c>
      <c r="BO4" s="78">
        <v>1</v>
      </c>
      <c r="BP4" s="76">
        <v>2</v>
      </c>
      <c r="BQ4" s="1" t="s">
        <v>459</v>
      </c>
      <c r="BR4" s="78">
        <v>4</v>
      </c>
      <c r="BS4" s="78">
        <v>0</v>
      </c>
      <c r="BT4" s="78">
        <v>1</v>
      </c>
      <c r="BU4" s="78">
        <v>1</v>
      </c>
      <c r="BV4" s="78">
        <v>0</v>
      </c>
      <c r="BW4" s="78">
        <v>2</v>
      </c>
      <c r="BX4" s="78">
        <v>1</v>
      </c>
      <c r="BY4" s="78">
        <v>0</v>
      </c>
      <c r="BZ4" s="76">
        <v>1</v>
      </c>
      <c r="CA4" s="1" t="s">
        <v>313</v>
      </c>
      <c r="CB4" s="78">
        <v>3</v>
      </c>
      <c r="CC4" s="78">
        <v>1</v>
      </c>
      <c r="CD4" s="78">
        <v>0</v>
      </c>
      <c r="CE4" s="78">
        <v>0</v>
      </c>
      <c r="CF4" s="78">
        <v>1</v>
      </c>
      <c r="CG4" s="78">
        <v>0</v>
      </c>
      <c r="CH4" s="78">
        <v>0</v>
      </c>
      <c r="CI4" s="78">
        <v>0</v>
      </c>
      <c r="CJ4" s="76">
        <v>0</v>
      </c>
      <c r="CK4" s="1" t="s">
        <v>320</v>
      </c>
      <c r="CL4" s="78">
        <v>4</v>
      </c>
      <c r="CM4" s="78">
        <v>1</v>
      </c>
      <c r="CN4" s="78">
        <v>1</v>
      </c>
      <c r="CO4" s="78">
        <v>1</v>
      </c>
      <c r="CP4" s="78">
        <v>0</v>
      </c>
      <c r="CQ4" s="78">
        <v>1</v>
      </c>
      <c r="CR4" s="78">
        <v>0</v>
      </c>
      <c r="CS4" s="78">
        <v>0</v>
      </c>
      <c r="CT4" s="76">
        <v>2</v>
      </c>
      <c r="CU4" s="1" t="s">
        <v>318</v>
      </c>
      <c r="CV4" s="78">
        <v>4</v>
      </c>
      <c r="CW4" s="78">
        <v>1</v>
      </c>
      <c r="CX4" s="78">
        <v>1</v>
      </c>
      <c r="CY4" s="78">
        <v>0</v>
      </c>
      <c r="CZ4" s="78">
        <v>0</v>
      </c>
      <c r="DA4" s="78">
        <v>2</v>
      </c>
      <c r="DB4" s="78">
        <v>0</v>
      </c>
      <c r="DC4" s="78">
        <v>0</v>
      </c>
      <c r="DD4" s="76">
        <v>1</v>
      </c>
      <c r="DE4" s="1" t="s">
        <v>319</v>
      </c>
      <c r="DF4" s="78">
        <v>3</v>
      </c>
      <c r="DG4" s="78">
        <v>0</v>
      </c>
      <c r="DH4" s="78">
        <v>0</v>
      </c>
      <c r="DI4" s="78">
        <v>0</v>
      </c>
      <c r="DJ4" s="78">
        <v>1</v>
      </c>
      <c r="DK4" s="78">
        <v>0</v>
      </c>
      <c r="DL4" s="78">
        <v>0</v>
      </c>
      <c r="DM4" s="78">
        <v>0</v>
      </c>
      <c r="DN4" s="76">
        <v>0</v>
      </c>
      <c r="DO4" s="1" t="s">
        <v>463</v>
      </c>
      <c r="DP4" s="78">
        <v>3</v>
      </c>
      <c r="DQ4" s="78">
        <v>1</v>
      </c>
      <c r="DR4" s="78">
        <v>0</v>
      </c>
      <c r="DS4" s="78">
        <v>0</v>
      </c>
      <c r="DT4" s="78">
        <v>0</v>
      </c>
      <c r="DU4" s="78">
        <v>1</v>
      </c>
      <c r="DV4" s="78">
        <v>1</v>
      </c>
      <c r="DW4" s="78">
        <v>0</v>
      </c>
      <c r="DX4" s="76">
        <v>0</v>
      </c>
      <c r="DY4" s="77">
        <v>0</v>
      </c>
      <c r="DZ4" s="43">
        <v>0</v>
      </c>
      <c r="EA4" s="43">
        <v>0</v>
      </c>
      <c r="EB4" s="45">
        <v>9</v>
      </c>
      <c r="EC4" s="43">
        <v>0</v>
      </c>
      <c r="ED4" s="44">
        <v>2</v>
      </c>
      <c r="EE4" s="71">
        <v>0</v>
      </c>
      <c r="EF4" s="43">
        <v>6</v>
      </c>
      <c r="EG4" s="43">
        <v>0</v>
      </c>
      <c r="EH4" s="43">
        <v>0</v>
      </c>
      <c r="EI4" s="43">
        <v>0</v>
      </c>
      <c r="EJ4" s="43">
        <v>0</v>
      </c>
      <c r="EK4" s="43">
        <v>0</v>
      </c>
      <c r="EL4" s="43">
        <v>0</v>
      </c>
      <c r="EM4" s="43">
        <v>0</v>
      </c>
      <c r="EN4" s="43"/>
      <c r="EO4" s="43"/>
      <c r="EP4" s="43"/>
      <c r="EQ4" s="43"/>
      <c r="ER4" s="43"/>
      <c r="ES4" s="43"/>
      <c r="ET4" s="44">
        <f t="shared" ref="ET4:ET21" si="0">SUM(EE4:ES4)</f>
        <v>6</v>
      </c>
      <c r="EU4" s="43">
        <v>0</v>
      </c>
      <c r="EV4" s="43">
        <v>1</v>
      </c>
      <c r="EW4" s="43">
        <v>0</v>
      </c>
      <c r="EX4" s="43">
        <v>2</v>
      </c>
      <c r="EY4" s="43">
        <v>0</v>
      </c>
      <c r="EZ4" s="43">
        <v>1</v>
      </c>
      <c r="FA4" s="43">
        <v>1</v>
      </c>
      <c r="FB4" s="43">
        <v>0</v>
      </c>
      <c r="FC4" s="43">
        <v>3</v>
      </c>
      <c r="FD4" s="43"/>
      <c r="FE4" s="43"/>
      <c r="FF4" s="43"/>
      <c r="FG4" s="43"/>
      <c r="FH4" s="43"/>
      <c r="FI4" s="43"/>
      <c r="FJ4" s="43">
        <f t="shared" ref="FJ4:FJ21" si="1">SUM(EU4:FI4)</f>
        <v>8</v>
      </c>
      <c r="FK4" s="73">
        <f t="shared" ref="FK4:FK15" si="2">((SUM(L4,AD4))-(FJ4))</f>
        <v>0</v>
      </c>
      <c r="FL4" s="73">
        <f t="shared" ref="FL4:FL15" si="3">((SUM(AO4,AY4,BI4,BS4,CC4,CM4,CW4,DG4,DQ4))-(ET4))</f>
        <v>0</v>
      </c>
      <c r="FM4" s="38"/>
    </row>
    <row r="5" spans="1:169" x14ac:dyDescent="0.25">
      <c r="A5" s="53">
        <v>40351</v>
      </c>
      <c r="B5" s="53" t="s">
        <v>19</v>
      </c>
      <c r="C5" s="53" t="s">
        <v>131</v>
      </c>
      <c r="D5" s="53" t="s">
        <v>324</v>
      </c>
      <c r="E5" s="54"/>
      <c r="F5" s="58"/>
      <c r="G5" s="59" t="s">
        <v>327</v>
      </c>
      <c r="H5" s="6">
        <v>0</v>
      </c>
      <c r="I5" s="6">
        <v>1</v>
      </c>
      <c r="J5" s="60">
        <v>5</v>
      </c>
      <c r="K5" s="6">
        <v>6</v>
      </c>
      <c r="L5" s="6">
        <v>6</v>
      </c>
      <c r="M5" s="6">
        <v>6</v>
      </c>
      <c r="N5" s="6">
        <v>3</v>
      </c>
      <c r="O5" s="6">
        <v>2</v>
      </c>
      <c r="P5" s="6">
        <v>1</v>
      </c>
      <c r="Q5" s="6">
        <v>1</v>
      </c>
      <c r="R5" s="6">
        <v>24</v>
      </c>
      <c r="S5" s="6"/>
      <c r="T5" s="6"/>
      <c r="U5" s="6">
        <v>0</v>
      </c>
      <c r="V5" s="61">
        <v>0</v>
      </c>
      <c r="W5" s="62">
        <v>0</v>
      </c>
      <c r="X5" s="62">
        <v>0</v>
      </c>
      <c r="Y5" s="62">
        <v>0</v>
      </c>
      <c r="Z5" s="62">
        <v>0</v>
      </c>
      <c r="AA5" s="62">
        <v>0</v>
      </c>
      <c r="AB5" s="63">
        <v>4</v>
      </c>
      <c r="AC5" s="62">
        <v>4</v>
      </c>
      <c r="AD5" s="62">
        <v>2</v>
      </c>
      <c r="AE5" s="62">
        <v>0</v>
      </c>
      <c r="AF5" s="62">
        <v>2</v>
      </c>
      <c r="AG5" s="62">
        <v>1</v>
      </c>
      <c r="AH5" s="62">
        <v>0</v>
      </c>
      <c r="AI5" s="62">
        <v>0</v>
      </c>
      <c r="AJ5" s="62">
        <v>19</v>
      </c>
      <c r="AK5" s="62"/>
      <c r="AL5" s="62"/>
      <c r="AM5" s="1" t="s">
        <v>454</v>
      </c>
      <c r="AN5" s="78">
        <v>2</v>
      </c>
      <c r="AO5" s="78">
        <v>1</v>
      </c>
      <c r="AP5" s="78">
        <v>0</v>
      </c>
      <c r="AQ5" s="78">
        <v>1</v>
      </c>
      <c r="AR5" s="78">
        <v>1</v>
      </c>
      <c r="AS5" s="78">
        <v>2</v>
      </c>
      <c r="AT5" s="78">
        <v>0</v>
      </c>
      <c r="AU5" s="78">
        <v>1</v>
      </c>
      <c r="AV5" s="76">
        <v>0</v>
      </c>
      <c r="AW5" s="1" t="s">
        <v>457</v>
      </c>
      <c r="AX5" s="78">
        <v>4</v>
      </c>
      <c r="AY5" s="78">
        <v>0</v>
      </c>
      <c r="AZ5" s="78">
        <v>1</v>
      </c>
      <c r="BA5" s="78">
        <v>1</v>
      </c>
      <c r="BB5" s="78">
        <v>0</v>
      </c>
      <c r="BC5" s="78">
        <v>0</v>
      </c>
      <c r="BD5" s="78">
        <v>0</v>
      </c>
      <c r="BE5" s="78">
        <v>0</v>
      </c>
      <c r="BF5" s="76">
        <v>3</v>
      </c>
      <c r="BG5" s="1" t="s">
        <v>458</v>
      </c>
      <c r="BH5" s="78">
        <v>4</v>
      </c>
      <c r="BI5" s="78">
        <v>0</v>
      </c>
      <c r="BJ5" s="78">
        <v>1</v>
      </c>
      <c r="BK5" s="78">
        <v>1</v>
      </c>
      <c r="BL5" s="78">
        <v>0</v>
      </c>
      <c r="BM5" s="78">
        <v>0</v>
      </c>
      <c r="BN5" s="78">
        <v>0</v>
      </c>
      <c r="BO5" s="78">
        <v>0</v>
      </c>
      <c r="BP5" s="76">
        <v>1</v>
      </c>
      <c r="BQ5" s="1" t="s">
        <v>313</v>
      </c>
      <c r="BR5" s="78">
        <v>4</v>
      </c>
      <c r="BS5" s="78">
        <v>0</v>
      </c>
      <c r="BT5" s="78">
        <v>0</v>
      </c>
      <c r="BU5" s="78">
        <v>0</v>
      </c>
      <c r="BV5" s="78">
        <v>0</v>
      </c>
      <c r="BW5" s="78">
        <v>0</v>
      </c>
      <c r="BX5" s="78">
        <v>0</v>
      </c>
      <c r="BY5" s="78">
        <v>0</v>
      </c>
      <c r="BZ5" s="76">
        <v>0</v>
      </c>
      <c r="CA5" s="1" t="s">
        <v>461</v>
      </c>
      <c r="CB5" s="78">
        <v>4</v>
      </c>
      <c r="CC5" s="78">
        <v>0</v>
      </c>
      <c r="CD5" s="78">
        <v>1</v>
      </c>
      <c r="CE5" s="78">
        <v>0</v>
      </c>
      <c r="CF5" s="78">
        <v>0</v>
      </c>
      <c r="CG5" s="78">
        <v>1</v>
      </c>
      <c r="CH5" s="78">
        <v>0</v>
      </c>
      <c r="CI5" s="78">
        <v>0</v>
      </c>
      <c r="CJ5" s="76">
        <v>1</v>
      </c>
      <c r="CK5" s="1" t="s">
        <v>318</v>
      </c>
      <c r="CL5" s="78">
        <v>4</v>
      </c>
      <c r="CM5" s="78">
        <v>0</v>
      </c>
      <c r="CN5" s="78">
        <v>2</v>
      </c>
      <c r="CO5" s="78">
        <v>0</v>
      </c>
      <c r="CP5" s="78">
        <v>0</v>
      </c>
      <c r="CQ5" s="78">
        <v>1</v>
      </c>
      <c r="CR5" s="78">
        <v>0</v>
      </c>
      <c r="CS5" s="78">
        <v>0</v>
      </c>
      <c r="CT5" s="76">
        <v>2</v>
      </c>
      <c r="CU5" s="1" t="s">
        <v>314</v>
      </c>
      <c r="CV5" s="78">
        <v>4</v>
      </c>
      <c r="CW5" s="78">
        <v>0</v>
      </c>
      <c r="CX5" s="78">
        <v>0</v>
      </c>
      <c r="CY5" s="78">
        <v>0</v>
      </c>
      <c r="CZ5" s="78">
        <v>0</v>
      </c>
      <c r="DA5" s="78">
        <v>1</v>
      </c>
      <c r="DB5" s="78">
        <v>0</v>
      </c>
      <c r="DC5" s="78">
        <v>0</v>
      </c>
      <c r="DD5" s="76">
        <v>0</v>
      </c>
      <c r="DE5" s="1" t="s">
        <v>319</v>
      </c>
      <c r="DF5" s="78">
        <v>4</v>
      </c>
      <c r="DG5" s="78">
        <v>0</v>
      </c>
      <c r="DH5" s="78">
        <v>0</v>
      </c>
      <c r="DI5" s="78">
        <v>0</v>
      </c>
      <c r="DJ5" s="78">
        <v>0</v>
      </c>
      <c r="DK5" s="78">
        <v>1</v>
      </c>
      <c r="DL5" s="78">
        <v>0</v>
      </c>
      <c r="DM5" s="78">
        <v>0</v>
      </c>
      <c r="DN5" s="76">
        <v>0</v>
      </c>
      <c r="DO5" s="1" t="s">
        <v>463</v>
      </c>
      <c r="DP5" s="78">
        <v>2</v>
      </c>
      <c r="DQ5" s="78">
        <v>2</v>
      </c>
      <c r="DR5" s="78">
        <v>0</v>
      </c>
      <c r="DS5" s="78">
        <v>0</v>
      </c>
      <c r="DT5" s="78">
        <v>1</v>
      </c>
      <c r="DU5" s="78">
        <v>1</v>
      </c>
      <c r="DV5" s="78">
        <v>0</v>
      </c>
      <c r="DW5" s="78">
        <v>0</v>
      </c>
      <c r="DX5" s="76">
        <v>0</v>
      </c>
      <c r="DY5" s="77">
        <v>0</v>
      </c>
      <c r="DZ5" s="43">
        <v>0</v>
      </c>
      <c r="EA5" s="43">
        <v>0</v>
      </c>
      <c r="EB5" s="45">
        <v>9</v>
      </c>
      <c r="EC5" s="43">
        <v>0</v>
      </c>
      <c r="ED5" s="44">
        <v>0</v>
      </c>
      <c r="EE5" s="71">
        <v>1</v>
      </c>
      <c r="EF5" s="43">
        <v>0</v>
      </c>
      <c r="EG5" s="43">
        <v>1</v>
      </c>
      <c r="EH5" s="43">
        <v>0</v>
      </c>
      <c r="EI5" s="43">
        <v>0</v>
      </c>
      <c r="EJ5" s="43">
        <v>0</v>
      </c>
      <c r="EK5" s="43">
        <v>0</v>
      </c>
      <c r="EL5" s="43">
        <v>1</v>
      </c>
      <c r="EM5" s="43">
        <v>0</v>
      </c>
      <c r="EN5" s="43"/>
      <c r="EO5" s="43"/>
      <c r="EP5" s="43"/>
      <c r="EQ5" s="43"/>
      <c r="ER5" s="43"/>
      <c r="ES5" s="43"/>
      <c r="ET5" s="44">
        <f t="shared" si="0"/>
        <v>3</v>
      </c>
      <c r="EU5" s="43">
        <v>2</v>
      </c>
      <c r="EV5" s="43">
        <v>1</v>
      </c>
      <c r="EW5" s="43">
        <v>2</v>
      </c>
      <c r="EX5" s="43">
        <v>0</v>
      </c>
      <c r="EY5" s="43">
        <v>1</v>
      </c>
      <c r="EZ5" s="43">
        <v>0</v>
      </c>
      <c r="FA5" s="43">
        <v>0</v>
      </c>
      <c r="FB5" s="43">
        <v>1</v>
      </c>
      <c r="FC5" s="43">
        <v>1</v>
      </c>
      <c r="FD5" s="43"/>
      <c r="FE5" s="43"/>
      <c r="FF5" s="43"/>
      <c r="FG5" s="43"/>
      <c r="FH5" s="43"/>
      <c r="FI5" s="43"/>
      <c r="FJ5" s="43">
        <f t="shared" si="1"/>
        <v>8</v>
      </c>
      <c r="FK5" s="73">
        <f t="shared" si="2"/>
        <v>0</v>
      </c>
      <c r="FL5" s="73">
        <f t="shared" si="3"/>
        <v>0</v>
      </c>
      <c r="FM5" s="38"/>
    </row>
    <row r="6" spans="1:169" x14ac:dyDescent="0.25">
      <c r="A6" s="53">
        <v>40352</v>
      </c>
      <c r="B6" s="53" t="s">
        <v>133</v>
      </c>
      <c r="C6" s="53" t="s">
        <v>129</v>
      </c>
      <c r="D6" s="53" t="s">
        <v>322</v>
      </c>
      <c r="E6" s="54"/>
      <c r="F6" s="58"/>
      <c r="G6" s="59" t="s">
        <v>456</v>
      </c>
      <c r="H6" s="6">
        <v>0</v>
      </c>
      <c r="I6" s="6">
        <v>0</v>
      </c>
      <c r="J6" s="60">
        <f>1+2/3</f>
        <v>1.6666666666666665</v>
      </c>
      <c r="K6" s="6">
        <v>2</v>
      </c>
      <c r="L6" s="6">
        <v>2</v>
      </c>
      <c r="M6" s="6">
        <v>2</v>
      </c>
      <c r="N6" s="6">
        <v>1</v>
      </c>
      <c r="O6" s="6">
        <v>1</v>
      </c>
      <c r="P6" s="6">
        <v>1</v>
      </c>
      <c r="Q6" s="6">
        <v>1</v>
      </c>
      <c r="R6" s="6">
        <v>8</v>
      </c>
      <c r="S6" s="6"/>
      <c r="T6" s="6"/>
      <c r="U6" s="6">
        <v>0</v>
      </c>
      <c r="V6" s="61">
        <v>0</v>
      </c>
      <c r="W6" s="62">
        <v>1</v>
      </c>
      <c r="X6" s="62">
        <v>0</v>
      </c>
      <c r="Y6" s="62">
        <v>0</v>
      </c>
      <c r="Z6" s="62">
        <v>1</v>
      </c>
      <c r="AA6" s="62">
        <v>0</v>
      </c>
      <c r="AB6" s="63">
        <f>7+1/3</f>
        <v>7.333333333333333</v>
      </c>
      <c r="AC6" s="62">
        <v>9</v>
      </c>
      <c r="AD6" s="62">
        <v>2</v>
      </c>
      <c r="AE6" s="62">
        <v>2</v>
      </c>
      <c r="AF6" s="62">
        <v>2</v>
      </c>
      <c r="AG6" s="62">
        <v>6</v>
      </c>
      <c r="AH6" s="62">
        <v>0</v>
      </c>
      <c r="AI6" s="62">
        <v>0</v>
      </c>
      <c r="AJ6" s="62">
        <v>31</v>
      </c>
      <c r="AK6" s="62"/>
      <c r="AL6" s="62"/>
      <c r="AM6" s="1" t="s">
        <v>454</v>
      </c>
      <c r="AN6" s="78">
        <v>5</v>
      </c>
      <c r="AO6" s="78">
        <v>1</v>
      </c>
      <c r="AP6" s="78">
        <v>1</v>
      </c>
      <c r="AQ6" s="78">
        <v>0</v>
      </c>
      <c r="AR6" s="78">
        <v>0</v>
      </c>
      <c r="AS6" s="78">
        <v>2</v>
      </c>
      <c r="AT6" s="78">
        <v>0</v>
      </c>
      <c r="AU6" s="78">
        <v>0</v>
      </c>
      <c r="AV6" s="76">
        <v>2</v>
      </c>
      <c r="AW6" s="1" t="s">
        <v>457</v>
      </c>
      <c r="AX6" s="78">
        <v>5</v>
      </c>
      <c r="AY6" s="78">
        <v>1</v>
      </c>
      <c r="AZ6" s="78">
        <v>2</v>
      </c>
      <c r="BA6" s="78">
        <v>1</v>
      </c>
      <c r="BB6" s="78">
        <v>0</v>
      </c>
      <c r="BC6" s="78">
        <v>1</v>
      </c>
      <c r="BD6" s="78">
        <v>0</v>
      </c>
      <c r="BE6" s="78">
        <v>0</v>
      </c>
      <c r="BF6" s="76">
        <v>2</v>
      </c>
      <c r="BG6" s="1" t="s">
        <v>442</v>
      </c>
      <c r="BH6" s="78">
        <v>4</v>
      </c>
      <c r="BI6" s="78">
        <v>1</v>
      </c>
      <c r="BJ6" s="78">
        <v>1</v>
      </c>
      <c r="BK6" s="78">
        <v>0</v>
      </c>
      <c r="BL6" s="78">
        <v>0</v>
      </c>
      <c r="BM6" s="78">
        <v>0</v>
      </c>
      <c r="BN6" s="78">
        <v>1</v>
      </c>
      <c r="BO6" s="78">
        <v>0</v>
      </c>
      <c r="BP6" s="76">
        <v>1</v>
      </c>
      <c r="BQ6" s="1" t="s">
        <v>459</v>
      </c>
      <c r="BR6" s="78">
        <v>4</v>
      </c>
      <c r="BS6" s="78">
        <v>2</v>
      </c>
      <c r="BT6" s="78">
        <v>3</v>
      </c>
      <c r="BU6" s="78">
        <v>1</v>
      </c>
      <c r="BV6" s="78">
        <v>1</v>
      </c>
      <c r="BW6" s="78">
        <v>0</v>
      </c>
      <c r="BX6" s="78">
        <v>0</v>
      </c>
      <c r="BY6" s="78">
        <v>0</v>
      </c>
      <c r="BZ6" s="76">
        <v>4</v>
      </c>
      <c r="CA6" s="1" t="s">
        <v>320</v>
      </c>
      <c r="CB6" s="78">
        <v>5</v>
      </c>
      <c r="CC6" s="78">
        <v>1</v>
      </c>
      <c r="CD6" s="78">
        <v>1</v>
      </c>
      <c r="CE6" s="78">
        <v>2</v>
      </c>
      <c r="CF6" s="78">
        <v>0</v>
      </c>
      <c r="CG6" s="78">
        <v>3</v>
      </c>
      <c r="CH6" s="78">
        <v>0</v>
      </c>
      <c r="CI6" s="78">
        <v>0</v>
      </c>
      <c r="CJ6" s="76">
        <v>4</v>
      </c>
      <c r="CK6" s="1" t="s">
        <v>461</v>
      </c>
      <c r="CL6" s="78">
        <v>3</v>
      </c>
      <c r="CM6" s="78">
        <v>1</v>
      </c>
      <c r="CN6" s="78">
        <v>1</v>
      </c>
      <c r="CO6" s="78">
        <v>0</v>
      </c>
      <c r="CP6" s="78">
        <v>0</v>
      </c>
      <c r="CQ6" s="78">
        <v>1</v>
      </c>
      <c r="CR6" s="78">
        <v>1</v>
      </c>
      <c r="CS6" s="78">
        <v>0</v>
      </c>
      <c r="CT6" s="76">
        <v>1</v>
      </c>
      <c r="CU6" s="1" t="s">
        <v>462</v>
      </c>
      <c r="CV6" s="78">
        <v>3</v>
      </c>
      <c r="CW6" s="78">
        <v>0</v>
      </c>
      <c r="CX6" s="78">
        <v>1</v>
      </c>
      <c r="CY6" s="78">
        <v>1</v>
      </c>
      <c r="CZ6" s="78">
        <v>0</v>
      </c>
      <c r="DA6" s="78">
        <v>2</v>
      </c>
      <c r="DB6" s="78">
        <v>0</v>
      </c>
      <c r="DC6" s="78">
        <v>0</v>
      </c>
      <c r="DD6" s="76">
        <v>1</v>
      </c>
      <c r="DE6" s="1" t="s">
        <v>319</v>
      </c>
      <c r="DF6" s="78">
        <v>4</v>
      </c>
      <c r="DG6" s="78">
        <v>0</v>
      </c>
      <c r="DH6" s="78">
        <v>1</v>
      </c>
      <c r="DI6" s="78">
        <v>0</v>
      </c>
      <c r="DJ6" s="78">
        <v>0</v>
      </c>
      <c r="DK6" s="78">
        <v>1</v>
      </c>
      <c r="DL6" s="78">
        <v>0</v>
      </c>
      <c r="DM6" s="78">
        <v>0</v>
      </c>
      <c r="DN6" s="76">
        <v>2</v>
      </c>
      <c r="DO6" s="1" t="s">
        <v>314</v>
      </c>
      <c r="DP6" s="78">
        <v>4</v>
      </c>
      <c r="DQ6" s="78">
        <v>0</v>
      </c>
      <c r="DR6" s="78">
        <v>1</v>
      </c>
      <c r="DS6" s="78">
        <v>1</v>
      </c>
      <c r="DT6" s="78">
        <v>0</v>
      </c>
      <c r="DU6" s="78">
        <v>0</v>
      </c>
      <c r="DV6" s="78">
        <v>0</v>
      </c>
      <c r="DW6" s="78">
        <v>0</v>
      </c>
      <c r="DX6" s="76">
        <v>1</v>
      </c>
      <c r="DY6" s="77">
        <f>2+2/3</f>
        <v>2.6666666666666665</v>
      </c>
      <c r="DZ6" s="43">
        <v>3</v>
      </c>
      <c r="EA6" s="43">
        <v>0</v>
      </c>
      <c r="EB6" s="45">
        <f>6+1/3</f>
        <v>6.333333333333333</v>
      </c>
      <c r="EC6" s="43">
        <v>3</v>
      </c>
      <c r="ED6" s="44">
        <v>1</v>
      </c>
      <c r="EE6" s="71">
        <v>0</v>
      </c>
      <c r="EF6" s="43">
        <v>0</v>
      </c>
      <c r="EG6" s="43">
        <v>0</v>
      </c>
      <c r="EH6" s="43">
        <v>0</v>
      </c>
      <c r="EI6" s="43">
        <v>0</v>
      </c>
      <c r="EJ6" s="43">
        <v>4</v>
      </c>
      <c r="EK6" s="43">
        <v>0</v>
      </c>
      <c r="EL6" s="43">
        <v>3</v>
      </c>
      <c r="EM6" s="43">
        <v>0</v>
      </c>
      <c r="EN6" s="43"/>
      <c r="EO6" s="43"/>
      <c r="EP6" s="43"/>
      <c r="EQ6" s="43"/>
      <c r="ER6" s="43"/>
      <c r="ES6" s="43"/>
      <c r="ET6" s="44">
        <f t="shared" si="0"/>
        <v>7</v>
      </c>
      <c r="EU6" s="43">
        <v>0</v>
      </c>
      <c r="EV6" s="43">
        <v>2</v>
      </c>
      <c r="EW6" s="43">
        <v>0</v>
      </c>
      <c r="EX6" s="43">
        <v>0</v>
      </c>
      <c r="EY6" s="43">
        <v>1</v>
      </c>
      <c r="EZ6" s="43">
        <v>0</v>
      </c>
      <c r="FA6" s="43">
        <v>0</v>
      </c>
      <c r="FB6" s="43">
        <v>0</v>
      </c>
      <c r="FC6" s="43">
        <v>1</v>
      </c>
      <c r="FD6" s="43"/>
      <c r="FE6" s="43"/>
      <c r="FF6" s="43"/>
      <c r="FG6" s="43"/>
      <c r="FH6" s="43"/>
      <c r="FI6" s="43"/>
      <c r="FJ6" s="43">
        <f t="shared" si="1"/>
        <v>4</v>
      </c>
      <c r="FK6" s="73">
        <f t="shared" si="2"/>
        <v>0</v>
      </c>
      <c r="FL6" s="73">
        <f t="shared" si="3"/>
        <v>0</v>
      </c>
      <c r="FM6" s="38"/>
    </row>
    <row r="7" spans="1:169" x14ac:dyDescent="0.25">
      <c r="A7" s="53">
        <v>40353</v>
      </c>
      <c r="B7" s="53" t="s">
        <v>19</v>
      </c>
      <c r="C7" s="53" t="s">
        <v>129</v>
      </c>
      <c r="D7" s="53" t="s">
        <v>322</v>
      </c>
      <c r="E7" s="54"/>
      <c r="F7" s="58"/>
      <c r="G7" s="59" t="s">
        <v>326</v>
      </c>
      <c r="H7" s="6">
        <v>1</v>
      </c>
      <c r="I7" s="6">
        <v>0</v>
      </c>
      <c r="J7" s="60">
        <v>5</v>
      </c>
      <c r="K7" s="6">
        <v>4</v>
      </c>
      <c r="L7" s="6">
        <v>0</v>
      </c>
      <c r="M7" s="6">
        <v>0</v>
      </c>
      <c r="N7" s="6">
        <v>0</v>
      </c>
      <c r="O7" s="6">
        <v>6</v>
      </c>
      <c r="P7" s="6">
        <v>0</v>
      </c>
      <c r="Q7" s="6">
        <v>0</v>
      </c>
      <c r="R7" s="6">
        <v>19</v>
      </c>
      <c r="S7" s="6"/>
      <c r="T7" s="6"/>
      <c r="U7" s="6">
        <v>0</v>
      </c>
      <c r="V7" s="61">
        <v>0</v>
      </c>
      <c r="W7" s="62">
        <v>0</v>
      </c>
      <c r="X7" s="62">
        <v>0</v>
      </c>
      <c r="Y7" s="62">
        <v>0</v>
      </c>
      <c r="Z7" s="62">
        <v>1</v>
      </c>
      <c r="AA7" s="62">
        <v>0</v>
      </c>
      <c r="AB7" s="63">
        <v>4</v>
      </c>
      <c r="AC7" s="62">
        <v>3</v>
      </c>
      <c r="AD7" s="62">
        <v>1</v>
      </c>
      <c r="AE7" s="62">
        <v>0</v>
      </c>
      <c r="AF7" s="62">
        <v>1</v>
      </c>
      <c r="AG7" s="62">
        <v>2</v>
      </c>
      <c r="AH7" s="62">
        <v>0</v>
      </c>
      <c r="AI7" s="62">
        <v>1</v>
      </c>
      <c r="AJ7" s="62">
        <v>17</v>
      </c>
      <c r="AK7" s="62"/>
      <c r="AL7" s="62"/>
      <c r="AM7" s="1" t="s">
        <v>454</v>
      </c>
      <c r="AN7" s="78">
        <v>4</v>
      </c>
      <c r="AO7" s="78">
        <v>1</v>
      </c>
      <c r="AP7" s="78">
        <v>2</v>
      </c>
      <c r="AQ7" s="78">
        <v>0</v>
      </c>
      <c r="AR7" s="78">
        <v>0</v>
      </c>
      <c r="AS7" s="78">
        <v>1</v>
      </c>
      <c r="AT7" s="78">
        <v>0</v>
      </c>
      <c r="AU7" s="78">
        <v>0</v>
      </c>
      <c r="AV7" s="76">
        <v>3</v>
      </c>
      <c r="AW7" s="1" t="s">
        <v>457</v>
      </c>
      <c r="AX7" s="78">
        <v>4</v>
      </c>
      <c r="AY7" s="78">
        <v>0</v>
      </c>
      <c r="AZ7" s="78">
        <v>1</v>
      </c>
      <c r="BA7" s="78">
        <v>1</v>
      </c>
      <c r="BB7" s="78">
        <v>0</v>
      </c>
      <c r="BC7" s="78">
        <v>0</v>
      </c>
      <c r="BD7" s="78">
        <v>0</v>
      </c>
      <c r="BE7" s="78">
        <v>0</v>
      </c>
      <c r="BF7" s="76">
        <v>1</v>
      </c>
      <c r="BG7" s="1" t="s">
        <v>458</v>
      </c>
      <c r="BH7" s="78">
        <v>2</v>
      </c>
      <c r="BI7" s="78">
        <v>0</v>
      </c>
      <c r="BJ7" s="78">
        <v>0</v>
      </c>
      <c r="BK7" s="78">
        <v>1</v>
      </c>
      <c r="BL7" s="78">
        <v>1</v>
      </c>
      <c r="BM7" s="78">
        <v>0</v>
      </c>
      <c r="BN7" s="78">
        <v>0</v>
      </c>
      <c r="BO7" s="78">
        <v>1</v>
      </c>
      <c r="BP7" s="76">
        <v>0</v>
      </c>
      <c r="BQ7" s="1" t="s">
        <v>313</v>
      </c>
      <c r="BR7" s="78">
        <v>3</v>
      </c>
      <c r="BS7" s="78">
        <v>1</v>
      </c>
      <c r="BT7" s="78">
        <v>1</v>
      </c>
      <c r="BU7" s="78">
        <v>0</v>
      </c>
      <c r="BV7" s="78">
        <v>1</v>
      </c>
      <c r="BW7" s="78">
        <v>0</v>
      </c>
      <c r="BX7" s="78">
        <v>0</v>
      </c>
      <c r="BY7" s="78">
        <v>0</v>
      </c>
      <c r="BZ7" s="76">
        <v>1</v>
      </c>
      <c r="CA7" s="1" t="s">
        <v>461</v>
      </c>
      <c r="CB7" s="78">
        <v>4</v>
      </c>
      <c r="CC7" s="78">
        <v>1</v>
      </c>
      <c r="CD7" s="78">
        <v>2</v>
      </c>
      <c r="CE7" s="78">
        <v>0</v>
      </c>
      <c r="CF7" s="78">
        <v>0</v>
      </c>
      <c r="CG7" s="78">
        <v>1</v>
      </c>
      <c r="CH7" s="78">
        <v>0</v>
      </c>
      <c r="CI7" s="78">
        <v>0</v>
      </c>
      <c r="CJ7" s="76">
        <v>2</v>
      </c>
      <c r="CK7" s="1" t="s">
        <v>319</v>
      </c>
      <c r="CL7" s="78">
        <v>4</v>
      </c>
      <c r="CM7" s="78">
        <v>2</v>
      </c>
      <c r="CN7" s="78">
        <v>3</v>
      </c>
      <c r="CO7" s="78">
        <v>1</v>
      </c>
      <c r="CP7" s="78">
        <v>0</v>
      </c>
      <c r="CQ7" s="78">
        <v>1</v>
      </c>
      <c r="CR7" s="78">
        <v>0</v>
      </c>
      <c r="CS7" s="78">
        <v>0</v>
      </c>
      <c r="CT7" s="76">
        <v>6</v>
      </c>
      <c r="CU7" s="1" t="s">
        <v>318</v>
      </c>
      <c r="CV7" s="78">
        <v>4</v>
      </c>
      <c r="CW7" s="78">
        <v>0</v>
      </c>
      <c r="CX7" s="78">
        <v>0</v>
      </c>
      <c r="CY7" s="78">
        <v>1</v>
      </c>
      <c r="CZ7" s="78">
        <v>0</v>
      </c>
      <c r="DA7" s="78">
        <v>1</v>
      </c>
      <c r="DB7" s="78">
        <v>0</v>
      </c>
      <c r="DC7" s="78">
        <v>0</v>
      </c>
      <c r="DD7" s="76">
        <v>0</v>
      </c>
      <c r="DE7" s="1" t="s">
        <v>314</v>
      </c>
      <c r="DF7" s="78">
        <v>4</v>
      </c>
      <c r="DG7" s="78">
        <v>1</v>
      </c>
      <c r="DH7" s="78">
        <v>1</v>
      </c>
      <c r="DI7" s="78">
        <v>2</v>
      </c>
      <c r="DJ7" s="78">
        <v>0</v>
      </c>
      <c r="DK7" s="78">
        <v>2</v>
      </c>
      <c r="DL7" s="78">
        <v>0</v>
      </c>
      <c r="DM7" s="78">
        <v>0</v>
      </c>
      <c r="DN7" s="76">
        <v>1</v>
      </c>
      <c r="DO7" s="1" t="s">
        <v>463</v>
      </c>
      <c r="DP7" s="78">
        <v>4</v>
      </c>
      <c r="DQ7" s="78">
        <v>1</v>
      </c>
      <c r="DR7" s="78">
        <v>1</v>
      </c>
      <c r="DS7" s="78">
        <v>1</v>
      </c>
      <c r="DT7" s="78">
        <v>0</v>
      </c>
      <c r="DU7" s="78">
        <v>1</v>
      </c>
      <c r="DV7" s="78">
        <v>0</v>
      </c>
      <c r="DW7" s="78">
        <v>0</v>
      </c>
      <c r="DX7" s="76">
        <v>3</v>
      </c>
      <c r="DY7" s="77">
        <v>6</v>
      </c>
      <c r="DZ7" s="43">
        <v>2</v>
      </c>
      <c r="EA7" s="43">
        <v>1</v>
      </c>
      <c r="EB7" s="45">
        <v>2</v>
      </c>
      <c r="EC7" s="43">
        <v>0</v>
      </c>
      <c r="ED7" s="44">
        <v>0</v>
      </c>
      <c r="EE7" s="71">
        <v>1</v>
      </c>
      <c r="EF7" s="43">
        <v>0</v>
      </c>
      <c r="EG7" s="43">
        <v>0</v>
      </c>
      <c r="EH7" s="43">
        <v>0</v>
      </c>
      <c r="EI7" s="43">
        <v>1</v>
      </c>
      <c r="EJ7" s="43">
        <v>4</v>
      </c>
      <c r="EK7" s="43">
        <v>0</v>
      </c>
      <c r="EL7" s="43">
        <v>1</v>
      </c>
      <c r="EM7" s="43"/>
      <c r="EN7" s="43"/>
      <c r="EO7" s="43"/>
      <c r="EP7" s="43"/>
      <c r="EQ7" s="43"/>
      <c r="ER7" s="43"/>
      <c r="ES7" s="43"/>
      <c r="ET7" s="44">
        <f t="shared" si="0"/>
        <v>7</v>
      </c>
      <c r="EU7" s="43">
        <v>0</v>
      </c>
      <c r="EV7" s="43">
        <v>0</v>
      </c>
      <c r="EW7" s="43">
        <v>0</v>
      </c>
      <c r="EX7" s="43">
        <v>0</v>
      </c>
      <c r="EY7" s="43">
        <v>0</v>
      </c>
      <c r="EZ7" s="43">
        <v>1</v>
      </c>
      <c r="FA7" s="43">
        <v>0</v>
      </c>
      <c r="FB7" s="43">
        <v>0</v>
      </c>
      <c r="FC7" s="43">
        <v>0</v>
      </c>
      <c r="FD7" s="43"/>
      <c r="FE7" s="43"/>
      <c r="FF7" s="43"/>
      <c r="FG7" s="43"/>
      <c r="FH7" s="43"/>
      <c r="FI7" s="43"/>
      <c r="FJ7" s="43">
        <f t="shared" si="1"/>
        <v>1</v>
      </c>
      <c r="FK7" s="73">
        <f t="shared" si="2"/>
        <v>0</v>
      </c>
      <c r="FL7" s="73">
        <f t="shared" si="3"/>
        <v>0</v>
      </c>
      <c r="FM7" s="38"/>
    </row>
    <row r="8" spans="1:169" x14ac:dyDescent="0.25">
      <c r="A8" s="53">
        <v>40354</v>
      </c>
      <c r="B8" s="53" t="s">
        <v>19</v>
      </c>
      <c r="C8" s="53" t="s">
        <v>131</v>
      </c>
      <c r="D8" s="53" t="s">
        <v>317</v>
      </c>
      <c r="E8" s="54"/>
      <c r="F8" s="58"/>
      <c r="G8" s="59" t="s">
        <v>325</v>
      </c>
      <c r="H8" s="6">
        <v>0</v>
      </c>
      <c r="I8" s="6">
        <v>1</v>
      </c>
      <c r="J8" s="60">
        <f>3+2/3</f>
        <v>3.6666666666666665</v>
      </c>
      <c r="K8" s="6">
        <v>5</v>
      </c>
      <c r="L8" s="6">
        <v>3</v>
      </c>
      <c r="M8" s="6">
        <v>3</v>
      </c>
      <c r="N8" s="6">
        <v>3</v>
      </c>
      <c r="O8" s="6">
        <v>2</v>
      </c>
      <c r="P8" s="6">
        <v>0</v>
      </c>
      <c r="Q8" s="6">
        <v>0</v>
      </c>
      <c r="R8" s="6">
        <v>19</v>
      </c>
      <c r="S8" s="6"/>
      <c r="T8" s="6"/>
      <c r="U8" s="6">
        <v>1</v>
      </c>
      <c r="V8" s="61">
        <v>0</v>
      </c>
      <c r="W8" s="62">
        <v>0</v>
      </c>
      <c r="X8" s="62">
        <v>0</v>
      </c>
      <c r="Y8" s="62">
        <v>0</v>
      </c>
      <c r="Z8" s="62">
        <v>0</v>
      </c>
      <c r="AA8" s="62">
        <v>0</v>
      </c>
      <c r="AB8" s="63">
        <f>5+1/3</f>
        <v>5.333333333333333</v>
      </c>
      <c r="AC8" s="62">
        <v>5</v>
      </c>
      <c r="AD8" s="62">
        <v>3</v>
      </c>
      <c r="AE8" s="62">
        <v>3</v>
      </c>
      <c r="AF8" s="62">
        <v>5</v>
      </c>
      <c r="AG8" s="62">
        <v>4</v>
      </c>
      <c r="AH8" s="62">
        <v>0</v>
      </c>
      <c r="AI8" s="62">
        <v>1</v>
      </c>
      <c r="AJ8" s="62">
        <v>25</v>
      </c>
      <c r="AK8" s="62"/>
      <c r="AL8" s="62"/>
      <c r="AM8" s="1" t="s">
        <v>454</v>
      </c>
      <c r="AN8" s="78">
        <v>4</v>
      </c>
      <c r="AO8" s="78">
        <v>0</v>
      </c>
      <c r="AP8" s="78">
        <v>0</v>
      </c>
      <c r="AQ8" s="78">
        <v>0</v>
      </c>
      <c r="AR8" s="78">
        <v>0</v>
      </c>
      <c r="AS8" s="78">
        <v>3</v>
      </c>
      <c r="AT8" s="78">
        <v>1</v>
      </c>
      <c r="AU8" s="78">
        <v>0</v>
      </c>
      <c r="AV8" s="76">
        <v>0</v>
      </c>
      <c r="AW8" s="1" t="s">
        <v>457</v>
      </c>
      <c r="AX8" s="78">
        <v>4</v>
      </c>
      <c r="AY8" s="78">
        <v>1</v>
      </c>
      <c r="AZ8" s="78">
        <v>1</v>
      </c>
      <c r="BA8" s="78">
        <v>0</v>
      </c>
      <c r="BB8" s="78">
        <v>0</v>
      </c>
      <c r="BC8" s="78">
        <v>1</v>
      </c>
      <c r="BD8" s="78">
        <v>0</v>
      </c>
      <c r="BE8" s="78">
        <v>0</v>
      </c>
      <c r="BF8" s="76">
        <v>1</v>
      </c>
      <c r="BG8" s="1" t="s">
        <v>459</v>
      </c>
      <c r="BH8" s="78">
        <v>4</v>
      </c>
      <c r="BI8" s="78">
        <v>0</v>
      </c>
      <c r="BJ8" s="78">
        <v>1</v>
      </c>
      <c r="BK8" s="78">
        <v>2</v>
      </c>
      <c r="BL8" s="78">
        <v>0</v>
      </c>
      <c r="BM8" s="78">
        <v>0</v>
      </c>
      <c r="BN8" s="78">
        <v>0</v>
      </c>
      <c r="BO8" s="78">
        <v>0</v>
      </c>
      <c r="BP8" s="76">
        <v>3</v>
      </c>
      <c r="BQ8" s="1" t="s">
        <v>320</v>
      </c>
      <c r="BR8" s="78">
        <v>2</v>
      </c>
      <c r="BS8" s="78">
        <v>1</v>
      </c>
      <c r="BT8" s="78">
        <v>0</v>
      </c>
      <c r="BU8" s="78">
        <v>0</v>
      </c>
      <c r="BV8" s="78">
        <v>1</v>
      </c>
      <c r="BW8" s="78">
        <v>2</v>
      </c>
      <c r="BX8" s="78">
        <v>1</v>
      </c>
      <c r="BY8" s="78">
        <v>0</v>
      </c>
      <c r="BZ8" s="76">
        <v>0</v>
      </c>
      <c r="CA8" s="1" t="s">
        <v>461</v>
      </c>
      <c r="CB8" s="78">
        <v>3</v>
      </c>
      <c r="CC8" s="78">
        <v>1</v>
      </c>
      <c r="CD8" s="78">
        <v>0</v>
      </c>
      <c r="CE8" s="78">
        <v>0</v>
      </c>
      <c r="CF8" s="78">
        <v>1</v>
      </c>
      <c r="CG8" s="78">
        <v>1</v>
      </c>
      <c r="CH8" s="78">
        <v>0</v>
      </c>
      <c r="CI8" s="78">
        <v>0</v>
      </c>
      <c r="CJ8" s="76">
        <v>0</v>
      </c>
      <c r="CK8" s="1" t="s">
        <v>319</v>
      </c>
      <c r="CL8" s="78">
        <v>3</v>
      </c>
      <c r="CM8" s="78">
        <v>0</v>
      </c>
      <c r="CN8" s="78">
        <v>2</v>
      </c>
      <c r="CO8" s="78">
        <v>0</v>
      </c>
      <c r="CP8" s="78">
        <v>1</v>
      </c>
      <c r="CQ8" s="78">
        <v>0</v>
      </c>
      <c r="CR8" s="78">
        <v>0</v>
      </c>
      <c r="CS8" s="78">
        <v>0</v>
      </c>
      <c r="CT8" s="76">
        <v>2</v>
      </c>
      <c r="CU8" s="1" t="s">
        <v>462</v>
      </c>
      <c r="CV8" s="78">
        <v>4</v>
      </c>
      <c r="CW8" s="78">
        <v>0</v>
      </c>
      <c r="CX8" s="78">
        <v>1</v>
      </c>
      <c r="CY8" s="78">
        <v>2</v>
      </c>
      <c r="CZ8" s="78">
        <v>0</v>
      </c>
      <c r="DA8" s="78">
        <v>1</v>
      </c>
      <c r="DB8" s="78">
        <v>0</v>
      </c>
      <c r="DC8" s="78">
        <v>0</v>
      </c>
      <c r="DD8" s="76">
        <v>1</v>
      </c>
      <c r="DE8" s="1" t="s">
        <v>313</v>
      </c>
      <c r="DF8" s="78">
        <v>4</v>
      </c>
      <c r="DG8" s="78">
        <v>0</v>
      </c>
      <c r="DH8" s="78">
        <v>0</v>
      </c>
      <c r="DI8" s="78">
        <v>0</v>
      </c>
      <c r="DJ8" s="78">
        <v>0</v>
      </c>
      <c r="DK8" s="78">
        <v>2</v>
      </c>
      <c r="DL8" s="78">
        <v>0</v>
      </c>
      <c r="DM8" s="78">
        <v>0</v>
      </c>
      <c r="DN8" s="76">
        <v>0</v>
      </c>
      <c r="DO8" s="1" t="s">
        <v>463</v>
      </c>
      <c r="DP8" s="78">
        <v>4</v>
      </c>
      <c r="DQ8" s="78">
        <v>1</v>
      </c>
      <c r="DR8" s="78">
        <v>2</v>
      </c>
      <c r="DS8" s="78">
        <v>0</v>
      </c>
      <c r="DT8" s="78">
        <v>0</v>
      </c>
      <c r="DU8" s="78">
        <v>0</v>
      </c>
      <c r="DV8" s="78">
        <v>0</v>
      </c>
      <c r="DW8" s="78">
        <v>0</v>
      </c>
      <c r="DX8" s="76">
        <v>2</v>
      </c>
      <c r="DY8" s="77">
        <v>5</v>
      </c>
      <c r="DZ8" s="43">
        <v>0</v>
      </c>
      <c r="EA8" s="43">
        <v>0</v>
      </c>
      <c r="EB8" s="45">
        <v>4</v>
      </c>
      <c r="EC8" s="43">
        <v>0</v>
      </c>
      <c r="ED8" s="44">
        <v>0</v>
      </c>
      <c r="EE8" s="71">
        <v>0</v>
      </c>
      <c r="EF8" s="43">
        <v>0</v>
      </c>
      <c r="EG8" s="43">
        <v>2</v>
      </c>
      <c r="EH8" s="43">
        <v>0</v>
      </c>
      <c r="EI8" s="43">
        <v>0</v>
      </c>
      <c r="EJ8" s="43">
        <v>2</v>
      </c>
      <c r="EK8" s="43">
        <v>0</v>
      </c>
      <c r="EL8" s="43">
        <v>0</v>
      </c>
      <c r="EM8" s="43">
        <v>0</v>
      </c>
      <c r="EN8" s="43"/>
      <c r="EO8" s="43"/>
      <c r="EP8" s="43"/>
      <c r="EQ8" s="43"/>
      <c r="ER8" s="43"/>
      <c r="ES8" s="43"/>
      <c r="ET8" s="44">
        <f t="shared" si="0"/>
        <v>4</v>
      </c>
      <c r="EU8" s="43">
        <v>2</v>
      </c>
      <c r="EV8" s="43">
        <v>0</v>
      </c>
      <c r="EW8" s="43">
        <v>0</v>
      </c>
      <c r="EX8" s="43">
        <v>1</v>
      </c>
      <c r="EY8" s="43">
        <v>3</v>
      </c>
      <c r="EZ8" s="43">
        <v>0</v>
      </c>
      <c r="FA8" s="43">
        <v>0</v>
      </c>
      <c r="FB8" s="43">
        <v>0</v>
      </c>
      <c r="FC8" s="43">
        <v>0</v>
      </c>
      <c r="FD8" s="43"/>
      <c r="FE8" s="43"/>
      <c r="FF8" s="43"/>
      <c r="FG8" s="43"/>
      <c r="FH8" s="43"/>
      <c r="FI8" s="43"/>
      <c r="FJ8" s="43">
        <f t="shared" si="1"/>
        <v>6</v>
      </c>
      <c r="FK8" s="73">
        <f t="shared" si="2"/>
        <v>0</v>
      </c>
      <c r="FL8" s="73">
        <f t="shared" si="3"/>
        <v>0</v>
      </c>
      <c r="FM8" s="38"/>
    </row>
    <row r="9" spans="1:169" x14ac:dyDescent="0.25">
      <c r="A9" s="53">
        <v>40355</v>
      </c>
      <c r="B9" s="53" t="s">
        <v>133</v>
      </c>
      <c r="C9" s="53" t="s">
        <v>129</v>
      </c>
      <c r="D9" s="53" t="s">
        <v>317</v>
      </c>
      <c r="E9" s="54"/>
      <c r="F9" s="58"/>
      <c r="G9" s="59" t="s">
        <v>321</v>
      </c>
      <c r="H9" s="6">
        <v>0</v>
      </c>
      <c r="I9" s="6">
        <v>0</v>
      </c>
      <c r="J9" s="60">
        <v>3</v>
      </c>
      <c r="K9" s="6">
        <v>0</v>
      </c>
      <c r="L9" s="6">
        <v>0</v>
      </c>
      <c r="M9" s="6">
        <v>0</v>
      </c>
      <c r="N9" s="6">
        <v>1</v>
      </c>
      <c r="O9" s="6">
        <v>2</v>
      </c>
      <c r="P9" s="6">
        <v>0</v>
      </c>
      <c r="Q9" s="6">
        <v>0</v>
      </c>
      <c r="R9" s="6">
        <v>10</v>
      </c>
      <c r="S9" s="6"/>
      <c r="T9" s="6"/>
      <c r="U9" s="6">
        <v>0</v>
      </c>
      <c r="V9" s="61">
        <v>0</v>
      </c>
      <c r="W9" s="62">
        <v>1</v>
      </c>
      <c r="X9" s="62">
        <v>0</v>
      </c>
      <c r="Y9" s="62">
        <v>0</v>
      </c>
      <c r="Z9" s="62">
        <v>0</v>
      </c>
      <c r="AA9" s="62">
        <v>0</v>
      </c>
      <c r="AB9" s="63">
        <v>6</v>
      </c>
      <c r="AC9" s="62">
        <v>4</v>
      </c>
      <c r="AD9" s="62">
        <v>1</v>
      </c>
      <c r="AE9" s="62">
        <v>1</v>
      </c>
      <c r="AF9" s="62">
        <v>5</v>
      </c>
      <c r="AG9" s="62">
        <v>4</v>
      </c>
      <c r="AH9" s="62">
        <v>0</v>
      </c>
      <c r="AI9" s="62">
        <v>0</v>
      </c>
      <c r="AJ9" s="62">
        <v>25</v>
      </c>
      <c r="AK9" s="62"/>
      <c r="AL9" s="62"/>
      <c r="AM9" s="1" t="s">
        <v>454</v>
      </c>
      <c r="AN9" s="78">
        <v>5</v>
      </c>
      <c r="AO9" s="78">
        <v>0</v>
      </c>
      <c r="AP9" s="78">
        <v>0</v>
      </c>
      <c r="AQ9" s="78">
        <v>0</v>
      </c>
      <c r="AR9" s="78">
        <v>0</v>
      </c>
      <c r="AS9" s="78">
        <v>3</v>
      </c>
      <c r="AT9" s="78">
        <v>0</v>
      </c>
      <c r="AU9" s="78">
        <v>0</v>
      </c>
      <c r="AV9" s="76">
        <v>0</v>
      </c>
      <c r="AW9" s="1" t="s">
        <v>457</v>
      </c>
      <c r="AX9" s="78">
        <v>4</v>
      </c>
      <c r="AY9" s="78">
        <v>0</v>
      </c>
      <c r="AZ9" s="78">
        <v>1</v>
      </c>
      <c r="BA9" s="78">
        <v>0</v>
      </c>
      <c r="BB9" s="78">
        <v>1</v>
      </c>
      <c r="BC9" s="78">
        <v>1</v>
      </c>
      <c r="BD9" s="78">
        <v>0</v>
      </c>
      <c r="BE9" s="78">
        <v>0</v>
      </c>
      <c r="BF9" s="76">
        <v>1</v>
      </c>
      <c r="BG9" s="1" t="s">
        <v>459</v>
      </c>
      <c r="BH9" s="78">
        <v>5</v>
      </c>
      <c r="BI9" s="78">
        <v>1</v>
      </c>
      <c r="BJ9" s="78">
        <v>1</v>
      </c>
      <c r="BK9" s="78">
        <v>0</v>
      </c>
      <c r="BL9" s="78">
        <v>0</v>
      </c>
      <c r="BM9" s="78">
        <v>0</v>
      </c>
      <c r="BN9" s="78">
        <v>0</v>
      </c>
      <c r="BO9" s="78">
        <v>0</v>
      </c>
      <c r="BP9" s="76">
        <v>1</v>
      </c>
      <c r="BQ9" s="1" t="s">
        <v>319</v>
      </c>
      <c r="BR9" s="78">
        <v>4</v>
      </c>
      <c r="BS9" s="78">
        <v>1</v>
      </c>
      <c r="BT9" s="78">
        <v>2</v>
      </c>
      <c r="BU9" s="78">
        <v>0</v>
      </c>
      <c r="BV9" s="78">
        <v>0</v>
      </c>
      <c r="BW9" s="78">
        <v>0</v>
      </c>
      <c r="BX9" s="78">
        <v>0</v>
      </c>
      <c r="BY9" s="78">
        <v>0</v>
      </c>
      <c r="BZ9" s="76">
        <v>3</v>
      </c>
      <c r="CA9" s="1" t="s">
        <v>461</v>
      </c>
      <c r="CB9" s="78">
        <v>2</v>
      </c>
      <c r="CC9" s="78">
        <v>1</v>
      </c>
      <c r="CD9" s="78">
        <v>1</v>
      </c>
      <c r="CE9" s="78">
        <v>0</v>
      </c>
      <c r="CF9" s="78">
        <v>1</v>
      </c>
      <c r="CG9" s="78">
        <v>0</v>
      </c>
      <c r="CH9" s="78">
        <v>1</v>
      </c>
      <c r="CI9" s="78">
        <v>0</v>
      </c>
      <c r="CJ9" s="76">
        <v>1</v>
      </c>
      <c r="CK9" s="1" t="s">
        <v>313</v>
      </c>
      <c r="CL9" s="78">
        <v>4</v>
      </c>
      <c r="CM9" s="78">
        <v>1</v>
      </c>
      <c r="CN9" s="78">
        <v>1</v>
      </c>
      <c r="CO9" s="78">
        <v>2</v>
      </c>
      <c r="CP9" s="78">
        <v>0</v>
      </c>
      <c r="CQ9" s="78">
        <v>1</v>
      </c>
      <c r="CR9" s="78">
        <v>0</v>
      </c>
      <c r="CS9" s="78">
        <v>0</v>
      </c>
      <c r="CT9" s="76">
        <v>1</v>
      </c>
      <c r="CU9" s="1" t="s">
        <v>314</v>
      </c>
      <c r="CV9" s="78">
        <v>3</v>
      </c>
      <c r="CW9" s="78">
        <v>1</v>
      </c>
      <c r="CX9" s="78">
        <v>1</v>
      </c>
      <c r="CY9" s="78">
        <v>2</v>
      </c>
      <c r="CZ9" s="78">
        <v>1</v>
      </c>
      <c r="DA9" s="78">
        <v>1</v>
      </c>
      <c r="DB9" s="78">
        <v>0</v>
      </c>
      <c r="DC9" s="78">
        <v>0</v>
      </c>
      <c r="DD9" s="76">
        <v>1</v>
      </c>
      <c r="DE9" s="1" t="s">
        <v>318</v>
      </c>
      <c r="DF9" s="78">
        <v>4</v>
      </c>
      <c r="DG9" s="78">
        <v>0</v>
      </c>
      <c r="DH9" s="78">
        <v>0</v>
      </c>
      <c r="DI9" s="78">
        <v>0</v>
      </c>
      <c r="DJ9" s="78">
        <v>0</v>
      </c>
      <c r="DK9" s="78">
        <v>2</v>
      </c>
      <c r="DL9" s="78">
        <v>0</v>
      </c>
      <c r="DM9" s="78">
        <v>0</v>
      </c>
      <c r="DN9" s="76">
        <v>0</v>
      </c>
      <c r="DO9" s="1" t="s">
        <v>463</v>
      </c>
      <c r="DP9" s="78">
        <v>4</v>
      </c>
      <c r="DQ9" s="78">
        <v>0</v>
      </c>
      <c r="DR9" s="78">
        <v>2</v>
      </c>
      <c r="DS9" s="78">
        <v>1</v>
      </c>
      <c r="DT9" s="78">
        <v>0</v>
      </c>
      <c r="DU9" s="78">
        <v>1</v>
      </c>
      <c r="DV9" s="78">
        <v>0</v>
      </c>
      <c r="DW9" s="78">
        <v>0</v>
      </c>
      <c r="DX9" s="76">
        <v>3</v>
      </c>
      <c r="DY9" s="77">
        <v>0</v>
      </c>
      <c r="DZ9" s="43">
        <v>0</v>
      </c>
      <c r="EA9" s="43">
        <v>0</v>
      </c>
      <c r="EB9" s="45">
        <v>9</v>
      </c>
      <c r="EC9" s="43">
        <v>0</v>
      </c>
      <c r="ED9" s="44">
        <v>1</v>
      </c>
      <c r="EE9" s="71">
        <v>0</v>
      </c>
      <c r="EF9" s="43">
        <v>0</v>
      </c>
      <c r="EG9" s="43">
        <v>0</v>
      </c>
      <c r="EH9" s="43">
        <v>5</v>
      </c>
      <c r="EI9" s="43">
        <v>0</v>
      </c>
      <c r="EJ9" s="43">
        <v>0</v>
      </c>
      <c r="EK9" s="43">
        <v>0</v>
      </c>
      <c r="EL9" s="43">
        <v>0</v>
      </c>
      <c r="EM9" s="43">
        <v>0</v>
      </c>
      <c r="EN9" s="43"/>
      <c r="EO9" s="43"/>
      <c r="EP9" s="43"/>
      <c r="EQ9" s="43"/>
      <c r="ER9" s="43"/>
      <c r="ES9" s="43"/>
      <c r="ET9" s="44">
        <f t="shared" si="0"/>
        <v>5</v>
      </c>
      <c r="EU9" s="43">
        <v>0</v>
      </c>
      <c r="EV9" s="43">
        <v>0</v>
      </c>
      <c r="EW9" s="43">
        <v>0</v>
      </c>
      <c r="EX9" s="43">
        <v>0</v>
      </c>
      <c r="EY9" s="43">
        <v>0</v>
      </c>
      <c r="EZ9" s="43">
        <v>0</v>
      </c>
      <c r="FA9" s="43">
        <v>0</v>
      </c>
      <c r="FB9" s="43">
        <v>0</v>
      </c>
      <c r="FC9" s="43">
        <v>1</v>
      </c>
      <c r="FD9" s="43"/>
      <c r="FE9" s="43"/>
      <c r="FF9" s="43"/>
      <c r="FG9" s="43"/>
      <c r="FH9" s="43"/>
      <c r="FI9" s="43"/>
      <c r="FJ9" s="43">
        <f t="shared" si="1"/>
        <v>1</v>
      </c>
      <c r="FK9" s="73">
        <f t="shared" si="2"/>
        <v>0</v>
      </c>
      <c r="FL9" s="73">
        <f t="shared" si="3"/>
        <v>0</v>
      </c>
      <c r="FM9" s="38"/>
    </row>
    <row r="10" spans="1:169" x14ac:dyDescent="0.25">
      <c r="A10" s="53">
        <v>40357</v>
      </c>
      <c r="B10" s="53" t="s">
        <v>19</v>
      </c>
      <c r="C10" s="53" t="s">
        <v>131</v>
      </c>
      <c r="D10" s="53" t="s">
        <v>324</v>
      </c>
      <c r="E10" s="54"/>
      <c r="F10" s="58"/>
      <c r="G10" s="59" t="s">
        <v>456</v>
      </c>
      <c r="H10" s="6">
        <v>0</v>
      </c>
      <c r="I10" s="6">
        <v>0</v>
      </c>
      <c r="J10" s="60">
        <v>3</v>
      </c>
      <c r="K10" s="6">
        <v>2</v>
      </c>
      <c r="L10" s="6">
        <v>0</v>
      </c>
      <c r="M10" s="6">
        <v>0</v>
      </c>
      <c r="N10" s="6">
        <v>0</v>
      </c>
      <c r="O10" s="6">
        <v>1</v>
      </c>
      <c r="P10" s="6">
        <v>0</v>
      </c>
      <c r="Q10" s="6">
        <v>0</v>
      </c>
      <c r="R10" s="6">
        <v>10</v>
      </c>
      <c r="S10" s="6"/>
      <c r="T10" s="6"/>
      <c r="U10" s="6">
        <v>0</v>
      </c>
      <c r="V10" s="61">
        <v>0</v>
      </c>
      <c r="W10" s="62">
        <v>0</v>
      </c>
      <c r="X10" s="62">
        <v>1</v>
      </c>
      <c r="Y10" s="62">
        <v>0</v>
      </c>
      <c r="Z10" s="62">
        <v>0</v>
      </c>
      <c r="AA10" s="62">
        <v>0</v>
      </c>
      <c r="AB10" s="63">
        <v>6</v>
      </c>
      <c r="AC10" s="62">
        <v>17</v>
      </c>
      <c r="AD10" s="62">
        <v>13</v>
      </c>
      <c r="AE10" s="62">
        <v>12</v>
      </c>
      <c r="AF10" s="62">
        <v>5</v>
      </c>
      <c r="AG10" s="62">
        <v>5</v>
      </c>
      <c r="AH10" s="62">
        <v>0</v>
      </c>
      <c r="AI10" s="62">
        <v>2</v>
      </c>
      <c r="AJ10" s="62">
        <v>40</v>
      </c>
      <c r="AK10" s="62"/>
      <c r="AL10" s="62"/>
      <c r="AM10" s="1" t="s">
        <v>314</v>
      </c>
      <c r="AN10" s="78">
        <v>2</v>
      </c>
      <c r="AO10" s="78">
        <v>1</v>
      </c>
      <c r="AP10" s="78">
        <v>1</v>
      </c>
      <c r="AQ10" s="78">
        <v>0</v>
      </c>
      <c r="AR10" s="78">
        <v>2</v>
      </c>
      <c r="AS10" s="78">
        <v>0</v>
      </c>
      <c r="AT10" s="78">
        <v>0</v>
      </c>
      <c r="AU10" s="78">
        <v>0</v>
      </c>
      <c r="AV10" s="76">
        <v>1</v>
      </c>
      <c r="AW10" s="1" t="s">
        <v>457</v>
      </c>
      <c r="AX10" s="78">
        <v>4</v>
      </c>
      <c r="AY10" s="78">
        <v>0</v>
      </c>
      <c r="AZ10" s="78">
        <v>1</v>
      </c>
      <c r="BA10" s="78">
        <v>0</v>
      </c>
      <c r="BB10" s="78">
        <v>0</v>
      </c>
      <c r="BC10" s="78">
        <v>1</v>
      </c>
      <c r="BD10" s="78">
        <v>0</v>
      </c>
      <c r="BE10" s="78">
        <v>0</v>
      </c>
      <c r="BF10" s="76">
        <v>1</v>
      </c>
      <c r="BG10" s="1" t="s">
        <v>459</v>
      </c>
      <c r="BH10" s="78">
        <v>3</v>
      </c>
      <c r="BI10" s="78">
        <v>1</v>
      </c>
      <c r="BJ10" s="78">
        <v>1</v>
      </c>
      <c r="BK10" s="78">
        <v>0</v>
      </c>
      <c r="BL10" s="78">
        <v>0</v>
      </c>
      <c r="BM10" s="78">
        <v>0</v>
      </c>
      <c r="BN10" s="78">
        <v>1</v>
      </c>
      <c r="BO10" s="78">
        <v>0</v>
      </c>
      <c r="BP10" s="76">
        <v>2</v>
      </c>
      <c r="BQ10" s="1" t="s">
        <v>320</v>
      </c>
      <c r="BR10" s="78">
        <v>4</v>
      </c>
      <c r="BS10" s="78">
        <v>0</v>
      </c>
      <c r="BT10" s="78">
        <v>0</v>
      </c>
      <c r="BU10" s="78">
        <v>0</v>
      </c>
      <c r="BV10" s="78">
        <v>0</v>
      </c>
      <c r="BW10" s="78">
        <v>1</v>
      </c>
      <c r="BX10" s="78">
        <v>0</v>
      </c>
      <c r="BY10" s="78">
        <v>0</v>
      </c>
      <c r="BZ10" s="76">
        <v>0</v>
      </c>
      <c r="CA10" s="1" t="s">
        <v>319</v>
      </c>
      <c r="CB10" s="78">
        <v>4</v>
      </c>
      <c r="CC10" s="78">
        <v>0</v>
      </c>
      <c r="CD10" s="78">
        <v>2</v>
      </c>
      <c r="CE10" s="78">
        <v>2</v>
      </c>
      <c r="CF10" s="78">
        <v>0</v>
      </c>
      <c r="CG10" s="78">
        <v>0</v>
      </c>
      <c r="CH10" s="78">
        <v>0</v>
      </c>
      <c r="CI10" s="78">
        <v>0</v>
      </c>
      <c r="CJ10" s="76">
        <v>2</v>
      </c>
      <c r="CK10" s="1" t="s">
        <v>458</v>
      </c>
      <c r="CL10" s="78">
        <v>4</v>
      </c>
      <c r="CM10" s="78">
        <v>0</v>
      </c>
      <c r="CN10" s="78">
        <v>0</v>
      </c>
      <c r="CO10" s="78">
        <v>0</v>
      </c>
      <c r="CP10" s="78">
        <v>0</v>
      </c>
      <c r="CQ10" s="78">
        <v>2</v>
      </c>
      <c r="CR10" s="78">
        <v>0</v>
      </c>
      <c r="CS10" s="78">
        <v>0</v>
      </c>
      <c r="CT10" s="76">
        <v>0</v>
      </c>
      <c r="CU10" s="1" t="s">
        <v>315</v>
      </c>
      <c r="CV10" s="78">
        <v>4</v>
      </c>
      <c r="CW10" s="78">
        <v>0</v>
      </c>
      <c r="CX10" s="78">
        <v>0</v>
      </c>
      <c r="CY10" s="78">
        <v>0</v>
      </c>
      <c r="CZ10" s="78">
        <v>0</v>
      </c>
      <c r="DA10" s="78">
        <v>2</v>
      </c>
      <c r="DB10" s="78">
        <v>0</v>
      </c>
      <c r="DC10" s="78">
        <v>0</v>
      </c>
      <c r="DD10" s="76">
        <v>0</v>
      </c>
      <c r="DE10" s="1" t="s">
        <v>313</v>
      </c>
      <c r="DF10" s="78">
        <v>4</v>
      </c>
      <c r="DG10" s="78">
        <v>0</v>
      </c>
      <c r="DH10" s="78">
        <v>0</v>
      </c>
      <c r="DI10" s="78">
        <v>0</v>
      </c>
      <c r="DJ10" s="78">
        <v>0</v>
      </c>
      <c r="DK10" s="78">
        <v>2</v>
      </c>
      <c r="DL10" s="78">
        <v>0</v>
      </c>
      <c r="DM10" s="78">
        <v>0</v>
      </c>
      <c r="DN10" s="76">
        <v>0</v>
      </c>
      <c r="DO10" s="1" t="s">
        <v>462</v>
      </c>
      <c r="DP10" s="78">
        <v>4</v>
      </c>
      <c r="DQ10" s="78">
        <v>0</v>
      </c>
      <c r="DR10" s="78">
        <v>0</v>
      </c>
      <c r="DS10" s="78">
        <v>0</v>
      </c>
      <c r="DT10" s="78">
        <v>0</v>
      </c>
      <c r="DU10" s="78">
        <v>1</v>
      </c>
      <c r="DV10" s="78">
        <v>0</v>
      </c>
      <c r="DW10" s="78">
        <v>0</v>
      </c>
      <c r="DX10" s="76">
        <v>0</v>
      </c>
      <c r="DY10" s="77">
        <v>0</v>
      </c>
      <c r="DZ10" s="43">
        <v>0</v>
      </c>
      <c r="EA10" s="43">
        <v>0</v>
      </c>
      <c r="EB10" s="45">
        <v>9</v>
      </c>
      <c r="EC10" s="43">
        <v>0</v>
      </c>
      <c r="ED10" s="44">
        <v>0</v>
      </c>
      <c r="EE10" s="71">
        <v>0</v>
      </c>
      <c r="EF10" s="43">
        <v>0</v>
      </c>
      <c r="EG10" s="43">
        <v>0</v>
      </c>
      <c r="EH10" s="43">
        <v>0</v>
      </c>
      <c r="EI10" s="43">
        <v>0</v>
      </c>
      <c r="EJ10" s="43">
        <v>0</v>
      </c>
      <c r="EK10" s="43">
        <v>0</v>
      </c>
      <c r="EL10" s="43">
        <v>2</v>
      </c>
      <c r="EM10" s="43">
        <v>0</v>
      </c>
      <c r="EN10" s="43"/>
      <c r="EO10" s="43"/>
      <c r="EP10" s="43"/>
      <c r="EQ10" s="43"/>
      <c r="ER10" s="43"/>
      <c r="ES10" s="43"/>
      <c r="ET10" s="44">
        <f t="shared" si="0"/>
        <v>2</v>
      </c>
      <c r="EU10" s="43">
        <v>0</v>
      </c>
      <c r="EV10" s="43">
        <v>0</v>
      </c>
      <c r="EW10" s="43">
        <v>0</v>
      </c>
      <c r="EX10" s="43">
        <v>5</v>
      </c>
      <c r="EY10" s="43">
        <v>0</v>
      </c>
      <c r="EZ10" s="43">
        <v>5</v>
      </c>
      <c r="FA10" s="43">
        <v>0</v>
      </c>
      <c r="FB10" s="43">
        <v>0</v>
      </c>
      <c r="FC10" s="43">
        <v>3</v>
      </c>
      <c r="FD10" s="43"/>
      <c r="FE10" s="43"/>
      <c r="FF10" s="43"/>
      <c r="FG10" s="43"/>
      <c r="FH10" s="43"/>
      <c r="FI10" s="43"/>
      <c r="FJ10" s="43">
        <f t="shared" si="1"/>
        <v>13</v>
      </c>
      <c r="FK10" s="73">
        <f t="shared" si="2"/>
        <v>0</v>
      </c>
      <c r="FL10" s="73">
        <f t="shared" si="3"/>
        <v>0</v>
      </c>
      <c r="FM10" s="38"/>
    </row>
    <row r="11" spans="1:169" x14ac:dyDescent="0.25">
      <c r="A11" s="53">
        <v>40358</v>
      </c>
      <c r="B11" s="53" t="s">
        <v>133</v>
      </c>
      <c r="C11" s="53" t="s">
        <v>129</v>
      </c>
      <c r="D11" s="53" t="s">
        <v>324</v>
      </c>
      <c r="E11" s="54"/>
      <c r="F11" s="58"/>
      <c r="G11" s="59" t="s">
        <v>323</v>
      </c>
      <c r="H11" s="6">
        <v>0</v>
      </c>
      <c r="I11" s="6">
        <v>0</v>
      </c>
      <c r="J11" s="60">
        <v>4</v>
      </c>
      <c r="K11" s="6">
        <v>4</v>
      </c>
      <c r="L11" s="6">
        <v>2</v>
      </c>
      <c r="M11" s="6">
        <v>2</v>
      </c>
      <c r="N11" s="6">
        <v>2</v>
      </c>
      <c r="O11" s="6">
        <v>2</v>
      </c>
      <c r="P11" s="6">
        <v>1</v>
      </c>
      <c r="Q11" s="6">
        <v>0</v>
      </c>
      <c r="R11" s="6">
        <v>16</v>
      </c>
      <c r="S11" s="6"/>
      <c r="T11" s="6"/>
      <c r="U11" s="6">
        <v>0</v>
      </c>
      <c r="V11" s="61">
        <v>0</v>
      </c>
      <c r="W11" s="62">
        <v>1</v>
      </c>
      <c r="X11" s="62">
        <v>0</v>
      </c>
      <c r="Y11" s="62">
        <v>0</v>
      </c>
      <c r="Z11" s="62">
        <v>1</v>
      </c>
      <c r="AA11" s="62">
        <v>0</v>
      </c>
      <c r="AB11" s="63">
        <v>5</v>
      </c>
      <c r="AC11" s="62">
        <v>2</v>
      </c>
      <c r="AD11" s="62">
        <v>2</v>
      </c>
      <c r="AE11" s="62">
        <v>1</v>
      </c>
      <c r="AF11" s="62">
        <v>2</v>
      </c>
      <c r="AG11" s="62">
        <v>6</v>
      </c>
      <c r="AH11" s="62">
        <v>1</v>
      </c>
      <c r="AI11" s="62">
        <v>2</v>
      </c>
      <c r="AJ11" s="62">
        <v>23</v>
      </c>
      <c r="AK11" s="62"/>
      <c r="AL11" s="62"/>
      <c r="AM11" s="1" t="s">
        <v>454</v>
      </c>
      <c r="AN11" s="78">
        <v>5</v>
      </c>
      <c r="AO11" s="78">
        <v>1</v>
      </c>
      <c r="AP11" s="78">
        <v>2</v>
      </c>
      <c r="AQ11" s="78">
        <v>0</v>
      </c>
      <c r="AR11" s="78">
        <v>0</v>
      </c>
      <c r="AS11" s="78">
        <v>1</v>
      </c>
      <c r="AT11" s="78">
        <v>0</v>
      </c>
      <c r="AU11" s="78">
        <v>0</v>
      </c>
      <c r="AV11" s="76">
        <v>2</v>
      </c>
      <c r="AW11" s="1" t="s">
        <v>457</v>
      </c>
      <c r="AX11" s="78">
        <v>5</v>
      </c>
      <c r="AY11" s="78">
        <v>0</v>
      </c>
      <c r="AZ11" s="78">
        <v>1</v>
      </c>
      <c r="BA11" s="78">
        <v>1</v>
      </c>
      <c r="BB11" s="78">
        <v>0</v>
      </c>
      <c r="BC11" s="78">
        <v>3</v>
      </c>
      <c r="BD11" s="78">
        <v>0</v>
      </c>
      <c r="BE11" s="78">
        <v>0</v>
      </c>
      <c r="BF11" s="76">
        <v>1</v>
      </c>
      <c r="BG11" s="1" t="s">
        <v>459</v>
      </c>
      <c r="BH11" s="78">
        <v>3</v>
      </c>
      <c r="BI11" s="78">
        <v>1</v>
      </c>
      <c r="BJ11" s="78">
        <v>1</v>
      </c>
      <c r="BK11" s="78">
        <v>1</v>
      </c>
      <c r="BL11" s="78">
        <v>1</v>
      </c>
      <c r="BM11" s="78">
        <v>0</v>
      </c>
      <c r="BN11" s="78">
        <v>0</v>
      </c>
      <c r="BO11" s="78">
        <v>0</v>
      </c>
      <c r="BP11" s="76">
        <v>4</v>
      </c>
      <c r="BQ11" s="1" t="s">
        <v>319</v>
      </c>
      <c r="BR11" s="78">
        <v>4</v>
      </c>
      <c r="BS11" s="78">
        <v>0</v>
      </c>
      <c r="BT11" s="78">
        <v>0</v>
      </c>
      <c r="BU11" s="78">
        <v>0</v>
      </c>
      <c r="BV11" s="78">
        <v>0</v>
      </c>
      <c r="BW11" s="78">
        <v>1</v>
      </c>
      <c r="BX11" s="78">
        <v>0</v>
      </c>
      <c r="BY11" s="78">
        <v>0</v>
      </c>
      <c r="BZ11" s="76">
        <v>0</v>
      </c>
      <c r="CA11" s="1" t="s">
        <v>458</v>
      </c>
      <c r="CB11" s="78">
        <v>3</v>
      </c>
      <c r="CC11" s="78">
        <v>1</v>
      </c>
      <c r="CD11" s="78">
        <v>0</v>
      </c>
      <c r="CE11" s="78">
        <v>0</v>
      </c>
      <c r="CF11" s="78">
        <v>1</v>
      </c>
      <c r="CG11" s="78">
        <v>0</v>
      </c>
      <c r="CH11" s="78">
        <v>0</v>
      </c>
      <c r="CI11" s="78">
        <v>0</v>
      </c>
      <c r="CJ11" s="76">
        <v>0</v>
      </c>
      <c r="CK11" s="1" t="s">
        <v>460</v>
      </c>
      <c r="CL11" s="78">
        <v>2</v>
      </c>
      <c r="CM11" s="78">
        <v>1</v>
      </c>
      <c r="CN11" s="78">
        <v>1</v>
      </c>
      <c r="CO11" s="78">
        <v>0</v>
      </c>
      <c r="CP11" s="78">
        <v>2</v>
      </c>
      <c r="CQ11" s="78">
        <v>0</v>
      </c>
      <c r="CR11" s="78">
        <v>0</v>
      </c>
      <c r="CS11" s="78">
        <v>0</v>
      </c>
      <c r="CT11" s="76">
        <v>1</v>
      </c>
      <c r="CU11" s="1" t="s">
        <v>315</v>
      </c>
      <c r="CV11" s="78">
        <v>4</v>
      </c>
      <c r="CW11" s="78">
        <v>1</v>
      </c>
      <c r="CX11" s="78">
        <v>2</v>
      </c>
      <c r="CY11" s="78">
        <v>2</v>
      </c>
      <c r="CZ11" s="78">
        <v>0</v>
      </c>
      <c r="DA11" s="78">
        <v>0</v>
      </c>
      <c r="DB11" s="78">
        <v>0</v>
      </c>
      <c r="DC11" s="78">
        <v>0</v>
      </c>
      <c r="DD11" s="76">
        <v>4</v>
      </c>
      <c r="DE11" s="1" t="s">
        <v>313</v>
      </c>
      <c r="DF11" s="78">
        <v>4</v>
      </c>
      <c r="DG11" s="78">
        <v>0</v>
      </c>
      <c r="DH11" s="78">
        <v>0</v>
      </c>
      <c r="DI11" s="78">
        <v>0</v>
      </c>
      <c r="DJ11" s="78">
        <v>0</v>
      </c>
      <c r="DK11" s="78">
        <v>0</v>
      </c>
      <c r="DL11" s="78">
        <v>0</v>
      </c>
      <c r="DM11" s="78">
        <v>0</v>
      </c>
      <c r="DN11" s="76">
        <v>0</v>
      </c>
      <c r="DO11" s="1" t="s">
        <v>314</v>
      </c>
      <c r="DP11" s="78">
        <v>4</v>
      </c>
      <c r="DQ11" s="78">
        <v>0</v>
      </c>
      <c r="DR11" s="78">
        <v>1</v>
      </c>
      <c r="DS11" s="78">
        <v>1</v>
      </c>
      <c r="DT11" s="78">
        <v>0</v>
      </c>
      <c r="DU11" s="78">
        <v>1</v>
      </c>
      <c r="DV11" s="78">
        <v>0</v>
      </c>
      <c r="DW11" s="78">
        <v>0</v>
      </c>
      <c r="DX11" s="76">
        <v>1</v>
      </c>
      <c r="DY11" s="77">
        <v>0</v>
      </c>
      <c r="DZ11" s="43">
        <v>0</v>
      </c>
      <c r="EA11" s="43">
        <v>0</v>
      </c>
      <c r="EB11" s="45">
        <v>9</v>
      </c>
      <c r="EC11" s="43">
        <v>4</v>
      </c>
      <c r="ED11" s="44">
        <v>0</v>
      </c>
      <c r="EE11" s="71">
        <v>0</v>
      </c>
      <c r="EF11" s="43">
        <v>1</v>
      </c>
      <c r="EG11" s="43">
        <v>0</v>
      </c>
      <c r="EH11" s="43">
        <v>1</v>
      </c>
      <c r="EI11" s="43">
        <v>0</v>
      </c>
      <c r="EJ11" s="43">
        <v>0</v>
      </c>
      <c r="EK11" s="43">
        <v>3</v>
      </c>
      <c r="EL11" s="43">
        <v>0</v>
      </c>
      <c r="EM11" s="43">
        <v>0</v>
      </c>
      <c r="EN11" s="43"/>
      <c r="EO11" s="43"/>
      <c r="EP11" s="43"/>
      <c r="EQ11" s="43"/>
      <c r="ER11" s="43"/>
      <c r="ES11" s="43"/>
      <c r="ET11" s="44">
        <f t="shared" si="0"/>
        <v>5</v>
      </c>
      <c r="EU11" s="43">
        <v>0</v>
      </c>
      <c r="EV11" s="43">
        <v>0</v>
      </c>
      <c r="EW11" s="43">
        <v>1</v>
      </c>
      <c r="EX11" s="43">
        <v>1</v>
      </c>
      <c r="EY11" s="43">
        <v>1</v>
      </c>
      <c r="EZ11" s="43">
        <v>0</v>
      </c>
      <c r="FA11" s="43">
        <v>0</v>
      </c>
      <c r="FB11" s="43">
        <v>1</v>
      </c>
      <c r="FC11" s="43">
        <v>0</v>
      </c>
      <c r="FD11" s="43"/>
      <c r="FE11" s="43"/>
      <c r="FF11" s="43"/>
      <c r="FG11" s="43"/>
      <c r="FH11" s="43"/>
      <c r="FI11" s="43"/>
      <c r="FJ11" s="43">
        <f t="shared" si="1"/>
        <v>4</v>
      </c>
      <c r="FK11" s="73">
        <f t="shared" si="2"/>
        <v>0</v>
      </c>
      <c r="FL11" s="73">
        <f t="shared" si="3"/>
        <v>0</v>
      </c>
      <c r="FM11" s="38"/>
    </row>
    <row r="12" spans="1:169" x14ac:dyDescent="0.25">
      <c r="A12" s="53">
        <v>40359</v>
      </c>
      <c r="B12" s="53" t="s">
        <v>19</v>
      </c>
      <c r="C12" s="53" t="s">
        <v>131</v>
      </c>
      <c r="D12" s="53" t="s">
        <v>322</v>
      </c>
      <c r="E12" s="54"/>
      <c r="F12" s="58"/>
      <c r="G12" s="59" t="s">
        <v>455</v>
      </c>
      <c r="H12" s="6">
        <v>0</v>
      </c>
      <c r="I12" s="6">
        <v>1</v>
      </c>
      <c r="J12" s="60">
        <v>5</v>
      </c>
      <c r="K12" s="6">
        <v>3</v>
      </c>
      <c r="L12" s="6">
        <v>2</v>
      </c>
      <c r="M12" s="6">
        <v>1</v>
      </c>
      <c r="N12" s="6">
        <v>1</v>
      </c>
      <c r="O12" s="6">
        <v>1</v>
      </c>
      <c r="P12" s="6">
        <v>0</v>
      </c>
      <c r="Q12" s="6">
        <v>0</v>
      </c>
      <c r="R12" s="6">
        <v>21</v>
      </c>
      <c r="S12" s="6"/>
      <c r="T12" s="6"/>
      <c r="U12" s="6">
        <v>0</v>
      </c>
      <c r="V12" s="61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B12" s="63">
        <v>4</v>
      </c>
      <c r="AC12" s="62">
        <v>3</v>
      </c>
      <c r="AD12" s="62">
        <v>3</v>
      </c>
      <c r="AE12" s="62">
        <v>0</v>
      </c>
      <c r="AF12" s="62">
        <v>4</v>
      </c>
      <c r="AG12" s="62">
        <v>1</v>
      </c>
      <c r="AH12" s="62">
        <v>0</v>
      </c>
      <c r="AI12" s="62">
        <v>0</v>
      </c>
      <c r="AJ12" s="62">
        <v>22</v>
      </c>
      <c r="AK12" s="62"/>
      <c r="AL12" s="62"/>
      <c r="AM12" s="1" t="s">
        <v>454</v>
      </c>
      <c r="AN12" s="78">
        <v>4</v>
      </c>
      <c r="AO12" s="78">
        <v>0</v>
      </c>
      <c r="AP12" s="78">
        <v>0</v>
      </c>
      <c r="AQ12" s="78">
        <v>0</v>
      </c>
      <c r="AR12" s="78">
        <v>0</v>
      </c>
      <c r="AS12" s="78">
        <v>1</v>
      </c>
      <c r="AT12" s="78">
        <v>0</v>
      </c>
      <c r="AU12" s="78">
        <v>0</v>
      </c>
      <c r="AV12" s="76">
        <v>0</v>
      </c>
      <c r="AW12" s="1" t="s">
        <v>457</v>
      </c>
      <c r="AX12" s="78">
        <v>4</v>
      </c>
      <c r="AY12" s="78">
        <v>0</v>
      </c>
      <c r="AZ12" s="78">
        <v>2</v>
      </c>
      <c r="BA12" s="78">
        <v>0</v>
      </c>
      <c r="BB12" s="78">
        <v>0</v>
      </c>
      <c r="BC12" s="78">
        <v>1</v>
      </c>
      <c r="BD12" s="78">
        <v>0</v>
      </c>
      <c r="BE12" s="78">
        <v>0</v>
      </c>
      <c r="BF12" s="76">
        <v>3</v>
      </c>
      <c r="BG12" s="1" t="s">
        <v>459</v>
      </c>
      <c r="BH12" s="78">
        <v>3</v>
      </c>
      <c r="BI12" s="78">
        <v>0</v>
      </c>
      <c r="BJ12" s="78">
        <v>1</v>
      </c>
      <c r="BK12" s="78">
        <v>0</v>
      </c>
      <c r="BL12" s="78">
        <v>1</v>
      </c>
      <c r="BM12" s="78">
        <v>0</v>
      </c>
      <c r="BN12" s="78">
        <v>0</v>
      </c>
      <c r="BO12" s="78">
        <v>0</v>
      </c>
      <c r="BP12" s="76">
        <v>1</v>
      </c>
      <c r="BQ12" s="1" t="s">
        <v>320</v>
      </c>
      <c r="BR12" s="78">
        <v>3</v>
      </c>
      <c r="BS12" s="78">
        <v>0</v>
      </c>
      <c r="BT12" s="78">
        <v>0</v>
      </c>
      <c r="BU12" s="78">
        <v>0</v>
      </c>
      <c r="BV12" s="78">
        <v>1</v>
      </c>
      <c r="BW12" s="78">
        <v>1</v>
      </c>
      <c r="BX12" s="78">
        <v>0</v>
      </c>
      <c r="BY12" s="78">
        <v>0</v>
      </c>
      <c r="BZ12" s="76">
        <v>0</v>
      </c>
      <c r="CA12" s="1" t="s">
        <v>319</v>
      </c>
      <c r="CB12" s="78">
        <v>4</v>
      </c>
      <c r="CC12" s="78">
        <v>0</v>
      </c>
      <c r="CD12" s="78">
        <v>0</v>
      </c>
      <c r="CE12" s="78">
        <v>0</v>
      </c>
      <c r="CF12" s="78">
        <v>0</v>
      </c>
      <c r="CG12" s="78">
        <v>2</v>
      </c>
      <c r="CH12" s="78">
        <v>0</v>
      </c>
      <c r="CI12" s="78">
        <v>0</v>
      </c>
      <c r="CJ12" s="76">
        <v>0</v>
      </c>
      <c r="CK12" s="1" t="s">
        <v>460</v>
      </c>
      <c r="CL12" s="78">
        <v>3</v>
      </c>
      <c r="CM12" s="78">
        <v>0</v>
      </c>
      <c r="CN12" s="78">
        <v>0</v>
      </c>
      <c r="CO12" s="78">
        <v>0</v>
      </c>
      <c r="CP12" s="78">
        <v>0</v>
      </c>
      <c r="CQ12" s="78">
        <v>0</v>
      </c>
      <c r="CR12" s="78">
        <v>1</v>
      </c>
      <c r="CS12" s="78">
        <v>0</v>
      </c>
      <c r="CT12" s="76">
        <v>0</v>
      </c>
      <c r="CU12" s="1" t="s">
        <v>315</v>
      </c>
      <c r="CV12" s="78">
        <v>4</v>
      </c>
      <c r="CW12" s="78">
        <v>0</v>
      </c>
      <c r="CX12" s="78">
        <v>0</v>
      </c>
      <c r="CY12" s="78">
        <v>0</v>
      </c>
      <c r="CZ12" s="78">
        <v>0</v>
      </c>
      <c r="DA12" s="78">
        <v>2</v>
      </c>
      <c r="DB12" s="78">
        <v>0</v>
      </c>
      <c r="DC12" s="78">
        <v>0</v>
      </c>
      <c r="DD12" s="76">
        <v>0</v>
      </c>
      <c r="DE12" s="1" t="s">
        <v>314</v>
      </c>
      <c r="DF12" s="78">
        <v>3</v>
      </c>
      <c r="DG12" s="78">
        <v>0</v>
      </c>
      <c r="DH12" s="78">
        <v>1</v>
      </c>
      <c r="DI12" s="78">
        <v>0</v>
      </c>
      <c r="DJ12" s="78">
        <v>0</v>
      </c>
      <c r="DK12" s="78">
        <v>0</v>
      </c>
      <c r="DL12" s="78">
        <v>0</v>
      </c>
      <c r="DM12" s="78">
        <v>0</v>
      </c>
      <c r="DN12" s="76">
        <v>1</v>
      </c>
      <c r="DO12" s="1" t="s">
        <v>463</v>
      </c>
      <c r="DP12" s="78">
        <v>3</v>
      </c>
      <c r="DQ12" s="78">
        <v>0</v>
      </c>
      <c r="DR12" s="78">
        <v>1</v>
      </c>
      <c r="DS12" s="78">
        <v>0</v>
      </c>
      <c r="DT12" s="78">
        <v>0</v>
      </c>
      <c r="DU12" s="78">
        <v>1</v>
      </c>
      <c r="DV12" s="78">
        <v>0</v>
      </c>
      <c r="DW12" s="78">
        <v>0</v>
      </c>
      <c r="DX12" s="76">
        <v>2</v>
      </c>
      <c r="DY12" s="77">
        <v>7</v>
      </c>
      <c r="DZ12" s="43">
        <v>0</v>
      </c>
      <c r="EA12" s="43">
        <v>0</v>
      </c>
      <c r="EB12" s="45">
        <v>2</v>
      </c>
      <c r="EC12" s="43">
        <v>0</v>
      </c>
      <c r="ED12" s="44">
        <v>0</v>
      </c>
      <c r="EE12" s="71">
        <v>0</v>
      </c>
      <c r="EF12" s="43">
        <v>0</v>
      </c>
      <c r="EG12" s="43">
        <v>0</v>
      </c>
      <c r="EH12" s="43">
        <v>0</v>
      </c>
      <c r="EI12" s="43">
        <v>0</v>
      </c>
      <c r="EJ12" s="43">
        <v>0</v>
      </c>
      <c r="EK12" s="43">
        <v>0</v>
      </c>
      <c r="EL12" s="43">
        <v>0</v>
      </c>
      <c r="EM12" s="43">
        <v>0</v>
      </c>
      <c r="EN12" s="43"/>
      <c r="EO12" s="43"/>
      <c r="EP12" s="43"/>
      <c r="EQ12" s="43"/>
      <c r="ER12" s="43"/>
      <c r="ES12" s="43"/>
      <c r="ET12" s="44">
        <f t="shared" si="0"/>
        <v>0</v>
      </c>
      <c r="EU12" s="43">
        <v>0</v>
      </c>
      <c r="EV12" s="43">
        <v>0</v>
      </c>
      <c r="EW12" s="43">
        <v>2</v>
      </c>
      <c r="EX12" s="43">
        <v>0</v>
      </c>
      <c r="EY12" s="43">
        <v>0</v>
      </c>
      <c r="EZ12" s="43">
        <v>0</v>
      </c>
      <c r="FA12" s="43">
        <v>3</v>
      </c>
      <c r="FB12" s="43">
        <v>0</v>
      </c>
      <c r="FC12" s="43">
        <v>0</v>
      </c>
      <c r="FD12" s="43"/>
      <c r="FE12" s="43"/>
      <c r="FF12" s="43"/>
      <c r="FG12" s="43"/>
      <c r="FH12" s="43"/>
      <c r="FI12" s="43"/>
      <c r="FJ12" s="43">
        <f t="shared" si="1"/>
        <v>5</v>
      </c>
      <c r="FK12" s="73">
        <f t="shared" si="2"/>
        <v>0</v>
      </c>
      <c r="FL12" s="73">
        <f t="shared" si="3"/>
        <v>0</v>
      </c>
      <c r="FM12" s="38"/>
    </row>
    <row r="13" spans="1:169" x14ac:dyDescent="0.25">
      <c r="A13" s="53">
        <v>40360</v>
      </c>
      <c r="B13" s="53" t="s">
        <v>133</v>
      </c>
      <c r="C13" s="53" t="s">
        <v>131</v>
      </c>
      <c r="D13" s="53" t="s">
        <v>322</v>
      </c>
      <c r="E13" s="54"/>
      <c r="F13" s="58"/>
      <c r="G13" s="59" t="s">
        <v>321</v>
      </c>
      <c r="H13" s="6">
        <v>0</v>
      </c>
      <c r="I13" s="6">
        <v>0</v>
      </c>
      <c r="J13" s="60">
        <v>3</v>
      </c>
      <c r="K13" s="6">
        <v>0</v>
      </c>
      <c r="L13" s="6">
        <v>0</v>
      </c>
      <c r="M13" s="6">
        <v>0</v>
      </c>
      <c r="N13" s="6">
        <v>0</v>
      </c>
      <c r="O13" s="6">
        <v>3</v>
      </c>
      <c r="P13" s="6">
        <v>0</v>
      </c>
      <c r="Q13" s="6">
        <v>0</v>
      </c>
      <c r="R13" s="6">
        <v>9</v>
      </c>
      <c r="S13" s="6"/>
      <c r="T13" s="6"/>
      <c r="U13" s="6">
        <v>0</v>
      </c>
      <c r="V13" s="61">
        <v>0</v>
      </c>
      <c r="W13" s="62">
        <v>0</v>
      </c>
      <c r="X13" s="62">
        <v>1</v>
      </c>
      <c r="Y13" s="62">
        <v>0</v>
      </c>
      <c r="Z13" s="62">
        <v>0</v>
      </c>
      <c r="AA13" s="62">
        <v>1</v>
      </c>
      <c r="AB13" s="63">
        <f>6+1/3</f>
        <v>6.333333333333333</v>
      </c>
      <c r="AC13" s="62">
        <v>12</v>
      </c>
      <c r="AD13" s="62">
        <v>4</v>
      </c>
      <c r="AE13" s="62">
        <v>4</v>
      </c>
      <c r="AF13" s="62">
        <v>1</v>
      </c>
      <c r="AG13" s="62">
        <v>4</v>
      </c>
      <c r="AH13" s="62">
        <v>0</v>
      </c>
      <c r="AI13" s="62">
        <v>0</v>
      </c>
      <c r="AJ13" s="62">
        <v>31</v>
      </c>
      <c r="AK13" s="62"/>
      <c r="AL13" s="62"/>
      <c r="AM13" s="1" t="s">
        <v>454</v>
      </c>
      <c r="AN13" s="78">
        <v>5</v>
      </c>
      <c r="AO13" s="78">
        <v>1</v>
      </c>
      <c r="AP13" s="78">
        <v>2</v>
      </c>
      <c r="AQ13" s="78">
        <v>2</v>
      </c>
      <c r="AR13" s="78">
        <v>0</v>
      </c>
      <c r="AS13" s="78">
        <v>1</v>
      </c>
      <c r="AT13" s="78">
        <v>0</v>
      </c>
      <c r="AU13" s="78">
        <v>0</v>
      </c>
      <c r="AV13" s="76">
        <v>5</v>
      </c>
      <c r="AW13" s="1" t="s">
        <v>457</v>
      </c>
      <c r="AX13" s="78">
        <v>5</v>
      </c>
      <c r="AY13" s="78">
        <v>0</v>
      </c>
      <c r="AZ13" s="78">
        <v>1</v>
      </c>
      <c r="BA13" s="78">
        <v>0</v>
      </c>
      <c r="BB13" s="78">
        <v>0</v>
      </c>
      <c r="BC13" s="78">
        <v>0</v>
      </c>
      <c r="BD13" s="78">
        <v>0</v>
      </c>
      <c r="BE13" s="78">
        <v>0</v>
      </c>
      <c r="BF13" s="76">
        <v>1</v>
      </c>
      <c r="BG13" s="1" t="s">
        <v>458</v>
      </c>
      <c r="BH13" s="78">
        <v>4</v>
      </c>
      <c r="BI13" s="78">
        <v>0</v>
      </c>
      <c r="BJ13" s="78">
        <v>1</v>
      </c>
      <c r="BK13" s="78">
        <v>0</v>
      </c>
      <c r="BL13" s="78">
        <v>0</v>
      </c>
      <c r="BM13" s="78">
        <v>0</v>
      </c>
      <c r="BN13" s="78">
        <v>0</v>
      </c>
      <c r="BO13" s="78">
        <v>0</v>
      </c>
      <c r="BP13" s="76">
        <v>1</v>
      </c>
      <c r="BQ13" s="1" t="s">
        <v>320</v>
      </c>
      <c r="BR13" s="78">
        <v>4</v>
      </c>
      <c r="BS13" s="78">
        <v>0</v>
      </c>
      <c r="BT13" s="78">
        <v>1</v>
      </c>
      <c r="BU13" s="78">
        <v>0</v>
      </c>
      <c r="BV13" s="78">
        <v>0</v>
      </c>
      <c r="BW13" s="78">
        <v>0</v>
      </c>
      <c r="BX13" s="78">
        <v>0</v>
      </c>
      <c r="BY13" s="78">
        <v>0</v>
      </c>
      <c r="BZ13" s="76">
        <v>1</v>
      </c>
      <c r="CA13" s="1" t="s">
        <v>461</v>
      </c>
      <c r="CB13" s="78">
        <v>3</v>
      </c>
      <c r="CC13" s="78">
        <v>1</v>
      </c>
      <c r="CD13" s="78">
        <v>1</v>
      </c>
      <c r="CE13" s="78">
        <v>0</v>
      </c>
      <c r="CF13" s="78">
        <v>0</v>
      </c>
      <c r="CG13" s="78">
        <v>1</v>
      </c>
      <c r="CH13" s="78">
        <v>0</v>
      </c>
      <c r="CI13" s="78">
        <v>0</v>
      </c>
      <c r="CJ13" s="76">
        <v>2</v>
      </c>
      <c r="CK13" s="1" t="s">
        <v>313</v>
      </c>
      <c r="CL13" s="78">
        <v>4</v>
      </c>
      <c r="CM13" s="78">
        <v>0</v>
      </c>
      <c r="CN13" s="78">
        <v>0</v>
      </c>
      <c r="CO13" s="78">
        <v>0</v>
      </c>
      <c r="CP13" s="78">
        <v>0</v>
      </c>
      <c r="CQ13" s="78">
        <v>0</v>
      </c>
      <c r="CR13" s="78">
        <v>0</v>
      </c>
      <c r="CS13" s="78">
        <v>0</v>
      </c>
      <c r="CT13" s="76">
        <v>0</v>
      </c>
      <c r="CU13" s="1" t="s">
        <v>463</v>
      </c>
      <c r="CV13" s="78">
        <v>4</v>
      </c>
      <c r="CW13" s="78">
        <v>0</v>
      </c>
      <c r="CX13" s="78">
        <v>0</v>
      </c>
      <c r="CY13" s="78">
        <v>0</v>
      </c>
      <c r="CZ13" s="78">
        <v>0</v>
      </c>
      <c r="DA13" s="78">
        <v>1</v>
      </c>
      <c r="DB13" s="78">
        <v>0</v>
      </c>
      <c r="DC13" s="78">
        <v>0</v>
      </c>
      <c r="DD13" s="76">
        <v>0</v>
      </c>
      <c r="DE13" s="1" t="s">
        <v>462</v>
      </c>
      <c r="DF13" s="78">
        <v>2</v>
      </c>
      <c r="DG13" s="78">
        <v>1</v>
      </c>
      <c r="DH13" s="78">
        <v>1</v>
      </c>
      <c r="DI13" s="78">
        <v>1</v>
      </c>
      <c r="DJ13" s="78">
        <v>1</v>
      </c>
      <c r="DK13" s="78">
        <v>1</v>
      </c>
      <c r="DL13" s="78">
        <v>0</v>
      </c>
      <c r="DM13" s="78">
        <v>0</v>
      </c>
      <c r="DN13" s="76">
        <v>1</v>
      </c>
      <c r="DO13" s="1" t="s">
        <v>318</v>
      </c>
      <c r="DP13" s="78">
        <v>2</v>
      </c>
      <c r="DQ13" s="78">
        <v>0</v>
      </c>
      <c r="DR13" s="78">
        <v>0</v>
      </c>
      <c r="DS13" s="78">
        <v>0</v>
      </c>
      <c r="DT13" s="78">
        <v>0</v>
      </c>
      <c r="DU13" s="78">
        <v>1</v>
      </c>
      <c r="DV13" s="78">
        <v>0</v>
      </c>
      <c r="DW13" s="78">
        <v>0</v>
      </c>
      <c r="DX13" s="76">
        <v>0</v>
      </c>
      <c r="DY13" s="77">
        <v>8</v>
      </c>
      <c r="DZ13" s="43">
        <v>1</v>
      </c>
      <c r="EA13" s="43">
        <v>0</v>
      </c>
      <c r="EB13" s="45">
        <v>2</v>
      </c>
      <c r="EC13" s="43">
        <v>0</v>
      </c>
      <c r="ED13" s="44">
        <v>0</v>
      </c>
      <c r="EE13" s="71">
        <v>1</v>
      </c>
      <c r="EF13" s="43">
        <v>1</v>
      </c>
      <c r="EG13" s="43">
        <v>0</v>
      </c>
      <c r="EH13" s="43">
        <v>0</v>
      </c>
      <c r="EI13" s="43">
        <v>0</v>
      </c>
      <c r="EJ13" s="43">
        <v>0</v>
      </c>
      <c r="EK13" s="43">
        <v>0</v>
      </c>
      <c r="EL13" s="43">
        <v>1</v>
      </c>
      <c r="EM13" s="43">
        <v>0</v>
      </c>
      <c r="EN13" s="43">
        <v>0</v>
      </c>
      <c r="EO13" s="43"/>
      <c r="EP13" s="43"/>
      <c r="EQ13" s="43"/>
      <c r="ER13" s="43"/>
      <c r="ES13" s="43"/>
      <c r="ET13" s="44">
        <f t="shared" si="0"/>
        <v>3</v>
      </c>
      <c r="EU13" s="43">
        <v>0</v>
      </c>
      <c r="EV13" s="43">
        <v>0</v>
      </c>
      <c r="EW13" s="43">
        <v>0</v>
      </c>
      <c r="EX13" s="43">
        <v>0</v>
      </c>
      <c r="EY13" s="43">
        <v>0</v>
      </c>
      <c r="EZ13" s="43">
        <v>0</v>
      </c>
      <c r="FA13" s="43">
        <v>0</v>
      </c>
      <c r="FB13" s="43">
        <v>2</v>
      </c>
      <c r="FC13" s="43">
        <v>1</v>
      </c>
      <c r="FD13" s="43">
        <v>1</v>
      </c>
      <c r="FE13" s="43"/>
      <c r="FF13" s="43"/>
      <c r="FG13" s="43"/>
      <c r="FH13" s="43"/>
      <c r="FI13" s="43"/>
      <c r="FJ13" s="43">
        <f t="shared" si="1"/>
        <v>4</v>
      </c>
      <c r="FK13" s="73">
        <f t="shared" si="2"/>
        <v>0</v>
      </c>
      <c r="FL13" s="73">
        <f t="shared" si="3"/>
        <v>0</v>
      </c>
      <c r="FM13" s="38"/>
    </row>
    <row r="14" spans="1:169" x14ac:dyDescent="0.25">
      <c r="A14" s="53">
        <v>40361</v>
      </c>
      <c r="B14" s="53" t="s">
        <v>133</v>
      </c>
      <c r="C14" s="53" t="s">
        <v>129</v>
      </c>
      <c r="D14" s="53" t="s">
        <v>317</v>
      </c>
      <c r="E14" s="54"/>
      <c r="F14" s="58"/>
      <c r="G14" s="59" t="s">
        <v>456</v>
      </c>
      <c r="H14" s="6">
        <v>0</v>
      </c>
      <c r="I14" s="6">
        <v>0</v>
      </c>
      <c r="J14" s="60">
        <v>3</v>
      </c>
      <c r="K14" s="6">
        <v>1</v>
      </c>
      <c r="L14" s="6">
        <v>0</v>
      </c>
      <c r="M14" s="6">
        <v>0</v>
      </c>
      <c r="N14" s="6">
        <v>1</v>
      </c>
      <c r="O14" s="6">
        <v>1</v>
      </c>
      <c r="P14" s="6">
        <v>0</v>
      </c>
      <c r="Q14" s="6">
        <v>0</v>
      </c>
      <c r="R14" s="6">
        <v>11</v>
      </c>
      <c r="S14" s="6"/>
      <c r="T14" s="6"/>
      <c r="U14" s="6">
        <v>0</v>
      </c>
      <c r="V14" s="61">
        <v>0</v>
      </c>
      <c r="W14" s="62">
        <v>1</v>
      </c>
      <c r="X14" s="62">
        <v>0</v>
      </c>
      <c r="Y14" s="62">
        <v>0</v>
      </c>
      <c r="Z14" s="62">
        <v>1</v>
      </c>
      <c r="AA14" s="62">
        <v>0</v>
      </c>
      <c r="AB14" s="63">
        <v>6</v>
      </c>
      <c r="AC14" s="62">
        <v>3</v>
      </c>
      <c r="AD14" s="62">
        <v>2</v>
      </c>
      <c r="AE14" s="62">
        <v>2</v>
      </c>
      <c r="AF14" s="62">
        <v>1</v>
      </c>
      <c r="AG14" s="62">
        <v>5</v>
      </c>
      <c r="AH14" s="62">
        <v>0</v>
      </c>
      <c r="AI14" s="62">
        <v>0</v>
      </c>
      <c r="AJ14" s="62">
        <v>23</v>
      </c>
      <c r="AK14" s="62"/>
      <c r="AL14" s="62"/>
      <c r="AM14" s="1" t="s">
        <v>454</v>
      </c>
      <c r="AN14" s="78">
        <v>4</v>
      </c>
      <c r="AO14" s="78">
        <v>0</v>
      </c>
      <c r="AP14" s="78">
        <v>0</v>
      </c>
      <c r="AQ14" s="78">
        <v>1</v>
      </c>
      <c r="AR14" s="78">
        <v>0</v>
      </c>
      <c r="AS14" s="78">
        <v>2</v>
      </c>
      <c r="AT14" s="78">
        <v>0</v>
      </c>
      <c r="AU14" s="78">
        <v>1</v>
      </c>
      <c r="AV14" s="76">
        <v>0</v>
      </c>
      <c r="AW14" s="1" t="s">
        <v>457</v>
      </c>
      <c r="AX14" s="78">
        <v>4</v>
      </c>
      <c r="AY14" s="78">
        <v>0</v>
      </c>
      <c r="AZ14" s="78">
        <v>2</v>
      </c>
      <c r="BA14" s="78">
        <v>1</v>
      </c>
      <c r="BB14" s="78">
        <v>1</v>
      </c>
      <c r="BC14" s="78">
        <v>1</v>
      </c>
      <c r="BD14" s="78">
        <v>0</v>
      </c>
      <c r="BE14" s="78">
        <v>0</v>
      </c>
      <c r="BF14" s="76">
        <v>3</v>
      </c>
      <c r="BG14" s="1" t="s">
        <v>459</v>
      </c>
      <c r="BH14" s="78">
        <v>4</v>
      </c>
      <c r="BI14" s="78">
        <v>0</v>
      </c>
      <c r="BJ14" s="78">
        <v>0</v>
      </c>
      <c r="BK14" s="78">
        <v>0</v>
      </c>
      <c r="BL14" s="78">
        <v>1</v>
      </c>
      <c r="BM14" s="78">
        <v>1</v>
      </c>
      <c r="BN14" s="78">
        <v>0</v>
      </c>
      <c r="BO14" s="78">
        <v>0</v>
      </c>
      <c r="BP14" s="76">
        <v>0</v>
      </c>
      <c r="BQ14" s="1" t="s">
        <v>320</v>
      </c>
      <c r="BR14" s="78">
        <v>5</v>
      </c>
      <c r="BS14" s="78">
        <v>0</v>
      </c>
      <c r="BT14" s="78">
        <v>0</v>
      </c>
      <c r="BU14" s="78">
        <v>0</v>
      </c>
      <c r="BV14" s="78">
        <v>0</v>
      </c>
      <c r="BW14" s="78">
        <v>3</v>
      </c>
      <c r="BX14" s="78">
        <v>0</v>
      </c>
      <c r="BY14" s="78">
        <v>0</v>
      </c>
      <c r="BZ14" s="76">
        <v>0</v>
      </c>
      <c r="CA14" s="1" t="s">
        <v>319</v>
      </c>
      <c r="CB14" s="78">
        <v>2</v>
      </c>
      <c r="CC14" s="78">
        <v>0</v>
      </c>
      <c r="CD14" s="78">
        <v>0</v>
      </c>
      <c r="CE14" s="78">
        <v>0</v>
      </c>
      <c r="CF14" s="78">
        <v>1</v>
      </c>
      <c r="CG14" s="78">
        <v>0</v>
      </c>
      <c r="CH14" s="78">
        <v>1</v>
      </c>
      <c r="CI14" s="78">
        <v>0</v>
      </c>
      <c r="CJ14" s="76">
        <v>0</v>
      </c>
      <c r="CK14" s="1" t="s">
        <v>461</v>
      </c>
      <c r="CL14" s="78">
        <v>3</v>
      </c>
      <c r="CM14" s="78">
        <v>0</v>
      </c>
      <c r="CN14" s="78">
        <v>1</v>
      </c>
      <c r="CO14" s="78">
        <v>0</v>
      </c>
      <c r="CP14" s="78">
        <v>1</v>
      </c>
      <c r="CQ14" s="78">
        <v>0</v>
      </c>
      <c r="CR14" s="78">
        <v>0</v>
      </c>
      <c r="CS14" s="78">
        <v>0</v>
      </c>
      <c r="CT14" s="76">
        <v>1</v>
      </c>
      <c r="CU14" s="1" t="s">
        <v>460</v>
      </c>
      <c r="CV14" s="78">
        <v>4</v>
      </c>
      <c r="CW14" s="78">
        <v>0</v>
      </c>
      <c r="CX14" s="78">
        <v>0</v>
      </c>
      <c r="CY14" s="78">
        <v>0</v>
      </c>
      <c r="CZ14" s="78">
        <v>0</v>
      </c>
      <c r="DA14" s="78">
        <v>1</v>
      </c>
      <c r="DB14" s="78">
        <v>0</v>
      </c>
      <c r="DC14" s="78">
        <v>0</v>
      </c>
      <c r="DD14" s="76">
        <v>0</v>
      </c>
      <c r="DE14" s="1" t="s">
        <v>314</v>
      </c>
      <c r="DF14" s="78">
        <v>2</v>
      </c>
      <c r="DG14" s="78">
        <v>3</v>
      </c>
      <c r="DH14" s="78">
        <v>1</v>
      </c>
      <c r="DI14" s="78">
        <v>0</v>
      </c>
      <c r="DJ14" s="78">
        <v>2</v>
      </c>
      <c r="DK14" s="78">
        <v>0</v>
      </c>
      <c r="DL14" s="78">
        <v>0</v>
      </c>
      <c r="DM14" s="78">
        <v>0</v>
      </c>
      <c r="DN14" s="76">
        <v>1</v>
      </c>
      <c r="DO14" s="1" t="s">
        <v>318</v>
      </c>
      <c r="DP14" s="78">
        <v>3</v>
      </c>
      <c r="DQ14" s="78">
        <v>0</v>
      </c>
      <c r="DR14" s="78">
        <v>0</v>
      </c>
      <c r="DS14" s="78">
        <v>0</v>
      </c>
      <c r="DT14" s="78">
        <v>1</v>
      </c>
      <c r="DU14" s="78">
        <v>0</v>
      </c>
      <c r="DV14" s="78">
        <v>0</v>
      </c>
      <c r="DW14" s="78">
        <v>0</v>
      </c>
      <c r="DX14" s="76">
        <v>0</v>
      </c>
      <c r="DY14" s="77">
        <f>2/3</f>
        <v>0.66666666666666663</v>
      </c>
      <c r="DZ14" s="43">
        <v>0</v>
      </c>
      <c r="EA14" s="43">
        <v>0</v>
      </c>
      <c r="EB14" s="45">
        <f>8+1/3</f>
        <v>8.3333333333333339</v>
      </c>
      <c r="EC14" s="43">
        <v>1</v>
      </c>
      <c r="ED14" s="44">
        <v>1</v>
      </c>
      <c r="EE14" s="71">
        <v>0</v>
      </c>
      <c r="EF14" s="43">
        <v>0</v>
      </c>
      <c r="EG14" s="43">
        <v>1</v>
      </c>
      <c r="EH14" s="43">
        <v>0</v>
      </c>
      <c r="EI14" s="43">
        <v>0</v>
      </c>
      <c r="EJ14" s="43">
        <v>0</v>
      </c>
      <c r="EK14" s="43">
        <v>1</v>
      </c>
      <c r="EL14" s="43">
        <v>0</v>
      </c>
      <c r="EM14" s="43">
        <v>1</v>
      </c>
      <c r="EN14" s="43"/>
      <c r="EO14" s="43"/>
      <c r="EP14" s="43"/>
      <c r="EQ14" s="43"/>
      <c r="ER14" s="43"/>
      <c r="ES14" s="43"/>
      <c r="ET14" s="44">
        <f t="shared" si="0"/>
        <v>3</v>
      </c>
      <c r="EU14" s="43">
        <v>0</v>
      </c>
      <c r="EV14" s="43">
        <v>0</v>
      </c>
      <c r="EW14" s="43">
        <v>0</v>
      </c>
      <c r="EX14" s="43">
        <v>0</v>
      </c>
      <c r="EY14" s="43">
        <v>0</v>
      </c>
      <c r="EZ14" s="43">
        <v>0</v>
      </c>
      <c r="FA14" s="43">
        <v>2</v>
      </c>
      <c r="FB14" s="43">
        <v>0</v>
      </c>
      <c r="FC14" s="43">
        <v>0</v>
      </c>
      <c r="FD14" s="43"/>
      <c r="FE14" s="43"/>
      <c r="FF14" s="43"/>
      <c r="FG14" s="43"/>
      <c r="FH14" s="43"/>
      <c r="FI14" s="43"/>
      <c r="FJ14" s="43">
        <f t="shared" si="1"/>
        <v>2</v>
      </c>
      <c r="FK14" s="73">
        <f t="shared" si="2"/>
        <v>0</v>
      </c>
      <c r="FL14" s="73">
        <f t="shared" si="3"/>
        <v>0</v>
      </c>
      <c r="FM14" s="38"/>
    </row>
    <row r="15" spans="1:169" x14ac:dyDescent="0.25">
      <c r="A15" s="53">
        <v>40362</v>
      </c>
      <c r="B15" s="53" t="s">
        <v>19</v>
      </c>
      <c r="C15" s="53" t="s">
        <v>129</v>
      </c>
      <c r="D15" s="53" t="s">
        <v>317</v>
      </c>
      <c r="E15" s="54"/>
      <c r="F15" s="58"/>
      <c r="G15" s="59" t="s">
        <v>316</v>
      </c>
      <c r="H15" s="6">
        <v>0</v>
      </c>
      <c r="I15" s="6">
        <v>0</v>
      </c>
      <c r="J15" s="60">
        <v>3</v>
      </c>
      <c r="K15" s="6">
        <v>2</v>
      </c>
      <c r="L15" s="6">
        <v>0</v>
      </c>
      <c r="M15" s="6">
        <v>0</v>
      </c>
      <c r="N15" s="6">
        <v>5</v>
      </c>
      <c r="O15" s="6">
        <v>2</v>
      </c>
      <c r="P15" s="6">
        <v>0</v>
      </c>
      <c r="Q15" s="6">
        <v>0</v>
      </c>
      <c r="R15" s="6">
        <v>16</v>
      </c>
      <c r="S15" s="6"/>
      <c r="T15" s="6"/>
      <c r="U15" s="6">
        <v>0</v>
      </c>
      <c r="V15" s="61">
        <v>0</v>
      </c>
      <c r="W15" s="62">
        <v>1</v>
      </c>
      <c r="X15" s="62">
        <v>0</v>
      </c>
      <c r="Y15" s="62">
        <v>0</v>
      </c>
      <c r="Z15" s="62">
        <v>1</v>
      </c>
      <c r="AA15" s="62">
        <v>0</v>
      </c>
      <c r="AB15" s="63">
        <v>6</v>
      </c>
      <c r="AC15" s="62">
        <v>6</v>
      </c>
      <c r="AD15" s="62">
        <v>4</v>
      </c>
      <c r="AE15" s="62">
        <v>4</v>
      </c>
      <c r="AF15" s="62">
        <v>4</v>
      </c>
      <c r="AG15" s="62">
        <v>2</v>
      </c>
      <c r="AH15" s="62">
        <v>0</v>
      </c>
      <c r="AI15" s="62">
        <v>2</v>
      </c>
      <c r="AJ15" s="62">
        <v>30</v>
      </c>
      <c r="AK15" s="62"/>
      <c r="AL15" s="62"/>
      <c r="AM15" s="1" t="s">
        <v>454</v>
      </c>
      <c r="AN15" s="78">
        <v>3</v>
      </c>
      <c r="AO15" s="78">
        <v>1</v>
      </c>
      <c r="AP15" s="78">
        <v>2</v>
      </c>
      <c r="AQ15" s="78">
        <v>1</v>
      </c>
      <c r="AR15" s="78">
        <v>1</v>
      </c>
      <c r="AS15" s="78">
        <v>0</v>
      </c>
      <c r="AT15" s="78">
        <v>0</v>
      </c>
      <c r="AU15" s="78">
        <v>0</v>
      </c>
      <c r="AV15" s="76">
        <v>4</v>
      </c>
      <c r="AW15" s="1" t="s">
        <v>457</v>
      </c>
      <c r="AX15" s="78">
        <v>4</v>
      </c>
      <c r="AY15" s="78">
        <v>1</v>
      </c>
      <c r="AZ15" s="78">
        <v>1</v>
      </c>
      <c r="BA15" s="78">
        <v>0</v>
      </c>
      <c r="BB15" s="78">
        <v>0</v>
      </c>
      <c r="BC15" s="78">
        <v>0</v>
      </c>
      <c r="BD15" s="78">
        <v>0</v>
      </c>
      <c r="BE15" s="78">
        <v>0</v>
      </c>
      <c r="BF15" s="76">
        <v>2</v>
      </c>
      <c r="BG15" s="1" t="s">
        <v>458</v>
      </c>
      <c r="BH15" s="78">
        <v>4</v>
      </c>
      <c r="BI15" s="78">
        <v>0</v>
      </c>
      <c r="BJ15" s="78">
        <v>0</v>
      </c>
      <c r="BK15" s="78">
        <v>1</v>
      </c>
      <c r="BL15" s="78">
        <v>0</v>
      </c>
      <c r="BM15" s="78">
        <v>1</v>
      </c>
      <c r="BN15" s="78">
        <v>0</v>
      </c>
      <c r="BO15" s="78">
        <v>0</v>
      </c>
      <c r="BP15" s="76">
        <v>0</v>
      </c>
      <c r="BQ15" s="1" t="s">
        <v>460</v>
      </c>
      <c r="BR15" s="78">
        <v>2</v>
      </c>
      <c r="BS15" s="78">
        <v>0</v>
      </c>
      <c r="BT15" s="78">
        <v>0</v>
      </c>
      <c r="BU15" s="78">
        <v>0</v>
      </c>
      <c r="BV15" s="78">
        <v>1</v>
      </c>
      <c r="BW15" s="78">
        <v>0</v>
      </c>
      <c r="BX15" s="78">
        <v>1</v>
      </c>
      <c r="BY15" s="78">
        <v>0</v>
      </c>
      <c r="BZ15" s="76">
        <v>0</v>
      </c>
      <c r="CA15" s="1" t="s">
        <v>461</v>
      </c>
      <c r="CB15" s="78">
        <v>4</v>
      </c>
      <c r="CC15" s="78">
        <v>1</v>
      </c>
      <c r="CD15" s="78">
        <v>1</v>
      </c>
      <c r="CE15" s="78">
        <v>0</v>
      </c>
      <c r="CF15" s="78">
        <v>0</v>
      </c>
      <c r="CG15" s="78">
        <v>0</v>
      </c>
      <c r="CH15" s="78">
        <v>0</v>
      </c>
      <c r="CI15" s="78">
        <v>0</v>
      </c>
      <c r="CJ15" s="76">
        <v>1</v>
      </c>
      <c r="CK15" s="1" t="s">
        <v>315</v>
      </c>
      <c r="CL15" s="78">
        <v>4</v>
      </c>
      <c r="CM15" s="78">
        <v>0</v>
      </c>
      <c r="CN15" s="78">
        <v>0</v>
      </c>
      <c r="CO15" s="78">
        <v>0</v>
      </c>
      <c r="CP15" s="78">
        <v>0</v>
      </c>
      <c r="CQ15" s="78">
        <v>2</v>
      </c>
      <c r="CR15" s="78">
        <v>0</v>
      </c>
      <c r="CS15" s="78">
        <v>0</v>
      </c>
      <c r="CT15" s="76">
        <v>0</v>
      </c>
      <c r="CU15" s="1" t="s">
        <v>314</v>
      </c>
      <c r="CV15" s="78">
        <v>4</v>
      </c>
      <c r="CW15" s="78">
        <v>1</v>
      </c>
      <c r="CX15" s="78">
        <v>1</v>
      </c>
      <c r="CY15" s="78">
        <v>0</v>
      </c>
      <c r="CZ15" s="78">
        <v>0</v>
      </c>
      <c r="DA15" s="78">
        <v>0</v>
      </c>
      <c r="DB15" s="78">
        <v>0</v>
      </c>
      <c r="DC15" s="78">
        <v>0</v>
      </c>
      <c r="DD15" s="76">
        <v>1</v>
      </c>
      <c r="DE15" s="1" t="s">
        <v>313</v>
      </c>
      <c r="DF15" s="78">
        <v>4</v>
      </c>
      <c r="DG15" s="78">
        <v>0</v>
      </c>
      <c r="DH15" s="78">
        <v>0</v>
      </c>
      <c r="DI15" s="78">
        <v>0</v>
      </c>
      <c r="DJ15" s="78">
        <v>0</v>
      </c>
      <c r="DK15" s="78">
        <v>2</v>
      </c>
      <c r="DL15" s="78">
        <v>0</v>
      </c>
      <c r="DM15" s="78">
        <v>0</v>
      </c>
      <c r="DN15" s="76">
        <v>0</v>
      </c>
      <c r="DO15" s="1" t="s">
        <v>463</v>
      </c>
      <c r="DP15" s="78">
        <v>1</v>
      </c>
      <c r="DQ15" s="78">
        <v>2</v>
      </c>
      <c r="DR15" s="78">
        <v>1</v>
      </c>
      <c r="DS15" s="78">
        <v>0</v>
      </c>
      <c r="DT15" s="78">
        <v>2</v>
      </c>
      <c r="DU15" s="78">
        <v>0</v>
      </c>
      <c r="DV15" s="78">
        <v>0</v>
      </c>
      <c r="DW15" s="78">
        <v>0</v>
      </c>
      <c r="DX15" s="76">
        <v>1</v>
      </c>
      <c r="DY15" s="77">
        <v>1</v>
      </c>
      <c r="DZ15" s="43">
        <v>0</v>
      </c>
      <c r="EA15" s="43">
        <v>0</v>
      </c>
      <c r="EB15" s="45">
        <v>7</v>
      </c>
      <c r="EC15" s="43">
        <v>1</v>
      </c>
      <c r="ED15" s="44">
        <v>0</v>
      </c>
      <c r="EE15" s="71">
        <v>2</v>
      </c>
      <c r="EF15" s="43">
        <v>1</v>
      </c>
      <c r="EG15" s="43">
        <v>1</v>
      </c>
      <c r="EH15" s="43">
        <v>0</v>
      </c>
      <c r="EI15" s="43">
        <v>0</v>
      </c>
      <c r="EJ15" s="43">
        <v>2</v>
      </c>
      <c r="EK15" s="43">
        <v>0</v>
      </c>
      <c r="EL15" s="43">
        <v>0</v>
      </c>
      <c r="EM15" s="43"/>
      <c r="EN15" s="43"/>
      <c r="EO15" s="43"/>
      <c r="EP15" s="43"/>
      <c r="EQ15" s="43"/>
      <c r="ER15" s="43"/>
      <c r="ES15" s="43"/>
      <c r="ET15" s="44">
        <f t="shared" si="0"/>
        <v>6</v>
      </c>
      <c r="EU15" s="43">
        <v>0</v>
      </c>
      <c r="EV15" s="43">
        <v>0</v>
      </c>
      <c r="EW15" s="43">
        <v>0</v>
      </c>
      <c r="EX15" s="43">
        <v>0</v>
      </c>
      <c r="EY15" s="43">
        <v>0</v>
      </c>
      <c r="EZ15" s="43">
        <v>0</v>
      </c>
      <c r="FA15" s="43">
        <v>0</v>
      </c>
      <c r="FB15" s="43">
        <v>4</v>
      </c>
      <c r="FC15" s="43">
        <v>0</v>
      </c>
      <c r="FD15" s="43"/>
      <c r="FE15" s="43"/>
      <c r="FF15" s="43"/>
      <c r="FG15" s="43"/>
      <c r="FH15" s="43"/>
      <c r="FI15" s="43"/>
      <c r="FJ15" s="43">
        <f t="shared" si="1"/>
        <v>4</v>
      </c>
      <c r="FK15" s="73">
        <f t="shared" si="2"/>
        <v>0</v>
      </c>
      <c r="FL15" s="73">
        <f t="shared" si="3"/>
        <v>0</v>
      </c>
      <c r="FM15" s="38"/>
    </row>
    <row r="16" spans="1:169" x14ac:dyDescent="0.25">
      <c r="A16" s="91">
        <v>40364</v>
      </c>
      <c r="B16" s="91" t="s">
        <v>19</v>
      </c>
      <c r="C16" s="91" t="s">
        <v>131</v>
      </c>
      <c r="D16" s="91" t="s">
        <v>322</v>
      </c>
      <c r="E16" s="92"/>
      <c r="F16" s="93"/>
      <c r="G16" s="94" t="s">
        <v>323</v>
      </c>
      <c r="H16" s="95">
        <v>0</v>
      </c>
      <c r="I16" s="95">
        <v>0</v>
      </c>
      <c r="J16" s="96">
        <v>5</v>
      </c>
      <c r="K16" s="95">
        <v>5</v>
      </c>
      <c r="L16" s="95">
        <v>1</v>
      </c>
      <c r="M16" s="95">
        <v>0</v>
      </c>
      <c r="N16" s="95">
        <v>1</v>
      </c>
      <c r="O16" s="95">
        <v>1</v>
      </c>
      <c r="P16" s="95">
        <v>0</v>
      </c>
      <c r="Q16" s="95">
        <v>0</v>
      </c>
      <c r="R16" s="95">
        <v>20</v>
      </c>
      <c r="S16" s="95"/>
      <c r="T16" s="95"/>
      <c r="U16" s="95">
        <v>0</v>
      </c>
      <c r="V16" s="97">
        <v>0</v>
      </c>
      <c r="W16" s="98">
        <v>0</v>
      </c>
      <c r="X16" s="98">
        <v>1</v>
      </c>
      <c r="Y16" s="98">
        <v>0</v>
      </c>
      <c r="Z16" s="98">
        <v>0</v>
      </c>
      <c r="AA16" s="98">
        <v>1</v>
      </c>
      <c r="AB16" s="99">
        <v>4</v>
      </c>
      <c r="AC16" s="98">
        <v>6</v>
      </c>
      <c r="AD16" s="98">
        <v>6</v>
      </c>
      <c r="AE16" s="98">
        <v>1</v>
      </c>
      <c r="AF16" s="98">
        <v>2</v>
      </c>
      <c r="AG16" s="98">
        <v>7</v>
      </c>
      <c r="AH16" s="98">
        <v>0</v>
      </c>
      <c r="AI16" s="98">
        <v>0</v>
      </c>
      <c r="AJ16" s="98">
        <v>23</v>
      </c>
      <c r="AK16" s="98"/>
      <c r="AL16" s="98"/>
      <c r="AM16" s="100" t="s">
        <v>454</v>
      </c>
      <c r="AN16" s="101">
        <v>4</v>
      </c>
      <c r="AO16" s="101">
        <v>1</v>
      </c>
      <c r="AP16" s="101">
        <v>1</v>
      </c>
      <c r="AQ16" s="101">
        <v>1</v>
      </c>
      <c r="AR16" s="101">
        <v>0</v>
      </c>
      <c r="AS16" s="101">
        <v>2</v>
      </c>
      <c r="AT16" s="101">
        <v>0</v>
      </c>
      <c r="AU16" s="101">
        <v>0</v>
      </c>
      <c r="AV16" s="102">
        <v>3</v>
      </c>
      <c r="AW16" s="100" t="s">
        <v>457</v>
      </c>
      <c r="AX16" s="101">
        <v>4</v>
      </c>
      <c r="AY16" s="101">
        <v>0</v>
      </c>
      <c r="AZ16" s="101">
        <v>1</v>
      </c>
      <c r="BA16" s="101">
        <v>1</v>
      </c>
      <c r="BB16" s="101">
        <v>0</v>
      </c>
      <c r="BC16" s="101">
        <v>1</v>
      </c>
      <c r="BD16" s="101">
        <v>0</v>
      </c>
      <c r="BE16" s="101">
        <v>0</v>
      </c>
      <c r="BF16" s="102">
        <v>2</v>
      </c>
      <c r="BG16" s="100" t="s">
        <v>458</v>
      </c>
      <c r="BH16" s="101">
        <v>1</v>
      </c>
      <c r="BI16" s="101">
        <v>0</v>
      </c>
      <c r="BJ16" s="101">
        <v>0</v>
      </c>
      <c r="BK16" s="101">
        <v>0</v>
      </c>
      <c r="BL16" s="101">
        <v>3</v>
      </c>
      <c r="BM16" s="101">
        <v>0</v>
      </c>
      <c r="BN16" s="101">
        <v>0</v>
      </c>
      <c r="BO16" s="101">
        <v>0</v>
      </c>
      <c r="BP16" s="102">
        <v>0</v>
      </c>
      <c r="BQ16" s="100" t="s">
        <v>461</v>
      </c>
      <c r="BR16" s="101">
        <v>3</v>
      </c>
      <c r="BS16" s="101">
        <v>0</v>
      </c>
      <c r="BT16" s="101">
        <v>0</v>
      </c>
      <c r="BU16" s="101">
        <v>0</v>
      </c>
      <c r="BV16" s="101">
        <v>1</v>
      </c>
      <c r="BW16" s="101">
        <v>2</v>
      </c>
      <c r="BX16" s="101">
        <v>0</v>
      </c>
      <c r="BY16" s="101">
        <v>0</v>
      </c>
      <c r="BZ16" s="102">
        <v>0</v>
      </c>
      <c r="CA16" s="100" t="s">
        <v>319</v>
      </c>
      <c r="CB16" s="101">
        <v>4</v>
      </c>
      <c r="CC16" s="101">
        <v>0</v>
      </c>
      <c r="CD16" s="101">
        <v>0</v>
      </c>
      <c r="CE16" s="101">
        <v>0</v>
      </c>
      <c r="CF16" s="101">
        <v>0</v>
      </c>
      <c r="CG16" s="101">
        <v>2</v>
      </c>
      <c r="CH16" s="101">
        <v>0</v>
      </c>
      <c r="CI16" s="101">
        <v>0</v>
      </c>
      <c r="CJ16" s="102">
        <v>0</v>
      </c>
      <c r="CK16" s="100" t="s">
        <v>462</v>
      </c>
      <c r="CL16" s="101">
        <v>3</v>
      </c>
      <c r="CM16" s="101">
        <v>1</v>
      </c>
      <c r="CN16" s="101">
        <v>1</v>
      </c>
      <c r="CO16" s="101">
        <v>1</v>
      </c>
      <c r="CP16" s="101">
        <v>1</v>
      </c>
      <c r="CQ16" s="101">
        <v>1</v>
      </c>
      <c r="CR16" s="101">
        <v>0</v>
      </c>
      <c r="CS16" s="101">
        <v>0</v>
      </c>
      <c r="CT16" s="102">
        <v>4</v>
      </c>
      <c r="CU16" s="100" t="s">
        <v>314</v>
      </c>
      <c r="CV16" s="101">
        <v>3</v>
      </c>
      <c r="CW16" s="101">
        <v>1</v>
      </c>
      <c r="CX16" s="101">
        <v>0</v>
      </c>
      <c r="CY16" s="101">
        <v>0</v>
      </c>
      <c r="CZ16" s="101">
        <v>1</v>
      </c>
      <c r="DA16" s="101">
        <v>0</v>
      </c>
      <c r="DB16" s="101">
        <v>0</v>
      </c>
      <c r="DC16" s="101">
        <v>0</v>
      </c>
      <c r="DD16" s="102">
        <v>0</v>
      </c>
      <c r="DE16" s="100" t="s">
        <v>463</v>
      </c>
      <c r="DF16" s="101">
        <v>4</v>
      </c>
      <c r="DG16" s="101">
        <v>0</v>
      </c>
      <c r="DH16" s="101">
        <v>1</v>
      </c>
      <c r="DI16" s="101">
        <v>0</v>
      </c>
      <c r="DJ16" s="101">
        <v>0</v>
      </c>
      <c r="DK16" s="101">
        <v>1</v>
      </c>
      <c r="DL16" s="101">
        <v>0</v>
      </c>
      <c r="DM16" s="101">
        <v>0</v>
      </c>
      <c r="DN16" s="102">
        <v>1</v>
      </c>
      <c r="DO16" s="100" t="s">
        <v>318</v>
      </c>
      <c r="DP16" s="101">
        <v>3</v>
      </c>
      <c r="DQ16" s="101">
        <v>0</v>
      </c>
      <c r="DR16" s="101">
        <v>0</v>
      </c>
      <c r="DS16" s="101">
        <v>0</v>
      </c>
      <c r="DT16" s="101">
        <v>1</v>
      </c>
      <c r="DU16" s="101">
        <v>1</v>
      </c>
      <c r="DV16" s="101">
        <v>0</v>
      </c>
      <c r="DW16" s="101">
        <v>0</v>
      </c>
      <c r="DX16" s="102">
        <v>0</v>
      </c>
      <c r="DY16" s="103">
        <v>3</v>
      </c>
      <c r="DZ16" s="104">
        <v>0</v>
      </c>
      <c r="EA16" s="104">
        <v>0</v>
      </c>
      <c r="EB16" s="105">
        <v>6</v>
      </c>
      <c r="EC16" s="104">
        <v>0</v>
      </c>
      <c r="ED16" s="106">
        <v>0</v>
      </c>
      <c r="EE16" s="107">
        <v>0</v>
      </c>
      <c r="EF16" s="104">
        <v>0</v>
      </c>
      <c r="EG16" s="104">
        <v>2</v>
      </c>
      <c r="EH16" s="104">
        <v>0</v>
      </c>
      <c r="EI16" s="104">
        <v>0</v>
      </c>
      <c r="EJ16" s="104">
        <v>0</v>
      </c>
      <c r="EK16" s="104">
        <v>0</v>
      </c>
      <c r="EL16" s="104">
        <v>0</v>
      </c>
      <c r="EM16" s="104">
        <v>1</v>
      </c>
      <c r="EN16" s="104"/>
      <c r="EO16" s="104"/>
      <c r="EP16" s="104"/>
      <c r="EQ16" s="104"/>
      <c r="ER16" s="104"/>
      <c r="ES16" s="104"/>
      <c r="ET16" s="106">
        <f t="shared" si="0"/>
        <v>3</v>
      </c>
      <c r="EU16" s="104">
        <v>0</v>
      </c>
      <c r="EV16" s="104">
        <v>0</v>
      </c>
      <c r="EW16" s="104">
        <v>0</v>
      </c>
      <c r="EX16" s="104">
        <v>1</v>
      </c>
      <c r="EY16" s="104">
        <v>0</v>
      </c>
      <c r="EZ16" s="104">
        <v>1</v>
      </c>
      <c r="FA16" s="104">
        <v>0</v>
      </c>
      <c r="FB16" s="104">
        <v>1</v>
      </c>
      <c r="FC16" s="104">
        <v>4</v>
      </c>
      <c r="FD16" s="104"/>
      <c r="FE16" s="104"/>
      <c r="FF16" s="104"/>
      <c r="FG16" s="104"/>
      <c r="FH16" s="104"/>
      <c r="FI16" s="104"/>
      <c r="FJ16" s="104">
        <f t="shared" si="1"/>
        <v>7</v>
      </c>
      <c r="FK16" s="108">
        <f t="shared" ref="FK16:FK21" si="4">((SUM(L16,AD16))-(FJ16))</f>
        <v>0</v>
      </c>
      <c r="FL16" s="108">
        <f t="shared" ref="FL16:FL21" si="5">((SUM(AO16,AY16,BI16,BS16,CC16,CM16,CW16,DG16,DQ16))-(ET16))</f>
        <v>0</v>
      </c>
      <c r="FM16" s="109"/>
    </row>
    <row r="17" spans="1:169" x14ac:dyDescent="0.25">
      <c r="A17" s="91">
        <v>40365</v>
      </c>
      <c r="B17" s="91" t="s">
        <v>133</v>
      </c>
      <c r="C17" s="91" t="s">
        <v>131</v>
      </c>
      <c r="D17" s="91" t="s">
        <v>322</v>
      </c>
      <c r="E17" s="92"/>
      <c r="F17" s="93"/>
      <c r="G17" s="94" t="s">
        <v>464</v>
      </c>
      <c r="H17" s="95">
        <v>0</v>
      </c>
      <c r="I17" s="95">
        <v>0</v>
      </c>
      <c r="J17" s="96">
        <v>1</v>
      </c>
      <c r="K17" s="95">
        <v>1</v>
      </c>
      <c r="L17" s="95">
        <v>0</v>
      </c>
      <c r="M17" s="95">
        <v>0</v>
      </c>
      <c r="N17" s="95">
        <v>0</v>
      </c>
      <c r="O17" s="95">
        <v>1</v>
      </c>
      <c r="P17" s="95">
        <v>0</v>
      </c>
      <c r="Q17" s="95">
        <v>0</v>
      </c>
      <c r="R17" s="95">
        <v>4</v>
      </c>
      <c r="S17" s="95"/>
      <c r="T17" s="95"/>
      <c r="U17" s="95">
        <v>0</v>
      </c>
      <c r="V17" s="97">
        <v>0</v>
      </c>
      <c r="W17" s="98">
        <v>0</v>
      </c>
      <c r="X17" s="98">
        <v>1</v>
      </c>
      <c r="Y17" s="98">
        <v>0</v>
      </c>
      <c r="Z17" s="98">
        <v>0</v>
      </c>
      <c r="AA17" s="98">
        <v>1</v>
      </c>
      <c r="AB17" s="99">
        <v>7</v>
      </c>
      <c r="AC17" s="98">
        <v>5</v>
      </c>
      <c r="AD17" s="98">
        <v>3</v>
      </c>
      <c r="AE17" s="98">
        <v>2</v>
      </c>
      <c r="AF17" s="98">
        <v>4</v>
      </c>
      <c r="AG17" s="98">
        <v>5</v>
      </c>
      <c r="AH17" s="98">
        <v>0</v>
      </c>
      <c r="AI17" s="98">
        <v>0</v>
      </c>
      <c r="AJ17" s="98">
        <v>30</v>
      </c>
      <c r="AK17" s="98"/>
      <c r="AL17" s="98"/>
      <c r="AM17" s="100" t="s">
        <v>454</v>
      </c>
      <c r="AN17" s="101">
        <v>4</v>
      </c>
      <c r="AO17" s="101">
        <v>0</v>
      </c>
      <c r="AP17" s="101">
        <v>0</v>
      </c>
      <c r="AQ17" s="101">
        <v>0</v>
      </c>
      <c r="AR17" s="101">
        <v>0</v>
      </c>
      <c r="AS17" s="101">
        <v>0</v>
      </c>
      <c r="AT17" s="101">
        <v>0</v>
      </c>
      <c r="AU17" s="101">
        <v>0</v>
      </c>
      <c r="AV17" s="102">
        <v>0</v>
      </c>
      <c r="AW17" s="100" t="s">
        <v>457</v>
      </c>
      <c r="AX17" s="101">
        <v>4</v>
      </c>
      <c r="AY17" s="101">
        <v>0</v>
      </c>
      <c r="AZ17" s="101">
        <v>0</v>
      </c>
      <c r="BA17" s="101">
        <v>0</v>
      </c>
      <c r="BB17" s="101">
        <v>0</v>
      </c>
      <c r="BC17" s="101">
        <v>0</v>
      </c>
      <c r="BD17" s="101">
        <v>0</v>
      </c>
      <c r="BE17" s="101">
        <v>0</v>
      </c>
      <c r="BF17" s="102">
        <v>0</v>
      </c>
      <c r="BG17" s="100" t="s">
        <v>458</v>
      </c>
      <c r="BH17" s="101">
        <v>3</v>
      </c>
      <c r="BI17" s="101">
        <v>0</v>
      </c>
      <c r="BJ17" s="101">
        <v>0</v>
      </c>
      <c r="BK17" s="101">
        <v>0</v>
      </c>
      <c r="BL17" s="101">
        <v>1</v>
      </c>
      <c r="BM17" s="101">
        <v>0</v>
      </c>
      <c r="BN17" s="101">
        <v>0</v>
      </c>
      <c r="BO17" s="101">
        <v>0</v>
      </c>
      <c r="BP17" s="102">
        <v>0</v>
      </c>
      <c r="BQ17" s="100" t="s">
        <v>320</v>
      </c>
      <c r="BR17" s="101">
        <v>4</v>
      </c>
      <c r="BS17" s="101">
        <v>1</v>
      </c>
      <c r="BT17" s="101">
        <v>2</v>
      </c>
      <c r="BU17" s="101">
        <v>1</v>
      </c>
      <c r="BV17" s="101">
        <v>0</v>
      </c>
      <c r="BW17" s="101">
        <v>0</v>
      </c>
      <c r="BX17" s="101">
        <v>0</v>
      </c>
      <c r="BY17" s="101">
        <v>0</v>
      </c>
      <c r="BZ17" s="102">
        <v>5</v>
      </c>
      <c r="CA17" s="100" t="s">
        <v>461</v>
      </c>
      <c r="CB17" s="101">
        <v>4</v>
      </c>
      <c r="CC17" s="101">
        <v>0</v>
      </c>
      <c r="CD17" s="101">
        <v>2</v>
      </c>
      <c r="CE17" s="101">
        <v>0</v>
      </c>
      <c r="CF17" s="101">
        <v>0</v>
      </c>
      <c r="CG17" s="101">
        <v>1</v>
      </c>
      <c r="CH17" s="101">
        <v>0</v>
      </c>
      <c r="CI17" s="101">
        <v>0</v>
      </c>
      <c r="CJ17" s="102">
        <v>2</v>
      </c>
      <c r="CK17" s="100" t="s">
        <v>315</v>
      </c>
      <c r="CL17" s="101">
        <v>3</v>
      </c>
      <c r="CM17" s="101">
        <v>0</v>
      </c>
      <c r="CN17" s="101">
        <v>0</v>
      </c>
      <c r="CO17" s="101">
        <v>0</v>
      </c>
      <c r="CP17" s="101">
        <v>1</v>
      </c>
      <c r="CQ17" s="101">
        <v>1</v>
      </c>
      <c r="CR17" s="101">
        <v>0</v>
      </c>
      <c r="CS17" s="101">
        <v>0</v>
      </c>
      <c r="CT17" s="102">
        <v>0</v>
      </c>
      <c r="CU17" s="100" t="s">
        <v>314</v>
      </c>
      <c r="CV17" s="101">
        <v>2</v>
      </c>
      <c r="CW17" s="101">
        <v>0</v>
      </c>
      <c r="CX17" s="101">
        <v>1</v>
      </c>
      <c r="CY17" s="101">
        <v>0</v>
      </c>
      <c r="CZ17" s="101">
        <v>1</v>
      </c>
      <c r="DA17" s="101">
        <v>1</v>
      </c>
      <c r="DB17" s="101">
        <v>0</v>
      </c>
      <c r="DC17" s="101">
        <v>0</v>
      </c>
      <c r="DD17" s="102">
        <v>2</v>
      </c>
      <c r="DE17" s="100" t="s">
        <v>313</v>
      </c>
      <c r="DF17" s="101">
        <v>3</v>
      </c>
      <c r="DG17" s="101">
        <v>0</v>
      </c>
      <c r="DH17" s="101">
        <v>0</v>
      </c>
      <c r="DI17" s="101">
        <v>0</v>
      </c>
      <c r="DJ17" s="101">
        <v>0</v>
      </c>
      <c r="DK17" s="101">
        <v>1</v>
      </c>
      <c r="DL17" s="101">
        <v>0</v>
      </c>
      <c r="DM17" s="101">
        <v>0</v>
      </c>
      <c r="DN17" s="102">
        <v>0</v>
      </c>
      <c r="DO17" s="100" t="s">
        <v>463</v>
      </c>
      <c r="DP17" s="101">
        <v>3</v>
      </c>
      <c r="DQ17" s="101">
        <v>0</v>
      </c>
      <c r="DR17" s="101">
        <v>0</v>
      </c>
      <c r="DS17" s="101">
        <v>0</v>
      </c>
      <c r="DT17" s="101">
        <v>0</v>
      </c>
      <c r="DU17" s="101">
        <v>1</v>
      </c>
      <c r="DV17" s="101">
        <v>0</v>
      </c>
      <c r="DW17" s="101">
        <v>0</v>
      </c>
      <c r="DX17" s="102">
        <v>0</v>
      </c>
      <c r="DY17" s="103">
        <v>6</v>
      </c>
      <c r="DZ17" s="104">
        <v>0</v>
      </c>
      <c r="EA17" s="104">
        <v>0</v>
      </c>
      <c r="EB17" s="105">
        <v>3</v>
      </c>
      <c r="EC17" s="104">
        <v>0</v>
      </c>
      <c r="ED17" s="106">
        <v>0</v>
      </c>
      <c r="EE17" s="107">
        <v>0</v>
      </c>
      <c r="EF17" s="104">
        <v>1</v>
      </c>
      <c r="EG17" s="104">
        <v>0</v>
      </c>
      <c r="EH17" s="104">
        <v>0</v>
      </c>
      <c r="EI17" s="104">
        <v>0</v>
      </c>
      <c r="EJ17" s="104">
        <v>0</v>
      </c>
      <c r="EK17" s="104">
        <v>0</v>
      </c>
      <c r="EL17" s="104">
        <v>0</v>
      </c>
      <c r="EM17" s="104">
        <v>0</v>
      </c>
      <c r="EN17" s="104"/>
      <c r="EO17" s="104"/>
      <c r="EP17" s="104"/>
      <c r="EQ17" s="104"/>
      <c r="ER17" s="104"/>
      <c r="ES17" s="104"/>
      <c r="ET17" s="106">
        <f t="shared" si="0"/>
        <v>1</v>
      </c>
      <c r="EU17" s="104">
        <v>0</v>
      </c>
      <c r="EV17" s="104">
        <v>0</v>
      </c>
      <c r="EW17" s="104">
        <v>0</v>
      </c>
      <c r="EX17" s="104">
        <v>0</v>
      </c>
      <c r="EY17" s="104">
        <v>0</v>
      </c>
      <c r="EZ17" s="104">
        <v>0</v>
      </c>
      <c r="FA17" s="104">
        <v>1</v>
      </c>
      <c r="FB17" s="104">
        <v>2</v>
      </c>
      <c r="FC17" s="104"/>
      <c r="FD17" s="104"/>
      <c r="FE17" s="104"/>
      <c r="FF17" s="104"/>
      <c r="FG17" s="104"/>
      <c r="FH17" s="104"/>
      <c r="FI17" s="104"/>
      <c r="FJ17" s="104">
        <f t="shared" si="1"/>
        <v>3</v>
      </c>
      <c r="FK17" s="108">
        <f t="shared" si="4"/>
        <v>0</v>
      </c>
      <c r="FL17" s="108">
        <f t="shared" si="5"/>
        <v>0</v>
      </c>
      <c r="FM17" s="109"/>
    </row>
    <row r="18" spans="1:169" x14ac:dyDescent="0.25">
      <c r="A18" s="91">
        <v>40366</v>
      </c>
      <c r="B18" s="91" t="s">
        <v>133</v>
      </c>
      <c r="C18" s="91" t="s">
        <v>129</v>
      </c>
      <c r="D18" s="91" t="s">
        <v>324</v>
      </c>
      <c r="E18" s="92"/>
      <c r="F18" s="93"/>
      <c r="G18" s="94" t="s">
        <v>325</v>
      </c>
      <c r="H18" s="95">
        <v>1</v>
      </c>
      <c r="I18" s="95">
        <v>0</v>
      </c>
      <c r="J18" s="96">
        <v>6</v>
      </c>
      <c r="K18" s="95">
        <v>3</v>
      </c>
      <c r="L18" s="95">
        <v>0</v>
      </c>
      <c r="M18" s="95">
        <v>0</v>
      </c>
      <c r="N18" s="95">
        <v>0</v>
      </c>
      <c r="O18" s="95">
        <v>3</v>
      </c>
      <c r="P18" s="95">
        <v>0</v>
      </c>
      <c r="Q18" s="95">
        <v>0</v>
      </c>
      <c r="R18" s="95">
        <v>21</v>
      </c>
      <c r="S18" s="95"/>
      <c r="T18" s="95"/>
      <c r="U18" s="95">
        <v>0</v>
      </c>
      <c r="V18" s="97">
        <v>0</v>
      </c>
      <c r="W18" s="98">
        <v>0</v>
      </c>
      <c r="X18" s="98">
        <v>0</v>
      </c>
      <c r="Y18" s="98">
        <v>1</v>
      </c>
      <c r="Z18" s="98">
        <v>1</v>
      </c>
      <c r="AA18" s="98">
        <v>0</v>
      </c>
      <c r="AB18" s="99">
        <v>3</v>
      </c>
      <c r="AC18" s="98">
        <v>3</v>
      </c>
      <c r="AD18" s="98">
        <v>0</v>
      </c>
      <c r="AE18" s="98">
        <v>0</v>
      </c>
      <c r="AF18" s="98">
        <v>0</v>
      </c>
      <c r="AG18" s="98">
        <v>4</v>
      </c>
      <c r="AH18" s="98">
        <v>0</v>
      </c>
      <c r="AI18" s="98">
        <v>0</v>
      </c>
      <c r="AJ18" s="98">
        <v>12</v>
      </c>
      <c r="AK18" s="98"/>
      <c r="AL18" s="98"/>
      <c r="AM18" s="100" t="s">
        <v>454</v>
      </c>
      <c r="AN18" s="101">
        <v>5</v>
      </c>
      <c r="AO18" s="101">
        <v>1</v>
      </c>
      <c r="AP18" s="101">
        <v>2</v>
      </c>
      <c r="AQ18" s="101">
        <v>0</v>
      </c>
      <c r="AR18" s="101">
        <v>0</v>
      </c>
      <c r="AS18" s="101">
        <v>1</v>
      </c>
      <c r="AT18" s="101">
        <v>0</v>
      </c>
      <c r="AU18" s="101">
        <v>0</v>
      </c>
      <c r="AV18" s="102">
        <v>2</v>
      </c>
      <c r="AW18" s="100" t="s">
        <v>457</v>
      </c>
      <c r="AX18" s="101">
        <v>5</v>
      </c>
      <c r="AY18" s="101">
        <v>0</v>
      </c>
      <c r="AZ18" s="101">
        <v>1</v>
      </c>
      <c r="BA18" s="101">
        <v>0</v>
      </c>
      <c r="BB18" s="101">
        <v>0</v>
      </c>
      <c r="BC18" s="101">
        <v>2</v>
      </c>
      <c r="BD18" s="101">
        <v>0</v>
      </c>
      <c r="BE18" s="101">
        <v>0</v>
      </c>
      <c r="BF18" s="102">
        <v>1</v>
      </c>
      <c r="BG18" s="100" t="s">
        <v>460</v>
      </c>
      <c r="BH18" s="101">
        <v>2</v>
      </c>
      <c r="BI18" s="101">
        <v>1</v>
      </c>
      <c r="BJ18" s="101">
        <v>0</v>
      </c>
      <c r="BK18" s="101">
        <v>0</v>
      </c>
      <c r="BL18" s="101">
        <v>2</v>
      </c>
      <c r="BM18" s="101">
        <v>0</v>
      </c>
      <c r="BN18" s="101">
        <v>0</v>
      </c>
      <c r="BO18" s="101">
        <v>0</v>
      </c>
      <c r="BP18" s="102">
        <v>0</v>
      </c>
      <c r="BQ18" s="100" t="s">
        <v>320</v>
      </c>
      <c r="BR18" s="101">
        <v>4</v>
      </c>
      <c r="BS18" s="101">
        <v>1</v>
      </c>
      <c r="BT18" s="101">
        <v>1</v>
      </c>
      <c r="BU18" s="101">
        <v>1</v>
      </c>
      <c r="BV18" s="101">
        <v>0</v>
      </c>
      <c r="BW18" s="101">
        <v>2</v>
      </c>
      <c r="BX18" s="101">
        <v>0</v>
      </c>
      <c r="BY18" s="101">
        <v>0</v>
      </c>
      <c r="BZ18" s="102">
        <v>2</v>
      </c>
      <c r="CA18" s="100" t="s">
        <v>461</v>
      </c>
      <c r="CB18" s="101">
        <v>3</v>
      </c>
      <c r="CC18" s="101">
        <v>0</v>
      </c>
      <c r="CD18" s="101">
        <v>0</v>
      </c>
      <c r="CE18" s="101">
        <v>1</v>
      </c>
      <c r="CF18" s="101">
        <v>0</v>
      </c>
      <c r="CG18" s="101">
        <v>1</v>
      </c>
      <c r="CH18" s="101">
        <v>0</v>
      </c>
      <c r="CI18" s="101">
        <v>1</v>
      </c>
      <c r="CJ18" s="102">
        <v>0</v>
      </c>
      <c r="CK18" s="100" t="s">
        <v>458</v>
      </c>
      <c r="CL18" s="101">
        <v>4</v>
      </c>
      <c r="CM18" s="101">
        <v>0</v>
      </c>
      <c r="CN18" s="101">
        <v>1</v>
      </c>
      <c r="CO18" s="101">
        <v>1</v>
      </c>
      <c r="CP18" s="101">
        <v>0</v>
      </c>
      <c r="CQ18" s="101">
        <v>0</v>
      </c>
      <c r="CR18" s="101">
        <v>0</v>
      </c>
      <c r="CS18" s="101">
        <v>0</v>
      </c>
      <c r="CT18" s="102">
        <v>2</v>
      </c>
      <c r="CU18" s="100" t="s">
        <v>314</v>
      </c>
      <c r="CV18" s="101">
        <v>3</v>
      </c>
      <c r="CW18" s="101">
        <v>0</v>
      </c>
      <c r="CX18" s="101">
        <v>1</v>
      </c>
      <c r="CY18" s="101">
        <v>0</v>
      </c>
      <c r="CZ18" s="101">
        <v>1</v>
      </c>
      <c r="DA18" s="101">
        <v>1</v>
      </c>
      <c r="DB18" s="101">
        <v>0</v>
      </c>
      <c r="DC18" s="101">
        <v>0</v>
      </c>
      <c r="DD18" s="102">
        <v>1</v>
      </c>
      <c r="DE18" s="100" t="s">
        <v>313</v>
      </c>
      <c r="DF18" s="101">
        <v>4</v>
      </c>
      <c r="DG18" s="101">
        <v>0</v>
      </c>
      <c r="DH18" s="101">
        <v>1</v>
      </c>
      <c r="DI18" s="101">
        <v>0</v>
      </c>
      <c r="DJ18" s="101">
        <v>0</v>
      </c>
      <c r="DK18" s="101">
        <v>0</v>
      </c>
      <c r="DL18" s="101">
        <v>0</v>
      </c>
      <c r="DM18" s="101">
        <v>0</v>
      </c>
      <c r="DN18" s="102">
        <v>1</v>
      </c>
      <c r="DO18" s="100" t="s">
        <v>463</v>
      </c>
      <c r="DP18" s="101">
        <v>4</v>
      </c>
      <c r="DQ18" s="101">
        <v>0</v>
      </c>
      <c r="DR18" s="101">
        <v>2</v>
      </c>
      <c r="DS18" s="101">
        <v>0</v>
      </c>
      <c r="DT18" s="101">
        <v>0</v>
      </c>
      <c r="DU18" s="101">
        <v>0</v>
      </c>
      <c r="DV18" s="101">
        <v>0</v>
      </c>
      <c r="DW18" s="101">
        <v>0</v>
      </c>
      <c r="DX18" s="102">
        <v>2</v>
      </c>
      <c r="DY18" s="103">
        <v>4</v>
      </c>
      <c r="DZ18" s="104">
        <v>1</v>
      </c>
      <c r="EA18" s="104">
        <v>0</v>
      </c>
      <c r="EB18" s="105">
        <v>5</v>
      </c>
      <c r="EC18" s="104">
        <v>0</v>
      </c>
      <c r="ED18" s="106">
        <v>0</v>
      </c>
      <c r="EE18" s="107">
        <v>3</v>
      </c>
      <c r="EF18" s="104">
        <v>0</v>
      </c>
      <c r="EG18" s="104">
        <v>0</v>
      </c>
      <c r="EH18" s="104">
        <v>0</v>
      </c>
      <c r="EI18" s="104">
        <v>0</v>
      </c>
      <c r="EJ18" s="104">
        <v>0</v>
      </c>
      <c r="EK18" s="104">
        <v>0</v>
      </c>
      <c r="EL18" s="104">
        <v>0</v>
      </c>
      <c r="EM18" s="104">
        <v>0</v>
      </c>
      <c r="EN18" s="104"/>
      <c r="EO18" s="104"/>
      <c r="EP18" s="104"/>
      <c r="EQ18" s="104"/>
      <c r="ER18" s="104"/>
      <c r="ES18" s="104"/>
      <c r="ET18" s="106">
        <f t="shared" si="0"/>
        <v>3</v>
      </c>
      <c r="EU18" s="104">
        <v>0</v>
      </c>
      <c r="EV18" s="104">
        <v>0</v>
      </c>
      <c r="EW18" s="104">
        <v>0</v>
      </c>
      <c r="EX18" s="104">
        <v>0</v>
      </c>
      <c r="EY18" s="104">
        <v>0</v>
      </c>
      <c r="EZ18" s="104">
        <v>0</v>
      </c>
      <c r="FA18" s="104">
        <v>0</v>
      </c>
      <c r="FB18" s="104">
        <v>0</v>
      </c>
      <c r="FC18" s="104">
        <v>0</v>
      </c>
      <c r="FD18" s="104"/>
      <c r="FE18" s="104"/>
      <c r="FF18" s="104"/>
      <c r="FG18" s="104"/>
      <c r="FH18" s="104"/>
      <c r="FI18" s="104"/>
      <c r="FJ18" s="104">
        <f t="shared" si="1"/>
        <v>0</v>
      </c>
      <c r="FK18" s="108">
        <f t="shared" si="4"/>
        <v>0</v>
      </c>
      <c r="FL18" s="108">
        <f t="shared" si="5"/>
        <v>0</v>
      </c>
      <c r="FM18" s="109"/>
    </row>
    <row r="19" spans="1:169" x14ac:dyDescent="0.25">
      <c r="A19" s="91">
        <v>40367</v>
      </c>
      <c r="B19" s="91" t="s">
        <v>19</v>
      </c>
      <c r="C19" s="91" t="s">
        <v>131</v>
      </c>
      <c r="D19" s="91" t="s">
        <v>324</v>
      </c>
      <c r="E19" s="92"/>
      <c r="F19" s="93"/>
      <c r="G19" s="94" t="s">
        <v>465</v>
      </c>
      <c r="H19" s="95">
        <v>0</v>
      </c>
      <c r="I19" s="95">
        <v>1</v>
      </c>
      <c r="J19" s="96">
        <v>5</v>
      </c>
      <c r="K19" s="95">
        <v>4</v>
      </c>
      <c r="L19" s="95">
        <v>2</v>
      </c>
      <c r="M19" s="95">
        <v>2</v>
      </c>
      <c r="N19" s="95">
        <v>2</v>
      </c>
      <c r="O19" s="95">
        <v>4</v>
      </c>
      <c r="P19" s="95">
        <v>0</v>
      </c>
      <c r="Q19" s="95">
        <v>0</v>
      </c>
      <c r="R19" s="95">
        <v>19</v>
      </c>
      <c r="S19" s="95"/>
      <c r="T19" s="95"/>
      <c r="U19" s="95">
        <v>0</v>
      </c>
      <c r="V19" s="97">
        <v>0</v>
      </c>
      <c r="W19" s="98">
        <v>0</v>
      </c>
      <c r="X19" s="98">
        <v>0</v>
      </c>
      <c r="Y19" s="98">
        <v>0</v>
      </c>
      <c r="Z19" s="98">
        <v>0</v>
      </c>
      <c r="AA19" s="98">
        <v>0</v>
      </c>
      <c r="AB19" s="99">
        <v>4</v>
      </c>
      <c r="AC19" s="98">
        <v>5</v>
      </c>
      <c r="AD19" s="98">
        <v>3</v>
      </c>
      <c r="AE19" s="98">
        <v>2</v>
      </c>
      <c r="AF19" s="98">
        <v>0</v>
      </c>
      <c r="AG19" s="98">
        <v>2</v>
      </c>
      <c r="AH19" s="98">
        <v>1</v>
      </c>
      <c r="AI19" s="98">
        <v>0</v>
      </c>
      <c r="AJ19" s="98">
        <v>18</v>
      </c>
      <c r="AK19" s="98"/>
      <c r="AL19" s="98"/>
      <c r="AM19" s="100" t="s">
        <v>454</v>
      </c>
      <c r="AN19" s="101">
        <v>4</v>
      </c>
      <c r="AO19" s="101">
        <v>1</v>
      </c>
      <c r="AP19" s="101">
        <v>1</v>
      </c>
      <c r="AQ19" s="101">
        <v>1</v>
      </c>
      <c r="AR19" s="101">
        <v>0</v>
      </c>
      <c r="AS19" s="101">
        <v>2</v>
      </c>
      <c r="AT19" s="101">
        <v>0</v>
      </c>
      <c r="AU19" s="101">
        <v>0</v>
      </c>
      <c r="AV19" s="102">
        <v>4</v>
      </c>
      <c r="AW19" s="100" t="s">
        <v>314</v>
      </c>
      <c r="AX19" s="101">
        <v>4</v>
      </c>
      <c r="AY19" s="101">
        <v>0</v>
      </c>
      <c r="AZ19" s="101">
        <v>0</v>
      </c>
      <c r="BA19" s="101">
        <v>0</v>
      </c>
      <c r="BB19" s="101">
        <v>0</v>
      </c>
      <c r="BC19" s="101">
        <v>0</v>
      </c>
      <c r="BD19" s="101">
        <v>0</v>
      </c>
      <c r="BE19" s="101">
        <v>0</v>
      </c>
      <c r="BF19" s="102">
        <v>0</v>
      </c>
      <c r="BG19" s="100" t="s">
        <v>460</v>
      </c>
      <c r="BH19" s="101">
        <v>3</v>
      </c>
      <c r="BI19" s="101">
        <v>0</v>
      </c>
      <c r="BJ19" s="101">
        <v>0</v>
      </c>
      <c r="BK19" s="101">
        <v>0</v>
      </c>
      <c r="BL19" s="101">
        <v>0</v>
      </c>
      <c r="BM19" s="101">
        <v>1</v>
      </c>
      <c r="BN19" s="101">
        <v>1</v>
      </c>
      <c r="BO19" s="101">
        <v>0</v>
      </c>
      <c r="BP19" s="102">
        <v>0</v>
      </c>
      <c r="BQ19" s="100" t="s">
        <v>320</v>
      </c>
      <c r="BR19" s="101">
        <v>4</v>
      </c>
      <c r="BS19" s="101">
        <v>0</v>
      </c>
      <c r="BT19" s="101">
        <v>0</v>
      </c>
      <c r="BU19" s="101">
        <v>0</v>
      </c>
      <c r="BV19" s="101">
        <v>0</v>
      </c>
      <c r="BW19" s="101">
        <v>2</v>
      </c>
      <c r="BX19" s="101">
        <v>0</v>
      </c>
      <c r="BY19" s="101">
        <v>0</v>
      </c>
      <c r="BZ19" s="102">
        <v>0</v>
      </c>
      <c r="CA19" s="100" t="s">
        <v>461</v>
      </c>
      <c r="CB19" s="101">
        <v>4</v>
      </c>
      <c r="CC19" s="101">
        <v>0</v>
      </c>
      <c r="CD19" s="101">
        <v>0</v>
      </c>
      <c r="CE19" s="101">
        <v>0</v>
      </c>
      <c r="CF19" s="101">
        <v>0</v>
      </c>
      <c r="CG19" s="101">
        <v>0</v>
      </c>
      <c r="CH19" s="101">
        <v>0</v>
      </c>
      <c r="CI19" s="101">
        <v>0</v>
      </c>
      <c r="CJ19" s="102">
        <v>0</v>
      </c>
      <c r="CK19" s="100" t="s">
        <v>458</v>
      </c>
      <c r="CL19" s="101">
        <v>3</v>
      </c>
      <c r="CM19" s="101">
        <v>0</v>
      </c>
      <c r="CN19" s="101">
        <v>0</v>
      </c>
      <c r="CO19" s="101">
        <v>0</v>
      </c>
      <c r="CP19" s="101">
        <v>1</v>
      </c>
      <c r="CQ19" s="101">
        <v>2</v>
      </c>
      <c r="CR19" s="101">
        <v>0</v>
      </c>
      <c r="CS19" s="101">
        <v>0</v>
      </c>
      <c r="CT19" s="102">
        <v>0</v>
      </c>
      <c r="CU19" s="100" t="s">
        <v>319</v>
      </c>
      <c r="CV19" s="101">
        <v>3</v>
      </c>
      <c r="CW19" s="101">
        <v>0</v>
      </c>
      <c r="CX19" s="101">
        <v>0</v>
      </c>
      <c r="CY19" s="101">
        <v>0</v>
      </c>
      <c r="CZ19" s="101">
        <v>0</v>
      </c>
      <c r="DA19" s="101">
        <v>1</v>
      </c>
      <c r="DB19" s="101">
        <v>0</v>
      </c>
      <c r="DC19" s="101">
        <v>0</v>
      </c>
      <c r="DD19" s="102">
        <v>0</v>
      </c>
      <c r="DE19" s="100" t="s">
        <v>315</v>
      </c>
      <c r="DF19" s="101">
        <v>3</v>
      </c>
      <c r="DG19" s="101">
        <v>0</v>
      </c>
      <c r="DH19" s="101">
        <v>2</v>
      </c>
      <c r="DI19" s="101">
        <v>0</v>
      </c>
      <c r="DJ19" s="101">
        <v>0</v>
      </c>
      <c r="DK19" s="101">
        <v>0</v>
      </c>
      <c r="DL19" s="101">
        <v>0</v>
      </c>
      <c r="DM19" s="101">
        <v>0</v>
      </c>
      <c r="DN19" s="102">
        <v>3</v>
      </c>
      <c r="DO19" s="100" t="s">
        <v>318</v>
      </c>
      <c r="DP19" s="101">
        <v>3</v>
      </c>
      <c r="DQ19" s="101">
        <v>0</v>
      </c>
      <c r="DR19" s="101">
        <v>0</v>
      </c>
      <c r="DS19" s="101">
        <v>0</v>
      </c>
      <c r="DT19" s="101">
        <v>0</v>
      </c>
      <c r="DU19" s="101">
        <v>1</v>
      </c>
      <c r="DV19" s="101">
        <v>0</v>
      </c>
      <c r="DW19" s="101">
        <v>0</v>
      </c>
      <c r="DX19" s="102">
        <v>0</v>
      </c>
      <c r="DY19" s="103">
        <v>0</v>
      </c>
      <c r="DZ19" s="104">
        <v>0</v>
      </c>
      <c r="EA19" s="104">
        <v>0</v>
      </c>
      <c r="EB19" s="105">
        <v>9</v>
      </c>
      <c r="EC19" s="104">
        <v>1</v>
      </c>
      <c r="ED19" s="106">
        <v>0</v>
      </c>
      <c r="EE19" s="107">
        <v>0</v>
      </c>
      <c r="EF19" s="104">
        <v>0</v>
      </c>
      <c r="EG19" s="104">
        <v>0</v>
      </c>
      <c r="EH19" s="104">
        <v>0</v>
      </c>
      <c r="EI19" s="104">
        <v>0</v>
      </c>
      <c r="EJ19" s="104">
        <v>0</v>
      </c>
      <c r="EK19" s="104">
        <v>0</v>
      </c>
      <c r="EL19" s="104">
        <v>1</v>
      </c>
      <c r="EM19" s="104">
        <v>0</v>
      </c>
      <c r="EN19" s="104"/>
      <c r="EO19" s="104"/>
      <c r="EP19" s="104"/>
      <c r="EQ19" s="104"/>
      <c r="ER19" s="104"/>
      <c r="ES19" s="104"/>
      <c r="ET19" s="106">
        <f t="shared" si="0"/>
        <v>1</v>
      </c>
      <c r="EU19" s="104">
        <v>0</v>
      </c>
      <c r="EV19" s="104">
        <v>0</v>
      </c>
      <c r="EW19" s="104">
        <v>2</v>
      </c>
      <c r="EX19" s="104">
        <v>0</v>
      </c>
      <c r="EY19" s="104">
        <v>0</v>
      </c>
      <c r="EZ19" s="104">
        <v>1</v>
      </c>
      <c r="FA19" s="104">
        <v>0</v>
      </c>
      <c r="FB19" s="104">
        <v>1</v>
      </c>
      <c r="FC19" s="104">
        <v>1</v>
      </c>
      <c r="FD19" s="104"/>
      <c r="FE19" s="104"/>
      <c r="FF19" s="104"/>
      <c r="FG19" s="104"/>
      <c r="FH19" s="104"/>
      <c r="FI19" s="104"/>
      <c r="FJ19" s="104">
        <f t="shared" si="1"/>
        <v>5</v>
      </c>
      <c r="FK19" s="108">
        <f t="shared" si="4"/>
        <v>0</v>
      </c>
      <c r="FL19" s="108">
        <f t="shared" si="5"/>
        <v>0</v>
      </c>
      <c r="FM19" s="109"/>
    </row>
    <row r="20" spans="1:169" x14ac:dyDescent="0.25">
      <c r="A20" s="91">
        <v>40368</v>
      </c>
      <c r="B20" s="91" t="s">
        <v>19</v>
      </c>
      <c r="C20" s="91" t="s">
        <v>129</v>
      </c>
      <c r="D20" s="91" t="s">
        <v>317</v>
      </c>
      <c r="E20" s="92"/>
      <c r="F20" s="93"/>
      <c r="G20" s="94" t="s">
        <v>464</v>
      </c>
      <c r="H20" s="95">
        <v>0</v>
      </c>
      <c r="I20" s="95">
        <v>0</v>
      </c>
      <c r="J20" s="96">
        <v>1</v>
      </c>
      <c r="K20" s="95">
        <v>1</v>
      </c>
      <c r="L20" s="95">
        <v>1</v>
      </c>
      <c r="M20" s="95">
        <v>1</v>
      </c>
      <c r="N20" s="95">
        <v>0</v>
      </c>
      <c r="O20" s="95">
        <v>0</v>
      </c>
      <c r="P20" s="95">
        <v>0</v>
      </c>
      <c r="Q20" s="95">
        <v>0</v>
      </c>
      <c r="R20" s="95">
        <v>4</v>
      </c>
      <c r="S20" s="95"/>
      <c r="T20" s="95"/>
      <c r="U20" s="95">
        <v>0</v>
      </c>
      <c r="V20" s="97">
        <v>0</v>
      </c>
      <c r="W20" s="98">
        <v>1</v>
      </c>
      <c r="X20" s="98">
        <v>0</v>
      </c>
      <c r="Y20" s="98">
        <v>0</v>
      </c>
      <c r="Z20" s="98">
        <v>0</v>
      </c>
      <c r="AA20" s="98">
        <v>0</v>
      </c>
      <c r="AB20" s="99">
        <v>11</v>
      </c>
      <c r="AC20" s="98">
        <v>7</v>
      </c>
      <c r="AD20" s="98">
        <v>2</v>
      </c>
      <c r="AE20" s="98">
        <v>1</v>
      </c>
      <c r="AF20" s="98">
        <v>2</v>
      </c>
      <c r="AG20" s="98">
        <v>4</v>
      </c>
      <c r="AH20" s="98">
        <v>0</v>
      </c>
      <c r="AI20" s="98">
        <v>0</v>
      </c>
      <c r="AJ20" s="98">
        <v>41</v>
      </c>
      <c r="AK20" s="98"/>
      <c r="AL20" s="98"/>
      <c r="AM20" s="100" t="s">
        <v>454</v>
      </c>
      <c r="AN20" s="101">
        <v>5</v>
      </c>
      <c r="AO20" s="101">
        <v>1</v>
      </c>
      <c r="AP20" s="101">
        <v>0</v>
      </c>
      <c r="AQ20" s="101">
        <v>0</v>
      </c>
      <c r="AR20" s="101">
        <v>1</v>
      </c>
      <c r="AS20" s="101">
        <v>3</v>
      </c>
      <c r="AT20" s="101">
        <v>0</v>
      </c>
      <c r="AU20" s="101">
        <v>0</v>
      </c>
      <c r="AV20" s="102">
        <v>0</v>
      </c>
      <c r="AW20" s="100" t="s">
        <v>463</v>
      </c>
      <c r="AX20" s="101">
        <v>6</v>
      </c>
      <c r="AY20" s="101">
        <v>1</v>
      </c>
      <c r="AZ20" s="101">
        <v>4</v>
      </c>
      <c r="BA20" s="101">
        <v>0</v>
      </c>
      <c r="BB20" s="101">
        <v>0</v>
      </c>
      <c r="BC20" s="101">
        <v>0</v>
      </c>
      <c r="BD20" s="101">
        <v>0</v>
      </c>
      <c r="BE20" s="101">
        <v>0</v>
      </c>
      <c r="BF20" s="102">
        <v>4</v>
      </c>
      <c r="BG20" s="100" t="s">
        <v>457</v>
      </c>
      <c r="BH20" s="101">
        <v>4</v>
      </c>
      <c r="BI20" s="101">
        <v>0</v>
      </c>
      <c r="BJ20" s="101">
        <v>1</v>
      </c>
      <c r="BK20" s="101">
        <v>1</v>
      </c>
      <c r="BL20" s="101">
        <v>1</v>
      </c>
      <c r="BM20" s="101">
        <v>1</v>
      </c>
      <c r="BN20" s="101">
        <v>0</v>
      </c>
      <c r="BO20" s="101">
        <v>0</v>
      </c>
      <c r="BP20" s="102">
        <v>2</v>
      </c>
      <c r="BQ20" s="100" t="s">
        <v>320</v>
      </c>
      <c r="BR20" s="101">
        <v>5</v>
      </c>
      <c r="BS20" s="101">
        <v>0</v>
      </c>
      <c r="BT20" s="101">
        <v>0</v>
      </c>
      <c r="BU20" s="101">
        <v>0</v>
      </c>
      <c r="BV20" s="101">
        <v>0</v>
      </c>
      <c r="BW20" s="101">
        <v>1</v>
      </c>
      <c r="BX20" s="101">
        <v>1</v>
      </c>
      <c r="BY20" s="101">
        <v>0</v>
      </c>
      <c r="BZ20" s="102">
        <v>0</v>
      </c>
      <c r="CA20" s="100" t="s">
        <v>458</v>
      </c>
      <c r="CB20" s="101">
        <v>5</v>
      </c>
      <c r="CC20" s="101">
        <v>1</v>
      </c>
      <c r="CD20" s="101">
        <v>1</v>
      </c>
      <c r="CE20" s="101">
        <v>0</v>
      </c>
      <c r="CF20" s="101">
        <v>1</v>
      </c>
      <c r="CG20" s="101">
        <v>1</v>
      </c>
      <c r="CH20" s="101">
        <v>0</v>
      </c>
      <c r="CI20" s="101">
        <v>0</v>
      </c>
      <c r="CJ20" s="102">
        <v>2</v>
      </c>
      <c r="CK20" s="100" t="s">
        <v>461</v>
      </c>
      <c r="CL20" s="101">
        <v>5</v>
      </c>
      <c r="CM20" s="101">
        <v>1</v>
      </c>
      <c r="CN20" s="101">
        <v>3</v>
      </c>
      <c r="CO20" s="101">
        <v>0</v>
      </c>
      <c r="CP20" s="101">
        <v>1</v>
      </c>
      <c r="CQ20" s="101">
        <v>0</v>
      </c>
      <c r="CR20" s="101">
        <v>0</v>
      </c>
      <c r="CS20" s="101">
        <v>0</v>
      </c>
      <c r="CT20" s="102">
        <v>3</v>
      </c>
      <c r="CU20" s="100" t="s">
        <v>315</v>
      </c>
      <c r="CV20" s="101">
        <v>5</v>
      </c>
      <c r="CW20" s="101">
        <v>0</v>
      </c>
      <c r="CX20" s="101">
        <v>3</v>
      </c>
      <c r="CY20" s="101">
        <v>2</v>
      </c>
      <c r="CZ20" s="101">
        <v>0</v>
      </c>
      <c r="DA20" s="101">
        <v>2</v>
      </c>
      <c r="DB20" s="101">
        <v>1</v>
      </c>
      <c r="DC20" s="101">
        <v>0</v>
      </c>
      <c r="DD20" s="102">
        <v>3</v>
      </c>
      <c r="DE20" s="100" t="s">
        <v>313</v>
      </c>
      <c r="DF20" s="101">
        <v>4</v>
      </c>
      <c r="DG20" s="101">
        <v>0</v>
      </c>
      <c r="DH20" s="101">
        <v>1</v>
      </c>
      <c r="DI20" s="101">
        <v>1</v>
      </c>
      <c r="DJ20" s="101">
        <v>1</v>
      </c>
      <c r="DK20" s="101">
        <v>0</v>
      </c>
      <c r="DL20" s="101">
        <v>0</v>
      </c>
      <c r="DM20" s="101">
        <v>0</v>
      </c>
      <c r="DN20" s="102">
        <v>1</v>
      </c>
      <c r="DO20" s="100" t="s">
        <v>314</v>
      </c>
      <c r="DP20" s="101">
        <v>4</v>
      </c>
      <c r="DQ20" s="101">
        <v>0</v>
      </c>
      <c r="DR20" s="101">
        <v>0</v>
      </c>
      <c r="DS20" s="101">
        <v>0</v>
      </c>
      <c r="DT20" s="101">
        <v>1</v>
      </c>
      <c r="DU20" s="101">
        <v>0</v>
      </c>
      <c r="DV20" s="101">
        <v>0</v>
      </c>
      <c r="DW20" s="101">
        <v>0</v>
      </c>
      <c r="DX20" s="102">
        <v>0</v>
      </c>
      <c r="DY20" s="103">
        <v>3</v>
      </c>
      <c r="DZ20" s="104">
        <v>0</v>
      </c>
      <c r="EA20" s="104">
        <v>1</v>
      </c>
      <c r="EB20" s="105">
        <f>8+2/3</f>
        <v>8.6666666666666661</v>
      </c>
      <c r="EC20" s="104">
        <v>1</v>
      </c>
      <c r="ED20" s="106">
        <v>0</v>
      </c>
      <c r="EE20" s="107">
        <v>0</v>
      </c>
      <c r="EF20" s="104">
        <v>0</v>
      </c>
      <c r="EG20" s="104">
        <v>0</v>
      </c>
      <c r="EH20" s="104">
        <v>0</v>
      </c>
      <c r="EI20" s="104">
        <v>0</v>
      </c>
      <c r="EJ20" s="104">
        <v>0</v>
      </c>
      <c r="EK20" s="104">
        <v>2</v>
      </c>
      <c r="EL20" s="104">
        <v>1</v>
      </c>
      <c r="EM20" s="104">
        <v>0</v>
      </c>
      <c r="EN20" s="104">
        <v>0</v>
      </c>
      <c r="EO20" s="104">
        <v>0</v>
      </c>
      <c r="EP20" s="104">
        <v>1</v>
      </c>
      <c r="EQ20" s="104"/>
      <c r="ER20" s="104"/>
      <c r="ES20" s="104"/>
      <c r="ET20" s="106">
        <f t="shared" si="0"/>
        <v>4</v>
      </c>
      <c r="EU20" s="104">
        <v>1</v>
      </c>
      <c r="EV20" s="104">
        <v>0</v>
      </c>
      <c r="EW20" s="104">
        <v>1</v>
      </c>
      <c r="EX20" s="104">
        <v>0</v>
      </c>
      <c r="EY20" s="104">
        <v>0</v>
      </c>
      <c r="EZ20" s="104">
        <v>0</v>
      </c>
      <c r="FA20" s="104">
        <v>0</v>
      </c>
      <c r="FB20" s="104">
        <v>1</v>
      </c>
      <c r="FC20" s="104">
        <v>0</v>
      </c>
      <c r="FD20" s="104">
        <v>0</v>
      </c>
      <c r="FE20" s="104">
        <v>0</v>
      </c>
      <c r="FF20" s="104">
        <v>0</v>
      </c>
      <c r="FG20" s="104"/>
      <c r="FH20" s="104"/>
      <c r="FI20" s="104"/>
      <c r="FJ20" s="104">
        <f t="shared" si="1"/>
        <v>3</v>
      </c>
      <c r="FK20" s="108">
        <f t="shared" si="4"/>
        <v>0</v>
      </c>
      <c r="FL20" s="108">
        <f t="shared" si="5"/>
        <v>0</v>
      </c>
      <c r="FM20" s="109"/>
    </row>
    <row r="21" spans="1:169" x14ac:dyDescent="0.25">
      <c r="A21" s="91">
        <v>40369</v>
      </c>
      <c r="B21" s="91" t="s">
        <v>133</v>
      </c>
      <c r="C21" s="91" t="s">
        <v>129</v>
      </c>
      <c r="D21" s="91" t="s">
        <v>317</v>
      </c>
      <c r="E21" s="92"/>
      <c r="F21" s="93"/>
      <c r="G21" s="94" t="s">
        <v>323</v>
      </c>
      <c r="H21" s="95">
        <v>0</v>
      </c>
      <c r="I21" s="95">
        <v>0</v>
      </c>
      <c r="J21" s="96">
        <v>5</v>
      </c>
      <c r="K21" s="95">
        <v>3</v>
      </c>
      <c r="L21" s="95">
        <v>1</v>
      </c>
      <c r="M21" s="95">
        <v>1</v>
      </c>
      <c r="N21" s="95">
        <v>2</v>
      </c>
      <c r="O21" s="95">
        <v>4</v>
      </c>
      <c r="P21" s="95">
        <v>0</v>
      </c>
      <c r="Q21" s="95">
        <v>0</v>
      </c>
      <c r="R21" s="95">
        <v>20</v>
      </c>
      <c r="S21" s="95"/>
      <c r="T21" s="95"/>
      <c r="U21" s="95">
        <v>0</v>
      </c>
      <c r="V21" s="97">
        <v>0</v>
      </c>
      <c r="W21" s="98">
        <v>1</v>
      </c>
      <c r="X21" s="98">
        <v>0</v>
      </c>
      <c r="Y21" s="98">
        <v>1</v>
      </c>
      <c r="Z21" s="98">
        <v>1</v>
      </c>
      <c r="AA21" s="98">
        <v>1</v>
      </c>
      <c r="AB21" s="99">
        <v>10</v>
      </c>
      <c r="AC21" s="98">
        <v>5</v>
      </c>
      <c r="AD21" s="98">
        <v>1</v>
      </c>
      <c r="AE21" s="98">
        <v>0</v>
      </c>
      <c r="AF21" s="98">
        <v>0</v>
      </c>
      <c r="AG21" s="98">
        <v>8</v>
      </c>
      <c r="AH21" s="98">
        <v>0</v>
      </c>
      <c r="AI21" s="98">
        <v>0</v>
      </c>
      <c r="AJ21" s="98">
        <v>35</v>
      </c>
      <c r="AK21" s="98"/>
      <c r="AL21" s="98"/>
      <c r="AM21" s="100" t="s">
        <v>454</v>
      </c>
      <c r="AN21" s="101">
        <v>7</v>
      </c>
      <c r="AO21" s="101">
        <v>0</v>
      </c>
      <c r="AP21" s="101">
        <v>1</v>
      </c>
      <c r="AQ21" s="101">
        <v>0</v>
      </c>
      <c r="AR21" s="101">
        <v>0</v>
      </c>
      <c r="AS21" s="101">
        <v>2</v>
      </c>
      <c r="AT21" s="101">
        <v>0</v>
      </c>
      <c r="AU21" s="101">
        <v>0</v>
      </c>
      <c r="AV21" s="102">
        <v>1</v>
      </c>
      <c r="AW21" s="100" t="s">
        <v>463</v>
      </c>
      <c r="AX21" s="101">
        <v>7</v>
      </c>
      <c r="AY21" s="101">
        <v>0</v>
      </c>
      <c r="AZ21" s="101">
        <v>2</v>
      </c>
      <c r="BA21" s="101">
        <v>1</v>
      </c>
      <c r="BB21" s="101">
        <v>0</v>
      </c>
      <c r="BC21" s="101">
        <v>1</v>
      </c>
      <c r="BD21" s="101">
        <v>0</v>
      </c>
      <c r="BE21" s="101">
        <v>0</v>
      </c>
      <c r="BF21" s="102">
        <v>2</v>
      </c>
      <c r="BG21" s="100" t="s">
        <v>457</v>
      </c>
      <c r="BH21" s="101">
        <v>6</v>
      </c>
      <c r="BI21" s="101">
        <v>1</v>
      </c>
      <c r="BJ21" s="101">
        <v>1</v>
      </c>
      <c r="BK21" s="101">
        <v>0</v>
      </c>
      <c r="BL21" s="101">
        <v>0</v>
      </c>
      <c r="BM21" s="101">
        <v>1</v>
      </c>
      <c r="BN21" s="101">
        <v>0</v>
      </c>
      <c r="BO21" s="101">
        <v>0</v>
      </c>
      <c r="BP21" s="102">
        <v>2</v>
      </c>
      <c r="BQ21" s="100" t="s">
        <v>320</v>
      </c>
      <c r="BR21" s="101">
        <v>6</v>
      </c>
      <c r="BS21" s="101">
        <v>0</v>
      </c>
      <c r="BT21" s="101">
        <v>0</v>
      </c>
      <c r="BU21" s="101">
        <v>0</v>
      </c>
      <c r="BV21" s="101">
        <v>0</v>
      </c>
      <c r="BW21" s="101">
        <v>3</v>
      </c>
      <c r="BX21" s="101">
        <v>0</v>
      </c>
      <c r="BY21" s="101">
        <v>0</v>
      </c>
      <c r="BZ21" s="102">
        <v>0</v>
      </c>
      <c r="CA21" s="100" t="s">
        <v>458</v>
      </c>
      <c r="CB21" s="101">
        <v>5</v>
      </c>
      <c r="CC21" s="101">
        <v>0</v>
      </c>
      <c r="CD21" s="101">
        <v>0</v>
      </c>
      <c r="CE21" s="101">
        <v>1</v>
      </c>
      <c r="CF21" s="101">
        <v>0</v>
      </c>
      <c r="CG21" s="101">
        <v>4</v>
      </c>
      <c r="CH21" s="101">
        <v>0</v>
      </c>
      <c r="CI21" s="101">
        <v>1</v>
      </c>
      <c r="CJ21" s="102">
        <v>0</v>
      </c>
      <c r="CK21" s="100" t="s">
        <v>319</v>
      </c>
      <c r="CL21" s="101">
        <v>5</v>
      </c>
      <c r="CM21" s="101">
        <v>1</v>
      </c>
      <c r="CN21" s="101">
        <v>1</v>
      </c>
      <c r="CO21" s="101">
        <v>0</v>
      </c>
      <c r="CP21" s="101">
        <v>1</v>
      </c>
      <c r="CQ21" s="101">
        <v>1</v>
      </c>
      <c r="CR21" s="101">
        <v>0</v>
      </c>
      <c r="CS21" s="101">
        <v>0</v>
      </c>
      <c r="CT21" s="102">
        <v>2</v>
      </c>
      <c r="CU21" s="100" t="s">
        <v>315</v>
      </c>
      <c r="CV21" s="101">
        <v>4</v>
      </c>
      <c r="CW21" s="101">
        <v>0</v>
      </c>
      <c r="CX21" s="101">
        <v>1</v>
      </c>
      <c r="CY21" s="101">
        <v>0</v>
      </c>
      <c r="CZ21" s="101">
        <v>2</v>
      </c>
      <c r="DA21" s="101">
        <v>2</v>
      </c>
      <c r="DB21" s="101">
        <v>0</v>
      </c>
      <c r="DC21" s="101">
        <v>0</v>
      </c>
      <c r="DD21" s="102">
        <v>1</v>
      </c>
      <c r="DE21" s="100" t="s">
        <v>313</v>
      </c>
      <c r="DF21" s="101">
        <v>5</v>
      </c>
      <c r="DG21" s="101">
        <v>1</v>
      </c>
      <c r="DH21" s="101">
        <v>2</v>
      </c>
      <c r="DI21" s="101">
        <v>0</v>
      </c>
      <c r="DJ21" s="101">
        <v>1</v>
      </c>
      <c r="DK21" s="101">
        <v>2</v>
      </c>
      <c r="DL21" s="101">
        <v>0</v>
      </c>
      <c r="DM21" s="101">
        <v>0</v>
      </c>
      <c r="DN21" s="102">
        <v>4</v>
      </c>
      <c r="DO21" s="100" t="s">
        <v>462</v>
      </c>
      <c r="DP21" s="101">
        <v>5</v>
      </c>
      <c r="DQ21" s="101">
        <v>0</v>
      </c>
      <c r="DR21" s="101">
        <v>1</v>
      </c>
      <c r="DS21" s="101">
        <v>0</v>
      </c>
      <c r="DT21" s="101">
        <v>0</v>
      </c>
      <c r="DU21" s="101">
        <v>3</v>
      </c>
      <c r="DV21" s="101">
        <v>0</v>
      </c>
      <c r="DW21" s="101">
        <v>0</v>
      </c>
      <c r="DX21" s="102">
        <v>1</v>
      </c>
      <c r="DY21" s="103">
        <v>10</v>
      </c>
      <c r="DZ21" s="104">
        <v>0</v>
      </c>
      <c r="EA21" s="104">
        <v>2</v>
      </c>
      <c r="EB21" s="105">
        <v>5</v>
      </c>
      <c r="EC21" s="104">
        <v>0</v>
      </c>
      <c r="ED21" s="106">
        <v>0</v>
      </c>
      <c r="EE21" s="107">
        <v>0</v>
      </c>
      <c r="EF21" s="104">
        <v>1</v>
      </c>
      <c r="EG21" s="104">
        <v>0</v>
      </c>
      <c r="EH21" s="104">
        <v>0</v>
      </c>
      <c r="EI21" s="104">
        <v>0</v>
      </c>
      <c r="EJ21" s="104">
        <v>1</v>
      </c>
      <c r="EK21" s="104">
        <v>0</v>
      </c>
      <c r="EL21" s="104">
        <v>0</v>
      </c>
      <c r="EM21" s="104">
        <v>0</v>
      </c>
      <c r="EN21" s="104">
        <v>0</v>
      </c>
      <c r="EO21" s="104">
        <v>0</v>
      </c>
      <c r="EP21" s="104">
        <v>0</v>
      </c>
      <c r="EQ21" s="104">
        <v>0</v>
      </c>
      <c r="ER21" s="104">
        <v>0</v>
      </c>
      <c r="ES21" s="104">
        <v>1</v>
      </c>
      <c r="ET21" s="106">
        <f t="shared" si="0"/>
        <v>3</v>
      </c>
      <c r="EU21" s="104">
        <v>0</v>
      </c>
      <c r="EV21" s="104">
        <v>0</v>
      </c>
      <c r="EW21" s="104">
        <v>0</v>
      </c>
      <c r="EX21" s="104">
        <v>0</v>
      </c>
      <c r="EY21" s="104">
        <v>1</v>
      </c>
      <c r="EZ21" s="104">
        <v>0</v>
      </c>
      <c r="FA21" s="104">
        <v>0</v>
      </c>
      <c r="FB21" s="104">
        <v>1</v>
      </c>
      <c r="FC21" s="104">
        <v>0</v>
      </c>
      <c r="FD21" s="104">
        <v>0</v>
      </c>
      <c r="FE21" s="104">
        <v>0</v>
      </c>
      <c r="FF21" s="104">
        <v>0</v>
      </c>
      <c r="FG21" s="104">
        <v>0</v>
      </c>
      <c r="FH21" s="104">
        <v>0</v>
      </c>
      <c r="FI21" s="104">
        <v>0</v>
      </c>
      <c r="FJ21" s="104">
        <f t="shared" si="1"/>
        <v>2</v>
      </c>
      <c r="FK21" s="108">
        <f t="shared" si="4"/>
        <v>0</v>
      </c>
      <c r="FL21" s="108">
        <f t="shared" si="5"/>
        <v>0</v>
      </c>
      <c r="FM21" s="109"/>
    </row>
    <row r="22" spans="1:169" x14ac:dyDescent="0.25">
      <c r="A22" s="53">
        <v>40371</v>
      </c>
      <c r="B22" s="53" t="s">
        <v>133</v>
      </c>
      <c r="C22" s="53" t="s">
        <v>131</v>
      </c>
      <c r="D22" s="53" t="s">
        <v>322</v>
      </c>
      <c r="E22" s="54"/>
      <c r="F22" s="58"/>
      <c r="G22" s="59" t="s">
        <v>464</v>
      </c>
      <c r="H22" s="6">
        <v>0</v>
      </c>
      <c r="I22" s="6">
        <v>0</v>
      </c>
      <c r="J22" s="60">
        <v>1</v>
      </c>
      <c r="K22" s="6">
        <v>1</v>
      </c>
      <c r="L22" s="6">
        <v>0</v>
      </c>
      <c r="M22" s="6">
        <v>0</v>
      </c>
      <c r="N22" s="6">
        <v>0</v>
      </c>
      <c r="O22" s="6">
        <v>1</v>
      </c>
      <c r="P22" s="6">
        <v>0</v>
      </c>
      <c r="Q22" s="6">
        <v>0</v>
      </c>
      <c r="R22" s="6">
        <v>4</v>
      </c>
      <c r="S22" s="6"/>
      <c r="T22" s="6"/>
      <c r="U22" s="6">
        <v>0</v>
      </c>
      <c r="V22" s="61">
        <v>0</v>
      </c>
      <c r="W22" s="62">
        <v>0</v>
      </c>
      <c r="X22" s="62">
        <v>1</v>
      </c>
      <c r="Y22" s="62">
        <v>0</v>
      </c>
      <c r="Z22" s="62">
        <v>0</v>
      </c>
      <c r="AA22" s="62">
        <v>0</v>
      </c>
      <c r="AB22" s="63">
        <v>7</v>
      </c>
      <c r="AC22" s="62">
        <v>6</v>
      </c>
      <c r="AD22" s="62">
        <v>5</v>
      </c>
      <c r="AE22" s="62">
        <v>4</v>
      </c>
      <c r="AF22" s="62">
        <v>3</v>
      </c>
      <c r="AG22" s="62">
        <v>7</v>
      </c>
      <c r="AH22" s="62">
        <v>0</v>
      </c>
      <c r="AI22" s="62">
        <v>1</v>
      </c>
      <c r="AJ22" s="62">
        <v>31</v>
      </c>
      <c r="AK22" s="62"/>
      <c r="AL22" s="62"/>
      <c r="AM22" s="1" t="s">
        <v>454</v>
      </c>
      <c r="AN22" s="78">
        <v>5</v>
      </c>
      <c r="AO22" s="78">
        <v>0</v>
      </c>
      <c r="AP22" s="78">
        <v>2</v>
      </c>
      <c r="AQ22" s="78">
        <v>0</v>
      </c>
      <c r="AR22" s="78">
        <v>0</v>
      </c>
      <c r="AS22" s="78">
        <v>2</v>
      </c>
      <c r="AT22" s="78">
        <v>0</v>
      </c>
      <c r="AU22" s="78">
        <v>0</v>
      </c>
      <c r="AV22" s="76">
        <v>3</v>
      </c>
      <c r="AW22" s="1" t="s">
        <v>463</v>
      </c>
      <c r="AX22" s="78">
        <v>4</v>
      </c>
      <c r="AY22" s="78">
        <v>0</v>
      </c>
      <c r="AZ22" s="78">
        <v>0</v>
      </c>
      <c r="BA22" s="78">
        <v>0</v>
      </c>
      <c r="BB22" s="78">
        <v>0</v>
      </c>
      <c r="BC22" s="78">
        <v>0</v>
      </c>
      <c r="BD22" s="78">
        <v>0</v>
      </c>
      <c r="BE22" s="78">
        <v>0</v>
      </c>
      <c r="BF22" s="76">
        <v>0</v>
      </c>
      <c r="BG22" s="1" t="s">
        <v>457</v>
      </c>
      <c r="BH22" s="78">
        <v>4</v>
      </c>
      <c r="BI22" s="78">
        <v>0</v>
      </c>
      <c r="BJ22" s="78">
        <v>1</v>
      </c>
      <c r="BK22" s="78">
        <v>0</v>
      </c>
      <c r="BL22" s="78">
        <v>0</v>
      </c>
      <c r="BM22" s="78">
        <v>1</v>
      </c>
      <c r="BN22" s="78">
        <v>0</v>
      </c>
      <c r="BO22" s="78">
        <v>0</v>
      </c>
      <c r="BP22" s="76">
        <v>1</v>
      </c>
      <c r="BQ22" s="1" t="s">
        <v>320</v>
      </c>
      <c r="BR22" s="78">
        <v>3</v>
      </c>
      <c r="BS22" s="78">
        <v>1</v>
      </c>
      <c r="BT22" s="78">
        <v>0</v>
      </c>
      <c r="BU22" s="78">
        <v>0</v>
      </c>
      <c r="BV22" s="78">
        <v>1</v>
      </c>
      <c r="BW22" s="78">
        <v>1</v>
      </c>
      <c r="BX22" s="78">
        <v>0</v>
      </c>
      <c r="BY22" s="78">
        <v>0</v>
      </c>
      <c r="BZ22" s="76">
        <v>0</v>
      </c>
      <c r="CA22" s="1" t="s">
        <v>461</v>
      </c>
      <c r="CB22" s="78">
        <v>3</v>
      </c>
      <c r="CC22" s="78">
        <v>1</v>
      </c>
      <c r="CD22" s="78">
        <v>1</v>
      </c>
      <c r="CE22" s="78">
        <v>0</v>
      </c>
      <c r="CF22" s="78">
        <v>1</v>
      </c>
      <c r="CG22" s="78">
        <v>0</v>
      </c>
      <c r="CH22" s="78">
        <v>0</v>
      </c>
      <c r="CI22" s="78">
        <v>0</v>
      </c>
      <c r="CJ22" s="76">
        <v>1</v>
      </c>
      <c r="CK22" s="1" t="s">
        <v>458</v>
      </c>
      <c r="CL22" s="78">
        <v>4</v>
      </c>
      <c r="CM22" s="78">
        <v>1</v>
      </c>
      <c r="CN22" s="78">
        <v>1</v>
      </c>
      <c r="CO22" s="78">
        <v>2</v>
      </c>
      <c r="CP22" s="78">
        <v>0</v>
      </c>
      <c r="CQ22" s="78">
        <v>2</v>
      </c>
      <c r="CR22" s="78">
        <v>0</v>
      </c>
      <c r="CS22" s="78">
        <v>0</v>
      </c>
      <c r="CT22" s="76">
        <v>2</v>
      </c>
      <c r="CU22" s="1" t="s">
        <v>315</v>
      </c>
      <c r="CV22" s="78">
        <v>3</v>
      </c>
      <c r="CW22" s="78">
        <v>0</v>
      </c>
      <c r="CX22" s="78">
        <v>2</v>
      </c>
      <c r="CY22" s="78">
        <v>0</v>
      </c>
      <c r="CZ22" s="78">
        <v>1</v>
      </c>
      <c r="DA22" s="78">
        <v>1</v>
      </c>
      <c r="DB22" s="78">
        <v>0</v>
      </c>
      <c r="DC22" s="78">
        <v>0</v>
      </c>
      <c r="DD22" s="76">
        <v>2</v>
      </c>
      <c r="DE22" s="1" t="s">
        <v>313</v>
      </c>
      <c r="DF22" s="78">
        <v>2</v>
      </c>
      <c r="DG22" s="78">
        <v>0</v>
      </c>
      <c r="DH22" s="78">
        <v>0</v>
      </c>
      <c r="DI22" s="78">
        <v>1</v>
      </c>
      <c r="DJ22" s="78">
        <v>1</v>
      </c>
      <c r="DK22" s="78">
        <v>0</v>
      </c>
      <c r="DL22" s="78">
        <v>0</v>
      </c>
      <c r="DM22" s="78">
        <v>1</v>
      </c>
      <c r="DN22" s="76">
        <v>0</v>
      </c>
      <c r="DO22" s="1" t="s">
        <v>314</v>
      </c>
      <c r="DP22" s="78">
        <v>4</v>
      </c>
      <c r="DQ22" s="78">
        <v>0</v>
      </c>
      <c r="DR22" s="78">
        <v>0</v>
      </c>
      <c r="DS22" s="78">
        <v>0</v>
      </c>
      <c r="DT22" s="78">
        <v>0</v>
      </c>
      <c r="DU22" s="78">
        <v>0</v>
      </c>
      <c r="DV22" s="78">
        <v>0</v>
      </c>
      <c r="DW22" s="78">
        <v>0</v>
      </c>
      <c r="DX22" s="76">
        <v>0</v>
      </c>
      <c r="DY22" s="77">
        <v>6</v>
      </c>
      <c r="DZ22" s="43">
        <v>0</v>
      </c>
      <c r="EA22" s="43">
        <v>0</v>
      </c>
      <c r="EB22" s="45">
        <v>3</v>
      </c>
      <c r="EC22" s="43">
        <v>0</v>
      </c>
      <c r="ED22" s="44">
        <v>0</v>
      </c>
      <c r="EE22" s="71">
        <v>0</v>
      </c>
      <c r="EF22" s="43">
        <v>0</v>
      </c>
      <c r="EG22" s="43">
        <v>0</v>
      </c>
      <c r="EH22" s="43">
        <v>0</v>
      </c>
      <c r="EI22" s="43">
        <v>0</v>
      </c>
      <c r="EJ22" s="43">
        <v>0</v>
      </c>
      <c r="EK22" s="43">
        <v>0</v>
      </c>
      <c r="EL22" s="43">
        <v>0</v>
      </c>
      <c r="EM22" s="43">
        <v>3</v>
      </c>
      <c r="EN22" s="43"/>
      <c r="EO22" s="43"/>
      <c r="EP22" s="43"/>
      <c r="EQ22" s="43"/>
      <c r="ER22" s="43"/>
      <c r="ES22" s="43"/>
      <c r="ET22" s="44">
        <f t="shared" ref="ET22:ET27" si="6">SUM(EE22:ES22)</f>
        <v>3</v>
      </c>
      <c r="EU22" s="43">
        <v>0</v>
      </c>
      <c r="EV22" s="43">
        <v>4</v>
      </c>
      <c r="EW22" s="43">
        <v>1</v>
      </c>
      <c r="EX22" s="43">
        <v>0</v>
      </c>
      <c r="EY22" s="43">
        <v>0</v>
      </c>
      <c r="EZ22" s="43">
        <v>0</v>
      </c>
      <c r="FA22" s="43">
        <v>0</v>
      </c>
      <c r="FB22" s="43">
        <v>0</v>
      </c>
      <c r="FC22" s="43"/>
      <c r="FD22" s="43"/>
      <c r="FE22" s="43"/>
      <c r="FF22" s="43"/>
      <c r="FG22" s="43"/>
      <c r="FH22" s="43"/>
      <c r="FI22" s="43"/>
      <c r="FJ22" s="43">
        <f t="shared" ref="FJ22:FJ27" si="7">SUM(EU22:FI22)</f>
        <v>5</v>
      </c>
      <c r="FK22" s="73">
        <f t="shared" ref="FK22:FK27" si="8">((SUM(L22,AD22))-(FJ22))</f>
        <v>0</v>
      </c>
      <c r="FL22" s="73">
        <f t="shared" ref="FL22:FL27" si="9">((SUM(AO22,AY22,BI22,BS22,CC22,CM22,CW22,DG22,DQ22))-(ET22))</f>
        <v>0</v>
      </c>
      <c r="FM22" s="38"/>
    </row>
    <row r="23" spans="1:169" x14ac:dyDescent="0.25">
      <c r="A23" s="53">
        <v>40372</v>
      </c>
      <c r="B23" s="53" t="s">
        <v>133</v>
      </c>
      <c r="C23" s="53" t="s">
        <v>131</v>
      </c>
      <c r="D23" s="53" t="s">
        <v>317</v>
      </c>
      <c r="E23" s="54"/>
      <c r="F23" s="58"/>
      <c r="G23" s="59" t="s">
        <v>325</v>
      </c>
      <c r="H23" s="6">
        <v>0</v>
      </c>
      <c r="I23" s="6">
        <v>1</v>
      </c>
      <c r="J23" s="60">
        <v>5</v>
      </c>
      <c r="K23" s="6">
        <v>8</v>
      </c>
      <c r="L23" s="6">
        <v>3</v>
      </c>
      <c r="M23" s="6">
        <v>3</v>
      </c>
      <c r="N23" s="6">
        <v>1</v>
      </c>
      <c r="O23" s="6">
        <v>3</v>
      </c>
      <c r="P23" s="6">
        <v>0</v>
      </c>
      <c r="Q23" s="6">
        <v>0</v>
      </c>
      <c r="R23" s="6">
        <v>24</v>
      </c>
      <c r="S23" s="6"/>
      <c r="T23" s="6"/>
      <c r="U23" s="6">
        <v>0</v>
      </c>
      <c r="V23" s="61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3">
        <v>3</v>
      </c>
      <c r="AC23" s="62">
        <v>1</v>
      </c>
      <c r="AD23" s="62">
        <v>1</v>
      </c>
      <c r="AE23" s="62">
        <v>1</v>
      </c>
      <c r="AF23" s="62">
        <v>2</v>
      </c>
      <c r="AG23" s="62">
        <v>1</v>
      </c>
      <c r="AH23" s="62">
        <v>0</v>
      </c>
      <c r="AI23" s="62">
        <v>0</v>
      </c>
      <c r="AJ23" s="62">
        <v>11</v>
      </c>
      <c r="AK23" s="62"/>
      <c r="AL23" s="62"/>
      <c r="AM23" s="1" t="s">
        <v>454</v>
      </c>
      <c r="AN23" s="78">
        <v>4</v>
      </c>
      <c r="AO23" s="78">
        <v>0</v>
      </c>
      <c r="AP23" s="78">
        <v>1</v>
      </c>
      <c r="AQ23" s="78">
        <v>0</v>
      </c>
      <c r="AR23" s="78">
        <v>0</v>
      </c>
      <c r="AS23" s="78">
        <v>2</v>
      </c>
      <c r="AT23" s="78">
        <v>0</v>
      </c>
      <c r="AU23" s="78">
        <v>0</v>
      </c>
      <c r="AV23" s="76">
        <v>1</v>
      </c>
      <c r="AW23" s="1" t="s">
        <v>463</v>
      </c>
      <c r="AX23" s="78">
        <v>4</v>
      </c>
      <c r="AY23" s="78">
        <v>0</v>
      </c>
      <c r="AZ23" s="78">
        <v>1</v>
      </c>
      <c r="BA23" s="78">
        <v>0</v>
      </c>
      <c r="BB23" s="78">
        <v>0</v>
      </c>
      <c r="BC23" s="78">
        <v>2</v>
      </c>
      <c r="BD23" s="78">
        <v>0</v>
      </c>
      <c r="BE23" s="78">
        <v>0</v>
      </c>
      <c r="BF23" s="76">
        <v>1</v>
      </c>
      <c r="BG23" s="1" t="s">
        <v>457</v>
      </c>
      <c r="BH23" s="78">
        <v>4</v>
      </c>
      <c r="BI23" s="78">
        <v>0</v>
      </c>
      <c r="BJ23" s="78">
        <v>1</v>
      </c>
      <c r="BK23" s="78">
        <v>1</v>
      </c>
      <c r="BL23" s="78">
        <v>0</v>
      </c>
      <c r="BM23" s="78">
        <v>0</v>
      </c>
      <c r="BN23" s="78">
        <v>0</v>
      </c>
      <c r="BO23" s="78">
        <v>0</v>
      </c>
      <c r="BP23" s="76">
        <v>1</v>
      </c>
      <c r="BQ23" s="1" t="s">
        <v>461</v>
      </c>
      <c r="BR23" s="78">
        <v>4</v>
      </c>
      <c r="BS23" s="78">
        <v>0</v>
      </c>
      <c r="BT23" s="78">
        <v>1</v>
      </c>
      <c r="BU23" s="78">
        <v>0</v>
      </c>
      <c r="BV23" s="78">
        <v>0</v>
      </c>
      <c r="BW23" s="78">
        <v>3</v>
      </c>
      <c r="BX23" s="78">
        <v>0</v>
      </c>
      <c r="BY23" s="78">
        <v>0</v>
      </c>
      <c r="BZ23" s="76">
        <v>1</v>
      </c>
      <c r="CA23" s="1" t="s">
        <v>458</v>
      </c>
      <c r="CB23" s="78">
        <v>4</v>
      </c>
      <c r="CC23" s="78">
        <v>0</v>
      </c>
      <c r="CD23" s="78">
        <v>0</v>
      </c>
      <c r="CE23" s="78">
        <v>0</v>
      </c>
      <c r="CF23" s="78">
        <v>0</v>
      </c>
      <c r="CG23" s="78">
        <v>1</v>
      </c>
      <c r="CH23" s="78">
        <v>0</v>
      </c>
      <c r="CI23" s="78">
        <v>0</v>
      </c>
      <c r="CJ23" s="76">
        <v>0</v>
      </c>
      <c r="CK23" s="1" t="s">
        <v>320</v>
      </c>
      <c r="CL23" s="78">
        <v>4</v>
      </c>
      <c r="CM23" s="78">
        <v>0</v>
      </c>
      <c r="CN23" s="78">
        <v>0</v>
      </c>
      <c r="CO23" s="78">
        <v>0</v>
      </c>
      <c r="CP23" s="78">
        <v>0</v>
      </c>
      <c r="CQ23" s="78">
        <v>0</v>
      </c>
      <c r="CR23" s="78">
        <v>0</v>
      </c>
      <c r="CS23" s="78">
        <v>0</v>
      </c>
      <c r="CT23" s="76">
        <v>0</v>
      </c>
      <c r="CU23" s="1" t="s">
        <v>315</v>
      </c>
      <c r="CV23" s="78">
        <v>2</v>
      </c>
      <c r="CW23" s="78">
        <v>0</v>
      </c>
      <c r="CX23" s="78">
        <v>0</v>
      </c>
      <c r="CY23" s="78">
        <v>0</v>
      </c>
      <c r="CZ23" s="78">
        <v>1</v>
      </c>
      <c r="DA23" s="78">
        <v>0</v>
      </c>
      <c r="DB23" s="78">
        <v>0</v>
      </c>
      <c r="DC23" s="78">
        <v>0</v>
      </c>
      <c r="DD23" s="76">
        <v>0</v>
      </c>
      <c r="DE23" s="1" t="s">
        <v>313</v>
      </c>
      <c r="DF23" s="78">
        <v>2</v>
      </c>
      <c r="DG23" s="78">
        <v>1</v>
      </c>
      <c r="DH23" s="78">
        <v>1</v>
      </c>
      <c r="DI23" s="78">
        <v>0</v>
      </c>
      <c r="DJ23" s="78">
        <v>1</v>
      </c>
      <c r="DK23" s="78">
        <v>0</v>
      </c>
      <c r="DL23" s="78">
        <v>0</v>
      </c>
      <c r="DM23" s="78">
        <v>0</v>
      </c>
      <c r="DN23" s="76">
        <v>1</v>
      </c>
      <c r="DO23" s="1" t="s">
        <v>314</v>
      </c>
      <c r="DP23" s="78">
        <v>2</v>
      </c>
      <c r="DQ23" s="78">
        <v>0</v>
      </c>
      <c r="DR23" s="78">
        <v>0</v>
      </c>
      <c r="DS23" s="78">
        <v>0</v>
      </c>
      <c r="DT23" s="78">
        <v>1</v>
      </c>
      <c r="DU23" s="78">
        <v>0</v>
      </c>
      <c r="DV23" s="78">
        <v>0</v>
      </c>
      <c r="DW23" s="78">
        <v>0</v>
      </c>
      <c r="DX23" s="76">
        <v>0</v>
      </c>
      <c r="DY23" s="77">
        <v>2</v>
      </c>
      <c r="DZ23" s="43">
        <v>0</v>
      </c>
      <c r="EA23" s="43">
        <v>2</v>
      </c>
      <c r="EB23" s="45">
        <v>7</v>
      </c>
      <c r="EC23" s="43">
        <v>0</v>
      </c>
      <c r="ED23" s="44">
        <v>0</v>
      </c>
      <c r="EE23" s="71">
        <v>0</v>
      </c>
      <c r="EF23" s="43">
        <v>0</v>
      </c>
      <c r="EG23" s="43">
        <v>1</v>
      </c>
      <c r="EH23" s="43">
        <v>0</v>
      </c>
      <c r="EI23" s="43">
        <v>0</v>
      </c>
      <c r="EJ23" s="43">
        <v>0</v>
      </c>
      <c r="EK23" s="43">
        <v>0</v>
      </c>
      <c r="EL23" s="43">
        <v>0</v>
      </c>
      <c r="EM23" s="43">
        <v>0</v>
      </c>
      <c r="EN23" s="43"/>
      <c r="EO23" s="43"/>
      <c r="EP23" s="43"/>
      <c r="EQ23" s="43"/>
      <c r="ER23" s="43"/>
      <c r="ES23" s="43"/>
      <c r="ET23" s="44">
        <f t="shared" si="6"/>
        <v>1</v>
      </c>
      <c r="EU23" s="43">
        <v>1</v>
      </c>
      <c r="EV23" s="43">
        <v>0</v>
      </c>
      <c r="EW23" s="43">
        <v>1</v>
      </c>
      <c r="EX23" s="43">
        <v>1</v>
      </c>
      <c r="EY23" s="43">
        <v>0</v>
      </c>
      <c r="EZ23" s="43">
        <v>0</v>
      </c>
      <c r="FA23" s="43">
        <v>1</v>
      </c>
      <c r="FB23" s="43">
        <v>0</v>
      </c>
      <c r="FC23" s="43"/>
      <c r="FD23" s="43"/>
      <c r="FE23" s="43"/>
      <c r="FF23" s="43"/>
      <c r="FG23" s="43"/>
      <c r="FH23" s="43"/>
      <c r="FI23" s="43"/>
      <c r="FJ23" s="43">
        <f t="shared" si="7"/>
        <v>4</v>
      </c>
      <c r="FK23" s="73">
        <f t="shared" si="8"/>
        <v>0</v>
      </c>
      <c r="FL23" s="73">
        <f t="shared" si="9"/>
        <v>0</v>
      </c>
      <c r="FM23" s="38"/>
    </row>
    <row r="24" spans="1:169" x14ac:dyDescent="0.25">
      <c r="A24" s="53">
        <v>40373</v>
      </c>
      <c r="B24" s="53" t="s">
        <v>133</v>
      </c>
      <c r="C24" s="53" t="s">
        <v>129</v>
      </c>
      <c r="D24" s="53" t="s">
        <v>324</v>
      </c>
      <c r="E24" s="54"/>
      <c r="F24" s="58"/>
      <c r="G24" s="59" t="s">
        <v>522</v>
      </c>
      <c r="H24" s="6">
        <v>0</v>
      </c>
      <c r="I24" s="6">
        <v>0</v>
      </c>
      <c r="J24" s="60">
        <v>4</v>
      </c>
      <c r="K24" s="6">
        <v>3</v>
      </c>
      <c r="L24" s="6">
        <v>1</v>
      </c>
      <c r="M24" s="6">
        <v>1</v>
      </c>
      <c r="N24" s="6">
        <v>0</v>
      </c>
      <c r="O24" s="6">
        <v>3</v>
      </c>
      <c r="P24" s="6">
        <v>0</v>
      </c>
      <c r="Q24" s="6">
        <v>1</v>
      </c>
      <c r="R24" s="6">
        <v>16</v>
      </c>
      <c r="S24" s="6"/>
      <c r="T24" s="6"/>
      <c r="U24" s="6">
        <v>0</v>
      </c>
      <c r="V24" s="61">
        <v>0</v>
      </c>
      <c r="W24" s="62">
        <v>1</v>
      </c>
      <c r="X24" s="62">
        <v>0</v>
      </c>
      <c r="Y24" s="62">
        <v>1</v>
      </c>
      <c r="Z24" s="62">
        <v>1</v>
      </c>
      <c r="AA24" s="62">
        <v>0</v>
      </c>
      <c r="AB24" s="63">
        <v>5</v>
      </c>
      <c r="AC24" s="62">
        <v>9</v>
      </c>
      <c r="AD24" s="62">
        <v>4</v>
      </c>
      <c r="AE24" s="62">
        <v>4</v>
      </c>
      <c r="AF24" s="62">
        <v>3</v>
      </c>
      <c r="AG24" s="62">
        <v>6</v>
      </c>
      <c r="AH24" s="62">
        <v>0</v>
      </c>
      <c r="AI24" s="62">
        <v>0</v>
      </c>
      <c r="AJ24" s="62">
        <v>27</v>
      </c>
      <c r="AK24" s="62"/>
      <c r="AL24" s="62"/>
      <c r="AM24" s="1" t="s">
        <v>454</v>
      </c>
      <c r="AN24" s="78">
        <v>5</v>
      </c>
      <c r="AO24" s="78">
        <v>0</v>
      </c>
      <c r="AP24" s="78">
        <v>1</v>
      </c>
      <c r="AQ24" s="78">
        <v>0</v>
      </c>
      <c r="AR24" s="78">
        <v>0</v>
      </c>
      <c r="AS24" s="78">
        <v>4</v>
      </c>
      <c r="AT24" s="78">
        <v>0</v>
      </c>
      <c r="AU24" s="78">
        <v>0</v>
      </c>
      <c r="AV24" s="76">
        <v>1</v>
      </c>
      <c r="AW24" s="1" t="s">
        <v>463</v>
      </c>
      <c r="AX24" s="78">
        <v>4</v>
      </c>
      <c r="AY24" s="78">
        <v>1</v>
      </c>
      <c r="AZ24" s="78">
        <v>1</v>
      </c>
      <c r="BA24" s="78">
        <v>0</v>
      </c>
      <c r="BB24" s="78">
        <v>0</v>
      </c>
      <c r="BC24" s="78">
        <v>1</v>
      </c>
      <c r="BD24" s="78">
        <v>0</v>
      </c>
      <c r="BE24" s="78">
        <v>0</v>
      </c>
      <c r="BF24" s="76">
        <v>1</v>
      </c>
      <c r="BG24" s="1" t="s">
        <v>457</v>
      </c>
      <c r="BH24" s="78">
        <v>4</v>
      </c>
      <c r="BI24" s="78">
        <v>1</v>
      </c>
      <c r="BJ24" s="78">
        <v>2</v>
      </c>
      <c r="BK24" s="78">
        <v>0</v>
      </c>
      <c r="BL24" s="78">
        <v>0</v>
      </c>
      <c r="BM24" s="78">
        <v>1</v>
      </c>
      <c r="BN24" s="78">
        <v>0</v>
      </c>
      <c r="BO24" s="78">
        <v>0</v>
      </c>
      <c r="BP24" s="76">
        <v>2</v>
      </c>
      <c r="BQ24" s="1" t="s">
        <v>460</v>
      </c>
      <c r="BR24" s="78">
        <v>3</v>
      </c>
      <c r="BS24" s="78">
        <v>1</v>
      </c>
      <c r="BT24" s="78">
        <v>0</v>
      </c>
      <c r="BU24" s="78">
        <v>0</v>
      </c>
      <c r="BV24" s="78">
        <v>1</v>
      </c>
      <c r="BW24" s="78">
        <v>3</v>
      </c>
      <c r="BX24" s="78">
        <v>0</v>
      </c>
      <c r="BY24" s="78">
        <v>0</v>
      </c>
      <c r="BZ24" s="76">
        <v>0</v>
      </c>
      <c r="CA24" s="1" t="s">
        <v>458</v>
      </c>
      <c r="CB24" s="78">
        <v>4</v>
      </c>
      <c r="CC24" s="78">
        <v>2</v>
      </c>
      <c r="CD24" s="78">
        <v>2</v>
      </c>
      <c r="CE24" s="78">
        <v>3</v>
      </c>
      <c r="CF24" s="78">
        <v>0</v>
      </c>
      <c r="CG24" s="78">
        <v>1</v>
      </c>
      <c r="CH24" s="78">
        <v>0</v>
      </c>
      <c r="CI24" s="78">
        <v>0</v>
      </c>
      <c r="CJ24" s="76">
        <v>5</v>
      </c>
      <c r="CK24" s="1" t="s">
        <v>319</v>
      </c>
      <c r="CL24" s="78">
        <v>4</v>
      </c>
      <c r="CM24" s="78">
        <v>2</v>
      </c>
      <c r="CN24" s="78">
        <v>2</v>
      </c>
      <c r="CO24" s="78">
        <v>2</v>
      </c>
      <c r="CP24" s="78">
        <v>0</v>
      </c>
      <c r="CQ24" s="78">
        <v>1</v>
      </c>
      <c r="CR24" s="78">
        <v>0</v>
      </c>
      <c r="CS24" s="78">
        <v>0</v>
      </c>
      <c r="CT24" s="76">
        <v>4</v>
      </c>
      <c r="CU24" s="1" t="s">
        <v>320</v>
      </c>
      <c r="CV24" s="78">
        <v>4</v>
      </c>
      <c r="CW24" s="78">
        <v>0</v>
      </c>
      <c r="CX24" s="78">
        <v>0</v>
      </c>
      <c r="CY24" s="78">
        <v>0</v>
      </c>
      <c r="CZ24" s="78">
        <v>0</v>
      </c>
      <c r="DA24" s="78">
        <v>1</v>
      </c>
      <c r="DB24" s="78">
        <v>0</v>
      </c>
      <c r="DC24" s="78">
        <v>0</v>
      </c>
      <c r="DD24" s="76">
        <v>0</v>
      </c>
      <c r="DE24" s="1" t="s">
        <v>313</v>
      </c>
      <c r="DF24" s="78">
        <v>4</v>
      </c>
      <c r="DG24" s="78">
        <v>1</v>
      </c>
      <c r="DH24" s="78">
        <v>1</v>
      </c>
      <c r="DI24" s="78">
        <v>2</v>
      </c>
      <c r="DJ24" s="78">
        <v>0</v>
      </c>
      <c r="DK24" s="78">
        <v>1</v>
      </c>
      <c r="DL24" s="78">
        <v>0</v>
      </c>
      <c r="DM24" s="78">
        <v>0</v>
      </c>
      <c r="DN24" s="76">
        <v>4</v>
      </c>
      <c r="DO24" s="1" t="s">
        <v>462</v>
      </c>
      <c r="DP24" s="78">
        <v>4</v>
      </c>
      <c r="DQ24" s="78">
        <v>0</v>
      </c>
      <c r="DR24" s="78">
        <v>2</v>
      </c>
      <c r="DS24" s="78">
        <v>1</v>
      </c>
      <c r="DT24" s="78">
        <v>0</v>
      </c>
      <c r="DU24" s="78">
        <v>0</v>
      </c>
      <c r="DV24" s="78">
        <v>0</v>
      </c>
      <c r="DW24" s="78">
        <v>0</v>
      </c>
      <c r="DX24" s="76">
        <v>4</v>
      </c>
      <c r="DY24" s="77">
        <v>0</v>
      </c>
      <c r="DZ24" s="43">
        <v>0</v>
      </c>
      <c r="EA24" s="43">
        <v>0</v>
      </c>
      <c r="EB24" s="45">
        <v>9</v>
      </c>
      <c r="EC24" s="43">
        <v>2</v>
      </c>
      <c r="ED24" s="44">
        <v>1</v>
      </c>
      <c r="EE24" s="71">
        <v>0</v>
      </c>
      <c r="EF24" s="43">
        <v>3</v>
      </c>
      <c r="EG24" s="43">
        <v>3</v>
      </c>
      <c r="EH24" s="43">
        <v>0</v>
      </c>
      <c r="EI24" s="43">
        <v>0</v>
      </c>
      <c r="EJ24" s="43">
        <v>0</v>
      </c>
      <c r="EK24" s="43">
        <v>0</v>
      </c>
      <c r="EL24" s="43">
        <v>0</v>
      </c>
      <c r="EM24" s="43">
        <v>2</v>
      </c>
      <c r="EN24" s="43"/>
      <c r="EO24" s="43"/>
      <c r="EP24" s="43"/>
      <c r="EQ24" s="43"/>
      <c r="ER24" s="43"/>
      <c r="ES24" s="43"/>
      <c r="ET24" s="44">
        <f t="shared" si="6"/>
        <v>8</v>
      </c>
      <c r="EU24" s="43">
        <v>0</v>
      </c>
      <c r="EV24" s="43">
        <v>0</v>
      </c>
      <c r="EW24" s="43">
        <v>1</v>
      </c>
      <c r="EX24" s="43">
        <v>0</v>
      </c>
      <c r="EY24" s="43">
        <v>0</v>
      </c>
      <c r="EZ24" s="43">
        <v>2</v>
      </c>
      <c r="FA24" s="43">
        <v>0</v>
      </c>
      <c r="FB24" s="43">
        <v>2</v>
      </c>
      <c r="FC24" s="43">
        <v>0</v>
      </c>
      <c r="FD24" s="43"/>
      <c r="FE24" s="43"/>
      <c r="FF24" s="43"/>
      <c r="FG24" s="43"/>
      <c r="FH24" s="43"/>
      <c r="FI24" s="43"/>
      <c r="FJ24" s="43">
        <f t="shared" si="7"/>
        <v>5</v>
      </c>
      <c r="FK24" s="73">
        <f t="shared" si="8"/>
        <v>0</v>
      </c>
      <c r="FL24" s="73">
        <f t="shared" si="9"/>
        <v>0</v>
      </c>
      <c r="FM24" s="38"/>
    </row>
    <row r="25" spans="1:169" x14ac:dyDescent="0.25">
      <c r="A25" s="53">
        <v>40374</v>
      </c>
      <c r="B25" s="53" t="s">
        <v>19</v>
      </c>
      <c r="C25" s="53" t="s">
        <v>131</v>
      </c>
      <c r="D25" s="53" t="s">
        <v>324</v>
      </c>
      <c r="E25" s="54"/>
      <c r="F25" s="58"/>
      <c r="G25" s="59" t="s">
        <v>464</v>
      </c>
      <c r="H25" s="6">
        <v>0</v>
      </c>
      <c r="I25" s="6">
        <v>1</v>
      </c>
      <c r="J25" s="60">
        <v>1</v>
      </c>
      <c r="K25" s="6">
        <v>1</v>
      </c>
      <c r="L25" s="6">
        <v>1</v>
      </c>
      <c r="M25" s="6">
        <v>1</v>
      </c>
      <c r="N25" s="6">
        <v>0</v>
      </c>
      <c r="O25" s="6">
        <v>1</v>
      </c>
      <c r="P25" s="6">
        <v>0</v>
      </c>
      <c r="Q25" s="6">
        <v>0</v>
      </c>
      <c r="R25" s="6">
        <v>5</v>
      </c>
      <c r="S25" s="6"/>
      <c r="T25" s="6"/>
      <c r="U25" s="6">
        <v>0</v>
      </c>
      <c r="V25" s="61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3">
        <v>8</v>
      </c>
      <c r="AC25" s="62">
        <v>7</v>
      </c>
      <c r="AD25" s="62">
        <v>6</v>
      </c>
      <c r="AE25" s="62">
        <v>6</v>
      </c>
      <c r="AF25" s="62">
        <v>3</v>
      </c>
      <c r="AG25" s="62">
        <v>5</v>
      </c>
      <c r="AH25" s="62">
        <v>0</v>
      </c>
      <c r="AI25" s="62">
        <v>2</v>
      </c>
      <c r="AJ25" s="62">
        <v>34</v>
      </c>
      <c r="AK25" s="62"/>
      <c r="AL25" s="62"/>
      <c r="AM25" s="1" t="s">
        <v>462</v>
      </c>
      <c r="AN25" s="78">
        <v>5</v>
      </c>
      <c r="AO25" s="78">
        <v>0</v>
      </c>
      <c r="AP25" s="78">
        <v>1</v>
      </c>
      <c r="AQ25" s="78">
        <v>0</v>
      </c>
      <c r="AR25" s="78">
        <v>0</v>
      </c>
      <c r="AS25" s="78">
        <v>1</v>
      </c>
      <c r="AT25" s="78">
        <v>0</v>
      </c>
      <c r="AU25" s="78">
        <v>0</v>
      </c>
      <c r="AV25" s="76">
        <v>1</v>
      </c>
      <c r="AW25" s="1" t="s">
        <v>314</v>
      </c>
      <c r="AX25" s="78">
        <v>4</v>
      </c>
      <c r="AY25" s="78">
        <v>0</v>
      </c>
      <c r="AZ25" s="78">
        <v>0</v>
      </c>
      <c r="BA25" s="78">
        <v>0</v>
      </c>
      <c r="BB25" s="78">
        <v>0</v>
      </c>
      <c r="BC25" s="78">
        <v>0</v>
      </c>
      <c r="BD25" s="78">
        <v>0</v>
      </c>
      <c r="BE25" s="78">
        <v>0</v>
      </c>
      <c r="BF25" s="76">
        <v>0</v>
      </c>
      <c r="BG25" s="1" t="s">
        <v>457</v>
      </c>
      <c r="BH25" s="78">
        <v>3</v>
      </c>
      <c r="BI25" s="78">
        <v>1</v>
      </c>
      <c r="BJ25" s="78">
        <v>0</v>
      </c>
      <c r="BK25" s="78">
        <v>0</v>
      </c>
      <c r="BL25" s="78">
        <v>1</v>
      </c>
      <c r="BM25" s="78">
        <v>0</v>
      </c>
      <c r="BN25" s="78">
        <v>0</v>
      </c>
      <c r="BO25" s="78">
        <v>0</v>
      </c>
      <c r="BP25" s="76">
        <v>0</v>
      </c>
      <c r="BQ25" s="1" t="s">
        <v>460</v>
      </c>
      <c r="BR25" s="78">
        <v>3</v>
      </c>
      <c r="BS25" s="78">
        <v>1</v>
      </c>
      <c r="BT25" s="78">
        <v>1</v>
      </c>
      <c r="BU25" s="78">
        <v>0</v>
      </c>
      <c r="BV25" s="78">
        <v>1</v>
      </c>
      <c r="BW25" s="78">
        <v>0</v>
      </c>
      <c r="BX25" s="78">
        <v>0</v>
      </c>
      <c r="BY25" s="78">
        <v>0</v>
      </c>
      <c r="BZ25" s="76">
        <v>1</v>
      </c>
      <c r="CA25" s="1" t="s">
        <v>319</v>
      </c>
      <c r="CB25" s="78">
        <v>4</v>
      </c>
      <c r="CC25" s="78">
        <v>0</v>
      </c>
      <c r="CD25" s="78">
        <v>0</v>
      </c>
      <c r="CE25" s="78">
        <v>0</v>
      </c>
      <c r="CF25" s="78">
        <v>0</v>
      </c>
      <c r="CG25" s="78">
        <v>1</v>
      </c>
      <c r="CH25" s="78">
        <v>0</v>
      </c>
      <c r="CI25" s="78">
        <v>0</v>
      </c>
      <c r="CJ25" s="76">
        <v>0</v>
      </c>
      <c r="CK25" s="1" t="s">
        <v>313</v>
      </c>
      <c r="CL25" s="78">
        <v>4</v>
      </c>
      <c r="CM25" s="78">
        <v>1</v>
      </c>
      <c r="CN25" s="78">
        <v>1</v>
      </c>
      <c r="CO25" s="78">
        <v>2</v>
      </c>
      <c r="CP25" s="78">
        <v>0</v>
      </c>
      <c r="CQ25" s="78">
        <v>1</v>
      </c>
      <c r="CR25" s="78">
        <v>0</v>
      </c>
      <c r="CS25" s="78">
        <v>0</v>
      </c>
      <c r="CT25" s="76">
        <v>1</v>
      </c>
      <c r="CU25" s="1" t="s">
        <v>315</v>
      </c>
      <c r="CV25" s="78">
        <v>4</v>
      </c>
      <c r="CW25" s="78">
        <v>1</v>
      </c>
      <c r="CX25" s="78">
        <v>2</v>
      </c>
      <c r="CY25" s="78">
        <v>0</v>
      </c>
      <c r="CZ25" s="78">
        <v>0</v>
      </c>
      <c r="DA25" s="78">
        <v>1</v>
      </c>
      <c r="DB25" s="78">
        <v>0</v>
      </c>
      <c r="DC25" s="78">
        <v>0</v>
      </c>
      <c r="DD25" s="76">
        <v>3</v>
      </c>
      <c r="DE25" s="1" t="s">
        <v>320</v>
      </c>
      <c r="DF25" s="78">
        <v>4</v>
      </c>
      <c r="DG25" s="78">
        <v>0</v>
      </c>
      <c r="DH25" s="78">
        <v>1</v>
      </c>
      <c r="DI25" s="78">
        <v>0</v>
      </c>
      <c r="DJ25" s="78">
        <v>0</v>
      </c>
      <c r="DK25" s="78">
        <v>1</v>
      </c>
      <c r="DL25" s="78">
        <v>0</v>
      </c>
      <c r="DM25" s="78">
        <v>0</v>
      </c>
      <c r="DN25" s="76">
        <v>1</v>
      </c>
      <c r="DO25" s="1" t="s">
        <v>461</v>
      </c>
      <c r="DP25" s="78">
        <v>4</v>
      </c>
      <c r="DQ25" s="78">
        <v>0</v>
      </c>
      <c r="DR25" s="78">
        <v>1</v>
      </c>
      <c r="DS25" s="78">
        <v>1</v>
      </c>
      <c r="DT25" s="78">
        <v>0</v>
      </c>
      <c r="DU25" s="78">
        <v>0</v>
      </c>
      <c r="DV25" s="78">
        <v>0</v>
      </c>
      <c r="DW25" s="78">
        <v>0</v>
      </c>
      <c r="DX25" s="76">
        <v>1</v>
      </c>
      <c r="DY25" s="77">
        <v>0</v>
      </c>
      <c r="DZ25" s="43">
        <v>0</v>
      </c>
      <c r="EA25" s="43">
        <v>0</v>
      </c>
      <c r="EB25" s="45">
        <v>9</v>
      </c>
      <c r="EC25" s="43">
        <v>1</v>
      </c>
      <c r="ED25" s="44">
        <v>0</v>
      </c>
      <c r="EE25" s="71">
        <v>0</v>
      </c>
      <c r="EF25" s="43">
        <v>0</v>
      </c>
      <c r="EG25" s="43">
        <v>0</v>
      </c>
      <c r="EH25" s="43">
        <v>2</v>
      </c>
      <c r="EI25" s="43">
        <v>0</v>
      </c>
      <c r="EJ25" s="43">
        <v>0</v>
      </c>
      <c r="EK25" s="43">
        <v>2</v>
      </c>
      <c r="EL25" s="43">
        <v>0</v>
      </c>
      <c r="EM25" s="43">
        <v>0</v>
      </c>
      <c r="EN25" s="43"/>
      <c r="EO25" s="43"/>
      <c r="EP25" s="43"/>
      <c r="EQ25" s="43"/>
      <c r="ER25" s="43"/>
      <c r="ES25" s="43"/>
      <c r="ET25" s="44">
        <f t="shared" si="6"/>
        <v>4</v>
      </c>
      <c r="EU25" s="43">
        <v>1</v>
      </c>
      <c r="EV25" s="43">
        <v>2</v>
      </c>
      <c r="EW25" s="43">
        <v>0</v>
      </c>
      <c r="EX25" s="43">
        <v>0</v>
      </c>
      <c r="EY25" s="43">
        <v>0</v>
      </c>
      <c r="EZ25" s="43">
        <v>3</v>
      </c>
      <c r="FA25" s="43">
        <v>1</v>
      </c>
      <c r="FB25" s="43">
        <v>0</v>
      </c>
      <c r="FC25" s="43">
        <v>0</v>
      </c>
      <c r="FD25" s="43"/>
      <c r="FE25" s="43"/>
      <c r="FF25" s="43"/>
      <c r="FG25" s="43"/>
      <c r="FH25" s="43"/>
      <c r="FI25" s="43"/>
      <c r="FJ25" s="43">
        <f t="shared" si="7"/>
        <v>7</v>
      </c>
      <c r="FK25" s="73">
        <f t="shared" si="8"/>
        <v>0</v>
      </c>
      <c r="FL25" s="73">
        <f t="shared" si="9"/>
        <v>0</v>
      </c>
      <c r="FM25" s="38"/>
    </row>
    <row r="26" spans="1:169" x14ac:dyDescent="0.25">
      <c r="A26" s="204">
        <v>40375</v>
      </c>
      <c r="B26" s="204" t="s">
        <v>19</v>
      </c>
      <c r="C26" s="204" t="s">
        <v>129</v>
      </c>
      <c r="D26" s="204" t="s">
        <v>322</v>
      </c>
      <c r="E26" s="205"/>
      <c r="F26" s="206"/>
      <c r="G26" s="207" t="s">
        <v>464</v>
      </c>
      <c r="H26" s="208">
        <v>0</v>
      </c>
      <c r="I26" s="208">
        <v>0</v>
      </c>
      <c r="J26" s="209">
        <v>1</v>
      </c>
      <c r="K26" s="208">
        <v>0</v>
      </c>
      <c r="L26" s="208">
        <v>0</v>
      </c>
      <c r="M26" s="208">
        <v>0</v>
      </c>
      <c r="N26" s="208">
        <v>0</v>
      </c>
      <c r="O26" s="208">
        <v>0</v>
      </c>
      <c r="P26" s="208">
        <v>0</v>
      </c>
      <c r="Q26" s="208">
        <v>0</v>
      </c>
      <c r="R26" s="208">
        <v>4</v>
      </c>
      <c r="S26" s="208"/>
      <c r="T26" s="208"/>
      <c r="U26" s="208">
        <v>0</v>
      </c>
      <c r="V26" s="210">
        <v>0</v>
      </c>
      <c r="W26" s="211">
        <v>1</v>
      </c>
      <c r="X26" s="211">
        <v>0</v>
      </c>
      <c r="Y26" s="211">
        <v>1</v>
      </c>
      <c r="Z26" s="211">
        <v>0</v>
      </c>
      <c r="AA26" s="211">
        <v>0</v>
      </c>
      <c r="AB26" s="212">
        <v>8</v>
      </c>
      <c r="AC26" s="211">
        <v>2</v>
      </c>
      <c r="AD26" s="211">
        <v>0</v>
      </c>
      <c r="AE26" s="211">
        <v>0</v>
      </c>
      <c r="AF26" s="211">
        <v>0</v>
      </c>
      <c r="AG26" s="211">
        <v>6</v>
      </c>
      <c r="AH26" s="211">
        <v>0</v>
      </c>
      <c r="AI26" s="211">
        <v>0</v>
      </c>
      <c r="AJ26" s="211">
        <v>26</v>
      </c>
      <c r="AK26" s="211"/>
      <c r="AL26" s="211"/>
      <c r="AM26" s="213" t="s">
        <v>454</v>
      </c>
      <c r="AN26" s="214">
        <v>3</v>
      </c>
      <c r="AO26" s="214">
        <v>0</v>
      </c>
      <c r="AP26" s="214">
        <v>0</v>
      </c>
      <c r="AQ26" s="214">
        <v>0</v>
      </c>
      <c r="AR26" s="214">
        <v>1</v>
      </c>
      <c r="AS26" s="214">
        <v>0</v>
      </c>
      <c r="AT26" s="214">
        <v>0</v>
      </c>
      <c r="AU26" s="214">
        <v>0</v>
      </c>
      <c r="AV26" s="215">
        <v>0</v>
      </c>
      <c r="AW26" s="213" t="s">
        <v>463</v>
      </c>
      <c r="AX26" s="214">
        <v>4</v>
      </c>
      <c r="AY26" s="214">
        <v>0</v>
      </c>
      <c r="AZ26" s="214">
        <v>2</v>
      </c>
      <c r="BA26" s="214">
        <v>0</v>
      </c>
      <c r="BB26" s="214">
        <v>0</v>
      </c>
      <c r="BC26" s="214">
        <v>0</v>
      </c>
      <c r="BD26" s="214">
        <v>0</v>
      </c>
      <c r="BE26" s="214">
        <v>0</v>
      </c>
      <c r="BF26" s="215">
        <v>2</v>
      </c>
      <c r="BG26" s="213" t="s">
        <v>457</v>
      </c>
      <c r="BH26" s="214">
        <v>4</v>
      </c>
      <c r="BI26" s="214">
        <v>1</v>
      </c>
      <c r="BJ26" s="214">
        <v>1</v>
      </c>
      <c r="BK26" s="214">
        <v>0</v>
      </c>
      <c r="BL26" s="214">
        <v>0</v>
      </c>
      <c r="BM26" s="214">
        <v>2</v>
      </c>
      <c r="BN26" s="214">
        <v>0</v>
      </c>
      <c r="BO26" s="214">
        <v>0</v>
      </c>
      <c r="BP26" s="215">
        <v>1</v>
      </c>
      <c r="BQ26" s="213" t="s">
        <v>458</v>
      </c>
      <c r="BR26" s="214">
        <v>4</v>
      </c>
      <c r="BS26" s="214">
        <v>1</v>
      </c>
      <c r="BT26" s="214">
        <v>2</v>
      </c>
      <c r="BU26" s="214">
        <v>0</v>
      </c>
      <c r="BV26" s="214">
        <v>0</v>
      </c>
      <c r="BW26" s="214">
        <v>1</v>
      </c>
      <c r="BX26" s="214">
        <v>0</v>
      </c>
      <c r="BY26" s="214">
        <v>0</v>
      </c>
      <c r="BZ26" s="215">
        <v>2</v>
      </c>
      <c r="CA26" s="213" t="s">
        <v>319</v>
      </c>
      <c r="CB26" s="214">
        <v>4</v>
      </c>
      <c r="CC26" s="214">
        <v>1</v>
      </c>
      <c r="CD26" s="214">
        <v>1</v>
      </c>
      <c r="CE26" s="214">
        <v>0</v>
      </c>
      <c r="CF26" s="214">
        <v>0</v>
      </c>
      <c r="CG26" s="214">
        <v>0</v>
      </c>
      <c r="CH26" s="214">
        <v>0</v>
      </c>
      <c r="CI26" s="214">
        <v>0</v>
      </c>
      <c r="CJ26" s="215">
        <v>1</v>
      </c>
      <c r="CK26" s="213" t="s">
        <v>315</v>
      </c>
      <c r="CL26" s="214">
        <v>4</v>
      </c>
      <c r="CM26" s="214">
        <v>0</v>
      </c>
      <c r="CN26" s="214">
        <v>1</v>
      </c>
      <c r="CO26" s="214">
        <v>1</v>
      </c>
      <c r="CP26" s="214">
        <v>0</v>
      </c>
      <c r="CQ26" s="214">
        <v>0</v>
      </c>
      <c r="CR26" s="214">
        <v>0</v>
      </c>
      <c r="CS26" s="214">
        <v>0</v>
      </c>
      <c r="CT26" s="215">
        <v>2</v>
      </c>
      <c r="CU26" s="213" t="s">
        <v>313</v>
      </c>
      <c r="CV26" s="214">
        <v>1</v>
      </c>
      <c r="CW26" s="214">
        <v>1</v>
      </c>
      <c r="CX26" s="214">
        <v>0</v>
      </c>
      <c r="CY26" s="214">
        <v>1</v>
      </c>
      <c r="CZ26" s="214">
        <v>2</v>
      </c>
      <c r="DA26" s="214">
        <v>0</v>
      </c>
      <c r="DB26" s="214">
        <v>0</v>
      </c>
      <c r="DC26" s="214">
        <v>1</v>
      </c>
      <c r="DD26" s="215">
        <v>0</v>
      </c>
      <c r="DE26" s="213" t="s">
        <v>320</v>
      </c>
      <c r="DF26" s="214">
        <v>3</v>
      </c>
      <c r="DG26" s="214">
        <v>0</v>
      </c>
      <c r="DH26" s="214">
        <v>1</v>
      </c>
      <c r="DI26" s="214">
        <v>0</v>
      </c>
      <c r="DJ26" s="214">
        <v>1</v>
      </c>
      <c r="DK26" s="214">
        <v>2</v>
      </c>
      <c r="DL26" s="214">
        <v>0</v>
      </c>
      <c r="DM26" s="214">
        <v>0</v>
      </c>
      <c r="DN26" s="215">
        <v>1</v>
      </c>
      <c r="DO26" s="213" t="s">
        <v>314</v>
      </c>
      <c r="DP26" s="214">
        <v>3</v>
      </c>
      <c r="DQ26" s="214">
        <v>0</v>
      </c>
      <c r="DR26" s="214">
        <v>1</v>
      </c>
      <c r="DS26" s="214">
        <v>1</v>
      </c>
      <c r="DT26" s="214">
        <v>1</v>
      </c>
      <c r="DU26" s="214">
        <v>0</v>
      </c>
      <c r="DV26" s="214">
        <v>0</v>
      </c>
      <c r="DW26" s="214">
        <v>0</v>
      </c>
      <c r="DX26" s="215">
        <v>1</v>
      </c>
      <c r="DY26" s="216">
        <v>0</v>
      </c>
      <c r="DZ26" s="217">
        <v>0</v>
      </c>
      <c r="EA26" s="217">
        <v>0</v>
      </c>
      <c r="EB26" s="218">
        <v>8</v>
      </c>
      <c r="EC26" s="217">
        <v>0</v>
      </c>
      <c r="ED26" s="219">
        <v>0</v>
      </c>
      <c r="EE26" s="220">
        <v>0</v>
      </c>
      <c r="EF26" s="217">
        <v>0</v>
      </c>
      <c r="EG26" s="217">
        <v>1</v>
      </c>
      <c r="EH26" s="217">
        <v>2</v>
      </c>
      <c r="EI26" s="217">
        <v>0</v>
      </c>
      <c r="EJ26" s="217">
        <v>0</v>
      </c>
      <c r="EK26" s="217">
        <v>1</v>
      </c>
      <c r="EL26" s="217">
        <v>0</v>
      </c>
      <c r="EM26" s="217"/>
      <c r="EN26" s="217"/>
      <c r="EO26" s="217"/>
      <c r="EP26" s="217"/>
      <c r="EQ26" s="217"/>
      <c r="ER26" s="217"/>
      <c r="ES26" s="217"/>
      <c r="ET26" s="219">
        <f t="shared" si="6"/>
        <v>4</v>
      </c>
      <c r="EU26" s="217">
        <v>0</v>
      </c>
      <c r="EV26" s="217">
        <v>0</v>
      </c>
      <c r="EW26" s="217">
        <v>0</v>
      </c>
      <c r="EX26" s="217">
        <v>0</v>
      </c>
      <c r="EY26" s="217">
        <v>0</v>
      </c>
      <c r="EZ26" s="217">
        <v>0</v>
      </c>
      <c r="FA26" s="217">
        <v>0</v>
      </c>
      <c r="FB26" s="217">
        <v>0</v>
      </c>
      <c r="FC26" s="217">
        <v>0</v>
      </c>
      <c r="FD26" s="217"/>
      <c r="FE26" s="217"/>
      <c r="FF26" s="217"/>
      <c r="FG26" s="217"/>
      <c r="FH26" s="217"/>
      <c r="FI26" s="217"/>
      <c r="FJ26" s="217">
        <f t="shared" si="7"/>
        <v>0</v>
      </c>
      <c r="FK26" s="221">
        <f t="shared" si="8"/>
        <v>0</v>
      </c>
      <c r="FL26" s="221">
        <f t="shared" si="9"/>
        <v>0</v>
      </c>
      <c r="FM26" s="222"/>
    </row>
    <row r="27" spans="1:169" x14ac:dyDescent="0.25">
      <c r="A27" s="204">
        <v>40376</v>
      </c>
      <c r="B27" s="204" t="s">
        <v>19</v>
      </c>
      <c r="C27" s="204" t="s">
        <v>129</v>
      </c>
      <c r="D27" s="204" t="s">
        <v>317</v>
      </c>
      <c r="E27" s="205"/>
      <c r="F27" s="206"/>
      <c r="G27" s="207" t="s">
        <v>455</v>
      </c>
      <c r="H27" s="208">
        <v>0</v>
      </c>
      <c r="I27" s="208">
        <v>0</v>
      </c>
      <c r="J27" s="209">
        <v>5</v>
      </c>
      <c r="K27" s="208">
        <v>4</v>
      </c>
      <c r="L27" s="208">
        <v>1</v>
      </c>
      <c r="M27" s="208">
        <v>0</v>
      </c>
      <c r="N27" s="208">
        <v>1</v>
      </c>
      <c r="O27" s="208">
        <v>1</v>
      </c>
      <c r="P27" s="208">
        <v>0</v>
      </c>
      <c r="Q27" s="208">
        <v>0</v>
      </c>
      <c r="R27" s="208">
        <v>20</v>
      </c>
      <c r="S27" s="208"/>
      <c r="T27" s="208"/>
      <c r="U27" s="208">
        <v>0</v>
      </c>
      <c r="V27" s="210">
        <v>0</v>
      </c>
      <c r="W27" s="211">
        <v>1</v>
      </c>
      <c r="X27" s="211">
        <v>0</v>
      </c>
      <c r="Y27" s="211">
        <v>0</v>
      </c>
      <c r="Z27" s="211">
        <v>0</v>
      </c>
      <c r="AA27" s="211">
        <v>0</v>
      </c>
      <c r="AB27" s="212">
        <v>6</v>
      </c>
      <c r="AC27" s="211">
        <v>4</v>
      </c>
      <c r="AD27" s="211">
        <v>2</v>
      </c>
      <c r="AE27" s="211">
        <v>2</v>
      </c>
      <c r="AF27" s="211">
        <v>2</v>
      </c>
      <c r="AG27" s="211">
        <v>5</v>
      </c>
      <c r="AH27" s="211">
        <v>0</v>
      </c>
      <c r="AI27" s="211">
        <v>2</v>
      </c>
      <c r="AJ27" s="211">
        <v>25</v>
      </c>
      <c r="AK27" s="211"/>
      <c r="AL27" s="211"/>
      <c r="AM27" s="213" t="s">
        <v>415</v>
      </c>
      <c r="AN27" s="214">
        <v>5</v>
      </c>
      <c r="AO27" s="214">
        <v>2</v>
      </c>
      <c r="AP27" s="214">
        <v>2</v>
      </c>
      <c r="AQ27" s="214">
        <v>0</v>
      </c>
      <c r="AR27" s="214">
        <v>0</v>
      </c>
      <c r="AS27" s="214">
        <v>2</v>
      </c>
      <c r="AT27" s="214">
        <v>0</v>
      </c>
      <c r="AU27" s="214">
        <v>0</v>
      </c>
      <c r="AV27" s="215">
        <v>5</v>
      </c>
      <c r="AW27" s="213" t="s">
        <v>463</v>
      </c>
      <c r="AX27" s="214">
        <v>3</v>
      </c>
      <c r="AY27" s="214">
        <v>0</v>
      </c>
      <c r="AZ27" s="214">
        <v>0</v>
      </c>
      <c r="BA27" s="214">
        <v>1</v>
      </c>
      <c r="BB27" s="214">
        <v>1</v>
      </c>
      <c r="BC27" s="214">
        <v>0</v>
      </c>
      <c r="BD27" s="214">
        <v>1</v>
      </c>
      <c r="BE27" s="214">
        <v>0</v>
      </c>
      <c r="BF27" s="215">
        <v>0</v>
      </c>
      <c r="BG27" s="213" t="s">
        <v>457</v>
      </c>
      <c r="BH27" s="214">
        <v>4</v>
      </c>
      <c r="BI27" s="214">
        <v>0</v>
      </c>
      <c r="BJ27" s="214">
        <v>0</v>
      </c>
      <c r="BK27" s="214">
        <v>1</v>
      </c>
      <c r="BL27" s="214">
        <v>1</v>
      </c>
      <c r="BM27" s="214">
        <v>1</v>
      </c>
      <c r="BN27" s="214">
        <v>0</v>
      </c>
      <c r="BO27" s="214">
        <v>0</v>
      </c>
      <c r="BP27" s="215">
        <v>0</v>
      </c>
      <c r="BQ27" s="213" t="s">
        <v>458</v>
      </c>
      <c r="BR27" s="214">
        <v>3</v>
      </c>
      <c r="BS27" s="214">
        <v>1</v>
      </c>
      <c r="BT27" s="214">
        <v>0</v>
      </c>
      <c r="BU27" s="214">
        <v>0</v>
      </c>
      <c r="BV27" s="214">
        <v>2</v>
      </c>
      <c r="BW27" s="214">
        <v>2</v>
      </c>
      <c r="BX27" s="214">
        <v>0</v>
      </c>
      <c r="BY27" s="214">
        <v>0</v>
      </c>
      <c r="BZ27" s="215">
        <v>0</v>
      </c>
      <c r="CA27" s="213" t="s">
        <v>315</v>
      </c>
      <c r="CB27" s="214">
        <v>4</v>
      </c>
      <c r="CC27" s="214">
        <v>0</v>
      </c>
      <c r="CD27" s="214">
        <v>2</v>
      </c>
      <c r="CE27" s="214">
        <v>1</v>
      </c>
      <c r="CF27" s="214">
        <v>1</v>
      </c>
      <c r="CG27" s="214">
        <v>0</v>
      </c>
      <c r="CH27" s="214">
        <v>0</v>
      </c>
      <c r="CI27" s="214">
        <v>0</v>
      </c>
      <c r="CJ27" s="215">
        <v>3</v>
      </c>
      <c r="CK27" s="213" t="s">
        <v>313</v>
      </c>
      <c r="CL27" s="214">
        <v>4</v>
      </c>
      <c r="CM27" s="214">
        <v>0</v>
      </c>
      <c r="CN27" s="214">
        <v>0</v>
      </c>
      <c r="CO27" s="214">
        <v>0</v>
      </c>
      <c r="CP27" s="214">
        <v>0</v>
      </c>
      <c r="CQ27" s="214">
        <v>3</v>
      </c>
      <c r="CR27" s="214">
        <v>0</v>
      </c>
      <c r="CS27" s="214">
        <v>0</v>
      </c>
      <c r="CT27" s="215">
        <v>0</v>
      </c>
      <c r="CU27" s="213" t="s">
        <v>557</v>
      </c>
      <c r="CV27" s="214">
        <v>4</v>
      </c>
      <c r="CW27" s="214">
        <v>0</v>
      </c>
      <c r="CX27" s="214">
        <v>0</v>
      </c>
      <c r="CY27" s="214">
        <v>0</v>
      </c>
      <c r="CZ27" s="214">
        <v>0</v>
      </c>
      <c r="DA27" s="214">
        <v>3</v>
      </c>
      <c r="DB27" s="214">
        <v>0</v>
      </c>
      <c r="DC27" s="214">
        <v>0</v>
      </c>
      <c r="DD27" s="215">
        <v>0</v>
      </c>
      <c r="DE27" s="213" t="s">
        <v>320</v>
      </c>
      <c r="DF27" s="214">
        <v>4</v>
      </c>
      <c r="DG27" s="214">
        <v>0</v>
      </c>
      <c r="DH27" s="214">
        <v>0</v>
      </c>
      <c r="DI27" s="214">
        <v>0</v>
      </c>
      <c r="DJ27" s="214">
        <v>0</v>
      </c>
      <c r="DK27" s="214">
        <v>2</v>
      </c>
      <c r="DL27" s="214">
        <v>0</v>
      </c>
      <c r="DM27" s="214">
        <v>0</v>
      </c>
      <c r="DN27" s="215">
        <v>0</v>
      </c>
      <c r="DO27" s="213" t="s">
        <v>314</v>
      </c>
      <c r="DP27" s="214">
        <v>4</v>
      </c>
      <c r="DQ27" s="214">
        <v>1</v>
      </c>
      <c r="DR27" s="214">
        <v>1</v>
      </c>
      <c r="DS27" s="214">
        <v>0</v>
      </c>
      <c r="DT27" s="214">
        <v>0</v>
      </c>
      <c r="DU27" s="214">
        <v>3</v>
      </c>
      <c r="DV27" s="214">
        <v>0</v>
      </c>
      <c r="DW27" s="214">
        <v>0</v>
      </c>
      <c r="DX27" s="215">
        <v>1</v>
      </c>
      <c r="DY27" s="216">
        <f>6+2/3</f>
        <v>6.666666666666667</v>
      </c>
      <c r="DZ27" s="217">
        <v>0</v>
      </c>
      <c r="EA27" s="217">
        <v>1</v>
      </c>
      <c r="EB27" s="218">
        <v>4</v>
      </c>
      <c r="EC27" s="217">
        <v>1</v>
      </c>
      <c r="ED27" s="219">
        <v>0</v>
      </c>
      <c r="EE27" s="220">
        <v>0</v>
      </c>
      <c r="EF27" s="217">
        <v>0</v>
      </c>
      <c r="EG27" s="217">
        <v>0</v>
      </c>
      <c r="EH27" s="217">
        <v>0</v>
      </c>
      <c r="EI27" s="217">
        <v>0</v>
      </c>
      <c r="EJ27" s="217">
        <v>1</v>
      </c>
      <c r="EK27" s="217">
        <v>0</v>
      </c>
      <c r="EL27" s="217">
        <v>2</v>
      </c>
      <c r="EM27" s="217">
        <v>0</v>
      </c>
      <c r="EN27" s="217">
        <v>0</v>
      </c>
      <c r="EO27" s="217">
        <v>1</v>
      </c>
      <c r="EP27" s="217"/>
      <c r="EQ27" s="217"/>
      <c r="ER27" s="217"/>
      <c r="ES27" s="217"/>
      <c r="ET27" s="219">
        <f t="shared" si="6"/>
        <v>4</v>
      </c>
      <c r="EU27" s="217">
        <v>0</v>
      </c>
      <c r="EV27" s="217">
        <v>1</v>
      </c>
      <c r="EW27" s="217">
        <v>0</v>
      </c>
      <c r="EX27" s="217">
        <v>0</v>
      </c>
      <c r="EY27" s="217">
        <v>0</v>
      </c>
      <c r="EZ27" s="217">
        <v>1</v>
      </c>
      <c r="FA27" s="217">
        <v>0</v>
      </c>
      <c r="FB27" s="217">
        <v>1</v>
      </c>
      <c r="FC27" s="217">
        <v>0</v>
      </c>
      <c r="FD27" s="217">
        <v>0</v>
      </c>
      <c r="FE27" s="217">
        <v>0</v>
      </c>
      <c r="FF27" s="217"/>
      <c r="FG27" s="217"/>
      <c r="FH27" s="217"/>
      <c r="FI27" s="217"/>
      <c r="FJ27" s="217">
        <f t="shared" si="7"/>
        <v>3</v>
      </c>
      <c r="FK27" s="221">
        <f t="shared" si="8"/>
        <v>0</v>
      </c>
      <c r="FL27" s="221">
        <f t="shared" si="9"/>
        <v>0</v>
      </c>
      <c r="FM27" s="222"/>
    </row>
    <row r="28" spans="1:169" x14ac:dyDescent="0.25">
      <c r="A28" s="204">
        <v>40378</v>
      </c>
      <c r="B28" s="204" t="s">
        <v>133</v>
      </c>
      <c r="C28" s="204" t="s">
        <v>129</v>
      </c>
      <c r="D28" s="204" t="s">
        <v>324</v>
      </c>
      <c r="E28" s="205"/>
      <c r="F28" s="206"/>
      <c r="G28" s="207" t="s">
        <v>464</v>
      </c>
      <c r="H28" s="208">
        <v>0</v>
      </c>
      <c r="I28" s="208">
        <v>0</v>
      </c>
      <c r="J28" s="209">
        <v>1</v>
      </c>
      <c r="K28" s="208">
        <v>1</v>
      </c>
      <c r="L28" s="208">
        <v>0</v>
      </c>
      <c r="M28" s="208">
        <v>0</v>
      </c>
      <c r="N28" s="208">
        <v>0</v>
      </c>
      <c r="O28" s="208">
        <v>0</v>
      </c>
      <c r="P28" s="208">
        <v>0</v>
      </c>
      <c r="Q28" s="208">
        <v>0</v>
      </c>
      <c r="R28" s="208">
        <v>4</v>
      </c>
      <c r="S28" s="208"/>
      <c r="T28" s="208"/>
      <c r="U28" s="208">
        <v>0</v>
      </c>
      <c r="V28" s="210">
        <v>0</v>
      </c>
      <c r="W28" s="211">
        <v>1</v>
      </c>
      <c r="X28" s="211">
        <v>0</v>
      </c>
      <c r="Y28" s="211">
        <v>1</v>
      </c>
      <c r="Z28" s="211">
        <v>1</v>
      </c>
      <c r="AA28" s="211">
        <v>0</v>
      </c>
      <c r="AB28" s="212">
        <v>8</v>
      </c>
      <c r="AC28" s="211">
        <v>12</v>
      </c>
      <c r="AD28" s="211">
        <v>5</v>
      </c>
      <c r="AE28" s="211">
        <v>3</v>
      </c>
      <c r="AF28" s="211">
        <v>2</v>
      </c>
      <c r="AG28" s="211">
        <v>10</v>
      </c>
      <c r="AH28" s="211">
        <v>0</v>
      </c>
      <c r="AI28" s="211">
        <v>0</v>
      </c>
      <c r="AJ28" s="211">
        <v>36</v>
      </c>
      <c r="AK28" s="211"/>
      <c r="AL28" s="211"/>
      <c r="AM28" s="213" t="s">
        <v>454</v>
      </c>
      <c r="AN28" s="214">
        <v>4</v>
      </c>
      <c r="AO28" s="214">
        <v>2</v>
      </c>
      <c r="AP28" s="214">
        <v>1</v>
      </c>
      <c r="AQ28" s="214">
        <v>1</v>
      </c>
      <c r="AR28" s="214">
        <v>0</v>
      </c>
      <c r="AS28" s="214">
        <v>2</v>
      </c>
      <c r="AT28" s="214">
        <v>1</v>
      </c>
      <c r="AU28" s="214">
        <v>0</v>
      </c>
      <c r="AV28" s="215">
        <v>3</v>
      </c>
      <c r="AW28" s="213" t="s">
        <v>463</v>
      </c>
      <c r="AX28" s="214">
        <v>5</v>
      </c>
      <c r="AY28" s="214">
        <v>1</v>
      </c>
      <c r="AZ28" s="214">
        <v>3</v>
      </c>
      <c r="BA28" s="214">
        <v>2</v>
      </c>
      <c r="BB28" s="214">
        <v>0</v>
      </c>
      <c r="BC28" s="214">
        <v>0</v>
      </c>
      <c r="BD28" s="214">
        <v>0</v>
      </c>
      <c r="BE28" s="214">
        <v>0</v>
      </c>
      <c r="BF28" s="215">
        <v>4</v>
      </c>
      <c r="BG28" s="213" t="s">
        <v>457</v>
      </c>
      <c r="BH28" s="214">
        <v>5</v>
      </c>
      <c r="BI28" s="214">
        <v>0</v>
      </c>
      <c r="BJ28" s="214">
        <v>1</v>
      </c>
      <c r="BK28" s="214">
        <v>1</v>
      </c>
      <c r="BL28" s="214">
        <v>0</v>
      </c>
      <c r="BM28" s="214">
        <v>1</v>
      </c>
      <c r="BN28" s="214">
        <v>0</v>
      </c>
      <c r="BO28" s="214">
        <v>0</v>
      </c>
      <c r="BP28" s="215">
        <v>3</v>
      </c>
      <c r="BQ28" s="213" t="s">
        <v>458</v>
      </c>
      <c r="BR28" s="214">
        <v>4</v>
      </c>
      <c r="BS28" s="214">
        <v>0</v>
      </c>
      <c r="BT28" s="214">
        <v>0</v>
      </c>
      <c r="BU28" s="214">
        <v>0</v>
      </c>
      <c r="BV28" s="214">
        <v>0</v>
      </c>
      <c r="BW28" s="214">
        <v>1</v>
      </c>
      <c r="BX28" s="214">
        <v>0</v>
      </c>
      <c r="BY28" s="214">
        <v>0</v>
      </c>
      <c r="BZ28" s="215">
        <v>0</v>
      </c>
      <c r="CA28" s="213" t="s">
        <v>319</v>
      </c>
      <c r="CB28" s="214">
        <v>4</v>
      </c>
      <c r="CC28" s="214">
        <v>0</v>
      </c>
      <c r="CD28" s="214">
        <v>0</v>
      </c>
      <c r="CE28" s="214">
        <v>0</v>
      </c>
      <c r="CF28" s="214">
        <v>0</v>
      </c>
      <c r="CG28" s="214">
        <v>2</v>
      </c>
      <c r="CH28" s="214">
        <v>0</v>
      </c>
      <c r="CI28" s="214">
        <v>0</v>
      </c>
      <c r="CJ28" s="215">
        <v>0</v>
      </c>
      <c r="CK28" s="213" t="s">
        <v>313</v>
      </c>
      <c r="CL28" s="214">
        <v>3</v>
      </c>
      <c r="CM28" s="214">
        <v>1</v>
      </c>
      <c r="CN28" s="214">
        <v>1</v>
      </c>
      <c r="CO28" s="214">
        <v>0</v>
      </c>
      <c r="CP28" s="214">
        <v>1</v>
      </c>
      <c r="CQ28" s="214">
        <v>0</v>
      </c>
      <c r="CR28" s="214">
        <v>0</v>
      </c>
      <c r="CS28" s="214">
        <v>0</v>
      </c>
      <c r="CT28" s="215">
        <v>2</v>
      </c>
      <c r="CU28" s="213" t="s">
        <v>315</v>
      </c>
      <c r="CV28" s="214">
        <v>4</v>
      </c>
      <c r="CW28" s="214">
        <v>1</v>
      </c>
      <c r="CX28" s="214">
        <v>2</v>
      </c>
      <c r="CY28" s="214">
        <v>1</v>
      </c>
      <c r="CZ28" s="214">
        <v>0</v>
      </c>
      <c r="DA28" s="214">
        <v>0</v>
      </c>
      <c r="DB28" s="214">
        <v>0</v>
      </c>
      <c r="DC28" s="214">
        <v>0</v>
      </c>
      <c r="DD28" s="215">
        <v>5</v>
      </c>
      <c r="DE28" s="213" t="s">
        <v>320</v>
      </c>
      <c r="DF28" s="214">
        <v>3</v>
      </c>
      <c r="DG28" s="214">
        <v>1</v>
      </c>
      <c r="DH28" s="214">
        <v>0</v>
      </c>
      <c r="DI28" s="214">
        <v>0</v>
      </c>
      <c r="DJ28" s="214">
        <v>1</v>
      </c>
      <c r="DK28" s="214">
        <v>3</v>
      </c>
      <c r="DL28" s="214">
        <v>0</v>
      </c>
      <c r="DM28" s="214">
        <v>0</v>
      </c>
      <c r="DN28" s="215">
        <v>0</v>
      </c>
      <c r="DO28" s="213" t="s">
        <v>560</v>
      </c>
      <c r="DP28" s="214">
        <v>3</v>
      </c>
      <c r="DQ28" s="214">
        <v>0</v>
      </c>
      <c r="DR28" s="214">
        <v>0</v>
      </c>
      <c r="DS28" s="214">
        <v>0</v>
      </c>
      <c r="DT28" s="214">
        <v>1</v>
      </c>
      <c r="DU28" s="214">
        <v>1</v>
      </c>
      <c r="DV28" s="214">
        <v>0</v>
      </c>
      <c r="DW28" s="214">
        <v>0</v>
      </c>
      <c r="DX28" s="215">
        <v>0</v>
      </c>
      <c r="DY28" s="216">
        <v>0</v>
      </c>
      <c r="DZ28" s="217">
        <v>0</v>
      </c>
      <c r="EA28" s="217">
        <v>0</v>
      </c>
      <c r="EB28" s="218">
        <v>9</v>
      </c>
      <c r="EC28" s="217">
        <v>1</v>
      </c>
      <c r="ED28" s="219">
        <v>0</v>
      </c>
      <c r="EE28" s="220">
        <v>1</v>
      </c>
      <c r="EF28" s="217">
        <v>2</v>
      </c>
      <c r="EG28" s="217">
        <v>0</v>
      </c>
      <c r="EH28" s="217">
        <v>0</v>
      </c>
      <c r="EI28" s="217">
        <v>0</v>
      </c>
      <c r="EJ28" s="217">
        <v>0</v>
      </c>
      <c r="EK28" s="217">
        <v>3</v>
      </c>
      <c r="EL28" s="217">
        <v>0</v>
      </c>
      <c r="EM28" s="217">
        <v>0</v>
      </c>
      <c r="EN28" s="217"/>
      <c r="EO28" s="217"/>
      <c r="EP28" s="217"/>
      <c r="EQ28" s="217"/>
      <c r="ER28" s="217"/>
      <c r="ES28" s="217"/>
      <c r="ET28" s="219">
        <f t="shared" ref="ET28:ET33" si="10">SUM(EE28:ES28)</f>
        <v>6</v>
      </c>
      <c r="EU28" s="217">
        <v>0</v>
      </c>
      <c r="EV28" s="217">
        <v>0</v>
      </c>
      <c r="EW28" s="217">
        <v>1</v>
      </c>
      <c r="EX28" s="217">
        <v>2</v>
      </c>
      <c r="EY28" s="217">
        <v>1</v>
      </c>
      <c r="EZ28" s="217">
        <v>0</v>
      </c>
      <c r="FA28" s="217">
        <v>0</v>
      </c>
      <c r="FB28" s="217">
        <v>0</v>
      </c>
      <c r="FC28" s="217">
        <v>1</v>
      </c>
      <c r="FD28" s="217"/>
      <c r="FE28" s="217"/>
      <c r="FF28" s="217"/>
      <c r="FG28" s="217"/>
      <c r="FH28" s="217"/>
      <c r="FI28" s="217"/>
      <c r="FJ28" s="217">
        <f t="shared" ref="FJ28:FJ33" si="11">SUM(EU28:FI28)</f>
        <v>5</v>
      </c>
      <c r="FK28" s="221">
        <f t="shared" ref="FK28:FK33" si="12">((SUM(L28,AD28))-(FJ28))</f>
        <v>0</v>
      </c>
      <c r="FL28" s="221">
        <f t="shared" ref="FL28:FL33" si="13">((SUM(AO28,AY28,BI28,BS28,CC28,CM28,CW28,DG28,DQ28))-(ET28))</f>
        <v>0</v>
      </c>
      <c r="FM28" s="222"/>
    </row>
    <row r="29" spans="1:169" x14ac:dyDescent="0.25">
      <c r="A29" s="204">
        <v>40379</v>
      </c>
      <c r="B29" s="204" t="s">
        <v>19</v>
      </c>
      <c r="C29" s="204" t="s">
        <v>131</v>
      </c>
      <c r="D29" s="204" t="s">
        <v>324</v>
      </c>
      <c r="E29" s="205"/>
      <c r="F29" s="206"/>
      <c r="G29" s="207" t="s">
        <v>577</v>
      </c>
      <c r="H29" s="208">
        <v>0</v>
      </c>
      <c r="I29" s="208">
        <v>0</v>
      </c>
      <c r="J29" s="209">
        <v>3</v>
      </c>
      <c r="K29" s="208">
        <v>7</v>
      </c>
      <c r="L29" s="208">
        <v>4</v>
      </c>
      <c r="M29" s="208">
        <v>4</v>
      </c>
      <c r="N29" s="208">
        <v>2</v>
      </c>
      <c r="O29" s="208">
        <v>2</v>
      </c>
      <c r="P29" s="208">
        <v>0</v>
      </c>
      <c r="Q29" s="208">
        <v>1</v>
      </c>
      <c r="R29" s="208">
        <v>17</v>
      </c>
      <c r="S29" s="208"/>
      <c r="T29" s="208"/>
      <c r="U29" s="208">
        <v>0</v>
      </c>
      <c r="V29" s="210">
        <v>0</v>
      </c>
      <c r="W29" s="211">
        <v>0</v>
      </c>
      <c r="X29" s="211">
        <v>1</v>
      </c>
      <c r="Y29" s="211">
        <v>0</v>
      </c>
      <c r="Z29" s="211">
        <v>0</v>
      </c>
      <c r="AA29" s="211">
        <v>1</v>
      </c>
      <c r="AB29" s="212">
        <v>6</v>
      </c>
      <c r="AC29" s="211">
        <v>7</v>
      </c>
      <c r="AD29" s="211">
        <v>6</v>
      </c>
      <c r="AE29" s="211">
        <v>6</v>
      </c>
      <c r="AF29" s="211">
        <v>4</v>
      </c>
      <c r="AG29" s="211">
        <v>7</v>
      </c>
      <c r="AH29" s="211">
        <v>0</v>
      </c>
      <c r="AI29" s="211">
        <v>0</v>
      </c>
      <c r="AJ29" s="211">
        <v>28</v>
      </c>
      <c r="AK29" s="211"/>
      <c r="AL29" s="211"/>
      <c r="AM29" s="213" t="s">
        <v>415</v>
      </c>
      <c r="AN29" s="214">
        <v>4</v>
      </c>
      <c r="AO29" s="214">
        <v>2</v>
      </c>
      <c r="AP29" s="214">
        <v>2</v>
      </c>
      <c r="AQ29" s="214">
        <v>0</v>
      </c>
      <c r="AR29" s="214">
        <v>0</v>
      </c>
      <c r="AS29" s="214">
        <v>0</v>
      </c>
      <c r="AT29" s="214">
        <v>1</v>
      </c>
      <c r="AU29" s="214">
        <v>0</v>
      </c>
      <c r="AV29" s="215">
        <v>2</v>
      </c>
      <c r="AW29" s="213" t="s">
        <v>463</v>
      </c>
      <c r="AX29" s="214">
        <v>4</v>
      </c>
      <c r="AY29" s="214">
        <v>1</v>
      </c>
      <c r="AZ29" s="214">
        <v>1</v>
      </c>
      <c r="BA29" s="214">
        <v>0</v>
      </c>
      <c r="BB29" s="214">
        <v>0</v>
      </c>
      <c r="BC29" s="214">
        <v>3</v>
      </c>
      <c r="BD29" s="214">
        <v>0</v>
      </c>
      <c r="BE29" s="214">
        <v>0</v>
      </c>
      <c r="BF29" s="215">
        <v>1</v>
      </c>
      <c r="BG29" s="213" t="s">
        <v>457</v>
      </c>
      <c r="BH29" s="214">
        <v>4</v>
      </c>
      <c r="BI29" s="214">
        <v>1</v>
      </c>
      <c r="BJ29" s="214">
        <v>1</v>
      </c>
      <c r="BK29" s="214">
        <v>1</v>
      </c>
      <c r="BL29" s="214">
        <v>1</v>
      </c>
      <c r="BM29" s="214">
        <v>0</v>
      </c>
      <c r="BN29" s="214">
        <v>0</v>
      </c>
      <c r="BO29" s="214">
        <v>0</v>
      </c>
      <c r="BP29" s="215">
        <v>1</v>
      </c>
      <c r="BQ29" s="213" t="s">
        <v>458</v>
      </c>
      <c r="BR29" s="214">
        <v>4</v>
      </c>
      <c r="BS29" s="214">
        <v>1</v>
      </c>
      <c r="BT29" s="214">
        <v>2</v>
      </c>
      <c r="BU29" s="214">
        <v>4</v>
      </c>
      <c r="BV29" s="214">
        <v>0</v>
      </c>
      <c r="BW29" s="214">
        <v>1</v>
      </c>
      <c r="BX29" s="214">
        <v>0</v>
      </c>
      <c r="BY29" s="214">
        <v>0</v>
      </c>
      <c r="BZ29" s="215">
        <v>5</v>
      </c>
      <c r="CA29" s="213" t="s">
        <v>460</v>
      </c>
      <c r="CB29" s="214">
        <v>3</v>
      </c>
      <c r="CC29" s="214">
        <v>0</v>
      </c>
      <c r="CD29" s="214">
        <v>0</v>
      </c>
      <c r="CE29" s="214">
        <v>0</v>
      </c>
      <c r="CF29" s="214">
        <v>1</v>
      </c>
      <c r="CG29" s="214">
        <v>1</v>
      </c>
      <c r="CH29" s="214">
        <v>0</v>
      </c>
      <c r="CI29" s="214">
        <v>0</v>
      </c>
      <c r="CJ29" s="215">
        <v>0</v>
      </c>
      <c r="CK29" s="213" t="s">
        <v>313</v>
      </c>
      <c r="CL29" s="214">
        <v>4</v>
      </c>
      <c r="CM29" s="214">
        <v>0</v>
      </c>
      <c r="CN29" s="214">
        <v>1</v>
      </c>
      <c r="CO29" s="214">
        <v>0</v>
      </c>
      <c r="CP29" s="214">
        <v>0</v>
      </c>
      <c r="CQ29" s="214">
        <v>1</v>
      </c>
      <c r="CR29" s="214">
        <v>0</v>
      </c>
      <c r="CS29" s="214">
        <v>0</v>
      </c>
      <c r="CT29" s="215">
        <v>1</v>
      </c>
      <c r="CU29" s="213" t="s">
        <v>461</v>
      </c>
      <c r="CV29" s="214">
        <v>4</v>
      </c>
      <c r="CW29" s="214">
        <v>0</v>
      </c>
      <c r="CX29" s="214">
        <v>1</v>
      </c>
      <c r="CY29" s="214">
        <v>0</v>
      </c>
      <c r="CZ29" s="214">
        <v>0</v>
      </c>
      <c r="DA29" s="214">
        <v>3</v>
      </c>
      <c r="DB29" s="214">
        <v>0</v>
      </c>
      <c r="DC29" s="214">
        <v>0</v>
      </c>
      <c r="DD29" s="215">
        <v>1</v>
      </c>
      <c r="DE29" s="213" t="s">
        <v>578</v>
      </c>
      <c r="DF29" s="214">
        <v>4</v>
      </c>
      <c r="DG29" s="214">
        <v>1</v>
      </c>
      <c r="DH29" s="214">
        <v>1</v>
      </c>
      <c r="DI29" s="214">
        <v>0</v>
      </c>
      <c r="DJ29" s="214">
        <v>0</v>
      </c>
      <c r="DK29" s="214">
        <v>1</v>
      </c>
      <c r="DL29" s="214">
        <v>0</v>
      </c>
      <c r="DM29" s="214">
        <v>0</v>
      </c>
      <c r="DN29" s="215">
        <v>2</v>
      </c>
      <c r="DO29" s="213" t="s">
        <v>314</v>
      </c>
      <c r="DP29" s="214">
        <v>3</v>
      </c>
      <c r="DQ29" s="214">
        <v>1</v>
      </c>
      <c r="DR29" s="214">
        <v>1</v>
      </c>
      <c r="DS29" s="214">
        <v>1</v>
      </c>
      <c r="DT29" s="214">
        <v>1</v>
      </c>
      <c r="DU29" s="214">
        <v>0</v>
      </c>
      <c r="DV29" s="214">
        <v>0</v>
      </c>
      <c r="DW29" s="214">
        <v>0</v>
      </c>
      <c r="DX29" s="215">
        <v>1</v>
      </c>
      <c r="DY29" s="216">
        <v>0</v>
      </c>
      <c r="DZ29" s="217">
        <v>0</v>
      </c>
      <c r="EA29" s="217">
        <v>0</v>
      </c>
      <c r="EB29" s="218">
        <v>9</v>
      </c>
      <c r="EC29" s="217">
        <v>1</v>
      </c>
      <c r="ED29" s="219">
        <v>0</v>
      </c>
      <c r="EE29" s="220">
        <v>3</v>
      </c>
      <c r="EF29" s="217">
        <v>0</v>
      </c>
      <c r="EG29" s="217">
        <v>0</v>
      </c>
      <c r="EH29" s="217">
        <v>0</v>
      </c>
      <c r="EI29" s="217">
        <v>0</v>
      </c>
      <c r="EJ29" s="217">
        <v>0</v>
      </c>
      <c r="EK29" s="217">
        <v>4</v>
      </c>
      <c r="EL29" s="217">
        <v>0</v>
      </c>
      <c r="EM29" s="217">
        <v>0</v>
      </c>
      <c r="EN29" s="217"/>
      <c r="EO29" s="217"/>
      <c r="EP29" s="217"/>
      <c r="EQ29" s="217"/>
      <c r="ER29" s="217"/>
      <c r="ES29" s="217"/>
      <c r="ET29" s="219">
        <f t="shared" si="10"/>
        <v>7</v>
      </c>
      <c r="EU29" s="217">
        <v>2</v>
      </c>
      <c r="EV29" s="217">
        <v>1</v>
      </c>
      <c r="EW29" s="217">
        <v>1</v>
      </c>
      <c r="EX29" s="217">
        <v>0</v>
      </c>
      <c r="EY29" s="217">
        <v>0</v>
      </c>
      <c r="EZ29" s="217">
        <v>2</v>
      </c>
      <c r="FA29" s="217">
        <v>0</v>
      </c>
      <c r="FB29" s="217">
        <v>0</v>
      </c>
      <c r="FC29" s="217">
        <v>4</v>
      </c>
      <c r="FD29" s="217"/>
      <c r="FE29" s="217"/>
      <c r="FF29" s="217"/>
      <c r="FG29" s="217"/>
      <c r="FH29" s="217"/>
      <c r="FI29" s="217"/>
      <c r="FJ29" s="217">
        <f t="shared" si="11"/>
        <v>10</v>
      </c>
      <c r="FK29" s="221">
        <f t="shared" si="12"/>
        <v>0</v>
      </c>
      <c r="FL29" s="221">
        <f t="shared" si="13"/>
        <v>0</v>
      </c>
      <c r="FM29" s="222"/>
    </row>
    <row r="30" spans="1:169" x14ac:dyDescent="0.25">
      <c r="A30" s="204">
        <v>40380</v>
      </c>
      <c r="B30" s="204" t="s">
        <v>133</v>
      </c>
      <c r="C30" s="204" t="s">
        <v>129</v>
      </c>
      <c r="D30" s="204" t="s">
        <v>322</v>
      </c>
      <c r="E30" s="205"/>
      <c r="F30" s="206"/>
      <c r="G30" s="207" t="s">
        <v>316</v>
      </c>
      <c r="H30" s="208">
        <v>0</v>
      </c>
      <c r="I30" s="208">
        <v>0</v>
      </c>
      <c r="J30" s="209">
        <v>3</v>
      </c>
      <c r="K30" s="208">
        <v>4</v>
      </c>
      <c r="L30" s="208">
        <v>4</v>
      </c>
      <c r="M30" s="208">
        <v>3</v>
      </c>
      <c r="N30" s="208">
        <v>1</v>
      </c>
      <c r="O30" s="208">
        <v>1</v>
      </c>
      <c r="P30" s="208">
        <v>1</v>
      </c>
      <c r="Q30" s="208">
        <v>2</v>
      </c>
      <c r="R30" s="208">
        <v>16</v>
      </c>
      <c r="S30" s="208"/>
      <c r="T30" s="208"/>
      <c r="U30" s="208">
        <v>0</v>
      </c>
      <c r="V30" s="210">
        <v>0</v>
      </c>
      <c r="W30" s="211">
        <v>1</v>
      </c>
      <c r="X30" s="211">
        <v>0</v>
      </c>
      <c r="Y30" s="211">
        <v>0</v>
      </c>
      <c r="Z30" s="211">
        <v>0</v>
      </c>
      <c r="AA30" s="211">
        <v>0</v>
      </c>
      <c r="AB30" s="212">
        <v>6</v>
      </c>
      <c r="AC30" s="211">
        <v>4</v>
      </c>
      <c r="AD30" s="211">
        <v>0</v>
      </c>
      <c r="AE30" s="211">
        <v>0</v>
      </c>
      <c r="AF30" s="211">
        <v>0</v>
      </c>
      <c r="AG30" s="211">
        <v>6</v>
      </c>
      <c r="AH30" s="211">
        <v>0</v>
      </c>
      <c r="AI30" s="211">
        <v>0</v>
      </c>
      <c r="AJ30" s="211">
        <v>22</v>
      </c>
      <c r="AK30" s="211"/>
      <c r="AL30" s="211"/>
      <c r="AM30" s="213" t="s">
        <v>560</v>
      </c>
      <c r="AN30" s="214">
        <v>4</v>
      </c>
      <c r="AO30" s="214">
        <v>2</v>
      </c>
      <c r="AP30" s="214">
        <v>3</v>
      </c>
      <c r="AQ30" s="214">
        <v>2</v>
      </c>
      <c r="AR30" s="214">
        <v>1</v>
      </c>
      <c r="AS30" s="214">
        <v>0</v>
      </c>
      <c r="AT30" s="214">
        <v>0</v>
      </c>
      <c r="AU30" s="214">
        <v>0</v>
      </c>
      <c r="AV30" s="215">
        <v>5</v>
      </c>
      <c r="AW30" s="213" t="s">
        <v>454</v>
      </c>
      <c r="AX30" s="214">
        <v>3</v>
      </c>
      <c r="AY30" s="214">
        <v>1</v>
      </c>
      <c r="AZ30" s="214">
        <v>1</v>
      </c>
      <c r="BA30" s="214">
        <v>1</v>
      </c>
      <c r="BB30" s="214">
        <v>0</v>
      </c>
      <c r="BC30" s="214">
        <v>2</v>
      </c>
      <c r="BD30" s="214">
        <v>0</v>
      </c>
      <c r="BE30" s="214">
        <v>0</v>
      </c>
      <c r="BF30" s="215">
        <v>1</v>
      </c>
      <c r="BG30" s="213" t="s">
        <v>415</v>
      </c>
      <c r="BH30" s="214">
        <v>5</v>
      </c>
      <c r="BI30" s="214">
        <v>0</v>
      </c>
      <c r="BJ30" s="214">
        <v>2</v>
      </c>
      <c r="BK30" s="214">
        <v>1</v>
      </c>
      <c r="BL30" s="214">
        <v>0</v>
      </c>
      <c r="BM30" s="214">
        <v>0</v>
      </c>
      <c r="BN30" s="214">
        <v>0</v>
      </c>
      <c r="BO30" s="214">
        <v>0</v>
      </c>
      <c r="BP30" s="215">
        <v>2</v>
      </c>
      <c r="BQ30" s="213" t="s">
        <v>458</v>
      </c>
      <c r="BR30" s="214">
        <v>5</v>
      </c>
      <c r="BS30" s="214">
        <v>0</v>
      </c>
      <c r="BT30" s="214">
        <v>1</v>
      </c>
      <c r="BU30" s="214">
        <v>0</v>
      </c>
      <c r="BV30" s="214">
        <v>0</v>
      </c>
      <c r="BW30" s="214">
        <v>1</v>
      </c>
      <c r="BX30" s="214">
        <v>0</v>
      </c>
      <c r="BY30" s="214">
        <v>0</v>
      </c>
      <c r="BZ30" s="215">
        <v>1</v>
      </c>
      <c r="CA30" s="213" t="s">
        <v>315</v>
      </c>
      <c r="CB30" s="214">
        <v>4</v>
      </c>
      <c r="CC30" s="214">
        <v>0</v>
      </c>
      <c r="CD30" s="214">
        <v>1</v>
      </c>
      <c r="CE30" s="214">
        <v>0</v>
      </c>
      <c r="CF30" s="214">
        <v>0</v>
      </c>
      <c r="CG30" s="214">
        <v>1</v>
      </c>
      <c r="CH30" s="214">
        <v>0</v>
      </c>
      <c r="CI30" s="214">
        <v>0</v>
      </c>
      <c r="CJ30" s="215">
        <v>1</v>
      </c>
      <c r="CK30" s="213" t="s">
        <v>313</v>
      </c>
      <c r="CL30" s="214">
        <v>4</v>
      </c>
      <c r="CM30" s="214">
        <v>1</v>
      </c>
      <c r="CN30" s="214">
        <v>1</v>
      </c>
      <c r="CO30" s="214">
        <v>0</v>
      </c>
      <c r="CP30" s="214">
        <v>0</v>
      </c>
      <c r="CQ30" s="214">
        <v>0</v>
      </c>
      <c r="CR30" s="214">
        <v>0</v>
      </c>
      <c r="CS30" s="214">
        <v>0</v>
      </c>
      <c r="CT30" s="215">
        <v>1</v>
      </c>
      <c r="CU30" s="213" t="s">
        <v>557</v>
      </c>
      <c r="CV30" s="214">
        <v>4</v>
      </c>
      <c r="CW30" s="214">
        <v>0</v>
      </c>
      <c r="CX30" s="214">
        <v>0</v>
      </c>
      <c r="CY30" s="214">
        <v>0</v>
      </c>
      <c r="CZ30" s="214">
        <v>0</v>
      </c>
      <c r="DA30" s="214">
        <v>1</v>
      </c>
      <c r="DB30" s="214">
        <v>0</v>
      </c>
      <c r="DC30" s="214">
        <v>0</v>
      </c>
      <c r="DD30" s="215">
        <v>0</v>
      </c>
      <c r="DE30" s="213" t="s">
        <v>320</v>
      </c>
      <c r="DF30" s="214">
        <v>2</v>
      </c>
      <c r="DG30" s="214">
        <v>2</v>
      </c>
      <c r="DH30" s="214">
        <v>1</v>
      </c>
      <c r="DI30" s="214">
        <v>0</v>
      </c>
      <c r="DJ30" s="214">
        <v>1</v>
      </c>
      <c r="DK30" s="214">
        <v>0</v>
      </c>
      <c r="DL30" s="214">
        <v>1</v>
      </c>
      <c r="DM30" s="214">
        <v>0</v>
      </c>
      <c r="DN30" s="215">
        <v>2</v>
      </c>
      <c r="DO30" s="213" t="s">
        <v>463</v>
      </c>
      <c r="DP30" s="214">
        <v>4</v>
      </c>
      <c r="DQ30" s="214">
        <v>1</v>
      </c>
      <c r="DR30" s="214">
        <v>2</v>
      </c>
      <c r="DS30" s="214">
        <v>1</v>
      </c>
      <c r="DT30" s="214">
        <v>0</v>
      </c>
      <c r="DU30" s="214">
        <v>0</v>
      </c>
      <c r="DV30" s="214">
        <v>0</v>
      </c>
      <c r="DW30" s="214">
        <v>0</v>
      </c>
      <c r="DX30" s="215">
        <v>2</v>
      </c>
      <c r="DY30" s="216">
        <v>2</v>
      </c>
      <c r="DZ30" s="217">
        <v>0</v>
      </c>
      <c r="EA30" s="217">
        <v>0</v>
      </c>
      <c r="EB30" s="218">
        <v>7</v>
      </c>
      <c r="EC30" s="217">
        <v>2</v>
      </c>
      <c r="ED30" s="219">
        <v>2</v>
      </c>
      <c r="EE30" s="220">
        <v>0</v>
      </c>
      <c r="EF30" s="217">
        <v>3</v>
      </c>
      <c r="EG30" s="217">
        <v>0</v>
      </c>
      <c r="EH30" s="217">
        <v>3</v>
      </c>
      <c r="EI30" s="217">
        <v>0</v>
      </c>
      <c r="EJ30" s="217">
        <v>0</v>
      </c>
      <c r="EK30" s="217">
        <v>0</v>
      </c>
      <c r="EL30" s="217">
        <v>0</v>
      </c>
      <c r="EM30" s="217">
        <v>1</v>
      </c>
      <c r="EN30" s="217"/>
      <c r="EO30" s="217"/>
      <c r="EP30" s="217"/>
      <c r="EQ30" s="217"/>
      <c r="ER30" s="217"/>
      <c r="ES30" s="217"/>
      <c r="ET30" s="219">
        <f t="shared" si="10"/>
        <v>7</v>
      </c>
      <c r="EU30" s="217">
        <v>1</v>
      </c>
      <c r="EV30" s="217">
        <v>1</v>
      </c>
      <c r="EW30" s="217">
        <v>2</v>
      </c>
      <c r="EX30" s="217">
        <v>0</v>
      </c>
      <c r="EY30" s="217">
        <v>0</v>
      </c>
      <c r="EZ30" s="217">
        <v>0</v>
      </c>
      <c r="FA30" s="217">
        <v>0</v>
      </c>
      <c r="FB30" s="217">
        <v>0</v>
      </c>
      <c r="FC30" s="217">
        <v>0</v>
      </c>
      <c r="FD30" s="217"/>
      <c r="FE30" s="217"/>
      <c r="FF30" s="217"/>
      <c r="FG30" s="217"/>
      <c r="FH30" s="217"/>
      <c r="FI30" s="217"/>
      <c r="FJ30" s="217">
        <f t="shared" si="11"/>
        <v>4</v>
      </c>
      <c r="FK30" s="221">
        <f t="shared" si="12"/>
        <v>0</v>
      </c>
      <c r="FL30" s="221">
        <f t="shared" si="13"/>
        <v>0</v>
      </c>
      <c r="FM30" s="222"/>
    </row>
    <row r="31" spans="1:169" x14ac:dyDescent="0.25">
      <c r="A31" s="53">
        <v>40381</v>
      </c>
      <c r="B31" s="53" t="s">
        <v>19</v>
      </c>
      <c r="C31" s="53" t="s">
        <v>129</v>
      </c>
      <c r="D31" s="53" t="s">
        <v>322</v>
      </c>
      <c r="E31" s="54"/>
      <c r="F31" s="58"/>
      <c r="G31" s="59" t="s">
        <v>323</v>
      </c>
      <c r="H31" s="6">
        <v>1</v>
      </c>
      <c r="I31" s="6">
        <v>0</v>
      </c>
      <c r="J31" s="60">
        <v>5</v>
      </c>
      <c r="K31" s="6">
        <v>6</v>
      </c>
      <c r="L31" s="6">
        <v>2</v>
      </c>
      <c r="M31" s="6">
        <v>2</v>
      </c>
      <c r="N31" s="6">
        <v>1</v>
      </c>
      <c r="O31" s="6">
        <v>1</v>
      </c>
      <c r="P31" s="6">
        <v>1</v>
      </c>
      <c r="Q31" s="6">
        <v>0</v>
      </c>
      <c r="R31" s="6">
        <v>19</v>
      </c>
      <c r="S31" s="6"/>
      <c r="T31" s="6"/>
      <c r="U31" s="6">
        <v>0</v>
      </c>
      <c r="V31" s="61">
        <v>0</v>
      </c>
      <c r="W31" s="62">
        <v>0</v>
      </c>
      <c r="X31" s="62">
        <v>0</v>
      </c>
      <c r="Y31" s="62">
        <v>2</v>
      </c>
      <c r="Z31" s="62">
        <v>0</v>
      </c>
      <c r="AA31" s="62">
        <v>0</v>
      </c>
      <c r="AB31" s="63">
        <v>4</v>
      </c>
      <c r="AC31" s="62">
        <v>3</v>
      </c>
      <c r="AD31" s="62">
        <v>2</v>
      </c>
      <c r="AE31" s="62">
        <v>0</v>
      </c>
      <c r="AF31" s="62">
        <v>3</v>
      </c>
      <c r="AG31" s="62">
        <v>3</v>
      </c>
      <c r="AH31" s="62">
        <v>0</v>
      </c>
      <c r="AI31" s="62">
        <v>0</v>
      </c>
      <c r="AJ31" s="62">
        <v>19</v>
      </c>
      <c r="AK31" s="62"/>
      <c r="AL31" s="62"/>
      <c r="AM31" s="1" t="s">
        <v>454</v>
      </c>
      <c r="AN31" s="78">
        <v>3</v>
      </c>
      <c r="AO31" s="78">
        <v>1</v>
      </c>
      <c r="AP31" s="78">
        <v>1</v>
      </c>
      <c r="AQ31" s="78">
        <v>1</v>
      </c>
      <c r="AR31" s="78">
        <v>0</v>
      </c>
      <c r="AS31" s="78">
        <v>1</v>
      </c>
      <c r="AT31" s="78">
        <v>0</v>
      </c>
      <c r="AU31" s="78">
        <v>1</v>
      </c>
      <c r="AV31" s="76">
        <v>3</v>
      </c>
      <c r="AW31" s="1" t="s">
        <v>462</v>
      </c>
      <c r="AX31" s="78">
        <v>4</v>
      </c>
      <c r="AY31" s="78">
        <v>0</v>
      </c>
      <c r="AZ31" s="78">
        <v>1</v>
      </c>
      <c r="BA31" s="78">
        <v>2</v>
      </c>
      <c r="BB31" s="78">
        <v>0</v>
      </c>
      <c r="BC31" s="78">
        <v>0</v>
      </c>
      <c r="BD31" s="78">
        <v>1</v>
      </c>
      <c r="BE31" s="78">
        <v>0</v>
      </c>
      <c r="BF31" s="76">
        <v>1</v>
      </c>
      <c r="BG31" s="1" t="s">
        <v>457</v>
      </c>
      <c r="BH31" s="78">
        <v>5</v>
      </c>
      <c r="BI31" s="78">
        <v>1</v>
      </c>
      <c r="BJ31" s="78">
        <v>1</v>
      </c>
      <c r="BK31" s="78">
        <v>1</v>
      </c>
      <c r="BL31" s="78">
        <v>0</v>
      </c>
      <c r="BM31" s="78">
        <v>2</v>
      </c>
      <c r="BN31" s="78">
        <v>0</v>
      </c>
      <c r="BO31" s="78">
        <v>0</v>
      </c>
      <c r="BP31" s="76">
        <v>1</v>
      </c>
      <c r="BQ31" s="1" t="s">
        <v>458</v>
      </c>
      <c r="BR31" s="78">
        <v>4</v>
      </c>
      <c r="BS31" s="78">
        <v>1</v>
      </c>
      <c r="BT31" s="78">
        <v>2</v>
      </c>
      <c r="BU31" s="78">
        <v>0</v>
      </c>
      <c r="BV31" s="78">
        <v>1</v>
      </c>
      <c r="BW31" s="78">
        <v>2</v>
      </c>
      <c r="BX31" s="78">
        <v>0</v>
      </c>
      <c r="BY31" s="78">
        <v>0</v>
      </c>
      <c r="BZ31" s="76">
        <v>3</v>
      </c>
      <c r="CA31" s="1" t="s">
        <v>319</v>
      </c>
      <c r="CB31" s="78">
        <v>4</v>
      </c>
      <c r="CC31" s="78">
        <v>0</v>
      </c>
      <c r="CD31" s="78">
        <v>0</v>
      </c>
      <c r="CE31" s="78">
        <v>0</v>
      </c>
      <c r="CF31" s="78">
        <v>0</v>
      </c>
      <c r="CG31" s="78">
        <v>1</v>
      </c>
      <c r="CH31" s="78">
        <v>0</v>
      </c>
      <c r="CI31" s="78">
        <v>0</v>
      </c>
      <c r="CJ31" s="76">
        <v>0</v>
      </c>
      <c r="CK31" s="1" t="s">
        <v>557</v>
      </c>
      <c r="CL31" s="78">
        <v>3</v>
      </c>
      <c r="CM31" s="78">
        <v>0</v>
      </c>
      <c r="CN31" s="78">
        <v>0</v>
      </c>
      <c r="CO31" s="78">
        <v>1</v>
      </c>
      <c r="CP31" s="78">
        <v>0</v>
      </c>
      <c r="CQ31" s="78">
        <v>1</v>
      </c>
      <c r="CR31" s="78">
        <v>0</v>
      </c>
      <c r="CS31" s="78">
        <v>1</v>
      </c>
      <c r="CT31" s="76">
        <v>0</v>
      </c>
      <c r="CU31" s="1" t="s">
        <v>460</v>
      </c>
      <c r="CV31" s="78">
        <v>1</v>
      </c>
      <c r="CW31" s="78">
        <v>1</v>
      </c>
      <c r="CX31" s="78">
        <v>0</v>
      </c>
      <c r="CY31" s="78">
        <v>0</v>
      </c>
      <c r="CZ31" s="78">
        <v>2</v>
      </c>
      <c r="DA31" s="78">
        <v>1</v>
      </c>
      <c r="DB31" s="78">
        <v>1</v>
      </c>
      <c r="DC31" s="78">
        <v>0</v>
      </c>
      <c r="DD31" s="76">
        <v>0</v>
      </c>
      <c r="DE31" s="1" t="s">
        <v>320</v>
      </c>
      <c r="DF31" s="78">
        <v>2</v>
      </c>
      <c r="DG31" s="78">
        <v>2</v>
      </c>
      <c r="DH31" s="78">
        <v>0</v>
      </c>
      <c r="DI31" s="78">
        <v>0</v>
      </c>
      <c r="DJ31" s="78">
        <v>2</v>
      </c>
      <c r="DK31" s="78">
        <v>0</v>
      </c>
      <c r="DL31" s="78">
        <v>0</v>
      </c>
      <c r="DM31" s="78">
        <v>0</v>
      </c>
      <c r="DN31" s="76">
        <v>0</v>
      </c>
      <c r="DO31" s="1" t="s">
        <v>314</v>
      </c>
      <c r="DP31" s="78">
        <v>1</v>
      </c>
      <c r="DQ31" s="78">
        <v>0</v>
      </c>
      <c r="DR31" s="78">
        <v>0</v>
      </c>
      <c r="DS31" s="78">
        <v>0</v>
      </c>
      <c r="DT31" s="78">
        <v>1</v>
      </c>
      <c r="DU31" s="78">
        <v>0</v>
      </c>
      <c r="DV31" s="78">
        <v>1</v>
      </c>
      <c r="DW31" s="78">
        <v>0</v>
      </c>
      <c r="DX31" s="76">
        <v>0</v>
      </c>
      <c r="DY31" s="77">
        <v>0</v>
      </c>
      <c r="DZ31" s="43">
        <v>0</v>
      </c>
      <c r="EA31" s="43">
        <v>0</v>
      </c>
      <c r="EB31" s="45">
        <v>8</v>
      </c>
      <c r="EC31" s="43">
        <v>0</v>
      </c>
      <c r="ED31" s="44">
        <v>0</v>
      </c>
      <c r="EE31" s="71">
        <v>0</v>
      </c>
      <c r="EF31" s="43">
        <v>0</v>
      </c>
      <c r="EG31" s="43">
        <v>1</v>
      </c>
      <c r="EH31" s="43">
        <v>2</v>
      </c>
      <c r="EI31" s="43">
        <v>0</v>
      </c>
      <c r="EJ31" s="43">
        <v>0</v>
      </c>
      <c r="EK31" s="43">
        <v>1</v>
      </c>
      <c r="EL31" s="43">
        <v>2</v>
      </c>
      <c r="EM31" s="43"/>
      <c r="EN31" s="43"/>
      <c r="EO31" s="43"/>
      <c r="EP31" s="43"/>
      <c r="EQ31" s="43"/>
      <c r="ER31" s="43"/>
      <c r="ES31" s="43"/>
      <c r="ET31" s="44">
        <f t="shared" si="10"/>
        <v>6</v>
      </c>
      <c r="EU31" s="43">
        <v>1</v>
      </c>
      <c r="EV31" s="43">
        <v>1</v>
      </c>
      <c r="EW31" s="43">
        <v>0</v>
      </c>
      <c r="EX31" s="43">
        <v>0</v>
      </c>
      <c r="EY31" s="43">
        <v>0</v>
      </c>
      <c r="EZ31" s="43">
        <v>0</v>
      </c>
      <c r="FA31" s="43">
        <v>0</v>
      </c>
      <c r="FB31" s="43">
        <v>0</v>
      </c>
      <c r="FC31" s="43">
        <v>2</v>
      </c>
      <c r="FD31" s="43"/>
      <c r="FE31" s="43"/>
      <c r="FF31" s="43"/>
      <c r="FG31" s="43"/>
      <c r="FH31" s="43"/>
      <c r="FI31" s="43"/>
      <c r="FJ31" s="43">
        <f t="shared" si="11"/>
        <v>4</v>
      </c>
      <c r="FK31" s="73">
        <f t="shared" si="12"/>
        <v>0</v>
      </c>
      <c r="FL31" s="73">
        <f t="shared" si="13"/>
        <v>0</v>
      </c>
      <c r="FM31" s="38" t="s">
        <v>629</v>
      </c>
    </row>
    <row r="32" spans="1:169" x14ac:dyDescent="0.25">
      <c r="A32" s="204">
        <v>40383</v>
      </c>
      <c r="B32" s="204" t="s">
        <v>133</v>
      </c>
      <c r="C32" s="204" t="s">
        <v>131</v>
      </c>
      <c r="D32" s="204" t="s">
        <v>317</v>
      </c>
      <c r="E32" s="205"/>
      <c r="F32" s="206"/>
      <c r="G32" s="207" t="s">
        <v>455</v>
      </c>
      <c r="H32" s="208">
        <v>0</v>
      </c>
      <c r="I32" s="208">
        <v>0</v>
      </c>
      <c r="J32" s="209">
        <v>4</v>
      </c>
      <c r="K32" s="208">
        <v>3</v>
      </c>
      <c r="L32" s="208">
        <v>2</v>
      </c>
      <c r="M32" s="208">
        <v>1</v>
      </c>
      <c r="N32" s="208">
        <v>1</v>
      </c>
      <c r="O32" s="208">
        <v>3</v>
      </c>
      <c r="P32" s="208">
        <v>0</v>
      </c>
      <c r="Q32" s="208">
        <v>0</v>
      </c>
      <c r="R32" s="208">
        <v>16</v>
      </c>
      <c r="S32" s="208"/>
      <c r="T32" s="208"/>
      <c r="U32" s="208">
        <v>0</v>
      </c>
      <c r="V32" s="210">
        <v>0</v>
      </c>
      <c r="W32" s="211">
        <v>0</v>
      </c>
      <c r="X32" s="211">
        <v>1</v>
      </c>
      <c r="Y32" s="211">
        <v>0</v>
      </c>
      <c r="Z32" s="211">
        <v>0</v>
      </c>
      <c r="AA32" s="211">
        <v>0</v>
      </c>
      <c r="AB32" s="212">
        <v>2</v>
      </c>
      <c r="AC32" s="211">
        <v>1</v>
      </c>
      <c r="AD32" s="211">
        <v>1</v>
      </c>
      <c r="AE32" s="211">
        <v>0</v>
      </c>
      <c r="AF32" s="211">
        <v>1</v>
      </c>
      <c r="AG32" s="211">
        <v>2</v>
      </c>
      <c r="AH32" s="211">
        <v>0</v>
      </c>
      <c r="AI32" s="211">
        <v>0</v>
      </c>
      <c r="AJ32" s="211">
        <v>8</v>
      </c>
      <c r="AK32" s="211"/>
      <c r="AL32" s="211"/>
      <c r="AM32" s="213" t="s">
        <v>560</v>
      </c>
      <c r="AN32" s="214">
        <v>3</v>
      </c>
      <c r="AO32" s="214">
        <v>1</v>
      </c>
      <c r="AP32" s="214">
        <v>2</v>
      </c>
      <c r="AQ32" s="214">
        <v>0</v>
      </c>
      <c r="AR32" s="214">
        <v>1</v>
      </c>
      <c r="AS32" s="214">
        <v>1</v>
      </c>
      <c r="AT32" s="214">
        <v>0</v>
      </c>
      <c r="AU32" s="214">
        <v>0</v>
      </c>
      <c r="AV32" s="215">
        <v>2</v>
      </c>
      <c r="AW32" s="213" t="s">
        <v>463</v>
      </c>
      <c r="AX32" s="214">
        <v>3</v>
      </c>
      <c r="AY32" s="214">
        <v>0</v>
      </c>
      <c r="AZ32" s="214">
        <v>1</v>
      </c>
      <c r="BA32" s="214">
        <v>1</v>
      </c>
      <c r="BB32" s="214">
        <v>1</v>
      </c>
      <c r="BC32" s="214">
        <v>0</v>
      </c>
      <c r="BD32" s="214">
        <v>0</v>
      </c>
      <c r="BE32" s="214">
        <v>0</v>
      </c>
      <c r="BF32" s="215">
        <v>1</v>
      </c>
      <c r="BG32" s="213" t="s">
        <v>457</v>
      </c>
      <c r="BH32" s="214">
        <v>3</v>
      </c>
      <c r="BI32" s="214">
        <v>0</v>
      </c>
      <c r="BJ32" s="214">
        <v>0</v>
      </c>
      <c r="BK32" s="214">
        <v>0</v>
      </c>
      <c r="BL32" s="214">
        <v>0</v>
      </c>
      <c r="BM32" s="214">
        <v>1</v>
      </c>
      <c r="BN32" s="214">
        <v>0</v>
      </c>
      <c r="BO32" s="214">
        <v>0</v>
      </c>
      <c r="BP32" s="215">
        <v>0</v>
      </c>
      <c r="BQ32" s="213" t="s">
        <v>458</v>
      </c>
      <c r="BR32" s="214">
        <v>4</v>
      </c>
      <c r="BS32" s="214">
        <v>0</v>
      </c>
      <c r="BT32" s="214">
        <v>0</v>
      </c>
      <c r="BU32" s="214">
        <v>0</v>
      </c>
      <c r="BV32" s="214">
        <v>0</v>
      </c>
      <c r="BW32" s="214">
        <v>0</v>
      </c>
      <c r="BX32" s="214">
        <v>0</v>
      </c>
      <c r="BY32" s="214">
        <v>0</v>
      </c>
      <c r="BZ32" s="215">
        <v>0</v>
      </c>
      <c r="CA32" s="213" t="s">
        <v>315</v>
      </c>
      <c r="CB32" s="214">
        <v>2</v>
      </c>
      <c r="CC32" s="214">
        <v>1</v>
      </c>
      <c r="CD32" s="214">
        <v>0</v>
      </c>
      <c r="CE32" s="214">
        <v>0</v>
      </c>
      <c r="CF32" s="214">
        <v>2</v>
      </c>
      <c r="CG32" s="214">
        <v>1</v>
      </c>
      <c r="CH32" s="214">
        <v>0</v>
      </c>
      <c r="CI32" s="214">
        <v>0</v>
      </c>
      <c r="CJ32" s="215">
        <v>0</v>
      </c>
      <c r="CK32" s="213" t="s">
        <v>313</v>
      </c>
      <c r="CL32" s="214">
        <v>3</v>
      </c>
      <c r="CM32" s="214">
        <v>0</v>
      </c>
      <c r="CN32" s="214">
        <v>1</v>
      </c>
      <c r="CO32" s="214">
        <v>0</v>
      </c>
      <c r="CP32" s="214">
        <v>1</v>
      </c>
      <c r="CQ32" s="214">
        <v>0</v>
      </c>
      <c r="CR32" s="214">
        <v>0</v>
      </c>
      <c r="CS32" s="214">
        <v>0</v>
      </c>
      <c r="CT32" s="215">
        <v>1</v>
      </c>
      <c r="CU32" s="213" t="s">
        <v>415</v>
      </c>
      <c r="CV32" s="214">
        <v>2</v>
      </c>
      <c r="CW32" s="214">
        <v>0</v>
      </c>
      <c r="CX32" s="214">
        <v>0</v>
      </c>
      <c r="CY32" s="214">
        <v>0</v>
      </c>
      <c r="CZ32" s="214">
        <v>1</v>
      </c>
      <c r="DA32" s="214">
        <v>2</v>
      </c>
      <c r="DB32" s="214">
        <v>0</v>
      </c>
      <c r="DC32" s="214">
        <v>0</v>
      </c>
      <c r="DD32" s="215">
        <v>0</v>
      </c>
      <c r="DE32" s="213" t="s">
        <v>320</v>
      </c>
      <c r="DF32" s="214">
        <v>2</v>
      </c>
      <c r="DG32" s="214">
        <v>0</v>
      </c>
      <c r="DH32" s="214">
        <v>0</v>
      </c>
      <c r="DI32" s="214">
        <v>1</v>
      </c>
      <c r="DJ32" s="214">
        <v>0</v>
      </c>
      <c r="DK32" s="214">
        <v>1</v>
      </c>
      <c r="DL32" s="214">
        <v>0</v>
      </c>
      <c r="DM32" s="214">
        <v>1</v>
      </c>
      <c r="DN32" s="215">
        <v>0</v>
      </c>
      <c r="DO32" s="213" t="s">
        <v>319</v>
      </c>
      <c r="DP32" s="214">
        <v>2</v>
      </c>
      <c r="DQ32" s="214">
        <v>0</v>
      </c>
      <c r="DR32" s="214">
        <v>0</v>
      </c>
      <c r="DS32" s="214">
        <v>0</v>
      </c>
      <c r="DT32" s="214">
        <v>1</v>
      </c>
      <c r="DU32" s="214">
        <v>1</v>
      </c>
      <c r="DV32" s="214">
        <v>0</v>
      </c>
      <c r="DW32" s="214">
        <v>0</v>
      </c>
      <c r="DX32" s="215">
        <v>0</v>
      </c>
      <c r="DY32" s="216">
        <v>6</v>
      </c>
      <c r="DZ32" s="217">
        <v>0</v>
      </c>
      <c r="EA32" s="217">
        <v>0</v>
      </c>
      <c r="EB32" s="218">
        <v>1</v>
      </c>
      <c r="EC32" s="217">
        <v>1</v>
      </c>
      <c r="ED32" s="219">
        <v>0</v>
      </c>
      <c r="EE32" s="220">
        <v>0</v>
      </c>
      <c r="EF32" s="217">
        <v>1</v>
      </c>
      <c r="EG32" s="217">
        <v>0</v>
      </c>
      <c r="EH32" s="217">
        <v>0</v>
      </c>
      <c r="EI32" s="217">
        <v>1</v>
      </c>
      <c r="EJ32" s="217">
        <v>0</v>
      </c>
      <c r="EK32" s="217">
        <v>0</v>
      </c>
      <c r="EL32" s="217"/>
      <c r="EM32" s="217"/>
      <c r="EN32" s="217"/>
      <c r="EO32" s="217"/>
      <c r="EP32" s="217"/>
      <c r="EQ32" s="217"/>
      <c r="ER32" s="217"/>
      <c r="ES32" s="217"/>
      <c r="ET32" s="219">
        <f t="shared" si="10"/>
        <v>2</v>
      </c>
      <c r="EU32" s="217">
        <v>0</v>
      </c>
      <c r="EV32" s="217">
        <v>0</v>
      </c>
      <c r="EW32" s="217">
        <v>2</v>
      </c>
      <c r="EX32" s="217">
        <v>0</v>
      </c>
      <c r="EY32" s="217">
        <v>0</v>
      </c>
      <c r="EZ32" s="217">
        <v>1</v>
      </c>
      <c r="FA32" s="217"/>
      <c r="FB32" s="217"/>
      <c r="FC32" s="217"/>
      <c r="FD32" s="217"/>
      <c r="FE32" s="217"/>
      <c r="FF32" s="217"/>
      <c r="FG32" s="217"/>
      <c r="FH32" s="217"/>
      <c r="FI32" s="217"/>
      <c r="FJ32" s="217">
        <f t="shared" si="11"/>
        <v>3</v>
      </c>
      <c r="FK32" s="221">
        <f t="shared" si="12"/>
        <v>0</v>
      </c>
      <c r="FL32" s="221">
        <f t="shared" si="13"/>
        <v>0</v>
      </c>
      <c r="FM32" s="222" t="s">
        <v>475</v>
      </c>
    </row>
    <row r="33" spans="1:169" x14ac:dyDescent="0.25">
      <c r="A33" s="204">
        <v>40383</v>
      </c>
      <c r="B33" s="204" t="s">
        <v>19</v>
      </c>
      <c r="C33" s="204" t="s">
        <v>131</v>
      </c>
      <c r="D33" s="204" t="s">
        <v>317</v>
      </c>
      <c r="E33" s="205"/>
      <c r="F33" s="206"/>
      <c r="G33" s="207" t="s">
        <v>325</v>
      </c>
      <c r="H33" s="208">
        <v>0</v>
      </c>
      <c r="I33" s="208">
        <v>1</v>
      </c>
      <c r="J33" s="209">
        <v>4</v>
      </c>
      <c r="K33" s="208">
        <v>5</v>
      </c>
      <c r="L33" s="208">
        <v>4</v>
      </c>
      <c r="M33" s="208">
        <v>4</v>
      </c>
      <c r="N33" s="208">
        <v>1</v>
      </c>
      <c r="O33" s="208">
        <v>5</v>
      </c>
      <c r="P33" s="208">
        <v>1</v>
      </c>
      <c r="Q33" s="208">
        <v>0</v>
      </c>
      <c r="R33" s="208">
        <v>17</v>
      </c>
      <c r="S33" s="208"/>
      <c r="T33" s="208"/>
      <c r="U33" s="208">
        <v>0</v>
      </c>
      <c r="V33" s="210">
        <v>0</v>
      </c>
      <c r="W33" s="211">
        <v>0</v>
      </c>
      <c r="X33" s="211">
        <v>0</v>
      </c>
      <c r="Y33" s="211">
        <v>0</v>
      </c>
      <c r="Z33" s="211">
        <v>0</v>
      </c>
      <c r="AA33" s="211">
        <v>0</v>
      </c>
      <c r="AB33" s="212">
        <v>3</v>
      </c>
      <c r="AC33" s="211">
        <v>5</v>
      </c>
      <c r="AD33" s="211">
        <v>5</v>
      </c>
      <c r="AE33" s="211">
        <v>5</v>
      </c>
      <c r="AF33" s="211">
        <v>2</v>
      </c>
      <c r="AG33" s="211">
        <v>5</v>
      </c>
      <c r="AH33" s="211">
        <v>0</v>
      </c>
      <c r="AI33" s="211">
        <v>1</v>
      </c>
      <c r="AJ33" s="211">
        <v>17</v>
      </c>
      <c r="AK33" s="211"/>
      <c r="AL33" s="211"/>
      <c r="AM33" s="213" t="s">
        <v>462</v>
      </c>
      <c r="AN33" s="214">
        <v>3</v>
      </c>
      <c r="AO33" s="214">
        <v>0</v>
      </c>
      <c r="AP33" s="214">
        <v>0</v>
      </c>
      <c r="AQ33" s="214">
        <v>0</v>
      </c>
      <c r="AR33" s="214">
        <v>0</v>
      </c>
      <c r="AS33" s="214">
        <v>0</v>
      </c>
      <c r="AT33" s="214">
        <v>0</v>
      </c>
      <c r="AU33" s="214">
        <v>0</v>
      </c>
      <c r="AV33" s="215">
        <v>0</v>
      </c>
      <c r="AW33" s="213" t="s">
        <v>454</v>
      </c>
      <c r="AX33" s="214">
        <v>3</v>
      </c>
      <c r="AY33" s="214">
        <v>0</v>
      </c>
      <c r="AZ33" s="214">
        <v>0</v>
      </c>
      <c r="BA33" s="214">
        <v>0</v>
      </c>
      <c r="BB33" s="214">
        <v>0</v>
      </c>
      <c r="BC33" s="214">
        <v>2</v>
      </c>
      <c r="BD33" s="214">
        <v>0</v>
      </c>
      <c r="BE33" s="214">
        <v>0</v>
      </c>
      <c r="BF33" s="215">
        <v>0</v>
      </c>
      <c r="BG33" s="213" t="s">
        <v>415</v>
      </c>
      <c r="BH33" s="214">
        <v>3</v>
      </c>
      <c r="BI33" s="214">
        <v>0</v>
      </c>
      <c r="BJ33" s="214">
        <v>0</v>
      </c>
      <c r="BK33" s="214">
        <v>0</v>
      </c>
      <c r="BL33" s="214">
        <v>0</v>
      </c>
      <c r="BM33" s="214">
        <v>0</v>
      </c>
      <c r="BN33" s="214">
        <v>0</v>
      </c>
      <c r="BO33" s="214">
        <v>0</v>
      </c>
      <c r="BP33" s="215">
        <v>0</v>
      </c>
      <c r="BQ33" s="213" t="s">
        <v>458</v>
      </c>
      <c r="BR33" s="214">
        <v>3</v>
      </c>
      <c r="BS33" s="214">
        <v>0</v>
      </c>
      <c r="BT33" s="214">
        <v>0</v>
      </c>
      <c r="BU33" s="214">
        <v>0</v>
      </c>
      <c r="BV33" s="214">
        <v>0</v>
      </c>
      <c r="BW33" s="214">
        <v>3</v>
      </c>
      <c r="BX33" s="214">
        <v>0</v>
      </c>
      <c r="BY33" s="214">
        <v>0</v>
      </c>
      <c r="BZ33" s="215">
        <v>0</v>
      </c>
      <c r="CA33" s="213" t="s">
        <v>315</v>
      </c>
      <c r="CB33" s="214">
        <v>2</v>
      </c>
      <c r="CC33" s="214">
        <v>0</v>
      </c>
      <c r="CD33" s="214">
        <v>1</v>
      </c>
      <c r="CE33" s="214">
        <v>0</v>
      </c>
      <c r="CF33" s="214">
        <v>0</v>
      </c>
      <c r="CG33" s="214">
        <v>0</v>
      </c>
      <c r="CH33" s="214">
        <v>0</v>
      </c>
      <c r="CI33" s="214">
        <v>0</v>
      </c>
      <c r="CJ33" s="215">
        <v>1</v>
      </c>
      <c r="CK33" s="213" t="s">
        <v>557</v>
      </c>
      <c r="CL33" s="214">
        <v>2</v>
      </c>
      <c r="CM33" s="214">
        <v>0</v>
      </c>
      <c r="CN33" s="214">
        <v>0</v>
      </c>
      <c r="CO33" s="214">
        <v>0</v>
      </c>
      <c r="CP33" s="214">
        <v>0</v>
      </c>
      <c r="CQ33" s="214">
        <v>0</v>
      </c>
      <c r="CR33" s="214">
        <v>0</v>
      </c>
      <c r="CS33" s="214">
        <v>0</v>
      </c>
      <c r="CT33" s="215">
        <v>0</v>
      </c>
      <c r="CU33" s="213" t="s">
        <v>461</v>
      </c>
      <c r="CV33" s="214">
        <v>2</v>
      </c>
      <c r="CW33" s="214">
        <v>0</v>
      </c>
      <c r="CX33" s="214">
        <v>0</v>
      </c>
      <c r="CY33" s="214">
        <v>0</v>
      </c>
      <c r="CZ33" s="214">
        <v>0</v>
      </c>
      <c r="DA33" s="214">
        <v>0</v>
      </c>
      <c r="DB33" s="214">
        <v>0</v>
      </c>
      <c r="DC33" s="214">
        <v>0</v>
      </c>
      <c r="DD33" s="215">
        <v>0</v>
      </c>
      <c r="DE33" s="213" t="s">
        <v>320</v>
      </c>
      <c r="DF33" s="214">
        <v>2</v>
      </c>
      <c r="DG33" s="214">
        <v>0</v>
      </c>
      <c r="DH33" s="214">
        <v>1</v>
      </c>
      <c r="DI33" s="214">
        <v>0</v>
      </c>
      <c r="DJ33" s="214">
        <v>0</v>
      </c>
      <c r="DK33" s="214">
        <v>0</v>
      </c>
      <c r="DL33" s="214">
        <v>0</v>
      </c>
      <c r="DM33" s="214">
        <v>0</v>
      </c>
      <c r="DN33" s="215">
        <v>1</v>
      </c>
      <c r="DO33" s="213" t="s">
        <v>314</v>
      </c>
      <c r="DP33" s="214">
        <v>2</v>
      </c>
      <c r="DQ33" s="214">
        <v>0</v>
      </c>
      <c r="DR33" s="214">
        <v>0</v>
      </c>
      <c r="DS33" s="214">
        <v>0</v>
      </c>
      <c r="DT33" s="214">
        <v>0</v>
      </c>
      <c r="DU33" s="214">
        <v>0</v>
      </c>
      <c r="DV33" s="214">
        <v>0</v>
      </c>
      <c r="DW33" s="214">
        <v>0</v>
      </c>
      <c r="DX33" s="215">
        <v>0</v>
      </c>
      <c r="DY33" s="216">
        <v>1</v>
      </c>
      <c r="DZ33" s="217">
        <v>0</v>
      </c>
      <c r="EA33" s="217">
        <v>0</v>
      </c>
      <c r="EB33" s="218">
        <v>6</v>
      </c>
      <c r="EC33" s="217">
        <v>0</v>
      </c>
      <c r="ED33" s="219">
        <v>0</v>
      </c>
      <c r="EE33" s="220">
        <v>0</v>
      </c>
      <c r="EF33" s="217">
        <v>0</v>
      </c>
      <c r="EG33" s="217">
        <v>0</v>
      </c>
      <c r="EH33" s="217">
        <v>0</v>
      </c>
      <c r="EI33" s="217">
        <v>0</v>
      </c>
      <c r="EJ33" s="217">
        <v>0</v>
      </c>
      <c r="EK33" s="217">
        <v>0</v>
      </c>
      <c r="EL33" s="217"/>
      <c r="EM33" s="217"/>
      <c r="EN33" s="217"/>
      <c r="EO33" s="217"/>
      <c r="EP33" s="217"/>
      <c r="EQ33" s="217"/>
      <c r="ER33" s="217"/>
      <c r="ES33" s="217"/>
      <c r="ET33" s="219">
        <f t="shared" si="10"/>
        <v>0</v>
      </c>
      <c r="EU33" s="217">
        <v>0</v>
      </c>
      <c r="EV33" s="217">
        <v>0</v>
      </c>
      <c r="EW33" s="217">
        <v>4</v>
      </c>
      <c r="EX33" s="217">
        <v>0</v>
      </c>
      <c r="EY33" s="217">
        <v>4</v>
      </c>
      <c r="EZ33" s="217">
        <v>0</v>
      </c>
      <c r="FA33" s="217">
        <v>1</v>
      </c>
      <c r="FB33" s="217"/>
      <c r="FC33" s="217"/>
      <c r="FD33" s="217"/>
      <c r="FE33" s="217"/>
      <c r="FF33" s="217"/>
      <c r="FG33" s="217"/>
      <c r="FH33" s="217"/>
      <c r="FI33" s="217"/>
      <c r="FJ33" s="217">
        <f t="shared" si="11"/>
        <v>9</v>
      </c>
      <c r="FK33" s="221">
        <f t="shared" si="12"/>
        <v>0</v>
      </c>
      <c r="FL33" s="221">
        <f t="shared" si="13"/>
        <v>0</v>
      </c>
      <c r="FM33" s="222"/>
    </row>
    <row r="34" spans="1:169" x14ac:dyDescent="0.25">
      <c r="A34" s="204">
        <v>40385</v>
      </c>
      <c r="B34" s="204" t="s">
        <v>19</v>
      </c>
      <c r="C34" s="204" t="s">
        <v>129</v>
      </c>
      <c r="D34" s="204" t="s">
        <v>324</v>
      </c>
      <c r="E34" s="205"/>
      <c r="F34" s="206"/>
      <c r="G34" s="207" t="s">
        <v>577</v>
      </c>
      <c r="H34" s="208">
        <v>1</v>
      </c>
      <c r="I34" s="208">
        <v>0</v>
      </c>
      <c r="J34" s="209">
        <v>5</v>
      </c>
      <c r="K34" s="208">
        <v>4</v>
      </c>
      <c r="L34" s="208">
        <v>0</v>
      </c>
      <c r="M34" s="208">
        <v>0</v>
      </c>
      <c r="N34" s="208">
        <v>0</v>
      </c>
      <c r="O34" s="208">
        <v>4</v>
      </c>
      <c r="P34" s="208">
        <v>0</v>
      </c>
      <c r="Q34" s="208">
        <v>0</v>
      </c>
      <c r="R34" s="208">
        <v>19</v>
      </c>
      <c r="S34" s="208"/>
      <c r="T34" s="208"/>
      <c r="U34" s="208">
        <v>3</v>
      </c>
      <c r="V34" s="210">
        <v>0</v>
      </c>
      <c r="W34" s="211">
        <v>0</v>
      </c>
      <c r="X34" s="211">
        <v>0</v>
      </c>
      <c r="Y34" s="211">
        <v>2</v>
      </c>
      <c r="Z34" s="211">
        <v>1</v>
      </c>
      <c r="AA34" s="211">
        <v>0</v>
      </c>
      <c r="AB34" s="212">
        <v>4</v>
      </c>
      <c r="AC34" s="211">
        <v>3</v>
      </c>
      <c r="AD34" s="211">
        <v>0</v>
      </c>
      <c r="AE34" s="211">
        <v>0</v>
      </c>
      <c r="AF34" s="211">
        <v>1</v>
      </c>
      <c r="AG34" s="211">
        <v>6</v>
      </c>
      <c r="AH34" s="211">
        <v>0</v>
      </c>
      <c r="AI34" s="211">
        <v>0</v>
      </c>
      <c r="AJ34" s="211">
        <v>16</v>
      </c>
      <c r="AK34" s="211"/>
      <c r="AL34" s="211"/>
      <c r="AM34" s="213" t="s">
        <v>560</v>
      </c>
      <c r="AN34" s="214">
        <v>4</v>
      </c>
      <c r="AO34" s="214">
        <v>0</v>
      </c>
      <c r="AP34" s="214">
        <v>1</v>
      </c>
      <c r="AQ34" s="214">
        <v>0</v>
      </c>
      <c r="AR34" s="214">
        <v>0</v>
      </c>
      <c r="AS34" s="214">
        <v>0</v>
      </c>
      <c r="AT34" s="214">
        <v>0</v>
      </c>
      <c r="AU34" s="214">
        <v>0</v>
      </c>
      <c r="AV34" s="215">
        <v>1</v>
      </c>
      <c r="AW34" s="213" t="s">
        <v>463</v>
      </c>
      <c r="AX34" s="214">
        <v>4</v>
      </c>
      <c r="AY34" s="214">
        <v>1</v>
      </c>
      <c r="AZ34" s="214">
        <v>2</v>
      </c>
      <c r="BA34" s="214">
        <v>1</v>
      </c>
      <c r="BB34" s="214">
        <v>0</v>
      </c>
      <c r="BC34" s="214">
        <v>0</v>
      </c>
      <c r="BD34" s="214">
        <v>0</v>
      </c>
      <c r="BE34" s="214">
        <v>0</v>
      </c>
      <c r="BF34" s="215">
        <v>2</v>
      </c>
      <c r="BG34" s="213" t="s">
        <v>457</v>
      </c>
      <c r="BH34" s="214">
        <v>4</v>
      </c>
      <c r="BI34" s="214">
        <v>1</v>
      </c>
      <c r="BJ34" s="214">
        <v>1</v>
      </c>
      <c r="BK34" s="214">
        <v>0</v>
      </c>
      <c r="BL34" s="214">
        <v>0</v>
      </c>
      <c r="BM34" s="214">
        <v>1</v>
      </c>
      <c r="BN34" s="214">
        <v>0</v>
      </c>
      <c r="BO34" s="214">
        <v>0</v>
      </c>
      <c r="BP34" s="215">
        <v>1</v>
      </c>
      <c r="BQ34" s="213" t="s">
        <v>458</v>
      </c>
      <c r="BR34" s="214">
        <v>3</v>
      </c>
      <c r="BS34" s="214">
        <v>0</v>
      </c>
      <c r="BT34" s="214">
        <v>2</v>
      </c>
      <c r="BU34" s="214">
        <v>1</v>
      </c>
      <c r="BV34" s="214">
        <v>1</v>
      </c>
      <c r="BW34" s="214">
        <v>0</v>
      </c>
      <c r="BX34" s="214">
        <v>0</v>
      </c>
      <c r="BY34" s="214">
        <v>0</v>
      </c>
      <c r="BZ34" s="215">
        <v>3</v>
      </c>
      <c r="CA34" s="213" t="s">
        <v>315</v>
      </c>
      <c r="CB34" s="214">
        <v>4</v>
      </c>
      <c r="CC34" s="214">
        <v>0</v>
      </c>
      <c r="CD34" s="214">
        <v>1</v>
      </c>
      <c r="CE34" s="214">
        <v>0</v>
      </c>
      <c r="CF34" s="214">
        <v>0</v>
      </c>
      <c r="CG34" s="214">
        <v>0</v>
      </c>
      <c r="CH34" s="214">
        <v>0</v>
      </c>
      <c r="CI34" s="214">
        <v>0</v>
      </c>
      <c r="CJ34" s="215">
        <v>1</v>
      </c>
      <c r="CK34" s="213" t="s">
        <v>313</v>
      </c>
      <c r="CL34" s="214">
        <v>4</v>
      </c>
      <c r="CM34" s="214">
        <v>0</v>
      </c>
      <c r="CN34" s="214">
        <v>0</v>
      </c>
      <c r="CO34" s="214">
        <v>0</v>
      </c>
      <c r="CP34" s="214">
        <v>0</v>
      </c>
      <c r="CQ34" s="214">
        <v>1</v>
      </c>
      <c r="CR34" s="214">
        <v>0</v>
      </c>
      <c r="CS34" s="214">
        <v>0</v>
      </c>
      <c r="CT34" s="215">
        <v>0</v>
      </c>
      <c r="CU34" s="213" t="s">
        <v>454</v>
      </c>
      <c r="CV34" s="214">
        <v>3</v>
      </c>
      <c r="CW34" s="214">
        <v>0</v>
      </c>
      <c r="CX34" s="214">
        <v>0</v>
      </c>
      <c r="CY34" s="214">
        <v>0</v>
      </c>
      <c r="CZ34" s="214">
        <v>1</v>
      </c>
      <c r="DA34" s="214">
        <v>2</v>
      </c>
      <c r="DB34" s="214">
        <v>0</v>
      </c>
      <c r="DC34" s="214">
        <v>0</v>
      </c>
      <c r="DD34" s="215">
        <v>0</v>
      </c>
      <c r="DE34" s="213" t="s">
        <v>320</v>
      </c>
      <c r="DF34" s="214">
        <v>4</v>
      </c>
      <c r="DG34" s="214">
        <v>0</v>
      </c>
      <c r="DH34" s="214">
        <v>0</v>
      </c>
      <c r="DI34" s="214">
        <v>0</v>
      </c>
      <c r="DJ34" s="214">
        <v>0</v>
      </c>
      <c r="DK34" s="214">
        <v>0</v>
      </c>
      <c r="DL34" s="214">
        <v>0</v>
      </c>
      <c r="DM34" s="214">
        <v>0</v>
      </c>
      <c r="DN34" s="215">
        <v>0</v>
      </c>
      <c r="DO34" s="213" t="s">
        <v>319</v>
      </c>
      <c r="DP34" s="214">
        <v>3</v>
      </c>
      <c r="DQ34" s="214">
        <v>1</v>
      </c>
      <c r="DR34" s="214">
        <v>0</v>
      </c>
      <c r="DS34" s="214">
        <v>0</v>
      </c>
      <c r="DT34" s="214">
        <v>0</v>
      </c>
      <c r="DU34" s="214">
        <v>0</v>
      </c>
      <c r="DV34" s="214">
        <v>0</v>
      </c>
      <c r="DW34" s="214">
        <v>0</v>
      </c>
      <c r="DX34" s="215">
        <v>0</v>
      </c>
      <c r="DY34" s="216">
        <v>1</v>
      </c>
      <c r="DZ34" s="217">
        <v>0</v>
      </c>
      <c r="EA34" s="217">
        <v>0</v>
      </c>
      <c r="EB34" s="218">
        <v>7</v>
      </c>
      <c r="EC34" s="217">
        <v>4</v>
      </c>
      <c r="ED34" s="219">
        <v>1</v>
      </c>
      <c r="EE34" s="220">
        <v>2</v>
      </c>
      <c r="EF34" s="217">
        <v>1</v>
      </c>
      <c r="EG34" s="217">
        <v>0</v>
      </c>
      <c r="EH34" s="217">
        <v>0</v>
      </c>
      <c r="EI34" s="217">
        <v>0</v>
      </c>
      <c r="EJ34" s="217">
        <v>0</v>
      </c>
      <c r="EK34" s="217">
        <v>0</v>
      </c>
      <c r="EL34" s="217">
        <v>0</v>
      </c>
      <c r="EM34" s="217"/>
      <c r="EN34" s="217"/>
      <c r="EO34" s="217"/>
      <c r="EP34" s="217"/>
      <c r="EQ34" s="217"/>
      <c r="ER34" s="217"/>
      <c r="ES34" s="217"/>
      <c r="ET34" s="219">
        <f>SUM(EE34:ES34)</f>
        <v>3</v>
      </c>
      <c r="EU34" s="217">
        <v>0</v>
      </c>
      <c r="EV34" s="217">
        <v>0</v>
      </c>
      <c r="EW34" s="217">
        <v>0</v>
      </c>
      <c r="EX34" s="217">
        <v>0</v>
      </c>
      <c r="EY34" s="217">
        <v>0</v>
      </c>
      <c r="EZ34" s="217">
        <v>0</v>
      </c>
      <c r="FA34" s="217">
        <v>0</v>
      </c>
      <c r="FB34" s="217">
        <v>0</v>
      </c>
      <c r="FC34" s="217">
        <v>0</v>
      </c>
      <c r="FD34" s="217"/>
      <c r="FE34" s="217"/>
      <c r="FF34" s="217"/>
      <c r="FG34" s="217"/>
      <c r="FH34" s="217"/>
      <c r="FI34" s="217"/>
      <c r="FJ34" s="217">
        <f>SUM(EU34:FI34)</f>
        <v>0</v>
      </c>
      <c r="FK34" s="221">
        <f>((SUM(L34,AD34))-(FJ34))</f>
        <v>0</v>
      </c>
      <c r="FL34" s="221">
        <f>((SUM(AO34,AY34,BI34,BS34,CC34,CM34,CW34,DG34,DQ34))-(ET34))</f>
        <v>0</v>
      </c>
      <c r="FM34" s="222"/>
    </row>
    <row r="35" spans="1:169" x14ac:dyDescent="0.25">
      <c r="A35" s="223">
        <f>SUBTOTAL(103,Table117[Date])</f>
        <v>31</v>
      </c>
      <c r="B35" s="223"/>
      <c r="C35" s="223"/>
      <c r="D35" s="223"/>
      <c r="E35" s="205"/>
      <c r="F35" s="205"/>
      <c r="G35" s="224" t="s">
        <v>34</v>
      </c>
      <c r="H35" s="211">
        <f>SUBTOTAL(109,Table117[S-W])</f>
        <v>4</v>
      </c>
      <c r="I35" s="211">
        <f>SUBTOTAL(109,Table117[S-L])</f>
        <v>7</v>
      </c>
      <c r="J35" s="212">
        <f>SUBTOTAL(109,Table117[S-IP])</f>
        <v>107.33333333333333</v>
      </c>
      <c r="K35" s="211">
        <f>SUBTOTAL(109,Table117[S-H])</f>
        <v>97</v>
      </c>
      <c r="L35" s="211">
        <f>SUBTOTAL(109,Table117[S-R])</f>
        <v>43</v>
      </c>
      <c r="M35" s="211">
        <f>SUBTOTAL(109,Table117[S-ER])</f>
        <v>38</v>
      </c>
      <c r="N35" s="211">
        <f>SUBTOTAL(109,Table117[S-BB])</f>
        <v>30</v>
      </c>
      <c r="O35" s="211">
        <f>SUBTOTAL(109,Table117[S-SO])</f>
        <v>64</v>
      </c>
      <c r="P35" s="211">
        <f>SUBTOTAL(109,Table117[S-HR])</f>
        <v>6</v>
      </c>
      <c r="Q35" s="211">
        <f>SUBTOTAL(109,Table117[S-HBP])</f>
        <v>6</v>
      </c>
      <c r="R35" s="211">
        <f>SUBTOTAL(109,Table117[S-BF])</f>
        <v>445</v>
      </c>
      <c r="S35" s="211"/>
      <c r="T35" s="211"/>
      <c r="U35" s="211">
        <f>SUBTOTAL(109,Table117[IRL])</f>
        <v>4</v>
      </c>
      <c r="V35" s="211">
        <f>SUBTOTAL(109,Table117[IRS])</f>
        <v>0</v>
      </c>
      <c r="W35" s="211">
        <f>SUBTOTAL(109,Table117[B-W])</f>
        <v>12</v>
      </c>
      <c r="X35" s="211">
        <f>SUBTOTAL(109,Table117[B-L])</f>
        <v>8</v>
      </c>
      <c r="Y35" s="211">
        <f>SUBTOTAL(109,Table117[Hld])</f>
        <v>9</v>
      </c>
      <c r="Z35" s="211">
        <f>SUBTOTAL(109,Table117[Sv])</f>
        <v>10</v>
      </c>
      <c r="AA35" s="211">
        <f>SUBTOTAL(109,Table117[BS])</f>
        <v>5</v>
      </c>
      <c r="AB35" s="212">
        <f>SUBTOTAL(109,Table117[B-IP])</f>
        <v>174.33333333333334</v>
      </c>
      <c r="AC35" s="211">
        <f>SUBTOTAL(109,Table117[B-H])</f>
        <v>169</v>
      </c>
      <c r="AD35" s="211">
        <f>SUBTOTAL(109,Table117[B-R])</f>
        <v>96</v>
      </c>
      <c r="AE35" s="211">
        <f>SUBTOTAL(109,Table117[B-ER])</f>
        <v>72</v>
      </c>
      <c r="AF35" s="211">
        <f>SUBTOTAL(109,Table117[B-BB])</f>
        <v>67</v>
      </c>
      <c r="AG35" s="211">
        <f>SUBTOTAL(109,Table117[B-SO])</f>
        <v>139</v>
      </c>
      <c r="AH35" s="211">
        <f>SUBTOTAL(109,Table117[B-HR])</f>
        <v>4</v>
      </c>
      <c r="AI35" s="211">
        <f>SUBTOTAL(109,Table117[B-HBP])</f>
        <v>14</v>
      </c>
      <c r="AJ35" s="211">
        <f>SUBTOTAL(109,Table117[B-BF])</f>
        <v>769</v>
      </c>
      <c r="AK35" s="211"/>
      <c r="AL35" s="211"/>
      <c r="AM35" s="224" t="str">
        <f>INDEX(Table117[Starter1],MODE(MATCH(Table117[Starter1],Table117[Starter1],0)))</f>
        <v>Dorville, E</v>
      </c>
      <c r="AN35" s="205">
        <f>SUBTOTAL(109,Table117[AB1])</f>
        <v>129</v>
      </c>
      <c r="AO35" s="205">
        <f>SUBTOTAL(109,Table117[R1])</f>
        <v>22</v>
      </c>
      <c r="AP35" s="205">
        <f>SUBTOTAL(109,Table117[H1])</f>
        <v>35</v>
      </c>
      <c r="AQ35" s="205">
        <f>SUBTOTAL(109,Table117[RBI1])</f>
        <v>13</v>
      </c>
      <c r="AR35" s="205">
        <f>SUBTOTAL(109,Table117[BB1])</f>
        <v>8</v>
      </c>
      <c r="AS35" s="205">
        <f>SUBTOTAL(109,Table117[SO1])</f>
        <v>41</v>
      </c>
      <c r="AT35" s="205">
        <f>SUBTOTAL(109,Table117[HBP1])</f>
        <v>3</v>
      </c>
      <c r="AU35" s="205">
        <f>SUBTOTAL(109,Table117[SF1])</f>
        <v>3</v>
      </c>
      <c r="AV35" s="205">
        <f>SUBTOTAL(109,Table117[TB1])</f>
        <v>58</v>
      </c>
      <c r="AW35" s="224" t="str">
        <f>INDEX(Table117[Starter2],MODE(MATCH(Table117[Starter2],Table117[Starter2],0)))</f>
        <v>Caminero, J</v>
      </c>
      <c r="AX35" s="205">
        <f>SUBTOTAL(109,Table117[AB2])</f>
        <v>131</v>
      </c>
      <c r="AY35" s="205">
        <f>SUBTOTAL(109,Table117[R2])</f>
        <v>10</v>
      </c>
      <c r="AZ35" s="205">
        <f>SUBTOTAL(109,Table117[H2])</f>
        <v>39</v>
      </c>
      <c r="BA35" s="205">
        <f>SUBTOTAL(109,Table117[RBI2])</f>
        <v>16</v>
      </c>
      <c r="BB35" s="205">
        <f>SUBTOTAL(109,Table117[BB2])</f>
        <v>4</v>
      </c>
      <c r="BC35" s="205">
        <f>SUBTOTAL(109,Table117[SO2])</f>
        <v>24</v>
      </c>
      <c r="BD35" s="205">
        <f>SUBTOTAL(109,Table117[HBP2])</f>
        <v>2</v>
      </c>
      <c r="BE35" s="205">
        <f>SUBTOTAL(109,Table117[SF2])</f>
        <v>0</v>
      </c>
      <c r="BF35" s="205">
        <f>SUBTOTAL(109,Table117[TB2])</f>
        <v>47</v>
      </c>
      <c r="BG35" s="224" t="str">
        <f>INDEX(Table117[Starter3],MODE(MATCH(Table117[Starter3],Table117[Starter3],0)))</f>
        <v>Caminero, J</v>
      </c>
      <c r="BH35" s="205">
        <f>SUBTOTAL(109,Table117[AB3])</f>
        <v>115</v>
      </c>
      <c r="BI35" s="205">
        <f>SUBTOTAL(109,Table117[R3])</f>
        <v>12</v>
      </c>
      <c r="BJ35" s="205">
        <f>SUBTOTAL(109,Table117[H3])</f>
        <v>23</v>
      </c>
      <c r="BK35" s="205">
        <f>SUBTOTAL(109,Table117[RBI3])</f>
        <v>14</v>
      </c>
      <c r="BL35" s="205">
        <f>SUBTOTAL(109,Table117[BB3])</f>
        <v>14</v>
      </c>
      <c r="BM35" s="205">
        <f>SUBTOTAL(109,Table117[SO3])</f>
        <v>15</v>
      </c>
      <c r="BN35" s="205">
        <f>SUBTOTAL(109,Table117[HBP3])</f>
        <v>3</v>
      </c>
      <c r="BO35" s="205">
        <f>SUBTOTAL(109,Table117[SF3])</f>
        <v>2</v>
      </c>
      <c r="BP35" s="205">
        <f>SUBTOTAL(109,Table117[TB3])</f>
        <v>33</v>
      </c>
      <c r="BQ35" s="224" t="str">
        <f>INDEX(Table117[Starter4],MODE(MATCH(Table117[Starter4],Table117[Starter4],0)))</f>
        <v>Bailey, L</v>
      </c>
      <c r="BR35" s="205">
        <f>SUBTOTAL(109,Table117[AB4])</f>
        <v>116</v>
      </c>
      <c r="BS35" s="205">
        <f>SUBTOTAL(109,Table117[R4])</f>
        <v>14</v>
      </c>
      <c r="BT35" s="205">
        <f>SUBTOTAL(109,Table117[H4])</f>
        <v>22</v>
      </c>
      <c r="BU35" s="205">
        <f>SUBTOTAL(109,Table117[RBI4])</f>
        <v>9</v>
      </c>
      <c r="BV35" s="205">
        <f>SUBTOTAL(109,Table117[BB4])</f>
        <v>13</v>
      </c>
      <c r="BW35" s="205">
        <f>SUBTOTAL(109,Table117[SO4])</f>
        <v>38</v>
      </c>
      <c r="BX35" s="205">
        <f>SUBTOTAL(109,Table117[HBP4])</f>
        <v>4</v>
      </c>
      <c r="BY35" s="205">
        <f>SUBTOTAL(109,Table117[SF4])</f>
        <v>0</v>
      </c>
      <c r="BZ35" s="205">
        <f>SUBTOTAL(109,Table117[TB4])</f>
        <v>33</v>
      </c>
      <c r="CA35" s="224" t="str">
        <f>INDEX(Table117[Starter5],MODE(MATCH(Table117[Starter5],Table117[Starter5],0)))</f>
        <v>McCrann, R</v>
      </c>
      <c r="CB35" s="205">
        <f>SUBTOTAL(109,Table117[AB5])</f>
        <v>112</v>
      </c>
      <c r="CC35" s="205">
        <f>SUBTOTAL(109,Table117[R5])</f>
        <v>14</v>
      </c>
      <c r="CD35" s="205">
        <f>SUBTOTAL(109,Table117[H5])</f>
        <v>21</v>
      </c>
      <c r="CE35" s="205">
        <f>SUBTOTAL(109,Table117[RBI5])</f>
        <v>10</v>
      </c>
      <c r="CF35" s="205">
        <f>SUBTOTAL(109,Table117[BB5])</f>
        <v>11</v>
      </c>
      <c r="CG35" s="205">
        <f>SUBTOTAL(109,Table117[SO5])</f>
        <v>27</v>
      </c>
      <c r="CH35" s="205">
        <f>SUBTOTAL(109,Table117[HBP5])</f>
        <v>2</v>
      </c>
      <c r="CI35" s="205">
        <f>SUBTOTAL(109,Table117[SF5])</f>
        <v>2</v>
      </c>
      <c r="CJ35" s="205">
        <f>SUBTOTAL(109,Table117[TB5])</f>
        <v>30</v>
      </c>
      <c r="CK35" s="224" t="str">
        <f>INDEX(Table117[Starter6],MODE(MATCH(Table117[Starter6],Table117[Starter6],0)))</f>
        <v>Perez, C</v>
      </c>
      <c r="CL35" s="205">
        <f>SUBTOTAL(109,Table117[AB6])</f>
        <v>112</v>
      </c>
      <c r="CM35" s="205">
        <f>SUBTOTAL(109,Table117[R6])</f>
        <v>15</v>
      </c>
      <c r="CN35" s="205">
        <f>SUBTOTAL(109,Table117[H6])</f>
        <v>27</v>
      </c>
      <c r="CO35" s="205">
        <f>SUBTOTAL(109,Table117[RBI6])</f>
        <v>14</v>
      </c>
      <c r="CP35" s="205">
        <f>SUBTOTAL(109,Table117[BB6])</f>
        <v>11</v>
      </c>
      <c r="CQ35" s="205">
        <f>SUBTOTAL(109,Table117[SO6])</f>
        <v>24</v>
      </c>
      <c r="CR35" s="205">
        <f>SUBTOTAL(109,Table117[HBP6])</f>
        <v>2</v>
      </c>
      <c r="CS35" s="205">
        <f>SUBTOTAL(109,Table117[SF6])</f>
        <v>1</v>
      </c>
      <c r="CT35" s="205">
        <f>SUBTOTAL(109,Table117[TB6])</f>
        <v>41</v>
      </c>
      <c r="CU35" s="224" t="str">
        <f>INDEX(Table117[Starter7],MODE(MATCH(Table117[Starter7],Table117[Starter7],0)))</f>
        <v>Diaz, A</v>
      </c>
      <c r="CV35" s="205">
        <f>SUBTOTAL(109,Table117[AB7])</f>
        <v>104</v>
      </c>
      <c r="CW35" s="205">
        <f>SUBTOTAL(109,Table117[R7])</f>
        <v>9</v>
      </c>
      <c r="CX35" s="205">
        <f>SUBTOTAL(109,Table117[H7])</f>
        <v>20</v>
      </c>
      <c r="CY35" s="205">
        <f>SUBTOTAL(109,Table117[RBI7])</f>
        <v>12</v>
      </c>
      <c r="CZ35" s="205">
        <f>SUBTOTAL(109,Table117[BB7])</f>
        <v>14</v>
      </c>
      <c r="DA35" s="205">
        <f>SUBTOTAL(109,Table117[SO7])</f>
        <v>36</v>
      </c>
      <c r="DB35" s="205">
        <f>SUBTOTAL(109,Table117[HBP7])</f>
        <v>2</v>
      </c>
      <c r="DC35" s="205">
        <f>SUBTOTAL(109,Table117[SF7])</f>
        <v>1</v>
      </c>
      <c r="DD35" s="205">
        <f>SUBTOTAL(109,Table117[TB7])</f>
        <v>27</v>
      </c>
      <c r="DE35" s="224" t="str">
        <f>INDEX(Table117[Starter8],MODE(MATCH(Table117[Starter8],Table117[Starter8],0)))</f>
        <v>Perez, C</v>
      </c>
      <c r="DF35" s="205">
        <f>SUBTOTAL(109,Table117[AB8])</f>
        <v>103</v>
      </c>
      <c r="DG35" s="205">
        <f>SUBTOTAL(109,Table117[R8])</f>
        <v>14</v>
      </c>
      <c r="DH35" s="205">
        <f>SUBTOTAL(109,Table117[H8])</f>
        <v>19</v>
      </c>
      <c r="DI35" s="205">
        <f>SUBTOTAL(109,Table117[RBI8])</f>
        <v>8</v>
      </c>
      <c r="DJ35" s="205">
        <f>SUBTOTAL(109,Table117[BB8])</f>
        <v>13</v>
      </c>
      <c r="DK35" s="205">
        <f>SUBTOTAL(109,Table117[SO8])</f>
        <v>28</v>
      </c>
      <c r="DL35" s="205">
        <f>SUBTOTAL(109,Table117[HBP8])</f>
        <v>1</v>
      </c>
      <c r="DM35" s="205">
        <f>SUBTOTAL(109,Table117[SF8])</f>
        <v>2</v>
      </c>
      <c r="DN35" s="205">
        <f>SUBTOTAL(109,Table117[TB8])</f>
        <v>28</v>
      </c>
      <c r="DO35" s="224" t="str">
        <f>INDEX(Table117[Starter9],MODE(MATCH(Table117[Starter9],Table117[Starter9],0)))</f>
        <v>Querecuto, J</v>
      </c>
      <c r="DP35" s="205">
        <f>SUBTOTAL(109,Table117[AB9])</f>
        <v>99</v>
      </c>
      <c r="DQ35" s="205">
        <f>SUBTOTAL(109,Table117[R9])</f>
        <v>11</v>
      </c>
      <c r="DR35" s="205">
        <f>SUBTOTAL(109,Table117[H9])</f>
        <v>20</v>
      </c>
      <c r="DS35" s="205">
        <f>SUBTOTAL(109,Table117[RBI9])</f>
        <v>9</v>
      </c>
      <c r="DT35" s="205">
        <f>SUBTOTAL(109,Table117[BB9])</f>
        <v>12</v>
      </c>
      <c r="DU35" s="205">
        <f>SUBTOTAL(109,Table117[SO9])</f>
        <v>19</v>
      </c>
      <c r="DV35" s="205">
        <f>SUBTOTAL(109,Table117[HBP9])</f>
        <v>2</v>
      </c>
      <c r="DW35" s="205">
        <f>SUBTOTAL(109,Table117[SF9])</f>
        <v>0</v>
      </c>
      <c r="DX35" s="205">
        <f>SUBTOTAL(109,Table117[TB9])</f>
        <v>26</v>
      </c>
      <c r="DY35" s="212">
        <f>SUBTOTAL(109,Table117[IVL])</f>
        <v>81</v>
      </c>
      <c r="DZ35" s="211">
        <f>SUBTOTAL(109,Table117[SVL])</f>
        <v>7</v>
      </c>
      <c r="EA35" s="211">
        <f>SUBTOTAL(109,Table117[CVL])</f>
        <v>7</v>
      </c>
      <c r="EB35" s="212">
        <f>SUBTOTAL(109,Table117[IVR])</f>
        <v>200.33333333333331</v>
      </c>
      <c r="EC35" s="211">
        <f>SUBTOTAL(109,Table117[SVR])</f>
        <v>24</v>
      </c>
      <c r="ED35" s="211">
        <f>SUBTOTAL(109,Table117[CVR])</f>
        <v>9</v>
      </c>
      <c r="EE35" s="211">
        <f>SUBTOTAL(109,Table117[RI1])</f>
        <v>14</v>
      </c>
      <c r="EF35" s="211">
        <f>SUBTOTAL(109,Table117[RI2])</f>
        <v>21</v>
      </c>
      <c r="EG35" s="211">
        <f>SUBTOTAL(109,Table117[RI3])</f>
        <v>13</v>
      </c>
      <c r="EH35" s="211">
        <f>SUBTOTAL(109,Table117[RI4])</f>
        <v>15</v>
      </c>
      <c r="EI35" s="211">
        <f>SUBTOTAL(109,Table117[RI5])</f>
        <v>2</v>
      </c>
      <c r="EJ35" s="211">
        <f>SUBTOTAL(109,Table117[RI6])</f>
        <v>14</v>
      </c>
      <c r="EK35" s="211">
        <f>SUBTOTAL(109,Table117[RI7])</f>
        <v>17</v>
      </c>
      <c r="EL35" s="211">
        <f>SUBTOTAL(109,Table117[RI8])</f>
        <v>14</v>
      </c>
      <c r="EM35" s="211">
        <f>SUBTOTAL(109,Table117[RI9])</f>
        <v>8</v>
      </c>
      <c r="EN35" s="211">
        <f>SUBTOTAL(109,Table117[RI10])</f>
        <v>0</v>
      </c>
      <c r="EO35" s="211">
        <f>SUBTOTAL(109,Table117[RI11])</f>
        <v>1</v>
      </c>
      <c r="EP35" s="211">
        <f>SUBTOTAL(109,Table117[RI12])</f>
        <v>1</v>
      </c>
      <c r="EQ35" s="211">
        <f>SUBTOTAL(109,Table117[RI13])</f>
        <v>0</v>
      </c>
      <c r="ER35" s="211">
        <f>SUBTOTAL(109,Table117[RI14])</f>
        <v>0</v>
      </c>
      <c r="ES35" s="211">
        <f>SUBTOTAL(109,Table117[RI15])</f>
        <v>1</v>
      </c>
      <c r="ET35" s="211">
        <f>SUBTOTAL(109,Table117[RT])</f>
        <v>121</v>
      </c>
      <c r="EU35" s="211">
        <f>SUBTOTAL(109,Table117[OI1])</f>
        <v>11</v>
      </c>
      <c r="EV35" s="211">
        <f>SUBTOTAL(109,Table117[OI2])</f>
        <v>14</v>
      </c>
      <c r="EW35" s="211">
        <f>SUBTOTAL(109,Table117[OI3])</f>
        <v>21</v>
      </c>
      <c r="EX35" s="211">
        <f>SUBTOTAL(109,Table117[OI4])</f>
        <v>13</v>
      </c>
      <c r="EY35" s="211">
        <f>SUBTOTAL(109,Table117[OI5])</f>
        <v>12</v>
      </c>
      <c r="EZ35" s="211">
        <f>SUBTOTAL(109,Table117[OI6])</f>
        <v>18</v>
      </c>
      <c r="FA35" s="211">
        <f>SUBTOTAL(109,Table117[OI7])</f>
        <v>10</v>
      </c>
      <c r="FB35" s="211">
        <f>SUBTOTAL(109,Table117[OI8])</f>
        <v>17</v>
      </c>
      <c r="FC35" s="211">
        <f>SUBTOTAL(109,Table117[OI9])</f>
        <v>22</v>
      </c>
      <c r="FD35" s="211">
        <f>SUBTOTAL(109,Table117[OI10])</f>
        <v>1</v>
      </c>
      <c r="FE35" s="211">
        <f>SUBTOTAL(109,Table117[OI11])</f>
        <v>0</v>
      </c>
      <c r="FF35" s="211">
        <f>SUBTOTAL(109,Table117[OI12])</f>
        <v>0</v>
      </c>
      <c r="FG35" s="211">
        <f>SUBTOTAL(109,Table117[OI13])</f>
        <v>0</v>
      </c>
      <c r="FH35" s="211">
        <f>SUBTOTAL(109,Table117[OI14])</f>
        <v>0</v>
      </c>
      <c r="FI35" s="211">
        <f>SUBTOTAL(109,Table117[OI15])</f>
        <v>0</v>
      </c>
      <c r="FJ35" s="211">
        <f>SUBTOTAL(109,Table117[OT])</f>
        <v>139</v>
      </c>
      <c r="FK35" s="225"/>
      <c r="FL35" s="225"/>
      <c r="FM35" s="226"/>
    </row>
    <row r="36" spans="1:169" x14ac:dyDescent="0.25">
      <c r="A36" s="81" t="s">
        <v>227</v>
      </c>
      <c r="B36" s="53"/>
      <c r="C36" s="53"/>
      <c r="D36" s="53"/>
      <c r="E36" s="4"/>
      <c r="F36" s="54"/>
      <c r="G36" s="80"/>
      <c r="H36" s="80"/>
      <c r="I36" s="80"/>
      <c r="J36" s="5">
        <f>MAX(Table117[S-IP])</f>
        <v>6</v>
      </c>
      <c r="K36" s="6">
        <f>MAX(Table117[S-H])</f>
        <v>8</v>
      </c>
      <c r="L36" s="6">
        <f>MAX(Table117[S-R])</f>
        <v>6</v>
      </c>
      <c r="M36" s="6">
        <f>MAX(Table117[S-ER])</f>
        <v>6</v>
      </c>
      <c r="N36" s="6">
        <f>MAX(Table117[S-BB])</f>
        <v>5</v>
      </c>
      <c r="O36" s="6">
        <f>MAX(Table117[S-SO])</f>
        <v>6</v>
      </c>
      <c r="P36" s="6">
        <f>MAX(Table117[S-HR])</f>
        <v>1</v>
      </c>
      <c r="Q36" s="6">
        <f>MAX(Table117[S-HBP])</f>
        <v>2</v>
      </c>
      <c r="R36" s="6">
        <f>MAX(Table117[S-BF])</f>
        <v>24</v>
      </c>
      <c r="S36" s="6"/>
      <c r="T36" s="6"/>
      <c r="U36" s="6">
        <f>MAX(Table117[IRL])</f>
        <v>3</v>
      </c>
      <c r="V36" s="6">
        <f>MAX(Table117[IRS])</f>
        <v>0</v>
      </c>
      <c r="W36" s="80"/>
      <c r="X36" s="80"/>
      <c r="Y36" s="80"/>
      <c r="Z36" s="80"/>
      <c r="AA36" s="80"/>
      <c r="AB36" s="5">
        <f>MAX(Table117[B-IP])</f>
        <v>11</v>
      </c>
      <c r="AC36" s="6">
        <f>MAX(Table117[B-H])</f>
        <v>17</v>
      </c>
      <c r="AD36" s="6">
        <f>MAX(Table117[B-R])</f>
        <v>13</v>
      </c>
      <c r="AE36" s="6">
        <f>MAX(Table117[B-ER])</f>
        <v>12</v>
      </c>
      <c r="AF36" s="6">
        <f>MAX(Table117[B-BB])</f>
        <v>5</v>
      </c>
      <c r="AG36" s="6">
        <f>MAX(Table117[B-SO])</f>
        <v>10</v>
      </c>
      <c r="AH36" s="6">
        <f>MAX(Table117[B-HR])</f>
        <v>2</v>
      </c>
      <c r="AI36" s="6">
        <f>MAX(Table117[B-HBP])</f>
        <v>2</v>
      </c>
      <c r="AJ36" s="6">
        <f>MAX(Table117[B-BF])</f>
        <v>41</v>
      </c>
      <c r="AK36" s="6"/>
      <c r="AL36" s="6"/>
      <c r="AM36" s="80"/>
      <c r="AN36" s="6">
        <f>MAX(Table117[AB1])</f>
        <v>7</v>
      </c>
      <c r="AO36" s="6">
        <f>MAX(Table117[R1])</f>
        <v>2</v>
      </c>
      <c r="AP36" s="6">
        <f>MAX(Table117[H1])</f>
        <v>3</v>
      </c>
      <c r="AQ36" s="6">
        <f>MAX(Table117[RBI1])</f>
        <v>2</v>
      </c>
      <c r="AR36" s="6">
        <f>MAX(Table117[BB1])</f>
        <v>2</v>
      </c>
      <c r="AS36" s="6">
        <f>MAX(Table117[SO1])</f>
        <v>4</v>
      </c>
      <c r="AT36" s="6">
        <f>MAX(Table117[HBP1])</f>
        <v>1</v>
      </c>
      <c r="AU36" s="6">
        <f>MAX(Table117[SF1])</f>
        <v>1</v>
      </c>
      <c r="AV36" s="6">
        <f>MAX(Table117[TB1])</f>
        <v>5</v>
      </c>
      <c r="AW36" s="80"/>
      <c r="AX36" s="6">
        <f>MAX(Table117[AB2])</f>
        <v>7</v>
      </c>
      <c r="AY36" s="6">
        <f>MAX(Table117[R2])</f>
        <v>1</v>
      </c>
      <c r="AZ36" s="6">
        <f>MAX(Table117[H2])</f>
        <v>4</v>
      </c>
      <c r="BA36" s="6">
        <f>MAX(Table117[RBI2])</f>
        <v>2</v>
      </c>
      <c r="BB36" s="6">
        <f>MAX(Table117[BB2])</f>
        <v>1</v>
      </c>
      <c r="BC36" s="6">
        <f>MAX(Table117[SO2])</f>
        <v>3</v>
      </c>
      <c r="BD36" s="6">
        <f>MAX(Table117[HBP2])</f>
        <v>1</v>
      </c>
      <c r="BE36" s="6">
        <f>MAX(Table117[SF2])</f>
        <v>0</v>
      </c>
      <c r="BF36" s="6">
        <f>MAX(Table117[TB2])</f>
        <v>5</v>
      </c>
      <c r="BG36" s="80"/>
      <c r="BH36" s="6">
        <f>MAX(Table117[AB3])</f>
        <v>6</v>
      </c>
      <c r="BI36" s="6">
        <f>MAX(Table117[R3])</f>
        <v>1</v>
      </c>
      <c r="BJ36" s="6">
        <f>MAX(Table117[H3])</f>
        <v>2</v>
      </c>
      <c r="BK36" s="6">
        <f>MAX(Table117[RBI3])</f>
        <v>2</v>
      </c>
      <c r="BL36" s="6">
        <f>MAX(Table117[BB3])</f>
        <v>3</v>
      </c>
      <c r="BM36" s="6">
        <f>MAX(Table117[SO3])</f>
        <v>2</v>
      </c>
      <c r="BN36" s="6">
        <f>MAX(Table117[HBP3])</f>
        <v>1</v>
      </c>
      <c r="BO36" s="6">
        <f>MAX(Table117[SF3])</f>
        <v>1</v>
      </c>
      <c r="BP36" s="6">
        <f>MAX(Table117[TB3])</f>
        <v>4</v>
      </c>
      <c r="BQ36" s="80"/>
      <c r="BR36" s="6">
        <f>MAX(Table117[AB4])</f>
        <v>6</v>
      </c>
      <c r="BS36" s="6">
        <f>MAX(Table117[R4])</f>
        <v>2</v>
      </c>
      <c r="BT36" s="6">
        <f>MAX(Table117[H4])</f>
        <v>3</v>
      </c>
      <c r="BU36" s="6">
        <f>MAX(Table117[RBI4])</f>
        <v>4</v>
      </c>
      <c r="BV36" s="6">
        <f>MAX(Table117[BB4])</f>
        <v>2</v>
      </c>
      <c r="BW36" s="6">
        <f>MAX(Table117[SO4])</f>
        <v>3</v>
      </c>
      <c r="BX36" s="6">
        <f>MAX(Table117[HBP4])</f>
        <v>1</v>
      </c>
      <c r="BY36" s="6">
        <f>MAX(Table117[SF4])</f>
        <v>0</v>
      </c>
      <c r="BZ36" s="6">
        <f>MAX(Table117[TB4])</f>
        <v>5</v>
      </c>
      <c r="CA36" s="80"/>
      <c r="CB36" s="6">
        <f>MAX(Table117[AB5])</f>
        <v>5</v>
      </c>
      <c r="CC36" s="6">
        <f>MAX(Table117[R5])</f>
        <v>2</v>
      </c>
      <c r="CD36" s="6">
        <f>MAX(Table117[H5])</f>
        <v>2</v>
      </c>
      <c r="CE36" s="6">
        <f>MAX(Table117[RBI5])</f>
        <v>3</v>
      </c>
      <c r="CF36" s="6">
        <f>MAX(Table117[BB5])</f>
        <v>2</v>
      </c>
      <c r="CG36" s="6">
        <f>MAX(Table117[SO5])</f>
        <v>4</v>
      </c>
      <c r="CH36" s="6">
        <f>MAX(Table117[HBP5])</f>
        <v>1</v>
      </c>
      <c r="CI36" s="6">
        <f>MAX(Table117[SF5])</f>
        <v>1</v>
      </c>
      <c r="CJ36" s="6">
        <f>MAX(Table117[TB5])</f>
        <v>5</v>
      </c>
      <c r="CK36" s="80"/>
      <c r="CL36" s="6">
        <f>MAX(Table117[AB6])</f>
        <v>5</v>
      </c>
      <c r="CM36" s="6">
        <f>MAX(Table117[R6])</f>
        <v>2</v>
      </c>
      <c r="CN36" s="6">
        <f>MAX(Table117[H6])</f>
        <v>3</v>
      </c>
      <c r="CO36" s="6">
        <f>MAX(Table117[RBI6])</f>
        <v>2</v>
      </c>
      <c r="CP36" s="6">
        <f>MAX(Table117[BB6])</f>
        <v>2</v>
      </c>
      <c r="CQ36" s="6">
        <f>MAX(Table117[SO6])</f>
        <v>3</v>
      </c>
      <c r="CR36" s="6">
        <f>MAX(Table117[HBP6])</f>
        <v>1</v>
      </c>
      <c r="CS36" s="6">
        <f>MAX(Table117[SF6])</f>
        <v>1</v>
      </c>
      <c r="CT36" s="6">
        <f>MAX(Table117[TB6])</f>
        <v>6</v>
      </c>
      <c r="CU36" s="80"/>
      <c r="CV36" s="6">
        <f>MAX(Table117[AB7])</f>
        <v>5</v>
      </c>
      <c r="CW36" s="6">
        <f>MAX(Table117[R7])</f>
        <v>1</v>
      </c>
      <c r="CX36" s="6">
        <f>MAX(Table117[H7])</f>
        <v>3</v>
      </c>
      <c r="CY36" s="6">
        <f>MAX(Table117[RBI7])</f>
        <v>2</v>
      </c>
      <c r="CZ36" s="6">
        <f>MAX(Table117[BB7])</f>
        <v>2</v>
      </c>
      <c r="DA36" s="6">
        <f>MAX(Table117[SO7])</f>
        <v>3</v>
      </c>
      <c r="DB36" s="6">
        <f>MAX(Table117[HBP7])</f>
        <v>1</v>
      </c>
      <c r="DC36" s="6">
        <f>MAX(Table117[SF7])</f>
        <v>1</v>
      </c>
      <c r="DD36" s="6">
        <f>MAX(Table117[TB7])</f>
        <v>5</v>
      </c>
      <c r="DE36" s="80"/>
      <c r="DF36" s="6">
        <f>MAX(Table117[AB8])</f>
        <v>5</v>
      </c>
      <c r="DG36" s="6">
        <f>MAX(Table117[R8])</f>
        <v>3</v>
      </c>
      <c r="DH36" s="6">
        <f>MAX(Table117[H8])</f>
        <v>2</v>
      </c>
      <c r="DI36" s="6">
        <f>MAX(Table117[RBI8])</f>
        <v>2</v>
      </c>
      <c r="DJ36" s="6">
        <f>MAX(Table117[BB8])</f>
        <v>2</v>
      </c>
      <c r="DK36" s="6">
        <f>MAX(Table117[SO8])</f>
        <v>3</v>
      </c>
      <c r="DL36" s="6">
        <f>MAX(Table117[HBP8])</f>
        <v>1</v>
      </c>
      <c r="DM36" s="6">
        <f>MAX(Table117[SF8])</f>
        <v>1</v>
      </c>
      <c r="DN36" s="6">
        <f>MAX(Table117[TB8])</f>
        <v>4</v>
      </c>
      <c r="DO36" s="80"/>
      <c r="DP36" s="6">
        <f>MAX(Table117[AB9])</f>
        <v>5</v>
      </c>
      <c r="DQ36" s="6">
        <f>MAX(Table117[R9])</f>
        <v>2</v>
      </c>
      <c r="DR36" s="6">
        <f>MAX(Table117[H9])</f>
        <v>2</v>
      </c>
      <c r="DS36" s="6">
        <f>MAX(Table117[RBI9])</f>
        <v>1</v>
      </c>
      <c r="DT36" s="6">
        <f>MAX(Table117[BB9])</f>
        <v>2</v>
      </c>
      <c r="DU36" s="6">
        <f>MAX(Table117[SO9])</f>
        <v>3</v>
      </c>
      <c r="DV36" s="6">
        <f>MAX(Table117[HBP9])</f>
        <v>1</v>
      </c>
      <c r="DW36" s="6">
        <f>MAX(Table117[SF9])</f>
        <v>0</v>
      </c>
      <c r="DX36" s="6">
        <f>MAX(Table117[TB9])</f>
        <v>4</v>
      </c>
      <c r="DY36" s="5">
        <f>MAX(Table117[IVL])</f>
        <v>10</v>
      </c>
      <c r="DZ36" s="6">
        <f>MAX(Table117[SVL])</f>
        <v>3</v>
      </c>
      <c r="EA36" s="6">
        <f>MAX(Table117[CVL])</f>
        <v>2</v>
      </c>
      <c r="EB36" s="5">
        <f>MAX(Table117[IVR])</f>
        <v>9</v>
      </c>
      <c r="EC36" s="6">
        <f>MAX(Table117[SVR])</f>
        <v>4</v>
      </c>
      <c r="ED36" s="6">
        <f>MAX(Table117[CVR])</f>
        <v>2</v>
      </c>
      <c r="EE36" s="6">
        <f>MAX(Table117[RI1])</f>
        <v>3</v>
      </c>
      <c r="EF36" s="6">
        <f>MAX(Table117[RI2])</f>
        <v>6</v>
      </c>
      <c r="EG36" s="6">
        <f>MAX(Table117[RI3])</f>
        <v>3</v>
      </c>
      <c r="EH36" s="6">
        <f>MAX(Table117[RI4])</f>
        <v>5</v>
      </c>
      <c r="EI36" s="6">
        <f>MAX(Table117[RI5])</f>
        <v>1</v>
      </c>
      <c r="EJ36" s="6">
        <f>MAX(Table117[RI6])</f>
        <v>4</v>
      </c>
      <c r="EK36" s="6">
        <f>MAX(Table117[RI7])</f>
        <v>4</v>
      </c>
      <c r="EL36" s="6">
        <f>MAX(Table117[RI8])</f>
        <v>3</v>
      </c>
      <c r="EM36" s="6">
        <f>MAX(Table117[RI9])</f>
        <v>3</v>
      </c>
      <c r="EN36" s="6">
        <f>MAX(Table117[RI10])</f>
        <v>0</v>
      </c>
      <c r="EO36" s="6">
        <f>MAX(Table117[RI11])</f>
        <v>1</v>
      </c>
      <c r="EP36" s="6">
        <f>MAX(Table117[RI12])</f>
        <v>1</v>
      </c>
      <c r="EQ36" s="6">
        <f>MAX(Table117[RI13])</f>
        <v>0</v>
      </c>
      <c r="ER36" s="6">
        <f>MAX(Table117[RI14])</f>
        <v>0</v>
      </c>
      <c r="ES36" s="6">
        <f>MAX(Table117[RI15])</f>
        <v>1</v>
      </c>
      <c r="ET36" s="6">
        <f>MAX(Table117[RT])</f>
        <v>8</v>
      </c>
      <c r="EU36" s="6">
        <f>MAX(Table117[OI1])</f>
        <v>2</v>
      </c>
      <c r="EV36" s="6">
        <f>MAX(Table117[OI2])</f>
        <v>4</v>
      </c>
      <c r="EW36" s="6">
        <f>MAX(Table117[OI3])</f>
        <v>4</v>
      </c>
      <c r="EX36" s="6">
        <f>MAX(Table117[OI4])</f>
        <v>5</v>
      </c>
      <c r="EY36" s="6">
        <f>MAX(Table117[OI5])</f>
        <v>4</v>
      </c>
      <c r="EZ36" s="6">
        <f>MAX(Table117[OI6])</f>
        <v>5</v>
      </c>
      <c r="FA36" s="6">
        <f>MAX(Table117[OI7])</f>
        <v>3</v>
      </c>
      <c r="FB36" s="6">
        <f>MAX(Table117[OI8])</f>
        <v>4</v>
      </c>
      <c r="FC36" s="6">
        <f>MAX(Table117[OI9])</f>
        <v>4</v>
      </c>
      <c r="FD36" s="6">
        <f>MAX(Table117[OI10])</f>
        <v>1</v>
      </c>
      <c r="FE36" s="6">
        <f>MAX(Table117[OI11])</f>
        <v>0</v>
      </c>
      <c r="FF36" s="6">
        <f>MAX(Table117[OI12])</f>
        <v>0</v>
      </c>
      <c r="FG36" s="6">
        <f>MAX(Table117[OI13])</f>
        <v>0</v>
      </c>
      <c r="FH36" s="6">
        <f>MAX(Table117[OI14])</f>
        <v>0</v>
      </c>
      <c r="FI36" s="6">
        <f>MAX(Table117[OI15])</f>
        <v>0</v>
      </c>
      <c r="FJ36" s="6">
        <f>MAX(Table117[OT])</f>
        <v>13</v>
      </c>
      <c r="FM36" s="55" t="s">
        <v>227</v>
      </c>
    </row>
    <row r="37" spans="1:169" x14ac:dyDescent="0.25">
      <c r="A37" s="81" t="s">
        <v>228</v>
      </c>
      <c r="B37" s="53"/>
      <c r="C37" s="53"/>
      <c r="D37" s="53"/>
      <c r="E37" s="4"/>
      <c r="F37" s="54"/>
      <c r="G37" s="80"/>
      <c r="H37" s="80"/>
      <c r="I37" s="80"/>
      <c r="J37" s="5">
        <f>QUARTILE(Table117[S-IP],3)</f>
        <v>5</v>
      </c>
      <c r="K37" s="6">
        <f>QUARTILE(Table117[S-H],3)</f>
        <v>4</v>
      </c>
      <c r="L37" s="6">
        <f>QUARTILE(Table117[S-R],3)</f>
        <v>2</v>
      </c>
      <c r="M37" s="6">
        <f>QUARTILE(Table117[S-ER],3)</f>
        <v>2</v>
      </c>
      <c r="N37" s="6">
        <f>QUARTILE(Table117[S-BB],3)</f>
        <v>1</v>
      </c>
      <c r="O37" s="6">
        <f>QUARTILE(Table117[S-SO],3)</f>
        <v>3</v>
      </c>
      <c r="P37" s="6">
        <f>QUARTILE(Table117[S-HR],3)</f>
        <v>0</v>
      </c>
      <c r="Q37" s="6">
        <f>QUARTILE(Table117[S-HBP],3)</f>
        <v>0</v>
      </c>
      <c r="R37" s="6">
        <f>QUARTILE(Table117[S-BF],3)</f>
        <v>19</v>
      </c>
      <c r="S37" s="6"/>
      <c r="T37" s="6"/>
      <c r="U37" s="6">
        <f>QUARTILE(Table117[IRL],3)</f>
        <v>0</v>
      </c>
      <c r="V37" s="6">
        <f>QUARTILE(Table117[IRS],3)</f>
        <v>0</v>
      </c>
      <c r="W37" s="80"/>
      <c r="X37" s="80"/>
      <c r="Y37" s="80"/>
      <c r="Z37" s="80"/>
      <c r="AA37" s="80"/>
      <c r="AB37" s="5">
        <f>QUARTILE(Table117[B-IP],3)</f>
        <v>6.6666666666666661</v>
      </c>
      <c r="AC37" s="6">
        <f>QUARTILE(Table117[B-H],3)</f>
        <v>6.5</v>
      </c>
      <c r="AD37" s="6">
        <f>QUARTILE(Table117[B-R],3)</f>
        <v>4.5</v>
      </c>
      <c r="AE37" s="6">
        <f>QUARTILE(Table117[B-ER],3)</f>
        <v>4</v>
      </c>
      <c r="AF37" s="6">
        <f>QUARTILE(Table117[B-BB],3)</f>
        <v>3</v>
      </c>
      <c r="AG37" s="6">
        <f>QUARTILE(Table117[B-SO],3)</f>
        <v>6</v>
      </c>
      <c r="AH37" s="6">
        <f>QUARTILE(Table117[B-HR],3)</f>
        <v>0</v>
      </c>
      <c r="AI37" s="6">
        <f>QUARTILE(Table117[B-HBP],3)</f>
        <v>1</v>
      </c>
      <c r="AJ37" s="6">
        <f>QUARTILE(Table117[B-BF],3)</f>
        <v>30.5</v>
      </c>
      <c r="AK37" s="6"/>
      <c r="AL37" s="6"/>
      <c r="AM37" s="80"/>
      <c r="AN37" s="6">
        <f>QUARTILE(Table117[AB1],3)</f>
        <v>5</v>
      </c>
      <c r="AO37" s="6">
        <f>QUARTILE(Table117[R1],3)</f>
        <v>1</v>
      </c>
      <c r="AP37" s="6">
        <f>QUARTILE(Table117[H1],3)</f>
        <v>2</v>
      </c>
      <c r="AQ37" s="6">
        <f>QUARTILE(Table117[RBI1],3)</f>
        <v>1</v>
      </c>
      <c r="AR37" s="6">
        <f>QUARTILE(Table117[BB1],3)</f>
        <v>0</v>
      </c>
      <c r="AS37" s="6">
        <f>QUARTILE(Table117[SO1],3)</f>
        <v>2</v>
      </c>
      <c r="AT37" s="6">
        <f>QUARTILE(Table117[HBP1],3)</f>
        <v>0</v>
      </c>
      <c r="AU37" s="6">
        <f>QUARTILE(Table117[SF1],3)</f>
        <v>0</v>
      </c>
      <c r="AV37" s="6">
        <f>QUARTILE(Table117[TB1],3)</f>
        <v>3</v>
      </c>
      <c r="AW37" s="80"/>
      <c r="AX37" s="6">
        <f>QUARTILE(Table117[AB2],3)</f>
        <v>4.5</v>
      </c>
      <c r="AY37" s="6">
        <f>QUARTILE(Table117[R2],3)</f>
        <v>1</v>
      </c>
      <c r="AZ37" s="6">
        <f>QUARTILE(Table117[H2],3)</f>
        <v>2</v>
      </c>
      <c r="BA37" s="6">
        <f>QUARTILE(Table117[RBI2],3)</f>
        <v>1</v>
      </c>
      <c r="BB37" s="6">
        <f>QUARTILE(Table117[BB2],3)</f>
        <v>0</v>
      </c>
      <c r="BC37" s="6">
        <f>QUARTILE(Table117[SO2],3)</f>
        <v>1</v>
      </c>
      <c r="BD37" s="6">
        <f>QUARTILE(Table117[HBP2],3)</f>
        <v>0</v>
      </c>
      <c r="BE37" s="6">
        <f>QUARTILE(Table117[SF2],3)</f>
        <v>0</v>
      </c>
      <c r="BF37" s="6">
        <f>QUARTILE(Table117[TB2],3)</f>
        <v>2</v>
      </c>
      <c r="BG37" s="80"/>
      <c r="BH37" s="6">
        <f>QUARTILE(Table117[AB3],3)</f>
        <v>4</v>
      </c>
      <c r="BI37" s="6">
        <f>QUARTILE(Table117[R3],3)</f>
        <v>1</v>
      </c>
      <c r="BJ37" s="6">
        <f>QUARTILE(Table117[H3],3)</f>
        <v>1</v>
      </c>
      <c r="BK37" s="6">
        <f>QUARTILE(Table117[RBI3],3)</f>
        <v>1</v>
      </c>
      <c r="BL37" s="6">
        <f>QUARTILE(Table117[BB3],3)</f>
        <v>1</v>
      </c>
      <c r="BM37" s="6">
        <f>QUARTILE(Table117[SO3],3)</f>
        <v>1</v>
      </c>
      <c r="BN37" s="6">
        <f>QUARTILE(Table117[HBP3],3)</f>
        <v>0</v>
      </c>
      <c r="BO37" s="6">
        <f>QUARTILE(Table117[SF3],3)</f>
        <v>0</v>
      </c>
      <c r="BP37" s="6">
        <f>QUARTILE(Table117[TB3],3)</f>
        <v>2</v>
      </c>
      <c r="BQ37" s="80"/>
      <c r="BR37" s="6">
        <f>QUARTILE(Table117[AB4],3)</f>
        <v>4</v>
      </c>
      <c r="BS37" s="6">
        <f>QUARTILE(Table117[R4],3)</f>
        <v>1</v>
      </c>
      <c r="BT37" s="6">
        <f>QUARTILE(Table117[H4],3)</f>
        <v>1</v>
      </c>
      <c r="BU37" s="6">
        <f>QUARTILE(Table117[RBI4],3)</f>
        <v>0</v>
      </c>
      <c r="BV37" s="6">
        <f>QUARTILE(Table117[BB4],3)</f>
        <v>1</v>
      </c>
      <c r="BW37" s="6">
        <f>QUARTILE(Table117[SO4],3)</f>
        <v>2</v>
      </c>
      <c r="BX37" s="6">
        <f>QUARTILE(Table117[HBP4],3)</f>
        <v>0</v>
      </c>
      <c r="BY37" s="6">
        <f>QUARTILE(Table117[SF4],3)</f>
        <v>0</v>
      </c>
      <c r="BZ37" s="6">
        <f>QUARTILE(Table117[TB4],3)</f>
        <v>1.5</v>
      </c>
      <c r="CA37" s="80"/>
      <c r="CB37" s="6">
        <f>QUARTILE(Table117[AB5],3)</f>
        <v>4</v>
      </c>
      <c r="CC37" s="6">
        <f>QUARTILE(Table117[R5],3)</f>
        <v>1</v>
      </c>
      <c r="CD37" s="6">
        <f>QUARTILE(Table117[H5],3)</f>
        <v>1</v>
      </c>
      <c r="CE37" s="6">
        <f>QUARTILE(Table117[RBI5],3)</f>
        <v>0</v>
      </c>
      <c r="CF37" s="6">
        <f>QUARTILE(Table117[BB5],3)</f>
        <v>1</v>
      </c>
      <c r="CG37" s="6">
        <f>QUARTILE(Table117[SO5],3)</f>
        <v>1</v>
      </c>
      <c r="CH37" s="6">
        <f>QUARTILE(Table117[HBP5],3)</f>
        <v>0</v>
      </c>
      <c r="CI37" s="6">
        <f>QUARTILE(Table117[SF5],3)</f>
        <v>0</v>
      </c>
      <c r="CJ37" s="6">
        <f>QUARTILE(Table117[TB5],3)</f>
        <v>1.5</v>
      </c>
      <c r="CK37" s="80"/>
      <c r="CL37" s="6">
        <f>QUARTILE(Table117[AB6],3)</f>
        <v>4</v>
      </c>
      <c r="CM37" s="6">
        <f>QUARTILE(Table117[R6],3)</f>
        <v>1</v>
      </c>
      <c r="CN37" s="6">
        <f>QUARTILE(Table117[H6],3)</f>
        <v>1</v>
      </c>
      <c r="CO37" s="6">
        <f>QUARTILE(Table117[RBI6],3)</f>
        <v>1</v>
      </c>
      <c r="CP37" s="6">
        <f>QUARTILE(Table117[BB6],3)</f>
        <v>1</v>
      </c>
      <c r="CQ37" s="6">
        <f>QUARTILE(Table117[SO6],3)</f>
        <v>1</v>
      </c>
      <c r="CR37" s="6">
        <f>QUARTILE(Table117[HBP6],3)</f>
        <v>0</v>
      </c>
      <c r="CS37" s="6">
        <f>QUARTILE(Table117[SF6],3)</f>
        <v>0</v>
      </c>
      <c r="CT37" s="6">
        <f>QUARTILE(Table117[TB6],3)</f>
        <v>2</v>
      </c>
      <c r="CU37" s="80"/>
      <c r="CV37" s="6">
        <f>QUARTILE(Table117[AB7],3)</f>
        <v>4</v>
      </c>
      <c r="CW37" s="6">
        <f>QUARTILE(Table117[R7],3)</f>
        <v>1</v>
      </c>
      <c r="CX37" s="6">
        <f>QUARTILE(Table117[H7],3)</f>
        <v>1</v>
      </c>
      <c r="CY37" s="6">
        <f>QUARTILE(Table117[RBI7],3)</f>
        <v>0.5</v>
      </c>
      <c r="CZ37" s="6">
        <f>QUARTILE(Table117[BB7],3)</f>
        <v>1</v>
      </c>
      <c r="DA37" s="6">
        <f>QUARTILE(Table117[SO7],3)</f>
        <v>2</v>
      </c>
      <c r="DB37" s="6">
        <f>QUARTILE(Table117[HBP7],3)</f>
        <v>0</v>
      </c>
      <c r="DC37" s="6">
        <f>QUARTILE(Table117[SF7],3)</f>
        <v>0</v>
      </c>
      <c r="DD37" s="6">
        <f>QUARTILE(Table117[TB7],3)</f>
        <v>1</v>
      </c>
      <c r="DE37" s="80"/>
      <c r="DF37" s="6">
        <f>QUARTILE(Table117[AB8],3)</f>
        <v>4</v>
      </c>
      <c r="DG37" s="6">
        <f>QUARTILE(Table117[R8],3)</f>
        <v>1</v>
      </c>
      <c r="DH37" s="6">
        <f>QUARTILE(Table117[H8],3)</f>
        <v>1</v>
      </c>
      <c r="DI37" s="6">
        <f>QUARTILE(Table117[RBI8],3)</f>
        <v>0</v>
      </c>
      <c r="DJ37" s="6">
        <f>QUARTILE(Table117[BB8],3)</f>
        <v>1</v>
      </c>
      <c r="DK37" s="6">
        <f>QUARTILE(Table117[SO8],3)</f>
        <v>2</v>
      </c>
      <c r="DL37" s="6">
        <f>QUARTILE(Table117[HBP8],3)</f>
        <v>0</v>
      </c>
      <c r="DM37" s="6">
        <f>QUARTILE(Table117[SF8],3)</f>
        <v>0</v>
      </c>
      <c r="DN37" s="6">
        <f>QUARTILE(Table117[TB8],3)</f>
        <v>1</v>
      </c>
      <c r="DO37" s="80"/>
      <c r="DP37" s="6">
        <f>QUARTILE(Table117[AB9],3)</f>
        <v>4</v>
      </c>
      <c r="DQ37" s="6">
        <f>QUARTILE(Table117[R9],3)</f>
        <v>1</v>
      </c>
      <c r="DR37" s="6">
        <f>QUARTILE(Table117[H9],3)</f>
        <v>1</v>
      </c>
      <c r="DS37" s="6">
        <f>QUARTILE(Table117[RBI9],3)</f>
        <v>1</v>
      </c>
      <c r="DT37" s="6">
        <f>QUARTILE(Table117[BB9],3)</f>
        <v>1</v>
      </c>
      <c r="DU37" s="6">
        <f>QUARTILE(Table117[SO9],3)</f>
        <v>1</v>
      </c>
      <c r="DV37" s="6">
        <f>QUARTILE(Table117[HBP9],3)</f>
        <v>0</v>
      </c>
      <c r="DW37" s="6">
        <f>QUARTILE(Table117[SF9],3)</f>
        <v>0</v>
      </c>
      <c r="DX37" s="6">
        <f>QUARTILE(Table117[TB9],3)</f>
        <v>1</v>
      </c>
      <c r="DY37" s="5">
        <f>QUARTILE(Table117[IVL],3)</f>
        <v>5.5</v>
      </c>
      <c r="DZ37" s="6">
        <f>QUARTILE(Table117[SVL],3)</f>
        <v>0</v>
      </c>
      <c r="EA37" s="6">
        <f>QUARTILE(Table117[CVL],3)</f>
        <v>0</v>
      </c>
      <c r="EB37" s="5">
        <f>QUARTILE(Table117[IVR],3)</f>
        <v>9</v>
      </c>
      <c r="EC37" s="6">
        <f>QUARTILE(Table117[SVR],3)</f>
        <v>1</v>
      </c>
      <c r="ED37" s="6">
        <f>QUARTILE(Table117[CVR],3)</f>
        <v>0</v>
      </c>
      <c r="EE37" s="6">
        <f>QUARTILE(Table117[RI1],3)</f>
        <v>0.5</v>
      </c>
      <c r="EF37" s="6">
        <f>QUARTILE(Table117[RI2],3)</f>
        <v>1</v>
      </c>
      <c r="EG37" s="6">
        <f>QUARTILE(Table117[RI3],3)</f>
        <v>1</v>
      </c>
      <c r="EH37" s="6">
        <f>QUARTILE(Table117[RI4],3)</f>
        <v>0</v>
      </c>
      <c r="EI37" s="6">
        <f>QUARTILE(Table117[RI5],3)</f>
        <v>0</v>
      </c>
      <c r="EJ37" s="6">
        <f>QUARTILE(Table117[RI6],3)</f>
        <v>0</v>
      </c>
      <c r="EK37" s="6">
        <f>QUARTILE(Table117[RI7],3)</f>
        <v>0.5</v>
      </c>
      <c r="EL37" s="6">
        <f>QUARTILE(Table117[RI8],3)</f>
        <v>1</v>
      </c>
      <c r="EM37" s="6">
        <f>QUARTILE(Table117[RI9],3)</f>
        <v>0</v>
      </c>
      <c r="EN37" s="6">
        <f>QUARTILE(Table117[RI10],3)</f>
        <v>0</v>
      </c>
      <c r="EO37" s="6">
        <f>QUARTILE(Table117[RI11],3)</f>
        <v>0.5</v>
      </c>
      <c r="EP37" s="6">
        <f>QUARTILE(Table117[RI12],3)</f>
        <v>0.75</v>
      </c>
      <c r="EQ37" s="6">
        <f>QUARTILE(Table117[RI13],3)</f>
        <v>0</v>
      </c>
      <c r="ER37" s="6">
        <f>QUARTILE(Table117[RI14],3)</f>
        <v>0</v>
      </c>
      <c r="ES37" s="6">
        <f>QUARTILE(Table117[RI15],3)</f>
        <v>1</v>
      </c>
      <c r="ET37" s="6">
        <f>QUARTILE(Table117[RT],3)</f>
        <v>6</v>
      </c>
      <c r="EU37" s="6">
        <f>QUARTILE(Table117[OI1],3)</f>
        <v>0.5</v>
      </c>
      <c r="EV37" s="6">
        <f>QUARTILE(Table117[OI2],3)</f>
        <v>1</v>
      </c>
      <c r="EW37" s="6">
        <f>QUARTILE(Table117[OI3],3)</f>
        <v>1</v>
      </c>
      <c r="EX37" s="6">
        <f>QUARTILE(Table117[OI4],3)</f>
        <v>0</v>
      </c>
      <c r="EY37" s="6">
        <f>QUARTILE(Table117[OI5],3)</f>
        <v>0</v>
      </c>
      <c r="EZ37" s="6">
        <f>QUARTILE(Table117[OI6],3)</f>
        <v>1</v>
      </c>
      <c r="FA37" s="6">
        <f>QUARTILE(Table117[OI7],3)</f>
        <v>0</v>
      </c>
      <c r="FB37" s="6">
        <f>QUARTILE(Table117[OI8],3)</f>
        <v>1</v>
      </c>
      <c r="FC37" s="6">
        <f>QUARTILE(Table117[OI9],3)</f>
        <v>1</v>
      </c>
      <c r="FD37" s="6">
        <f>QUARTILE(Table117[OI10],3)</f>
        <v>0.25</v>
      </c>
      <c r="FE37" s="6">
        <f>QUARTILE(Table117[OI11],3)</f>
        <v>0</v>
      </c>
      <c r="FF37" s="6">
        <f>QUARTILE(Table117[OI12],3)</f>
        <v>0</v>
      </c>
      <c r="FG37" s="6">
        <f>QUARTILE(Table117[OI13],3)</f>
        <v>0</v>
      </c>
      <c r="FH37" s="6">
        <f>QUARTILE(Table117[OI14],3)</f>
        <v>0</v>
      </c>
      <c r="FI37" s="6">
        <f>QUARTILE(Table117[OI15],3)</f>
        <v>0</v>
      </c>
      <c r="FJ37" s="6">
        <f>QUARTILE(Table117[OT],3)</f>
        <v>5.5</v>
      </c>
      <c r="FM37" s="55" t="s">
        <v>228</v>
      </c>
    </row>
    <row r="38" spans="1:169" x14ac:dyDescent="0.25">
      <c r="A38" s="81" t="s">
        <v>229</v>
      </c>
      <c r="B38" s="53"/>
      <c r="C38" s="53"/>
      <c r="D38" s="53"/>
      <c r="E38" s="4"/>
      <c r="F38" s="54"/>
      <c r="G38" s="80"/>
      <c r="H38" s="80"/>
      <c r="I38" s="80"/>
      <c r="J38" s="5">
        <f>MEDIAN(Table117[S-IP])</f>
        <v>3.6666666666666665</v>
      </c>
      <c r="K38" s="6">
        <f>MEDIAN(Table117[S-H])</f>
        <v>3</v>
      </c>
      <c r="L38" s="6">
        <f>MEDIAN(Table117[S-R])</f>
        <v>1</v>
      </c>
      <c r="M38" s="6">
        <f>MEDIAN(Table117[S-ER])</f>
        <v>1</v>
      </c>
      <c r="N38" s="6">
        <f>MEDIAN(Table117[S-BB])</f>
        <v>1</v>
      </c>
      <c r="O38" s="6">
        <f>MEDIAN(Table117[S-SO])</f>
        <v>2</v>
      </c>
      <c r="P38" s="6">
        <f>MEDIAN(Table117[S-HR])</f>
        <v>0</v>
      </c>
      <c r="Q38" s="6">
        <f>MEDIAN(Table117[S-HBP])</f>
        <v>0</v>
      </c>
      <c r="R38" s="6">
        <f>MEDIAN(Table117[S-BF])</f>
        <v>16</v>
      </c>
      <c r="S38" s="6"/>
      <c r="T38" s="6"/>
      <c r="U38" s="6">
        <f>MEDIAN(Table117[IRL])</f>
        <v>0</v>
      </c>
      <c r="V38" s="6">
        <f>MEDIAN(Table117[IRS])</f>
        <v>0</v>
      </c>
      <c r="W38" s="80"/>
      <c r="X38" s="80"/>
      <c r="Y38" s="80"/>
      <c r="Z38" s="80"/>
      <c r="AA38" s="80"/>
      <c r="AB38" s="5">
        <f>MEDIAN(Table117[B-IP])</f>
        <v>6</v>
      </c>
      <c r="AC38" s="6">
        <f>MEDIAN(Table117[B-H])</f>
        <v>5</v>
      </c>
      <c r="AD38" s="6">
        <f>MEDIAN(Table117[B-R])</f>
        <v>2</v>
      </c>
      <c r="AE38" s="6">
        <f>MEDIAN(Table117[B-ER])</f>
        <v>2</v>
      </c>
      <c r="AF38" s="6">
        <f>MEDIAN(Table117[B-BB])</f>
        <v>2</v>
      </c>
      <c r="AG38" s="6">
        <f>MEDIAN(Table117[B-SO])</f>
        <v>5</v>
      </c>
      <c r="AH38" s="6">
        <f>MEDIAN(Table117[B-HR])</f>
        <v>0</v>
      </c>
      <c r="AI38" s="6">
        <f>MEDIAN(Table117[B-HBP])</f>
        <v>0</v>
      </c>
      <c r="AJ38" s="6">
        <f>MEDIAN(Table117[B-BF])</f>
        <v>25</v>
      </c>
      <c r="AK38" s="6"/>
      <c r="AL38" s="6"/>
      <c r="AM38" s="80"/>
      <c r="AN38" s="6">
        <f>MEDIAN(Table117[AB1])</f>
        <v>4</v>
      </c>
      <c r="AO38" s="6">
        <f>MEDIAN(Table117[R1])</f>
        <v>1</v>
      </c>
      <c r="AP38" s="6">
        <f>MEDIAN(Table117[H1])</f>
        <v>1</v>
      </c>
      <c r="AQ38" s="6">
        <f>MEDIAN(Table117[RBI1])</f>
        <v>0</v>
      </c>
      <c r="AR38" s="6">
        <f>MEDIAN(Table117[BB1])</f>
        <v>0</v>
      </c>
      <c r="AS38" s="6">
        <f>MEDIAN(Table117[SO1])</f>
        <v>1</v>
      </c>
      <c r="AT38" s="6">
        <f>MEDIAN(Table117[HBP1])</f>
        <v>0</v>
      </c>
      <c r="AU38" s="6">
        <f>MEDIAN(Table117[SF1])</f>
        <v>0</v>
      </c>
      <c r="AV38" s="6">
        <f>MEDIAN(Table117[TB1])</f>
        <v>2</v>
      </c>
      <c r="AW38" s="80"/>
      <c r="AX38" s="6">
        <f>MEDIAN(Table117[AB2])</f>
        <v>4</v>
      </c>
      <c r="AY38" s="6">
        <f>MEDIAN(Table117[R2])</f>
        <v>0</v>
      </c>
      <c r="AZ38" s="6">
        <f>MEDIAN(Table117[H2])</f>
        <v>1</v>
      </c>
      <c r="BA38" s="6">
        <f>MEDIAN(Table117[RBI2])</f>
        <v>0</v>
      </c>
      <c r="BB38" s="6">
        <f>MEDIAN(Table117[BB2])</f>
        <v>0</v>
      </c>
      <c r="BC38" s="6">
        <f>MEDIAN(Table117[SO2])</f>
        <v>1</v>
      </c>
      <c r="BD38" s="6">
        <f>MEDIAN(Table117[HBP2])</f>
        <v>0</v>
      </c>
      <c r="BE38" s="6">
        <f>MEDIAN(Table117[SF2])</f>
        <v>0</v>
      </c>
      <c r="BF38" s="6">
        <f>MEDIAN(Table117[TB2])</f>
        <v>1</v>
      </c>
      <c r="BG38" s="80"/>
      <c r="BH38" s="6">
        <f>MEDIAN(Table117[AB3])</f>
        <v>4</v>
      </c>
      <c r="BI38" s="6">
        <f>MEDIAN(Table117[R3])</f>
        <v>0</v>
      </c>
      <c r="BJ38" s="6">
        <f>MEDIAN(Table117[H3])</f>
        <v>1</v>
      </c>
      <c r="BK38" s="6">
        <f>MEDIAN(Table117[RBI3])</f>
        <v>0</v>
      </c>
      <c r="BL38" s="6">
        <f>MEDIAN(Table117[BB3])</f>
        <v>0</v>
      </c>
      <c r="BM38" s="6">
        <f>MEDIAN(Table117[SO3])</f>
        <v>0</v>
      </c>
      <c r="BN38" s="6">
        <f>MEDIAN(Table117[HBP3])</f>
        <v>0</v>
      </c>
      <c r="BO38" s="6">
        <f>MEDIAN(Table117[SF3])</f>
        <v>0</v>
      </c>
      <c r="BP38" s="6">
        <f>MEDIAN(Table117[TB3])</f>
        <v>1</v>
      </c>
      <c r="BQ38" s="80"/>
      <c r="BR38" s="6">
        <f>MEDIAN(Table117[AB4])</f>
        <v>4</v>
      </c>
      <c r="BS38" s="6">
        <f>MEDIAN(Table117[R4])</f>
        <v>0</v>
      </c>
      <c r="BT38" s="6">
        <f>MEDIAN(Table117[H4])</f>
        <v>0</v>
      </c>
      <c r="BU38" s="6">
        <f>MEDIAN(Table117[RBI4])</f>
        <v>0</v>
      </c>
      <c r="BV38" s="6">
        <f>MEDIAN(Table117[BB4])</f>
        <v>0</v>
      </c>
      <c r="BW38" s="6">
        <f>MEDIAN(Table117[SO4])</f>
        <v>1</v>
      </c>
      <c r="BX38" s="6">
        <f>MEDIAN(Table117[HBP4])</f>
        <v>0</v>
      </c>
      <c r="BY38" s="6">
        <f>MEDIAN(Table117[SF4])</f>
        <v>0</v>
      </c>
      <c r="BZ38" s="6">
        <f>MEDIAN(Table117[TB4])</f>
        <v>0</v>
      </c>
      <c r="CA38" s="80"/>
      <c r="CB38" s="6">
        <f>MEDIAN(Table117[AB5])</f>
        <v>4</v>
      </c>
      <c r="CC38" s="6">
        <f>MEDIAN(Table117[R5])</f>
        <v>0</v>
      </c>
      <c r="CD38" s="6">
        <f>MEDIAN(Table117[H5])</f>
        <v>1</v>
      </c>
      <c r="CE38" s="6">
        <f>MEDIAN(Table117[RBI5])</f>
        <v>0</v>
      </c>
      <c r="CF38" s="6">
        <f>MEDIAN(Table117[BB5])</f>
        <v>0</v>
      </c>
      <c r="CG38" s="6">
        <f>MEDIAN(Table117[SO5])</f>
        <v>1</v>
      </c>
      <c r="CH38" s="6">
        <f>MEDIAN(Table117[HBP5])</f>
        <v>0</v>
      </c>
      <c r="CI38" s="6">
        <f>MEDIAN(Table117[SF5])</f>
        <v>0</v>
      </c>
      <c r="CJ38" s="6">
        <f>MEDIAN(Table117[TB5])</f>
        <v>1</v>
      </c>
      <c r="CK38" s="80"/>
      <c r="CL38" s="6">
        <f>MEDIAN(Table117[AB6])</f>
        <v>4</v>
      </c>
      <c r="CM38" s="6">
        <f>MEDIAN(Table117[R6])</f>
        <v>0</v>
      </c>
      <c r="CN38" s="6">
        <f>MEDIAN(Table117[H6])</f>
        <v>1</v>
      </c>
      <c r="CO38" s="6">
        <f>MEDIAN(Table117[RBI6])</f>
        <v>0</v>
      </c>
      <c r="CP38" s="6">
        <f>MEDIAN(Table117[BB6])</f>
        <v>0</v>
      </c>
      <c r="CQ38" s="6">
        <f>MEDIAN(Table117[SO6])</f>
        <v>1</v>
      </c>
      <c r="CR38" s="6">
        <f>MEDIAN(Table117[HBP6])</f>
        <v>0</v>
      </c>
      <c r="CS38" s="6">
        <f>MEDIAN(Table117[SF6])</f>
        <v>0</v>
      </c>
      <c r="CT38" s="6">
        <f>MEDIAN(Table117[TB6])</f>
        <v>1</v>
      </c>
      <c r="CU38" s="80"/>
      <c r="CV38" s="6">
        <f>MEDIAN(Table117[AB7])</f>
        <v>4</v>
      </c>
      <c r="CW38" s="6">
        <f>MEDIAN(Table117[R7])</f>
        <v>0</v>
      </c>
      <c r="CX38" s="6">
        <f>MEDIAN(Table117[H7])</f>
        <v>0</v>
      </c>
      <c r="CY38" s="6">
        <f>MEDIAN(Table117[RBI7])</f>
        <v>0</v>
      </c>
      <c r="CZ38" s="6">
        <f>MEDIAN(Table117[BB7])</f>
        <v>0</v>
      </c>
      <c r="DA38" s="6">
        <f>MEDIAN(Table117[SO7])</f>
        <v>1</v>
      </c>
      <c r="DB38" s="6">
        <f>MEDIAN(Table117[HBP7])</f>
        <v>0</v>
      </c>
      <c r="DC38" s="6">
        <f>MEDIAN(Table117[SF7])</f>
        <v>0</v>
      </c>
      <c r="DD38" s="6">
        <f>MEDIAN(Table117[TB7])</f>
        <v>0</v>
      </c>
      <c r="DE38" s="80"/>
      <c r="DF38" s="6">
        <f>MEDIAN(Table117[AB8])</f>
        <v>4</v>
      </c>
      <c r="DG38" s="6">
        <f>MEDIAN(Table117[R8])</f>
        <v>0</v>
      </c>
      <c r="DH38" s="6">
        <f>MEDIAN(Table117[H8])</f>
        <v>1</v>
      </c>
      <c r="DI38" s="6">
        <f>MEDIAN(Table117[RBI8])</f>
        <v>0</v>
      </c>
      <c r="DJ38" s="6">
        <f>MEDIAN(Table117[BB8])</f>
        <v>0</v>
      </c>
      <c r="DK38" s="6">
        <f>MEDIAN(Table117[SO8])</f>
        <v>1</v>
      </c>
      <c r="DL38" s="6">
        <f>MEDIAN(Table117[HBP8])</f>
        <v>0</v>
      </c>
      <c r="DM38" s="6">
        <f>MEDIAN(Table117[SF8])</f>
        <v>0</v>
      </c>
      <c r="DN38" s="6">
        <f>MEDIAN(Table117[TB8])</f>
        <v>1</v>
      </c>
      <c r="DO38" s="80"/>
      <c r="DP38" s="6">
        <f>MEDIAN(Table117[AB9])</f>
        <v>3</v>
      </c>
      <c r="DQ38" s="6">
        <f>MEDIAN(Table117[R9])</f>
        <v>0</v>
      </c>
      <c r="DR38" s="6">
        <f>MEDIAN(Table117[H9])</f>
        <v>0</v>
      </c>
      <c r="DS38" s="6">
        <f>MEDIAN(Table117[RBI9])</f>
        <v>0</v>
      </c>
      <c r="DT38" s="6">
        <f>MEDIAN(Table117[BB9])</f>
        <v>0</v>
      </c>
      <c r="DU38" s="6">
        <f>MEDIAN(Table117[SO9])</f>
        <v>0</v>
      </c>
      <c r="DV38" s="6">
        <f>MEDIAN(Table117[HBP9])</f>
        <v>0</v>
      </c>
      <c r="DW38" s="6">
        <f>MEDIAN(Table117[SF9])</f>
        <v>0</v>
      </c>
      <c r="DX38" s="6">
        <f>MEDIAN(Table117[TB9])</f>
        <v>0</v>
      </c>
      <c r="DY38" s="5">
        <f>MEDIAN(Table117[IVL])</f>
        <v>1</v>
      </c>
      <c r="DZ38" s="6">
        <f>MEDIAN(Table117[SVL])</f>
        <v>0</v>
      </c>
      <c r="EA38" s="6">
        <f>MEDIAN(Table117[CVL])</f>
        <v>0</v>
      </c>
      <c r="EB38" s="5">
        <f>MEDIAN(Table117[IVR])</f>
        <v>7</v>
      </c>
      <c r="EC38" s="6">
        <f>MEDIAN(Table117[SVR])</f>
        <v>0</v>
      </c>
      <c r="ED38" s="6">
        <f>MEDIAN(Table117[CVR])</f>
        <v>0</v>
      </c>
      <c r="EE38" s="6">
        <f>MEDIAN(Table117[RI1])</f>
        <v>0</v>
      </c>
      <c r="EF38" s="6">
        <f>MEDIAN(Table117[RI2])</f>
        <v>0</v>
      </c>
      <c r="EG38" s="6">
        <f>MEDIAN(Table117[RI3])</f>
        <v>0</v>
      </c>
      <c r="EH38" s="6">
        <f>MEDIAN(Table117[RI4])</f>
        <v>0</v>
      </c>
      <c r="EI38" s="6">
        <f>MEDIAN(Table117[RI5])</f>
        <v>0</v>
      </c>
      <c r="EJ38" s="6">
        <f>MEDIAN(Table117[RI6])</f>
        <v>0</v>
      </c>
      <c r="EK38" s="6">
        <f>MEDIAN(Table117[RI7])</f>
        <v>0</v>
      </c>
      <c r="EL38" s="6">
        <f>MEDIAN(Table117[RI8])</f>
        <v>0</v>
      </c>
      <c r="EM38" s="6">
        <f>MEDIAN(Table117[RI9])</f>
        <v>0</v>
      </c>
      <c r="EN38" s="6">
        <f>MEDIAN(Table117[RI10])</f>
        <v>0</v>
      </c>
      <c r="EO38" s="6">
        <f>MEDIAN(Table117[RI11])</f>
        <v>0</v>
      </c>
      <c r="EP38" s="6">
        <f>MEDIAN(Table117[RI12])</f>
        <v>0.5</v>
      </c>
      <c r="EQ38" s="6">
        <f>MEDIAN(Table117[RI13])</f>
        <v>0</v>
      </c>
      <c r="ER38" s="6">
        <f>MEDIAN(Table117[RI14])</f>
        <v>0</v>
      </c>
      <c r="ES38" s="6">
        <f>MEDIAN(Table117[RI15])</f>
        <v>1</v>
      </c>
      <c r="ET38" s="6">
        <f>MEDIAN(Table117[RT])</f>
        <v>4</v>
      </c>
      <c r="EU38" s="6">
        <f>MEDIAN(Table117[OI1])</f>
        <v>0</v>
      </c>
      <c r="EV38" s="6">
        <f>MEDIAN(Table117[OI2])</f>
        <v>0</v>
      </c>
      <c r="EW38" s="6">
        <f>MEDIAN(Table117[OI3])</f>
        <v>0</v>
      </c>
      <c r="EX38" s="6">
        <f>MEDIAN(Table117[OI4])</f>
        <v>0</v>
      </c>
      <c r="EY38" s="6">
        <f>MEDIAN(Table117[OI5])</f>
        <v>0</v>
      </c>
      <c r="EZ38" s="6">
        <f>MEDIAN(Table117[OI6])</f>
        <v>0</v>
      </c>
      <c r="FA38" s="6">
        <f>MEDIAN(Table117[OI7])</f>
        <v>0</v>
      </c>
      <c r="FB38" s="6">
        <f>MEDIAN(Table117[OI8])</f>
        <v>0</v>
      </c>
      <c r="FC38" s="6">
        <f>MEDIAN(Table117[OI9])</f>
        <v>0</v>
      </c>
      <c r="FD38" s="6">
        <f>MEDIAN(Table117[OI10])</f>
        <v>0</v>
      </c>
      <c r="FE38" s="6">
        <f>MEDIAN(Table117[OI11])</f>
        <v>0</v>
      </c>
      <c r="FF38" s="6">
        <f>MEDIAN(Table117[OI12])</f>
        <v>0</v>
      </c>
      <c r="FG38" s="6">
        <f>MEDIAN(Table117[OI13])</f>
        <v>0</v>
      </c>
      <c r="FH38" s="6">
        <f>MEDIAN(Table117[OI14])</f>
        <v>0</v>
      </c>
      <c r="FI38" s="6">
        <f>MEDIAN(Table117[OI15])</f>
        <v>0</v>
      </c>
      <c r="FJ38" s="6">
        <f>MEDIAN(Table117[OT])</f>
        <v>4</v>
      </c>
      <c r="FM38" s="55" t="s">
        <v>229</v>
      </c>
    </row>
    <row r="39" spans="1:169" x14ac:dyDescent="0.25">
      <c r="A39" s="81" t="s">
        <v>230</v>
      </c>
      <c r="B39" s="53"/>
      <c r="C39" s="53"/>
      <c r="D39" s="53"/>
      <c r="E39" s="4"/>
      <c r="F39" s="54"/>
      <c r="G39" s="80"/>
      <c r="H39" s="80"/>
      <c r="I39" s="80"/>
      <c r="J39" s="5">
        <f>QUARTILE(Table117[S-IP],1)</f>
        <v>3</v>
      </c>
      <c r="K39" s="6">
        <f>QUARTILE(Table117[S-H],1)</f>
        <v>1</v>
      </c>
      <c r="L39" s="6">
        <f>QUARTILE(Table117[S-R],1)</f>
        <v>0</v>
      </c>
      <c r="M39" s="6">
        <f>QUARTILE(Table117[S-ER],1)</f>
        <v>0</v>
      </c>
      <c r="N39" s="6">
        <f>QUARTILE(Table117[S-BB],1)</f>
        <v>0</v>
      </c>
      <c r="O39" s="6">
        <f>QUARTILE(Table117[S-SO],1)</f>
        <v>1</v>
      </c>
      <c r="P39" s="6">
        <f>QUARTILE(Table117[S-HR],1)</f>
        <v>0</v>
      </c>
      <c r="Q39" s="6">
        <f>QUARTILE(Table117[S-HBP],1)</f>
        <v>0</v>
      </c>
      <c r="R39" s="6">
        <f>QUARTILE(Table117[S-BF],1)</f>
        <v>9.5</v>
      </c>
      <c r="S39" s="6"/>
      <c r="T39" s="6"/>
      <c r="U39" s="6">
        <f>QUARTILE(Table117[IRL],1)</f>
        <v>0</v>
      </c>
      <c r="V39" s="6">
        <f>QUARTILE(Table117[IRS],1)</f>
        <v>0</v>
      </c>
      <c r="W39" s="80"/>
      <c r="X39" s="80"/>
      <c r="Y39" s="80"/>
      <c r="Z39" s="80"/>
      <c r="AA39" s="80"/>
      <c r="AB39" s="5">
        <f>QUARTILE(Table117[B-IP],1)</f>
        <v>4</v>
      </c>
      <c r="AC39" s="6">
        <f>QUARTILE(Table117[B-H],1)</f>
        <v>3</v>
      </c>
      <c r="AD39" s="6">
        <f>QUARTILE(Table117[B-R],1)</f>
        <v>1</v>
      </c>
      <c r="AE39" s="6">
        <f>QUARTILE(Table117[B-ER],1)</f>
        <v>0</v>
      </c>
      <c r="AF39" s="6">
        <f>QUARTILE(Table117[B-BB],1)</f>
        <v>1</v>
      </c>
      <c r="AG39" s="6">
        <f>QUARTILE(Table117[B-SO],1)</f>
        <v>2.5</v>
      </c>
      <c r="AH39" s="6">
        <f>QUARTILE(Table117[B-HR],1)</f>
        <v>0</v>
      </c>
      <c r="AI39" s="6">
        <f>QUARTILE(Table117[B-HBP],1)</f>
        <v>0</v>
      </c>
      <c r="AJ39" s="6">
        <f>QUARTILE(Table117[B-BF],1)</f>
        <v>19</v>
      </c>
      <c r="AK39" s="6"/>
      <c r="AL39" s="6"/>
      <c r="AM39" s="80"/>
      <c r="AN39" s="6">
        <f>QUARTILE(Table117[AB1],1)</f>
        <v>4</v>
      </c>
      <c r="AO39" s="6">
        <f>QUARTILE(Table117[R1],1)</f>
        <v>0</v>
      </c>
      <c r="AP39" s="6">
        <f>QUARTILE(Table117[H1],1)</f>
        <v>0</v>
      </c>
      <c r="AQ39" s="6">
        <f>QUARTILE(Table117[RBI1],1)</f>
        <v>0</v>
      </c>
      <c r="AR39" s="6">
        <f>QUARTILE(Table117[BB1],1)</f>
        <v>0</v>
      </c>
      <c r="AS39" s="6">
        <f>QUARTILE(Table117[SO1],1)</f>
        <v>0</v>
      </c>
      <c r="AT39" s="6">
        <f>QUARTILE(Table117[HBP1],1)</f>
        <v>0</v>
      </c>
      <c r="AU39" s="6">
        <f>QUARTILE(Table117[SF1],1)</f>
        <v>0</v>
      </c>
      <c r="AV39" s="6">
        <f>QUARTILE(Table117[TB1],1)</f>
        <v>0</v>
      </c>
      <c r="AW39" s="80"/>
      <c r="AX39" s="6">
        <f>QUARTILE(Table117[AB2],1)</f>
        <v>4</v>
      </c>
      <c r="AY39" s="6">
        <f>QUARTILE(Table117[R2],1)</f>
        <v>0</v>
      </c>
      <c r="AZ39" s="6">
        <f>QUARTILE(Table117[H2],1)</f>
        <v>1</v>
      </c>
      <c r="BA39" s="6">
        <f>QUARTILE(Table117[RBI2],1)</f>
        <v>0</v>
      </c>
      <c r="BB39" s="6">
        <f>QUARTILE(Table117[BB2],1)</f>
        <v>0</v>
      </c>
      <c r="BC39" s="6">
        <f>QUARTILE(Table117[SO2],1)</f>
        <v>0</v>
      </c>
      <c r="BD39" s="6">
        <f>QUARTILE(Table117[HBP2],1)</f>
        <v>0</v>
      </c>
      <c r="BE39" s="6">
        <f>QUARTILE(Table117[SF2],1)</f>
        <v>0</v>
      </c>
      <c r="BF39" s="6">
        <f>QUARTILE(Table117[TB2],1)</f>
        <v>1</v>
      </c>
      <c r="BG39" s="80"/>
      <c r="BH39" s="6">
        <f>QUARTILE(Table117[AB3],1)</f>
        <v>3</v>
      </c>
      <c r="BI39" s="6">
        <f>QUARTILE(Table117[R3],1)</f>
        <v>0</v>
      </c>
      <c r="BJ39" s="6">
        <f>QUARTILE(Table117[H3],1)</f>
        <v>0</v>
      </c>
      <c r="BK39" s="6">
        <f>QUARTILE(Table117[RBI3],1)</f>
        <v>0</v>
      </c>
      <c r="BL39" s="6">
        <f>QUARTILE(Table117[BB3],1)</f>
        <v>0</v>
      </c>
      <c r="BM39" s="6">
        <f>QUARTILE(Table117[SO3],1)</f>
        <v>0</v>
      </c>
      <c r="BN39" s="6">
        <f>QUARTILE(Table117[HBP3],1)</f>
        <v>0</v>
      </c>
      <c r="BO39" s="6">
        <f>QUARTILE(Table117[SF3],1)</f>
        <v>0</v>
      </c>
      <c r="BP39" s="6">
        <f>QUARTILE(Table117[TB3],1)</f>
        <v>0</v>
      </c>
      <c r="BQ39" s="80"/>
      <c r="BR39" s="6">
        <f>QUARTILE(Table117[AB4],1)</f>
        <v>3</v>
      </c>
      <c r="BS39" s="6">
        <f>QUARTILE(Table117[R4],1)</f>
        <v>0</v>
      </c>
      <c r="BT39" s="6">
        <f>QUARTILE(Table117[H4],1)</f>
        <v>0</v>
      </c>
      <c r="BU39" s="6">
        <f>QUARTILE(Table117[RBI4],1)</f>
        <v>0</v>
      </c>
      <c r="BV39" s="6">
        <f>QUARTILE(Table117[BB4],1)</f>
        <v>0</v>
      </c>
      <c r="BW39" s="6">
        <f>QUARTILE(Table117[SO4],1)</f>
        <v>0</v>
      </c>
      <c r="BX39" s="6">
        <f>QUARTILE(Table117[HBP4],1)</f>
        <v>0</v>
      </c>
      <c r="BY39" s="6">
        <f>QUARTILE(Table117[SF4],1)</f>
        <v>0</v>
      </c>
      <c r="BZ39" s="6">
        <f>QUARTILE(Table117[TB4],1)</f>
        <v>0</v>
      </c>
      <c r="CA39" s="80"/>
      <c r="CB39" s="6">
        <f>QUARTILE(Table117[AB5],1)</f>
        <v>3</v>
      </c>
      <c r="CC39" s="6">
        <f>QUARTILE(Table117[R5],1)</f>
        <v>0</v>
      </c>
      <c r="CD39" s="6">
        <f>QUARTILE(Table117[H5],1)</f>
        <v>0</v>
      </c>
      <c r="CE39" s="6">
        <f>QUARTILE(Table117[RBI5],1)</f>
        <v>0</v>
      </c>
      <c r="CF39" s="6">
        <f>QUARTILE(Table117[BB5],1)</f>
        <v>0</v>
      </c>
      <c r="CG39" s="6">
        <f>QUARTILE(Table117[SO5],1)</f>
        <v>0</v>
      </c>
      <c r="CH39" s="6">
        <f>QUARTILE(Table117[HBP5],1)</f>
        <v>0</v>
      </c>
      <c r="CI39" s="6">
        <f>QUARTILE(Table117[SF5],1)</f>
        <v>0</v>
      </c>
      <c r="CJ39" s="6">
        <f>QUARTILE(Table117[TB5],1)</f>
        <v>0</v>
      </c>
      <c r="CK39" s="80"/>
      <c r="CL39" s="6">
        <f>QUARTILE(Table117[AB6],1)</f>
        <v>3</v>
      </c>
      <c r="CM39" s="6">
        <f>QUARTILE(Table117[R6],1)</f>
        <v>0</v>
      </c>
      <c r="CN39" s="6">
        <f>QUARTILE(Table117[H6],1)</f>
        <v>0</v>
      </c>
      <c r="CO39" s="6">
        <f>QUARTILE(Table117[RBI6],1)</f>
        <v>0</v>
      </c>
      <c r="CP39" s="6">
        <f>QUARTILE(Table117[BB6],1)</f>
        <v>0</v>
      </c>
      <c r="CQ39" s="6">
        <f>QUARTILE(Table117[SO6],1)</f>
        <v>0</v>
      </c>
      <c r="CR39" s="6">
        <f>QUARTILE(Table117[HBP6],1)</f>
        <v>0</v>
      </c>
      <c r="CS39" s="6">
        <f>QUARTILE(Table117[SF6],1)</f>
        <v>0</v>
      </c>
      <c r="CT39" s="6">
        <f>QUARTILE(Table117[TB6],1)</f>
        <v>0</v>
      </c>
      <c r="CU39" s="80"/>
      <c r="CV39" s="6">
        <f>QUARTILE(Table117[AB7],1)</f>
        <v>3</v>
      </c>
      <c r="CW39" s="6">
        <f>QUARTILE(Table117[R7],1)</f>
        <v>0</v>
      </c>
      <c r="CX39" s="6">
        <f>QUARTILE(Table117[H7],1)</f>
        <v>0</v>
      </c>
      <c r="CY39" s="6">
        <f>QUARTILE(Table117[RBI7],1)</f>
        <v>0</v>
      </c>
      <c r="CZ39" s="6">
        <f>QUARTILE(Table117[BB7],1)</f>
        <v>0</v>
      </c>
      <c r="DA39" s="6">
        <f>QUARTILE(Table117[SO7],1)</f>
        <v>1</v>
      </c>
      <c r="DB39" s="6">
        <f>QUARTILE(Table117[HBP7],1)</f>
        <v>0</v>
      </c>
      <c r="DC39" s="6">
        <f>QUARTILE(Table117[SF7],1)</f>
        <v>0</v>
      </c>
      <c r="DD39" s="6">
        <f>QUARTILE(Table117[TB7],1)</f>
        <v>0</v>
      </c>
      <c r="DE39" s="80"/>
      <c r="DF39" s="6">
        <f>QUARTILE(Table117[AB8],1)</f>
        <v>2.5</v>
      </c>
      <c r="DG39" s="6">
        <f>QUARTILE(Table117[R8],1)</f>
        <v>0</v>
      </c>
      <c r="DH39" s="6">
        <f>QUARTILE(Table117[H8],1)</f>
        <v>0</v>
      </c>
      <c r="DI39" s="6">
        <f>QUARTILE(Table117[RBI8],1)</f>
        <v>0</v>
      </c>
      <c r="DJ39" s="6">
        <f>QUARTILE(Table117[BB8],1)</f>
        <v>0</v>
      </c>
      <c r="DK39" s="6">
        <f>QUARTILE(Table117[SO8],1)</f>
        <v>0</v>
      </c>
      <c r="DL39" s="6">
        <f>QUARTILE(Table117[HBP8],1)</f>
        <v>0</v>
      </c>
      <c r="DM39" s="6">
        <f>QUARTILE(Table117[SF8],1)</f>
        <v>0</v>
      </c>
      <c r="DN39" s="6">
        <f>QUARTILE(Table117[TB8],1)</f>
        <v>0</v>
      </c>
      <c r="DO39" s="80"/>
      <c r="DP39" s="6">
        <f>QUARTILE(Table117[AB9],1)</f>
        <v>3</v>
      </c>
      <c r="DQ39" s="6">
        <f>QUARTILE(Table117[R9],1)</f>
        <v>0</v>
      </c>
      <c r="DR39" s="6">
        <f>QUARTILE(Table117[H9],1)</f>
        <v>0</v>
      </c>
      <c r="DS39" s="6">
        <f>QUARTILE(Table117[RBI9],1)</f>
        <v>0</v>
      </c>
      <c r="DT39" s="6">
        <f>QUARTILE(Table117[BB9],1)</f>
        <v>0</v>
      </c>
      <c r="DU39" s="6">
        <f>QUARTILE(Table117[SO9],1)</f>
        <v>0</v>
      </c>
      <c r="DV39" s="6">
        <f>QUARTILE(Table117[HBP9],1)</f>
        <v>0</v>
      </c>
      <c r="DW39" s="6">
        <f>QUARTILE(Table117[SF9],1)</f>
        <v>0</v>
      </c>
      <c r="DX39" s="6">
        <f>QUARTILE(Table117[TB9],1)</f>
        <v>0</v>
      </c>
      <c r="DY39" s="5">
        <f>QUARTILE(Table117[IVL],1)</f>
        <v>0</v>
      </c>
      <c r="DZ39" s="6">
        <f>QUARTILE(Table117[SVL],1)</f>
        <v>0</v>
      </c>
      <c r="EA39" s="6">
        <f>QUARTILE(Table117[CVL],1)</f>
        <v>0</v>
      </c>
      <c r="EB39" s="5">
        <f>QUARTILE(Table117[IVR],1)</f>
        <v>4.5</v>
      </c>
      <c r="EC39" s="6">
        <f>QUARTILE(Table117[SVR],1)</f>
        <v>0</v>
      </c>
      <c r="ED39" s="6">
        <f>QUARTILE(Table117[CVR],1)</f>
        <v>0</v>
      </c>
      <c r="EE39" s="6">
        <f>QUARTILE(Table117[RI1],1)</f>
        <v>0</v>
      </c>
      <c r="EF39" s="6">
        <f>QUARTILE(Table117[RI2],1)</f>
        <v>0</v>
      </c>
      <c r="EG39" s="6">
        <f>QUARTILE(Table117[RI3],1)</f>
        <v>0</v>
      </c>
      <c r="EH39" s="6">
        <f>QUARTILE(Table117[RI4],1)</f>
        <v>0</v>
      </c>
      <c r="EI39" s="6">
        <f>QUARTILE(Table117[RI5],1)</f>
        <v>0</v>
      </c>
      <c r="EJ39" s="6">
        <f>QUARTILE(Table117[RI6],1)</f>
        <v>0</v>
      </c>
      <c r="EK39" s="6">
        <f>QUARTILE(Table117[RI7],1)</f>
        <v>0</v>
      </c>
      <c r="EL39" s="6">
        <f>QUARTILE(Table117[RI8],1)</f>
        <v>0</v>
      </c>
      <c r="EM39" s="6">
        <f>QUARTILE(Table117[RI9],1)</f>
        <v>0</v>
      </c>
      <c r="EN39" s="6">
        <f>QUARTILE(Table117[RI10],1)</f>
        <v>0</v>
      </c>
      <c r="EO39" s="6">
        <f>QUARTILE(Table117[RI11],1)</f>
        <v>0</v>
      </c>
      <c r="EP39" s="6">
        <f>QUARTILE(Table117[RI12],1)</f>
        <v>0.25</v>
      </c>
      <c r="EQ39" s="6">
        <f>QUARTILE(Table117[RI13],1)</f>
        <v>0</v>
      </c>
      <c r="ER39" s="6">
        <f>QUARTILE(Table117[RI14],1)</f>
        <v>0</v>
      </c>
      <c r="ES39" s="6">
        <f>QUARTILE(Table117[RI15],1)</f>
        <v>1</v>
      </c>
      <c r="ET39" s="6">
        <f>QUARTILE(Table117[RT],1)</f>
        <v>3</v>
      </c>
      <c r="EU39" s="6">
        <f>QUARTILE(Table117[OI1],1)</f>
        <v>0</v>
      </c>
      <c r="EV39" s="6">
        <f>QUARTILE(Table117[OI2],1)</f>
        <v>0</v>
      </c>
      <c r="EW39" s="6">
        <f>QUARTILE(Table117[OI3],1)</f>
        <v>0</v>
      </c>
      <c r="EX39" s="6">
        <f>QUARTILE(Table117[OI4],1)</f>
        <v>0</v>
      </c>
      <c r="EY39" s="6">
        <f>QUARTILE(Table117[OI5],1)</f>
        <v>0</v>
      </c>
      <c r="EZ39" s="6">
        <f>QUARTILE(Table117[OI6],1)</f>
        <v>0</v>
      </c>
      <c r="FA39" s="6">
        <f>QUARTILE(Table117[OI7],1)</f>
        <v>0</v>
      </c>
      <c r="FB39" s="6">
        <f>QUARTILE(Table117[OI8],1)</f>
        <v>0</v>
      </c>
      <c r="FC39" s="6">
        <f>QUARTILE(Table117[OI9],1)</f>
        <v>0</v>
      </c>
      <c r="FD39" s="6">
        <f>QUARTILE(Table117[OI10],1)</f>
        <v>0</v>
      </c>
      <c r="FE39" s="6">
        <f>QUARTILE(Table117[OI11],1)</f>
        <v>0</v>
      </c>
      <c r="FF39" s="6">
        <f>QUARTILE(Table117[OI12],1)</f>
        <v>0</v>
      </c>
      <c r="FG39" s="6">
        <f>QUARTILE(Table117[OI13],1)</f>
        <v>0</v>
      </c>
      <c r="FH39" s="6">
        <f>QUARTILE(Table117[OI14],1)</f>
        <v>0</v>
      </c>
      <c r="FI39" s="6">
        <f>QUARTILE(Table117[OI15],1)</f>
        <v>0</v>
      </c>
      <c r="FJ39" s="6">
        <f>QUARTILE(Table117[OT],1)</f>
        <v>3</v>
      </c>
      <c r="FM39" s="55" t="s">
        <v>230</v>
      </c>
    </row>
    <row r="40" spans="1:169" x14ac:dyDescent="0.25">
      <c r="A40" s="81" t="s">
        <v>231</v>
      </c>
      <c r="B40" s="53"/>
      <c r="C40" s="53"/>
      <c r="D40" s="53"/>
      <c r="E40" s="4"/>
      <c r="F40" s="54"/>
      <c r="G40" s="80"/>
      <c r="H40" s="80"/>
      <c r="I40" s="80"/>
      <c r="J40" s="5">
        <f>MIN(Table117[S-IP])</f>
        <v>1</v>
      </c>
      <c r="K40" s="6">
        <f>MIN(Table117[S-H])</f>
        <v>0</v>
      </c>
      <c r="L40" s="6">
        <f>MIN(Table117[S-R])</f>
        <v>0</v>
      </c>
      <c r="M40" s="6">
        <f>MIN(Table117[S-ER])</f>
        <v>0</v>
      </c>
      <c r="N40" s="6">
        <f>MIN(Table117[S-BB])</f>
        <v>0</v>
      </c>
      <c r="O40" s="6">
        <f>MIN(Table117[S-SO])</f>
        <v>0</v>
      </c>
      <c r="P40" s="6">
        <f>MIN(Table117[S-HR])</f>
        <v>0</v>
      </c>
      <c r="Q40" s="6">
        <f>MIN(Table117[S-HBP])</f>
        <v>0</v>
      </c>
      <c r="R40" s="6">
        <f>MIN(Table117[S-BF])</f>
        <v>4</v>
      </c>
      <c r="S40" s="6"/>
      <c r="T40" s="6"/>
      <c r="U40" s="6">
        <f>MIN(Table117[IRL])</f>
        <v>0</v>
      </c>
      <c r="V40" s="6">
        <f>MIN(Table117[IRS])</f>
        <v>0</v>
      </c>
      <c r="W40" s="80"/>
      <c r="X40" s="80"/>
      <c r="Y40" s="80"/>
      <c r="Z40" s="80"/>
      <c r="AA40" s="80"/>
      <c r="AB40" s="5">
        <f>MIN(Table117[B-IP])</f>
        <v>2</v>
      </c>
      <c r="AC40" s="6">
        <f>MIN(Table117[B-H])</f>
        <v>1</v>
      </c>
      <c r="AD40" s="6">
        <f>MIN(Table117[B-R])</f>
        <v>0</v>
      </c>
      <c r="AE40" s="6">
        <f>MIN(Table117[B-ER])</f>
        <v>0</v>
      </c>
      <c r="AF40" s="6">
        <f>MIN(Table117[B-BB])</f>
        <v>0</v>
      </c>
      <c r="AG40" s="6">
        <f>MIN(Table117[B-SO])</f>
        <v>0</v>
      </c>
      <c r="AH40" s="6">
        <f>MIN(Table117[B-HR])</f>
        <v>0</v>
      </c>
      <c r="AI40" s="6">
        <f>MIN(Table117[B-HBP])</f>
        <v>0</v>
      </c>
      <c r="AJ40" s="6">
        <f>MIN(Table117[B-BF])</f>
        <v>8</v>
      </c>
      <c r="AK40" s="6"/>
      <c r="AL40" s="6"/>
      <c r="AM40" s="80"/>
      <c r="AN40" s="6">
        <f>MIN(Table117[AB1])</f>
        <v>2</v>
      </c>
      <c r="AO40" s="6">
        <f>MIN(Table117[R1])</f>
        <v>0</v>
      </c>
      <c r="AP40" s="6">
        <f>MIN(Table117[H1])</f>
        <v>0</v>
      </c>
      <c r="AQ40" s="6">
        <f>MIN(Table117[RBI1])</f>
        <v>0</v>
      </c>
      <c r="AR40" s="6">
        <f>MIN(Table117[BB1])</f>
        <v>0</v>
      </c>
      <c r="AS40" s="6">
        <f>MIN(Table117[SO1])</f>
        <v>0</v>
      </c>
      <c r="AT40" s="6">
        <f>MIN(Table117[HBP1])</f>
        <v>0</v>
      </c>
      <c r="AU40" s="6">
        <f>MIN(Table117[SF1])</f>
        <v>0</v>
      </c>
      <c r="AV40" s="6">
        <f>MIN(Table117[TB1])</f>
        <v>0</v>
      </c>
      <c r="AW40" s="80"/>
      <c r="AX40" s="6">
        <f>MIN(Table117[AB2])</f>
        <v>3</v>
      </c>
      <c r="AY40" s="6">
        <f>MIN(Table117[R2])</f>
        <v>0</v>
      </c>
      <c r="AZ40" s="6">
        <f>MIN(Table117[H2])</f>
        <v>0</v>
      </c>
      <c r="BA40" s="6">
        <f>MIN(Table117[RBI2])</f>
        <v>0</v>
      </c>
      <c r="BB40" s="6">
        <f>MIN(Table117[BB2])</f>
        <v>0</v>
      </c>
      <c r="BC40" s="6">
        <f>MIN(Table117[SO2])</f>
        <v>0</v>
      </c>
      <c r="BD40" s="6">
        <f>MIN(Table117[HBP2])</f>
        <v>0</v>
      </c>
      <c r="BE40" s="6">
        <f>MIN(Table117[SF2])</f>
        <v>0</v>
      </c>
      <c r="BF40" s="6">
        <f>MIN(Table117[TB2])</f>
        <v>0</v>
      </c>
      <c r="BG40" s="80"/>
      <c r="BH40" s="6">
        <f>MIN(Table117[AB3])</f>
        <v>1</v>
      </c>
      <c r="BI40" s="6">
        <f>MIN(Table117[R3])</f>
        <v>0</v>
      </c>
      <c r="BJ40" s="6">
        <f>MIN(Table117[H3])</f>
        <v>0</v>
      </c>
      <c r="BK40" s="6">
        <f>MIN(Table117[RBI3])</f>
        <v>0</v>
      </c>
      <c r="BL40" s="6">
        <f>MIN(Table117[BB3])</f>
        <v>0</v>
      </c>
      <c r="BM40" s="6">
        <f>MIN(Table117[SO3])</f>
        <v>0</v>
      </c>
      <c r="BN40" s="6">
        <f>MIN(Table117[HBP3])</f>
        <v>0</v>
      </c>
      <c r="BO40" s="6">
        <f>MIN(Table117[SF3])</f>
        <v>0</v>
      </c>
      <c r="BP40" s="6">
        <f>MIN(Table117[TB3])</f>
        <v>0</v>
      </c>
      <c r="BQ40" s="80"/>
      <c r="BR40" s="6">
        <f>MIN(Table117[AB4])</f>
        <v>2</v>
      </c>
      <c r="BS40" s="6">
        <f>MIN(Table117[R4])</f>
        <v>0</v>
      </c>
      <c r="BT40" s="6">
        <f>MIN(Table117[H4])</f>
        <v>0</v>
      </c>
      <c r="BU40" s="6">
        <f>MIN(Table117[RBI4])</f>
        <v>0</v>
      </c>
      <c r="BV40" s="6">
        <f>MIN(Table117[BB4])</f>
        <v>0</v>
      </c>
      <c r="BW40" s="6">
        <f>MIN(Table117[SO4])</f>
        <v>0</v>
      </c>
      <c r="BX40" s="6">
        <f>MIN(Table117[HBP4])</f>
        <v>0</v>
      </c>
      <c r="BY40" s="6">
        <f>MIN(Table117[SF4])</f>
        <v>0</v>
      </c>
      <c r="BZ40" s="6">
        <f>MIN(Table117[TB4])</f>
        <v>0</v>
      </c>
      <c r="CA40" s="80"/>
      <c r="CB40" s="6">
        <f>MIN(Table117[AB5])</f>
        <v>2</v>
      </c>
      <c r="CC40" s="6">
        <f>MIN(Table117[R5])</f>
        <v>0</v>
      </c>
      <c r="CD40" s="6">
        <f>MIN(Table117[H5])</f>
        <v>0</v>
      </c>
      <c r="CE40" s="6">
        <f>MIN(Table117[RBI5])</f>
        <v>0</v>
      </c>
      <c r="CF40" s="6">
        <f>MIN(Table117[BB5])</f>
        <v>0</v>
      </c>
      <c r="CG40" s="6">
        <f>MIN(Table117[SO5])</f>
        <v>0</v>
      </c>
      <c r="CH40" s="6">
        <f>MIN(Table117[HBP5])</f>
        <v>0</v>
      </c>
      <c r="CI40" s="6">
        <f>MIN(Table117[SF5])</f>
        <v>0</v>
      </c>
      <c r="CJ40" s="6">
        <f>MIN(Table117[TB5])</f>
        <v>0</v>
      </c>
      <c r="CK40" s="80"/>
      <c r="CL40" s="6">
        <f>MIN(Table117[AB6])</f>
        <v>2</v>
      </c>
      <c r="CM40" s="6">
        <f>MIN(Table117[R6])</f>
        <v>0</v>
      </c>
      <c r="CN40" s="6">
        <f>MIN(Table117[H6])</f>
        <v>0</v>
      </c>
      <c r="CO40" s="6">
        <f>MIN(Table117[RBI6])</f>
        <v>0</v>
      </c>
      <c r="CP40" s="6">
        <f>MIN(Table117[BB6])</f>
        <v>0</v>
      </c>
      <c r="CQ40" s="6">
        <f>MIN(Table117[SO6])</f>
        <v>0</v>
      </c>
      <c r="CR40" s="6">
        <f>MIN(Table117[HBP6])</f>
        <v>0</v>
      </c>
      <c r="CS40" s="6">
        <f>MIN(Table117[SF6])</f>
        <v>0</v>
      </c>
      <c r="CT40" s="6">
        <f>MIN(Table117[TB6])</f>
        <v>0</v>
      </c>
      <c r="CU40" s="80"/>
      <c r="CV40" s="6">
        <f>MIN(Table117[AB7])</f>
        <v>1</v>
      </c>
      <c r="CW40" s="6">
        <f>MIN(Table117[R7])</f>
        <v>0</v>
      </c>
      <c r="CX40" s="6">
        <f>MIN(Table117[H7])</f>
        <v>0</v>
      </c>
      <c r="CY40" s="6">
        <f>MIN(Table117[RBI7])</f>
        <v>0</v>
      </c>
      <c r="CZ40" s="6">
        <f>MIN(Table117[BB7])</f>
        <v>0</v>
      </c>
      <c r="DA40" s="6">
        <f>MIN(Table117[SO7])</f>
        <v>0</v>
      </c>
      <c r="DB40" s="6">
        <f>MIN(Table117[HBP7])</f>
        <v>0</v>
      </c>
      <c r="DC40" s="6">
        <f>MIN(Table117[SF7])</f>
        <v>0</v>
      </c>
      <c r="DD40" s="6">
        <f>MIN(Table117[TB7])</f>
        <v>0</v>
      </c>
      <c r="DE40" s="80"/>
      <c r="DF40" s="6">
        <f>MIN(Table117[AB8])</f>
        <v>2</v>
      </c>
      <c r="DG40" s="6">
        <f>MIN(Table117[R8])</f>
        <v>0</v>
      </c>
      <c r="DH40" s="6">
        <f>MIN(Table117[H8])</f>
        <v>0</v>
      </c>
      <c r="DI40" s="6">
        <f>MIN(Table117[RBI8])</f>
        <v>0</v>
      </c>
      <c r="DJ40" s="6">
        <f>MIN(Table117[BB8])</f>
        <v>0</v>
      </c>
      <c r="DK40" s="6">
        <f>MIN(Table117[SO8])</f>
        <v>0</v>
      </c>
      <c r="DL40" s="6">
        <f>MIN(Table117[HBP8])</f>
        <v>0</v>
      </c>
      <c r="DM40" s="6">
        <f>MIN(Table117[SF8])</f>
        <v>0</v>
      </c>
      <c r="DN40" s="6">
        <f>MIN(Table117[TB8])</f>
        <v>0</v>
      </c>
      <c r="DO40" s="80"/>
      <c r="DP40" s="6">
        <f>MIN(Table117[AB9])</f>
        <v>1</v>
      </c>
      <c r="DQ40" s="6">
        <f>MIN(Table117[R9])</f>
        <v>0</v>
      </c>
      <c r="DR40" s="6">
        <f>MIN(Table117[H9])</f>
        <v>0</v>
      </c>
      <c r="DS40" s="6">
        <f>MIN(Table117[RBI9])</f>
        <v>0</v>
      </c>
      <c r="DT40" s="6">
        <f>MIN(Table117[BB9])</f>
        <v>0</v>
      </c>
      <c r="DU40" s="6">
        <f>MIN(Table117[SO9])</f>
        <v>0</v>
      </c>
      <c r="DV40" s="6">
        <f>MIN(Table117[HBP9])</f>
        <v>0</v>
      </c>
      <c r="DW40" s="6">
        <f>MIN(Table117[SF9])</f>
        <v>0</v>
      </c>
      <c r="DX40" s="6">
        <f>MIN(Table117[TB9])</f>
        <v>0</v>
      </c>
      <c r="DY40" s="5">
        <f>MIN(Table117[IVL])</f>
        <v>0</v>
      </c>
      <c r="DZ40" s="6">
        <f>MIN(Table117[SVL])</f>
        <v>0</v>
      </c>
      <c r="EA40" s="6">
        <f>MIN(Table117[CVL])</f>
        <v>0</v>
      </c>
      <c r="EB40" s="5">
        <f>MIN(Table117[IVR])</f>
        <v>1</v>
      </c>
      <c r="EC40" s="6">
        <f>MIN(Table117[SVR])</f>
        <v>0</v>
      </c>
      <c r="ED40" s="6">
        <f>MIN(Table117[CVR])</f>
        <v>0</v>
      </c>
      <c r="EE40" s="6">
        <f>MIN(Table117[RI1])</f>
        <v>0</v>
      </c>
      <c r="EF40" s="6">
        <f>MIN(Table117[RI2])</f>
        <v>0</v>
      </c>
      <c r="EG40" s="6">
        <f>MIN(Table117[RI3])</f>
        <v>0</v>
      </c>
      <c r="EH40" s="6">
        <f>MIN(Table117[RI4])</f>
        <v>0</v>
      </c>
      <c r="EI40" s="6">
        <f>MIN(Table117[RI5])</f>
        <v>0</v>
      </c>
      <c r="EJ40" s="6">
        <f>MIN(Table117[RI6])</f>
        <v>0</v>
      </c>
      <c r="EK40" s="6">
        <f>MIN(Table117[RI7])</f>
        <v>0</v>
      </c>
      <c r="EL40" s="6">
        <f>MIN(Table117[RI8])</f>
        <v>0</v>
      </c>
      <c r="EM40" s="6">
        <f>MIN(Table117[RI9])</f>
        <v>0</v>
      </c>
      <c r="EN40" s="6">
        <f>MIN(Table117[RI10])</f>
        <v>0</v>
      </c>
      <c r="EO40" s="6">
        <f>MIN(Table117[RI11])</f>
        <v>0</v>
      </c>
      <c r="EP40" s="6">
        <f>MIN(Table117[RI12])</f>
        <v>0</v>
      </c>
      <c r="EQ40" s="6">
        <f>MIN(Table117[RI13])</f>
        <v>0</v>
      </c>
      <c r="ER40" s="6">
        <f>MIN(Table117[RI14])</f>
        <v>0</v>
      </c>
      <c r="ES40" s="6">
        <f>MIN(Table117[RI15])</f>
        <v>1</v>
      </c>
      <c r="ET40" s="6">
        <f>MIN(Table117[RT])</f>
        <v>0</v>
      </c>
      <c r="EU40" s="6">
        <f>MIN(Table117[OI1])</f>
        <v>0</v>
      </c>
      <c r="EV40" s="6">
        <f>MIN(Table117[OI2])</f>
        <v>0</v>
      </c>
      <c r="EW40" s="6">
        <f>MIN(Table117[OI3])</f>
        <v>0</v>
      </c>
      <c r="EX40" s="6">
        <f>MIN(Table117[OI4])</f>
        <v>0</v>
      </c>
      <c r="EY40" s="6">
        <f>MIN(Table117[OI5])</f>
        <v>0</v>
      </c>
      <c r="EZ40" s="6">
        <f>MIN(Table117[OI6])</f>
        <v>0</v>
      </c>
      <c r="FA40" s="6">
        <f>MIN(Table117[OI7])</f>
        <v>0</v>
      </c>
      <c r="FB40" s="6">
        <f>MIN(Table117[OI8])</f>
        <v>0</v>
      </c>
      <c r="FC40" s="6">
        <f>MIN(Table117[OI9])</f>
        <v>0</v>
      </c>
      <c r="FD40" s="6">
        <f>MIN(Table117[OI10])</f>
        <v>0</v>
      </c>
      <c r="FE40" s="6">
        <f>MIN(Table117[OI11])</f>
        <v>0</v>
      </c>
      <c r="FF40" s="6">
        <f>MIN(Table117[OI12])</f>
        <v>0</v>
      </c>
      <c r="FG40" s="6">
        <f>MIN(Table117[OI13])</f>
        <v>0</v>
      </c>
      <c r="FH40" s="6">
        <f>MIN(Table117[OI14])</f>
        <v>0</v>
      </c>
      <c r="FI40" s="6">
        <f>MIN(Table117[OI15])</f>
        <v>0</v>
      </c>
      <c r="FJ40" s="6">
        <f>MIN(Table117[OT])</f>
        <v>0</v>
      </c>
      <c r="FM40" s="55" t="s">
        <v>231</v>
      </c>
    </row>
    <row r="41" spans="1:169" x14ac:dyDescent="0.25">
      <c r="A41" s="82" t="s">
        <v>232</v>
      </c>
      <c r="B41" s="90"/>
      <c r="C41" s="90"/>
      <c r="D41" s="90"/>
      <c r="E41" s="42"/>
      <c r="F41" s="83"/>
      <c r="G41" s="83"/>
      <c r="H41" s="83"/>
      <c r="I41" s="83"/>
      <c r="J41" s="42">
        <f>STDEV(Table117[S-IP])</f>
        <v>1.5555811569833859</v>
      </c>
      <c r="K41" s="42">
        <f>STDEV(Table117[S-H])</f>
        <v>2.0935127654076369</v>
      </c>
      <c r="L41" s="42">
        <f>STDEV(Table117[S-R])</f>
        <v>1.5637011512186656</v>
      </c>
      <c r="M41" s="42">
        <f>STDEV(Table117[S-ER])</f>
        <v>1.5429339458610414</v>
      </c>
      <c r="N41" s="42">
        <f>STDEV(Table117[S-BB])</f>
        <v>1.1685852120617746</v>
      </c>
      <c r="O41" s="42">
        <f>STDEV(Table117[S-SO])</f>
        <v>1.4817890959010269</v>
      </c>
      <c r="P41" s="42">
        <f>STDEV(Table117[S-HR])</f>
        <v>0.4016096644512494</v>
      </c>
      <c r="Q41" s="42">
        <f>STDEV(Table117[S-HBP])</f>
        <v>0.47744841527364174</v>
      </c>
      <c r="R41" s="42">
        <f>STDEV(Table117[S-BF])</f>
        <v>6.4526397032365708</v>
      </c>
      <c r="S41" s="42"/>
      <c r="T41" s="42"/>
      <c r="U41" s="42">
        <f>STDEV(Table117[IRL])</f>
        <v>0.56225353023174918</v>
      </c>
      <c r="V41" s="42">
        <f>STDEV(Table117[IRS])</f>
        <v>0</v>
      </c>
      <c r="W41" s="83"/>
      <c r="X41" s="83"/>
      <c r="Y41" s="83"/>
      <c r="Z41" s="83"/>
      <c r="AA41" s="83"/>
      <c r="AB41" s="42">
        <f>STDEV(Table117[B-IP])</f>
        <v>2.0525358037818613</v>
      </c>
      <c r="AC41" s="42">
        <f>STDEV(Table117[B-H])</f>
        <v>3.4721627235045629</v>
      </c>
      <c r="AD41" s="42">
        <f>STDEV(Table117[B-R])</f>
        <v>2.712377047409122</v>
      </c>
      <c r="AE41" s="42">
        <f>STDEV(Table117[B-ER])</f>
        <v>2.688086020128988</v>
      </c>
      <c r="AF41" s="42">
        <f>STDEV(Table117[B-BB])</f>
        <v>1.5512741901105767</v>
      </c>
      <c r="AG41" s="42">
        <f>STDEV(Table117[B-SO])</f>
        <v>2.321938381926266</v>
      </c>
      <c r="AH41" s="42">
        <f>STDEV(Table117[B-HR])</f>
        <v>0.42754613660367835</v>
      </c>
      <c r="AI41" s="42">
        <f>STDEV(Table117[B-HBP])</f>
        <v>0.76762446015480579</v>
      </c>
      <c r="AJ41" s="42">
        <f>STDEV(Table117[B-BF])</f>
        <v>8.1011083802926223</v>
      </c>
      <c r="AK41" s="42"/>
      <c r="AL41" s="42"/>
      <c r="AM41" s="83"/>
      <c r="AN41" s="42">
        <f>STDEV(Table117[AB1])</f>
        <v>1.0359142240407235</v>
      </c>
      <c r="AO41" s="42">
        <f>STDEV(Table117[R1])</f>
        <v>0.6925098500910426</v>
      </c>
      <c r="AP41" s="42">
        <f>STDEV(Table117[H1])</f>
        <v>0.92166282641289043</v>
      </c>
      <c r="AQ41" s="42">
        <f>STDEV(Table117[RBI1])</f>
        <v>0.672021505032247</v>
      </c>
      <c r="AR41" s="42">
        <f>STDEV(Table117[BB1])</f>
        <v>0.51431131528701379</v>
      </c>
      <c r="AS41" s="42">
        <f>STDEV(Table117[SO1])</f>
        <v>1.1071614388213236</v>
      </c>
      <c r="AT41" s="42">
        <f>STDEV(Table117[HBP1])</f>
        <v>0.30053715351876426</v>
      </c>
      <c r="AU41" s="42">
        <f>STDEV(Table117[SF1])</f>
        <v>0.30053715351876426</v>
      </c>
      <c r="AV41" s="42">
        <f>STDEV(Table117[TB1])</f>
        <v>1.6880350605338144</v>
      </c>
      <c r="AW41" s="83"/>
      <c r="AX41" s="42">
        <f>STDEV(Table117[AB2])</f>
        <v>0.84497248157774618</v>
      </c>
      <c r="AY41" s="42">
        <f>STDEV(Table117[R2])</f>
        <v>0.47519096331149147</v>
      </c>
      <c r="AZ41" s="42">
        <f>STDEV(Table117[H2])</f>
        <v>1.031753909143192</v>
      </c>
      <c r="BA41" s="42">
        <f>STDEV(Table117[RBI2])</f>
        <v>0.62561797405634501</v>
      </c>
      <c r="BB41" s="42">
        <f>STDEV(Table117[BB2])</f>
        <v>0.3407771005482389</v>
      </c>
      <c r="BC41" s="42">
        <f>STDEV(Table117[SO2])</f>
        <v>0.92049542527759975</v>
      </c>
      <c r="BD41" s="42">
        <f>STDEV(Table117[HBP2])</f>
        <v>0.24973103811470745</v>
      </c>
      <c r="BE41" s="42">
        <f>STDEV(Table117[SF2])</f>
        <v>0</v>
      </c>
      <c r="BF41" s="42">
        <f>STDEV(Table117[TB2])</f>
        <v>1.2876585401918601</v>
      </c>
      <c r="BG41" s="83"/>
      <c r="BH41" s="42">
        <f>STDEV(Table117[AB3])</f>
        <v>1.0064309344443121</v>
      </c>
      <c r="BI41" s="42">
        <f>STDEV(Table117[R3])</f>
        <v>0.49513764785419079</v>
      </c>
      <c r="BJ41" s="42">
        <f>STDEV(Table117[H3])</f>
        <v>0.63075309144354685</v>
      </c>
      <c r="BK41" s="42">
        <f>STDEV(Table117[RBI3])</f>
        <v>0.56796183424706481</v>
      </c>
      <c r="BL41" s="42">
        <f>STDEV(Table117[BB3])</f>
        <v>0.72289739601224901</v>
      </c>
      <c r="BM41" s="42">
        <f>STDEV(Table117[SO3])</f>
        <v>0.62561797405634501</v>
      </c>
      <c r="BN41" s="42">
        <f>STDEV(Table117[HBP3])</f>
        <v>0.30053715351876426</v>
      </c>
      <c r="BO41" s="42">
        <f>STDEV(Table117[SF3])</f>
        <v>0.24973103811470745</v>
      </c>
      <c r="BP41" s="42">
        <f>STDEV(Table117[TB3])</f>
        <v>1.0625592962581034</v>
      </c>
      <c r="BQ41" s="83"/>
      <c r="BR41" s="42">
        <f>STDEV(Table117[AB4])</f>
        <v>0.8550922732073567</v>
      </c>
      <c r="BS41" s="42">
        <f>STDEV(Table117[R4])</f>
        <v>0.56796183424706481</v>
      </c>
      <c r="BT41" s="42">
        <f>STDEV(Table117[H4])</f>
        <v>0.90161146055629282</v>
      </c>
      <c r="BU41" s="42">
        <f>STDEV(Table117[RBI4])</f>
        <v>0.78288136125881269</v>
      </c>
      <c r="BV41" s="42">
        <f>STDEV(Table117[BB4])</f>
        <v>0.56416271579436472</v>
      </c>
      <c r="BW41" s="42">
        <f>STDEV(Table117[SO4])</f>
        <v>1.0865749680948493</v>
      </c>
      <c r="BX41" s="42">
        <f>STDEV(Table117[HBP4])</f>
        <v>0.3407771005482389</v>
      </c>
      <c r="BY41" s="42">
        <f>STDEV(Table117[SF4])</f>
        <v>0</v>
      </c>
      <c r="BZ41" s="42">
        <f>STDEV(Table117[TB4])</f>
        <v>1.5478045499129349</v>
      </c>
      <c r="CA41" s="83"/>
      <c r="CB41" s="42">
        <f>STDEV(Table117[AB5])</f>
        <v>0.84369897296917928</v>
      </c>
      <c r="CC41" s="42">
        <f>STDEV(Table117[R5])</f>
        <v>0.56796183424706481</v>
      </c>
      <c r="CD41" s="42">
        <f>STDEV(Table117[H5])</f>
        <v>0.74775650110596603</v>
      </c>
      <c r="CE41" s="42">
        <f>STDEV(Table117[RBI5])</f>
        <v>0.74775650110596603</v>
      </c>
      <c r="CF41" s="42">
        <f>STDEV(Table117[BB5])</f>
        <v>0.55065942873214557</v>
      </c>
      <c r="CG41" s="42">
        <f>STDEV(Table117[SO5])</f>
        <v>0.95714629616274671</v>
      </c>
      <c r="CH41" s="42">
        <f>STDEV(Table117[HBP5])</f>
        <v>0.24973103811470745</v>
      </c>
      <c r="CI41" s="42">
        <f>STDEV(Table117[SF5])</f>
        <v>0.24973103811470745</v>
      </c>
      <c r="CJ41" s="42">
        <f>STDEV(Table117[TB5])</f>
        <v>1.2775985537390566</v>
      </c>
      <c r="CK41" s="83"/>
      <c r="CL41" s="42">
        <f>STDEV(Table117[AB6])</f>
        <v>0.71542152399075043</v>
      </c>
      <c r="CM41" s="42">
        <f>STDEV(Table117[R6])</f>
        <v>0.62561797405634501</v>
      </c>
      <c r="CN41" s="42">
        <f>STDEV(Table117[H6])</f>
        <v>0.84624407369154708</v>
      </c>
      <c r="CO41" s="42">
        <f>STDEV(Table117[RBI6])</f>
        <v>0.72289739601224901</v>
      </c>
      <c r="CP41" s="42">
        <f>STDEV(Table117[BB6])</f>
        <v>0.55065942873214557</v>
      </c>
      <c r="CQ41" s="42">
        <f>STDEV(Table117[SO6])</f>
        <v>0.80455691405704122</v>
      </c>
      <c r="CR41" s="42">
        <f>STDEV(Table117[HBP6])</f>
        <v>0.24973103811470745</v>
      </c>
      <c r="CS41" s="42">
        <f>STDEV(Table117[SF6])</f>
        <v>0.17960530202677491</v>
      </c>
      <c r="CT41" s="42">
        <f>STDEV(Table117[TB6])</f>
        <v>1.4465383224372488</v>
      </c>
      <c r="CU41" s="83"/>
      <c r="CV41" s="42">
        <f>STDEV(Table117[AB7])</f>
        <v>0.98483119016320786</v>
      </c>
      <c r="CW41" s="42">
        <f>STDEV(Table117[R7])</f>
        <v>0.46141437537906382</v>
      </c>
      <c r="CX41" s="42">
        <f>STDEV(Table117[H7])</f>
        <v>0.83858559876235228</v>
      </c>
      <c r="CY41" s="42">
        <f>STDEV(Table117[RBI7])</f>
        <v>0.71542152399074999</v>
      </c>
      <c r="CZ41" s="42">
        <f>STDEV(Table117[BB7])</f>
        <v>0.67521402421352572</v>
      </c>
      <c r="DA41" s="42">
        <f>STDEV(Table117[SO7])</f>
        <v>0.86010752016045022</v>
      </c>
      <c r="DB41" s="42">
        <f>STDEV(Table117[HBP7])</f>
        <v>0.24973103811470745</v>
      </c>
      <c r="DC41" s="42">
        <f>STDEV(Table117[SF7])</f>
        <v>0.17960530202677491</v>
      </c>
      <c r="DD41" s="42">
        <f>STDEV(Table117[TB7])</f>
        <v>1.3100110809676628</v>
      </c>
      <c r="DE41" s="83"/>
      <c r="DF41" s="42">
        <f>STDEV(Table117[AB8])</f>
        <v>0.90873893479530332</v>
      </c>
      <c r="DG41" s="42">
        <f>STDEV(Table117[R8])</f>
        <v>0.76762446015480579</v>
      </c>
      <c r="DH41" s="42">
        <f>STDEV(Table117[H8])</f>
        <v>0.61521916717208514</v>
      </c>
      <c r="DI41" s="42">
        <f>STDEV(Table117[RBI8])</f>
        <v>0.57548483533358608</v>
      </c>
      <c r="DJ41" s="42">
        <f>STDEV(Table117[BB8])</f>
        <v>0.62044035697167521</v>
      </c>
      <c r="DK41" s="42">
        <f>STDEV(Table117[SO8])</f>
        <v>0.90755490962172347</v>
      </c>
      <c r="DL41" s="42">
        <f>STDEV(Table117[HBP8])</f>
        <v>0.17960530202677491</v>
      </c>
      <c r="DM41" s="42">
        <f>STDEV(Table117[SF8])</f>
        <v>0.24973103811470745</v>
      </c>
      <c r="DN41" s="42">
        <f>STDEV(Table117[TB8])</f>
        <v>1.1359236684941296</v>
      </c>
      <c r="DO41" s="83"/>
      <c r="DP41" s="42">
        <f>STDEV(Table117[AB9])</f>
        <v>0.98045414098806494</v>
      </c>
      <c r="DQ41" s="42">
        <f>STDEV(Table117[R9])</f>
        <v>0.60818786005499947</v>
      </c>
      <c r="DR41" s="42">
        <f>STDEV(Table117[H9])</f>
        <v>0.75491222875131625</v>
      </c>
      <c r="DS41" s="42">
        <f>STDEV(Table117[RBI9])</f>
        <v>0.46141437537906382</v>
      </c>
      <c r="DT41" s="42">
        <f>STDEV(Table117[BB9])</f>
        <v>0.55841557731607672</v>
      </c>
      <c r="DU41" s="42">
        <f>STDEV(Table117[SO9])</f>
        <v>0.80321932890249881</v>
      </c>
      <c r="DV41" s="42">
        <f>STDEV(Table117[HBP9])</f>
        <v>0.24973103811470745</v>
      </c>
      <c r="DW41" s="42">
        <f>STDEV(Table117[SF9])</f>
        <v>0</v>
      </c>
      <c r="DX41" s="42">
        <f>STDEV(Table117[TB9])</f>
        <v>1.0983859125567961</v>
      </c>
      <c r="DY41" s="42">
        <f>STDEV(Table117[IVL])</f>
        <v>2.985268489933401</v>
      </c>
      <c r="DZ41" s="42">
        <f>STDEV(Table117[SVL])</f>
        <v>0.6688137468361347</v>
      </c>
      <c r="EA41" s="42">
        <f>STDEV(Table117[CVL])</f>
        <v>0.56033783972140949</v>
      </c>
      <c r="EB41" s="42">
        <f>STDEV(Table117[IVR])</f>
        <v>2.6396933314515763</v>
      </c>
      <c r="EC41" s="42">
        <f>STDEV(Table117[SVR])</f>
        <v>1.1462890100771514</v>
      </c>
      <c r="ED41" s="42">
        <f>STDEV(Table117[CVR])</f>
        <v>0.5884186937375333</v>
      </c>
      <c r="EE41" s="42">
        <f>STDEV(Table117[RI1])</f>
        <v>0.88839592065022288</v>
      </c>
      <c r="EF41" s="42">
        <f>STDEV(Table117[RI2])</f>
        <v>1.3009508516003092</v>
      </c>
      <c r="EG41" s="42">
        <f>STDEV(Table117[RI3])</f>
        <v>0.76481777997058864</v>
      </c>
      <c r="EH41" s="42">
        <f>STDEV(Table117[RI4])</f>
        <v>1.1509696706671722</v>
      </c>
      <c r="EI41" s="42">
        <f>STDEV(Table117[RI5])</f>
        <v>0.24973103811470745</v>
      </c>
      <c r="EJ41" s="42">
        <f>STDEV(Table117[RI6])</f>
        <v>1.0905261628351504</v>
      </c>
      <c r="EK41" s="42">
        <f>STDEV(Table117[RI7])</f>
        <v>1.0905261628351504</v>
      </c>
      <c r="EL41" s="42">
        <f>STDEV(Table117[RI8])</f>
        <v>0.82897051710335323</v>
      </c>
      <c r="EM41" s="42">
        <f>STDEV(Table117[RI9])</f>
        <v>0.76138698762688106</v>
      </c>
      <c r="EN41" s="42">
        <f>STDEV(Table117[RI10])</f>
        <v>0</v>
      </c>
      <c r="EO41" s="42">
        <f>STDEV(Table117[RI11])</f>
        <v>0.57735026918962584</v>
      </c>
      <c r="EP41" s="42">
        <f>STDEV(Table117[RI12])</f>
        <v>0.70710678118654757</v>
      </c>
      <c r="EQ41" s="42" t="e">
        <f>STDEV(Table117[RI13])</f>
        <v>#DIV/0!</v>
      </c>
      <c r="ER41" s="42" t="e">
        <f>STDEV(Table117[RI14])</f>
        <v>#DIV/0!</v>
      </c>
      <c r="ES41" s="42" t="e">
        <f>STDEV(Table117[RI15])</f>
        <v>#DIV/0!</v>
      </c>
      <c r="ET41" s="42">
        <f>STDEV(Table117[RT])</f>
        <v>2.1962822937815836</v>
      </c>
      <c r="EU41" s="42">
        <f>STDEV(Table117[OI1])</f>
        <v>0.66072622150550853</v>
      </c>
      <c r="EV41" s="42">
        <f>STDEV(Table117[OI2])</f>
        <v>0.88839592065022288</v>
      </c>
      <c r="EW41" s="42">
        <f>STDEV(Table117[OI3])</f>
        <v>0.9793568220757114</v>
      </c>
      <c r="EX41" s="42">
        <f>STDEV(Table117[OI4])</f>
        <v>1.0254817907821701</v>
      </c>
      <c r="EY41" s="42">
        <f>STDEV(Table117[OI5])</f>
        <v>0.9193265417263774</v>
      </c>
      <c r="EZ41" s="42">
        <f>STDEV(Table117[OI6])</f>
        <v>1.1187550684693259</v>
      </c>
      <c r="FA41" s="42">
        <f>STDEV(Table117[OI7])</f>
        <v>0.7111590022187595</v>
      </c>
      <c r="FB41" s="42">
        <f>STDEV(Table117[OI8])</f>
        <v>0.94556262085106713</v>
      </c>
      <c r="FC41" s="42">
        <f>STDEV(Table117[OI9])</f>
        <v>1.2866175093572354</v>
      </c>
      <c r="FD41" s="42">
        <f>STDEV(Table117[OI10])</f>
        <v>0.5</v>
      </c>
      <c r="FE41" s="42">
        <f>STDEV(Table117[OI11])</f>
        <v>0</v>
      </c>
      <c r="FF41" s="42">
        <f>STDEV(Table117[OI12])</f>
        <v>0</v>
      </c>
      <c r="FG41" s="42" t="e">
        <f>STDEV(Table117[OI13])</f>
        <v>#DIV/0!</v>
      </c>
      <c r="FH41" s="42" t="e">
        <f>STDEV(Table117[OI14])</f>
        <v>#DIV/0!</v>
      </c>
      <c r="FI41" s="42" t="e">
        <f>STDEV(Table117[OI15])</f>
        <v>#DIV/0!</v>
      </c>
      <c r="FJ41" s="42">
        <f>STDEV(Table117[OT])</f>
        <v>3.009661860762606</v>
      </c>
      <c r="FM41" s="86" t="s">
        <v>232</v>
      </c>
    </row>
    <row r="42" spans="1:169" x14ac:dyDescent="0.25">
      <c r="A42" s="87" t="s">
        <v>281</v>
      </c>
      <c r="B42" s="53"/>
      <c r="C42" s="53"/>
      <c r="D42" s="53"/>
      <c r="E42" s="83"/>
      <c r="F42" s="83"/>
      <c r="G42" s="83"/>
      <c r="H42" s="83"/>
      <c r="I42" s="83"/>
      <c r="J42" s="83">
        <f t="shared" ref="J42:R42" si="14">(J45+(3*J41))</f>
        <v>8.1291090623480073</v>
      </c>
      <c r="K42" s="83">
        <f t="shared" si="14"/>
        <v>9.4095705542874271</v>
      </c>
      <c r="L42" s="83">
        <f t="shared" si="14"/>
        <v>6.0782002278495444</v>
      </c>
      <c r="M42" s="83">
        <f t="shared" si="14"/>
        <v>5.8546082891960269</v>
      </c>
      <c r="N42" s="83">
        <f t="shared" si="14"/>
        <v>4.4734975716691947</v>
      </c>
      <c r="O42" s="83">
        <f t="shared" si="14"/>
        <v>6.509883416735339</v>
      </c>
      <c r="P42" s="83">
        <f t="shared" si="14"/>
        <v>1.3983773804505224</v>
      </c>
      <c r="Q42" s="83">
        <f t="shared" si="14"/>
        <v>1.6258936329176994</v>
      </c>
      <c r="R42" s="83">
        <f t="shared" si="14"/>
        <v>33.712757819387136</v>
      </c>
      <c r="S42" s="83"/>
      <c r="T42" s="83"/>
      <c r="U42" s="83">
        <f>(U45+(3*U41))</f>
        <v>1.8157928487597634</v>
      </c>
      <c r="V42" s="83">
        <f>(V45+(3*V41))</f>
        <v>0</v>
      </c>
      <c r="W42" s="83"/>
      <c r="X42" s="83"/>
      <c r="Y42" s="83"/>
      <c r="Z42" s="83"/>
      <c r="AA42" s="83"/>
      <c r="AB42" s="83">
        <f t="shared" ref="AB42:AJ42" si="15">(AB45+(3*AB41))</f>
        <v>11.78126332532408</v>
      </c>
      <c r="AC42" s="83">
        <f t="shared" si="15"/>
        <v>15.868101073739494</v>
      </c>
      <c r="AD42" s="83">
        <f t="shared" si="15"/>
        <v>11.233905335775752</v>
      </c>
      <c r="AE42" s="83">
        <f t="shared" si="15"/>
        <v>10.386838705548254</v>
      </c>
      <c r="AF42" s="83">
        <f t="shared" si="15"/>
        <v>6.8151128929123752</v>
      </c>
      <c r="AG42" s="83">
        <f t="shared" si="15"/>
        <v>11.449686113520734</v>
      </c>
      <c r="AH42" s="83">
        <f t="shared" si="15"/>
        <v>1.4116706678755513</v>
      </c>
      <c r="AI42" s="83">
        <f t="shared" si="15"/>
        <v>2.7544862836902237</v>
      </c>
      <c r="AJ42" s="83">
        <f t="shared" si="15"/>
        <v>49.109776753781091</v>
      </c>
      <c r="AK42" s="83"/>
      <c r="AL42" s="83"/>
      <c r="AM42" s="83"/>
      <c r="AN42" s="83">
        <f t="shared" ref="AN42:AV42" si="16">(AN45+(3*AN41))</f>
        <v>7.2690329947028154</v>
      </c>
      <c r="AO42" s="83">
        <f t="shared" si="16"/>
        <v>2.7872069696279667</v>
      </c>
      <c r="AP42" s="83">
        <f t="shared" si="16"/>
        <v>3.8940207373031877</v>
      </c>
      <c r="AQ42" s="83">
        <f t="shared" si="16"/>
        <v>2.4354193538064184</v>
      </c>
      <c r="AR42" s="83">
        <f t="shared" si="16"/>
        <v>1.8009984619900736</v>
      </c>
      <c r="AS42" s="83">
        <f t="shared" si="16"/>
        <v>4.6440649616252605</v>
      </c>
      <c r="AT42" s="83">
        <f t="shared" si="16"/>
        <v>0.99838565410467994</v>
      </c>
      <c r="AU42" s="83">
        <f t="shared" si="16"/>
        <v>0.99838565410467994</v>
      </c>
      <c r="AV42" s="83">
        <f t="shared" si="16"/>
        <v>6.9350729235369268</v>
      </c>
      <c r="AW42" s="83"/>
      <c r="AX42" s="83">
        <f t="shared" ref="AX42:BF42" si="17">(AX45+(3*AX41))</f>
        <v>6.7607238963461418</v>
      </c>
      <c r="AY42" s="83">
        <f t="shared" si="17"/>
        <v>1.7481535350957647</v>
      </c>
      <c r="AZ42" s="83">
        <f t="shared" si="17"/>
        <v>4.353326243558608</v>
      </c>
      <c r="BA42" s="83">
        <f t="shared" si="17"/>
        <v>2.3929829544270995</v>
      </c>
      <c r="BB42" s="83">
        <f t="shared" si="17"/>
        <v>1.1513635597092327</v>
      </c>
      <c r="BC42" s="83">
        <f t="shared" si="17"/>
        <v>3.5356798242198959</v>
      </c>
      <c r="BD42" s="83">
        <f t="shared" si="17"/>
        <v>0.8137092433763804</v>
      </c>
      <c r="BE42" s="83">
        <f t="shared" si="17"/>
        <v>0</v>
      </c>
      <c r="BF42" s="83">
        <f t="shared" si="17"/>
        <v>5.3791046528336448</v>
      </c>
      <c r="BG42" s="83"/>
      <c r="BH42" s="83">
        <f t="shared" ref="BH42:BP42" si="18">(BH45+(3*BH41))</f>
        <v>6.7289702226877743</v>
      </c>
      <c r="BI42" s="83">
        <f t="shared" si="18"/>
        <v>1.8725097177561207</v>
      </c>
      <c r="BJ42" s="83">
        <f t="shared" si="18"/>
        <v>2.6341947582016081</v>
      </c>
      <c r="BK42" s="83">
        <f t="shared" si="18"/>
        <v>2.155498405967001</v>
      </c>
      <c r="BL42" s="83">
        <f t="shared" si="18"/>
        <v>2.6203050912625536</v>
      </c>
      <c r="BM42" s="83">
        <f t="shared" si="18"/>
        <v>2.3607248899109705</v>
      </c>
      <c r="BN42" s="83">
        <f t="shared" si="18"/>
        <v>0.99838565410467994</v>
      </c>
      <c r="BO42" s="83">
        <f t="shared" si="18"/>
        <v>0.8137092433763804</v>
      </c>
      <c r="BP42" s="83">
        <f t="shared" si="18"/>
        <v>4.252194017806568</v>
      </c>
      <c r="BQ42" s="83"/>
      <c r="BR42" s="83">
        <f t="shared" ref="BR42:BZ42" si="19">(BR45+(3*BR41))</f>
        <v>6.3072123034930376</v>
      </c>
      <c r="BS42" s="83">
        <f t="shared" si="19"/>
        <v>2.155498405967001</v>
      </c>
      <c r="BT42" s="83">
        <f t="shared" si="19"/>
        <v>3.4145118010237177</v>
      </c>
      <c r="BU42" s="83">
        <f t="shared" si="19"/>
        <v>2.6389666644215994</v>
      </c>
      <c r="BV42" s="83">
        <f t="shared" si="19"/>
        <v>2.1118429860927717</v>
      </c>
      <c r="BW42" s="83">
        <f t="shared" si="19"/>
        <v>4.485531355897451</v>
      </c>
      <c r="BX42" s="83">
        <f t="shared" si="19"/>
        <v>1.1513635597092327</v>
      </c>
      <c r="BY42" s="83">
        <f t="shared" si="19"/>
        <v>0</v>
      </c>
      <c r="BZ42" s="83">
        <f t="shared" si="19"/>
        <v>5.7079297787710628</v>
      </c>
      <c r="CA42" s="83"/>
      <c r="CB42" s="83">
        <f t="shared" ref="CB42:CJ42" si="20">(CB45+(3*CB41))</f>
        <v>6.1440001447139894</v>
      </c>
      <c r="CC42" s="83">
        <f t="shared" si="20"/>
        <v>2.155498405967001</v>
      </c>
      <c r="CD42" s="83">
        <f t="shared" si="20"/>
        <v>2.9206888581566077</v>
      </c>
      <c r="CE42" s="83">
        <f t="shared" si="20"/>
        <v>2.5658501484791887</v>
      </c>
      <c r="CF42" s="83">
        <f t="shared" si="20"/>
        <v>2.006816995873856</v>
      </c>
      <c r="CG42" s="83">
        <f t="shared" si="20"/>
        <v>3.7424066304237242</v>
      </c>
      <c r="CH42" s="83">
        <f t="shared" si="20"/>
        <v>0.8137092433763804</v>
      </c>
      <c r="CI42" s="83">
        <f t="shared" si="20"/>
        <v>0.8137092433763804</v>
      </c>
      <c r="CJ42" s="83">
        <f t="shared" si="20"/>
        <v>4.8005375967010409</v>
      </c>
      <c r="CK42" s="83"/>
      <c r="CL42" s="83">
        <f t="shared" ref="CL42:CT42" si="21">(CL45+(3*CL41))</f>
        <v>5.7591677977787032</v>
      </c>
      <c r="CM42" s="83">
        <f t="shared" si="21"/>
        <v>2.3607248899109705</v>
      </c>
      <c r="CN42" s="83">
        <f t="shared" si="21"/>
        <v>3.4096999630101252</v>
      </c>
      <c r="CO42" s="83">
        <f t="shared" si="21"/>
        <v>2.6203050912625536</v>
      </c>
      <c r="CP42" s="83">
        <f t="shared" si="21"/>
        <v>2.006816995873856</v>
      </c>
      <c r="CQ42" s="83">
        <f t="shared" si="21"/>
        <v>3.1878642905582204</v>
      </c>
      <c r="CR42" s="83">
        <f t="shared" si="21"/>
        <v>0.8137092433763804</v>
      </c>
      <c r="CS42" s="83">
        <f t="shared" si="21"/>
        <v>0.57107397059645371</v>
      </c>
      <c r="CT42" s="83">
        <f t="shared" si="21"/>
        <v>5.6621956124730364</v>
      </c>
      <c r="CU42" s="83"/>
      <c r="CV42" s="83">
        <f t="shared" ref="CV42:DD42" si="22">(CV45+(3*CV41))</f>
        <v>6.3093322801670428</v>
      </c>
      <c r="CW42" s="83">
        <f t="shared" si="22"/>
        <v>1.6745657067823527</v>
      </c>
      <c r="CX42" s="83">
        <f t="shared" si="22"/>
        <v>3.1609180866096374</v>
      </c>
      <c r="CY42" s="83">
        <f t="shared" si="22"/>
        <v>2.5333613461657984</v>
      </c>
      <c r="CZ42" s="83">
        <f t="shared" si="22"/>
        <v>2.4772549758663835</v>
      </c>
      <c r="DA42" s="83">
        <f t="shared" si="22"/>
        <v>3.7416128830619959</v>
      </c>
      <c r="DB42" s="83">
        <f t="shared" si="22"/>
        <v>0.8137092433763804</v>
      </c>
      <c r="DC42" s="83">
        <f t="shared" si="22"/>
        <v>0.57107397059645371</v>
      </c>
      <c r="DD42" s="83">
        <f t="shared" si="22"/>
        <v>4.8010009848384723</v>
      </c>
      <c r="DE42" s="83"/>
      <c r="DF42" s="83">
        <f t="shared" ref="DF42:DN42" si="23">(DF45+(3*DF41))</f>
        <v>6.0487974495471999</v>
      </c>
      <c r="DG42" s="83">
        <f t="shared" si="23"/>
        <v>2.7544862836902237</v>
      </c>
      <c r="DH42" s="83">
        <f t="shared" si="23"/>
        <v>2.4585607273227068</v>
      </c>
      <c r="DI42" s="83">
        <f t="shared" si="23"/>
        <v>1.9845190221297904</v>
      </c>
      <c r="DJ42" s="83">
        <f t="shared" si="23"/>
        <v>2.2806759096247031</v>
      </c>
      <c r="DK42" s="83">
        <f t="shared" si="23"/>
        <v>3.6258905353167834</v>
      </c>
      <c r="DL42" s="83">
        <f t="shared" si="23"/>
        <v>0.57107397059645371</v>
      </c>
      <c r="DM42" s="83">
        <f t="shared" si="23"/>
        <v>0.8137092433763804</v>
      </c>
      <c r="DN42" s="83">
        <f t="shared" si="23"/>
        <v>4.3109968119340021</v>
      </c>
      <c r="DO42" s="83"/>
      <c r="DP42" s="83">
        <f t="shared" ref="DP42:FJ42" si="24">(DP45+(3*DP41))</f>
        <v>6.1349108100609691</v>
      </c>
      <c r="DQ42" s="83">
        <f t="shared" si="24"/>
        <v>2.1794022898424177</v>
      </c>
      <c r="DR42" s="83">
        <f t="shared" si="24"/>
        <v>2.9098979765765294</v>
      </c>
      <c r="DS42" s="83">
        <f t="shared" si="24"/>
        <v>1.6745657067823527</v>
      </c>
      <c r="DT42" s="83">
        <f t="shared" si="24"/>
        <v>2.0623435061417785</v>
      </c>
      <c r="DU42" s="83">
        <f t="shared" si="24"/>
        <v>3.0225612125139478</v>
      </c>
      <c r="DV42" s="83">
        <f t="shared" si="24"/>
        <v>0.8137092433763804</v>
      </c>
      <c r="DW42" s="83">
        <f t="shared" si="24"/>
        <v>0</v>
      </c>
      <c r="DX42" s="83">
        <f t="shared" si="24"/>
        <v>4.1338674150897434</v>
      </c>
      <c r="DY42" s="83">
        <f t="shared" si="24"/>
        <v>11.568708695606656</v>
      </c>
      <c r="DZ42" s="83">
        <f t="shared" si="24"/>
        <v>2.232247692121307</v>
      </c>
      <c r="EA42" s="83">
        <f t="shared" si="24"/>
        <v>1.9068199707771318</v>
      </c>
      <c r="EB42" s="83">
        <f t="shared" si="24"/>
        <v>14.381445585752576</v>
      </c>
      <c r="EC42" s="83">
        <f t="shared" si="24"/>
        <v>4.2130605786185509</v>
      </c>
      <c r="ED42" s="83">
        <f t="shared" si="24"/>
        <v>2.0555786618577612</v>
      </c>
      <c r="EE42" s="83">
        <f t="shared" si="24"/>
        <v>3.1168006651764752</v>
      </c>
      <c r="EF42" s="83">
        <f t="shared" si="24"/>
        <v>4.5802719096396372</v>
      </c>
      <c r="EG42" s="83">
        <f t="shared" si="24"/>
        <v>2.7138081786214436</v>
      </c>
      <c r="EH42" s="83">
        <f t="shared" si="24"/>
        <v>3.9367799797434517</v>
      </c>
      <c r="EI42" s="83">
        <f t="shared" si="24"/>
        <v>0.8137092433763804</v>
      </c>
      <c r="EJ42" s="83">
        <f t="shared" si="24"/>
        <v>3.7231913917312576</v>
      </c>
      <c r="EK42" s="83">
        <f t="shared" si="24"/>
        <v>3.8199655852796446</v>
      </c>
      <c r="EL42" s="83">
        <f t="shared" si="24"/>
        <v>2.9696701719997152</v>
      </c>
      <c r="EM42" s="83">
        <f t="shared" si="24"/>
        <v>2.6174942962139767</v>
      </c>
      <c r="EN42" s="83">
        <f t="shared" si="24"/>
        <v>0</v>
      </c>
      <c r="EO42" s="83">
        <f t="shared" si="24"/>
        <v>2.0653841409022111</v>
      </c>
      <c r="EP42" s="83">
        <f t="shared" si="24"/>
        <v>2.6213203435596428</v>
      </c>
      <c r="EQ42" s="83" t="e">
        <f t="shared" ref="EQ42:ES42" si="25">(EQ45+(3*EQ41))</f>
        <v>#DIV/0!</v>
      </c>
      <c r="ER42" s="83" t="e">
        <f t="shared" si="25"/>
        <v>#DIV/0!</v>
      </c>
      <c r="ES42" s="83" t="e">
        <f t="shared" si="25"/>
        <v>#DIV/0!</v>
      </c>
      <c r="ET42" s="83">
        <f t="shared" si="24"/>
        <v>10.492072687796362</v>
      </c>
      <c r="EU42" s="83">
        <f t="shared" si="24"/>
        <v>2.3370173741939451</v>
      </c>
      <c r="EV42" s="83">
        <f t="shared" si="24"/>
        <v>3.1168006651764752</v>
      </c>
      <c r="EW42" s="83">
        <f t="shared" si="24"/>
        <v>3.6154898210658435</v>
      </c>
      <c r="EX42" s="83">
        <f t="shared" si="24"/>
        <v>3.4958002110561877</v>
      </c>
      <c r="EY42" s="83">
        <f t="shared" si="24"/>
        <v>3.1450763993726807</v>
      </c>
      <c r="EZ42" s="83">
        <f t="shared" si="24"/>
        <v>3.9369103666983003</v>
      </c>
      <c r="FA42" s="83">
        <f t="shared" si="24"/>
        <v>2.4668103399896117</v>
      </c>
      <c r="FB42" s="83">
        <f t="shared" si="24"/>
        <v>3.4228947591049255</v>
      </c>
      <c r="FC42" s="83">
        <f t="shared" si="24"/>
        <v>4.7060063742255522</v>
      </c>
      <c r="FD42" s="83">
        <f t="shared" si="24"/>
        <v>1.75</v>
      </c>
      <c r="FE42" s="83">
        <f t="shared" si="24"/>
        <v>0</v>
      </c>
      <c r="FF42" s="83">
        <f t="shared" si="24"/>
        <v>0</v>
      </c>
      <c r="FG42" s="83" t="e">
        <f t="shared" ref="FG42:FI42" si="26">(FG45+(3*FG41))</f>
        <v>#DIV/0!</v>
      </c>
      <c r="FH42" s="83" t="e">
        <f t="shared" si="26"/>
        <v>#DIV/0!</v>
      </c>
      <c r="FI42" s="83" t="e">
        <f t="shared" si="26"/>
        <v>#DIV/0!</v>
      </c>
      <c r="FJ42" s="83">
        <f t="shared" si="24"/>
        <v>13.512856550029753</v>
      </c>
      <c r="FM42" s="88" t="s">
        <v>281</v>
      </c>
    </row>
    <row r="43" spans="1:169" x14ac:dyDescent="0.25">
      <c r="A43" s="87" t="s">
        <v>280</v>
      </c>
      <c r="B43" s="53"/>
      <c r="C43" s="53"/>
      <c r="D43" s="53"/>
      <c r="E43" s="83"/>
      <c r="F43" s="83"/>
      <c r="G43" s="83"/>
      <c r="H43" s="83"/>
      <c r="I43" s="83"/>
      <c r="J43" s="83">
        <f t="shared" ref="J43:R43" si="27">(J45+(2*J41))</f>
        <v>6.5735279053646209</v>
      </c>
      <c r="K43" s="83">
        <f t="shared" si="27"/>
        <v>7.3160577888797897</v>
      </c>
      <c r="L43" s="83">
        <f t="shared" si="27"/>
        <v>4.5144990766308801</v>
      </c>
      <c r="M43" s="83">
        <f t="shared" si="27"/>
        <v>4.3116743433349862</v>
      </c>
      <c r="N43" s="83">
        <f t="shared" si="27"/>
        <v>3.3049123596074201</v>
      </c>
      <c r="O43" s="83">
        <f t="shared" si="27"/>
        <v>5.0280943208343114</v>
      </c>
      <c r="P43" s="83">
        <f t="shared" si="27"/>
        <v>0.99676771599927294</v>
      </c>
      <c r="Q43" s="83">
        <f t="shared" si="27"/>
        <v>1.1484452176440576</v>
      </c>
      <c r="R43" s="83">
        <f t="shared" si="27"/>
        <v>27.260118116150561</v>
      </c>
      <c r="S43" s="83"/>
      <c r="T43" s="83"/>
      <c r="U43" s="83">
        <f>(U45+(2*U41))</f>
        <v>1.2535393185280146</v>
      </c>
      <c r="V43" s="83">
        <f>(V45+(2*V41))</f>
        <v>0</v>
      </c>
      <c r="W43" s="83"/>
      <c r="X43" s="83"/>
      <c r="Y43" s="83"/>
      <c r="Z43" s="83"/>
      <c r="AA43" s="83"/>
      <c r="AB43" s="83">
        <f t="shared" ref="AB43:AJ43" si="28">(AB45+(2*AB41))</f>
        <v>9.7287275215422184</v>
      </c>
      <c r="AC43" s="83">
        <f t="shared" si="28"/>
        <v>12.395938350234932</v>
      </c>
      <c r="AD43" s="83">
        <f t="shared" si="28"/>
        <v>8.5215282883666319</v>
      </c>
      <c r="AE43" s="83">
        <f t="shared" si="28"/>
        <v>7.6987526854192669</v>
      </c>
      <c r="AF43" s="83">
        <f t="shared" si="28"/>
        <v>5.2638387028017988</v>
      </c>
      <c r="AG43" s="83">
        <f t="shared" si="28"/>
        <v>9.127747731594468</v>
      </c>
      <c r="AH43" s="83">
        <f t="shared" si="28"/>
        <v>0.98412453127187283</v>
      </c>
      <c r="AI43" s="83">
        <f t="shared" si="28"/>
        <v>1.9868618235354181</v>
      </c>
      <c r="AJ43" s="83">
        <f t="shared" si="28"/>
        <v>41.008668373488469</v>
      </c>
      <c r="AK43" s="83"/>
      <c r="AL43" s="83"/>
      <c r="AM43" s="83"/>
      <c r="AN43" s="83">
        <f t="shared" ref="AN43:AV43" si="29">(AN45+(2*AN41))</f>
        <v>6.2331187706620916</v>
      </c>
      <c r="AO43" s="83">
        <f t="shared" si="29"/>
        <v>2.0946971195369239</v>
      </c>
      <c r="AP43" s="83">
        <f t="shared" si="29"/>
        <v>2.9723579108902971</v>
      </c>
      <c r="AQ43" s="83">
        <f t="shared" si="29"/>
        <v>1.7633978487741715</v>
      </c>
      <c r="AR43" s="83">
        <f t="shared" si="29"/>
        <v>1.2866871467030598</v>
      </c>
      <c r="AS43" s="83">
        <f t="shared" si="29"/>
        <v>3.5369035228039376</v>
      </c>
      <c r="AT43" s="83">
        <f t="shared" si="29"/>
        <v>0.69784850058591563</v>
      </c>
      <c r="AU43" s="83">
        <f t="shared" si="29"/>
        <v>0.69784850058591563</v>
      </c>
      <c r="AV43" s="83">
        <f t="shared" si="29"/>
        <v>5.2470378630031123</v>
      </c>
      <c r="AW43" s="83"/>
      <c r="AX43" s="83">
        <f t="shared" ref="AX43:BF43" si="30">(AX45+(2*AX41))</f>
        <v>5.9157514147683958</v>
      </c>
      <c r="AY43" s="83">
        <f t="shared" si="30"/>
        <v>1.2729625717842732</v>
      </c>
      <c r="AZ43" s="83">
        <f t="shared" si="30"/>
        <v>3.321572334415416</v>
      </c>
      <c r="BA43" s="83">
        <f t="shared" si="30"/>
        <v>1.7673649803707545</v>
      </c>
      <c r="BB43" s="83">
        <f t="shared" si="30"/>
        <v>0.81058645916099392</v>
      </c>
      <c r="BC43" s="83">
        <f t="shared" si="30"/>
        <v>2.6151843989422963</v>
      </c>
      <c r="BD43" s="83">
        <f t="shared" si="30"/>
        <v>0.56397820526167297</v>
      </c>
      <c r="BE43" s="83">
        <f t="shared" si="30"/>
        <v>0</v>
      </c>
      <c r="BF43" s="83">
        <f t="shared" si="30"/>
        <v>4.0914461126417851</v>
      </c>
      <c r="BG43" s="83"/>
      <c r="BH43" s="83">
        <f t="shared" ref="BH43:BP43" si="31">(BH45+(2*BH41))</f>
        <v>5.7225392882434623</v>
      </c>
      <c r="BI43" s="83">
        <f t="shared" si="31"/>
        <v>1.3773720699019298</v>
      </c>
      <c r="BJ43" s="83">
        <f t="shared" si="31"/>
        <v>2.0034416667580617</v>
      </c>
      <c r="BK43" s="83">
        <f t="shared" si="31"/>
        <v>1.5875365717199361</v>
      </c>
      <c r="BL43" s="83">
        <f t="shared" si="31"/>
        <v>1.8974076952503045</v>
      </c>
      <c r="BM43" s="83">
        <f t="shared" si="31"/>
        <v>1.7351069158546255</v>
      </c>
      <c r="BN43" s="83">
        <f t="shared" si="31"/>
        <v>0.69784850058591563</v>
      </c>
      <c r="BO43" s="83">
        <f t="shared" si="31"/>
        <v>0.56397820526167297</v>
      </c>
      <c r="BP43" s="83">
        <f t="shared" si="31"/>
        <v>3.1896347215484648</v>
      </c>
      <c r="BQ43" s="83"/>
      <c r="BR43" s="83">
        <f t="shared" ref="BR43:BZ43" si="32">(BR45+(2*BR41))</f>
        <v>5.4521200302856805</v>
      </c>
      <c r="BS43" s="83">
        <f t="shared" si="32"/>
        <v>1.5875365717199361</v>
      </c>
      <c r="BT43" s="83">
        <f t="shared" si="32"/>
        <v>2.5129003404674242</v>
      </c>
      <c r="BU43" s="83">
        <f t="shared" si="32"/>
        <v>1.8560853031627866</v>
      </c>
      <c r="BV43" s="83">
        <f t="shared" si="32"/>
        <v>1.5476802702984069</v>
      </c>
      <c r="BW43" s="83">
        <f t="shared" si="32"/>
        <v>3.3989563878026017</v>
      </c>
      <c r="BX43" s="83">
        <f t="shared" si="32"/>
        <v>0.81058645916099392</v>
      </c>
      <c r="BY43" s="83">
        <f t="shared" si="32"/>
        <v>0</v>
      </c>
      <c r="BZ43" s="83">
        <f t="shared" si="32"/>
        <v>4.1601252288581279</v>
      </c>
      <c r="CA43" s="83"/>
      <c r="CB43" s="83">
        <f t="shared" ref="CB43:CJ43" si="33">(CB45+(2*CB41))</f>
        <v>5.3003011717448096</v>
      </c>
      <c r="CC43" s="83">
        <f t="shared" si="33"/>
        <v>1.5875365717199361</v>
      </c>
      <c r="CD43" s="83">
        <f t="shared" si="33"/>
        <v>2.1729323570506418</v>
      </c>
      <c r="CE43" s="83">
        <f t="shared" si="33"/>
        <v>1.8180936473732223</v>
      </c>
      <c r="CF43" s="83">
        <f t="shared" si="33"/>
        <v>1.4561575671417106</v>
      </c>
      <c r="CG43" s="83">
        <f t="shared" si="33"/>
        <v>2.7852603342609772</v>
      </c>
      <c r="CH43" s="83">
        <f t="shared" si="33"/>
        <v>0.56397820526167297</v>
      </c>
      <c r="CI43" s="83">
        <f t="shared" si="33"/>
        <v>0.56397820526167297</v>
      </c>
      <c r="CJ43" s="83">
        <f t="shared" si="33"/>
        <v>3.5229390429619842</v>
      </c>
      <c r="CK43" s="83"/>
      <c r="CL43" s="83">
        <f t="shared" ref="CL43:CT43" si="34">(CL45+(2*CL41))</f>
        <v>5.0437462737879528</v>
      </c>
      <c r="CM43" s="83">
        <f t="shared" si="34"/>
        <v>1.7351069158546255</v>
      </c>
      <c r="CN43" s="83">
        <f t="shared" si="34"/>
        <v>2.5634558893185782</v>
      </c>
      <c r="CO43" s="83">
        <f t="shared" si="34"/>
        <v>1.8974076952503045</v>
      </c>
      <c r="CP43" s="83">
        <f t="shared" si="34"/>
        <v>1.4561575671417106</v>
      </c>
      <c r="CQ43" s="83">
        <f t="shared" si="34"/>
        <v>2.383307376501179</v>
      </c>
      <c r="CR43" s="83">
        <f t="shared" si="34"/>
        <v>0.56397820526167297</v>
      </c>
      <c r="CS43" s="83">
        <f t="shared" si="34"/>
        <v>0.39146866856967888</v>
      </c>
      <c r="CT43" s="83">
        <f t="shared" si="34"/>
        <v>4.2156572900357876</v>
      </c>
      <c r="CU43" s="83"/>
      <c r="CV43" s="83">
        <f t="shared" ref="CV43:DD43" si="35">(CV45+(2*CV41))</f>
        <v>5.3245010900038352</v>
      </c>
      <c r="CW43" s="83">
        <f t="shared" si="35"/>
        <v>1.2131513314032889</v>
      </c>
      <c r="CX43" s="83">
        <f t="shared" si="35"/>
        <v>2.3223324878472851</v>
      </c>
      <c r="CY43" s="83">
        <f t="shared" si="35"/>
        <v>1.8179398221750485</v>
      </c>
      <c r="CZ43" s="83">
        <f t="shared" si="35"/>
        <v>1.8020409516528579</v>
      </c>
      <c r="DA43" s="83">
        <f t="shared" si="35"/>
        <v>2.8815053629015459</v>
      </c>
      <c r="DB43" s="83">
        <f t="shared" si="35"/>
        <v>0.56397820526167297</v>
      </c>
      <c r="DC43" s="83">
        <f t="shared" si="35"/>
        <v>0.39146866856967888</v>
      </c>
      <c r="DD43" s="83">
        <f t="shared" si="35"/>
        <v>3.4909899038708097</v>
      </c>
      <c r="DE43" s="83"/>
      <c r="DF43" s="83">
        <f t="shared" ref="DF43:DN43" si="36">(DF45+(2*DF41))</f>
        <v>5.1400585147518969</v>
      </c>
      <c r="DG43" s="83">
        <f t="shared" si="36"/>
        <v>1.9868618235354181</v>
      </c>
      <c r="DH43" s="83">
        <f t="shared" si="36"/>
        <v>1.843341560150622</v>
      </c>
      <c r="DI43" s="83">
        <f t="shared" si="36"/>
        <v>1.4090341867962044</v>
      </c>
      <c r="DJ43" s="83">
        <f t="shared" si="36"/>
        <v>1.6602355526530279</v>
      </c>
      <c r="DK43" s="83">
        <f t="shared" si="36"/>
        <v>2.7183356256950599</v>
      </c>
      <c r="DL43" s="83">
        <f t="shared" si="36"/>
        <v>0.39146866856967888</v>
      </c>
      <c r="DM43" s="83">
        <f t="shared" si="36"/>
        <v>0.56397820526167297</v>
      </c>
      <c r="DN43" s="83">
        <f t="shared" si="36"/>
        <v>3.1750731434398722</v>
      </c>
      <c r="DO43" s="83"/>
      <c r="DP43" s="83">
        <f t="shared" ref="DP43:FJ43" si="37">(DP45+(2*DP41))</f>
        <v>5.1544566690729035</v>
      </c>
      <c r="DQ43" s="83">
        <f t="shared" si="37"/>
        <v>1.5712144297874184</v>
      </c>
      <c r="DR43" s="83">
        <f t="shared" si="37"/>
        <v>2.1549857478252132</v>
      </c>
      <c r="DS43" s="83">
        <f t="shared" si="37"/>
        <v>1.2131513314032889</v>
      </c>
      <c r="DT43" s="83">
        <f t="shared" si="37"/>
        <v>1.5039279288257017</v>
      </c>
      <c r="DU43" s="83">
        <f t="shared" si="37"/>
        <v>2.2193418836114494</v>
      </c>
      <c r="DV43" s="83">
        <f t="shared" si="37"/>
        <v>0.56397820526167297</v>
      </c>
      <c r="DW43" s="83">
        <f t="shared" si="37"/>
        <v>0</v>
      </c>
      <c r="DX43" s="83">
        <f t="shared" si="37"/>
        <v>3.0354815025329471</v>
      </c>
      <c r="DY43" s="83">
        <f t="shared" si="37"/>
        <v>8.5834402056732539</v>
      </c>
      <c r="DZ43" s="83">
        <f t="shared" si="37"/>
        <v>1.5634339452851727</v>
      </c>
      <c r="EA43" s="83">
        <f t="shared" si="37"/>
        <v>1.3464821310557222</v>
      </c>
      <c r="EB43" s="83">
        <f t="shared" si="37"/>
        <v>11.741752254301002</v>
      </c>
      <c r="EC43" s="83">
        <f t="shared" si="37"/>
        <v>3.0667715685413999</v>
      </c>
      <c r="ED43" s="83">
        <f t="shared" si="37"/>
        <v>1.4671599681202279</v>
      </c>
      <c r="EE43" s="83">
        <f t="shared" si="37"/>
        <v>2.228404744526252</v>
      </c>
      <c r="EF43" s="83">
        <f t="shared" si="37"/>
        <v>3.2793210580393279</v>
      </c>
      <c r="EG43" s="83">
        <f t="shared" si="37"/>
        <v>1.9489903986508548</v>
      </c>
      <c r="EH43" s="83">
        <f t="shared" si="37"/>
        <v>2.7858103090762798</v>
      </c>
      <c r="EI43" s="83">
        <f t="shared" si="37"/>
        <v>0.56397820526167297</v>
      </c>
      <c r="EJ43" s="83">
        <f t="shared" si="37"/>
        <v>2.6326652288961072</v>
      </c>
      <c r="EK43" s="83">
        <f t="shared" si="37"/>
        <v>2.7294394224444942</v>
      </c>
      <c r="EL43" s="83">
        <f t="shared" si="37"/>
        <v>2.1406996548963617</v>
      </c>
      <c r="EM43" s="83">
        <f t="shared" si="37"/>
        <v>1.8561073085870954</v>
      </c>
      <c r="EN43" s="83">
        <f t="shared" si="37"/>
        <v>0</v>
      </c>
      <c r="EO43" s="83">
        <f t="shared" si="37"/>
        <v>1.4880338717125849</v>
      </c>
      <c r="EP43" s="83">
        <f t="shared" si="37"/>
        <v>1.9142135623730951</v>
      </c>
      <c r="EQ43" s="83" t="e">
        <f t="shared" ref="EQ43:ES43" si="38">(EQ45+(2*EQ41))</f>
        <v>#DIV/0!</v>
      </c>
      <c r="ER43" s="83" t="e">
        <f t="shared" si="38"/>
        <v>#DIV/0!</v>
      </c>
      <c r="ES43" s="83" t="e">
        <f t="shared" si="38"/>
        <v>#DIV/0!</v>
      </c>
      <c r="ET43" s="83">
        <f t="shared" si="37"/>
        <v>8.2957903940147801</v>
      </c>
      <c r="EU43" s="83">
        <f t="shared" si="37"/>
        <v>1.6762911526884365</v>
      </c>
      <c r="EV43" s="83">
        <f t="shared" si="37"/>
        <v>2.228404744526252</v>
      </c>
      <c r="EW43" s="83">
        <f t="shared" si="37"/>
        <v>2.6361329989901323</v>
      </c>
      <c r="EX43" s="83">
        <f t="shared" si="37"/>
        <v>2.4703184202740176</v>
      </c>
      <c r="EY43" s="83">
        <f t="shared" si="37"/>
        <v>2.2257498576463033</v>
      </c>
      <c r="EZ43" s="83">
        <f t="shared" si="37"/>
        <v>2.8181552982289744</v>
      </c>
      <c r="FA43" s="83">
        <f t="shared" si="37"/>
        <v>1.7556513377708522</v>
      </c>
      <c r="FB43" s="83">
        <f t="shared" si="37"/>
        <v>2.4773321382538582</v>
      </c>
      <c r="FC43" s="83">
        <f t="shared" si="37"/>
        <v>3.4193888648683171</v>
      </c>
      <c r="FD43" s="83">
        <f t="shared" si="37"/>
        <v>1.25</v>
      </c>
      <c r="FE43" s="83">
        <f t="shared" si="37"/>
        <v>0</v>
      </c>
      <c r="FF43" s="83">
        <f t="shared" si="37"/>
        <v>0</v>
      </c>
      <c r="FG43" s="83" t="e">
        <f t="shared" ref="FG43:FI43" si="39">(FG45+(2*FG41))</f>
        <v>#DIV/0!</v>
      </c>
      <c r="FH43" s="83" t="e">
        <f t="shared" si="39"/>
        <v>#DIV/0!</v>
      </c>
      <c r="FI43" s="83" t="e">
        <f t="shared" si="39"/>
        <v>#DIV/0!</v>
      </c>
      <c r="FJ43" s="83">
        <f t="shared" si="37"/>
        <v>10.503194689267147</v>
      </c>
      <c r="FM43" s="88" t="s">
        <v>280</v>
      </c>
    </row>
    <row r="44" spans="1:169" x14ac:dyDescent="0.25">
      <c r="A44" s="87" t="s">
        <v>279</v>
      </c>
      <c r="B44" s="53"/>
      <c r="C44" s="53"/>
      <c r="D44" s="53"/>
      <c r="E44" s="83"/>
      <c r="F44" s="83"/>
      <c r="G44" s="83"/>
      <c r="H44" s="83"/>
      <c r="I44" s="83"/>
      <c r="J44" s="83">
        <f t="shared" ref="J44:R44" si="40">(J45+J41)</f>
        <v>5.0179467483812354</v>
      </c>
      <c r="K44" s="83">
        <f t="shared" si="40"/>
        <v>5.2225450234721524</v>
      </c>
      <c r="L44" s="83">
        <f t="shared" si="40"/>
        <v>2.9507979254122141</v>
      </c>
      <c r="M44" s="83">
        <f t="shared" si="40"/>
        <v>2.7687403974739446</v>
      </c>
      <c r="N44" s="83">
        <f t="shared" si="40"/>
        <v>2.1363271475456456</v>
      </c>
      <c r="O44" s="83">
        <f t="shared" si="40"/>
        <v>3.5463052249332847</v>
      </c>
      <c r="P44" s="83">
        <f t="shared" si="40"/>
        <v>0.59515805154802359</v>
      </c>
      <c r="Q44" s="83">
        <f t="shared" si="40"/>
        <v>0.67099680237041592</v>
      </c>
      <c r="R44" s="83">
        <f t="shared" si="40"/>
        <v>20.807478412913991</v>
      </c>
      <c r="S44" s="83"/>
      <c r="T44" s="83"/>
      <c r="U44" s="83">
        <f>(U45+U41)</f>
        <v>0.6912857882962653</v>
      </c>
      <c r="V44" s="83">
        <f>(V45+V41)</f>
        <v>0</v>
      </c>
      <c r="W44" s="83"/>
      <c r="X44" s="83"/>
      <c r="Y44" s="83"/>
      <c r="Z44" s="83"/>
      <c r="AA44" s="83"/>
      <c r="AB44" s="83">
        <f t="shared" ref="AB44:AJ44" si="41">(AB45+AB41)</f>
        <v>7.6761917177603562</v>
      </c>
      <c r="AC44" s="83">
        <f t="shared" si="41"/>
        <v>8.9237756267303681</v>
      </c>
      <c r="AD44" s="83">
        <f t="shared" si="41"/>
        <v>5.809151240957509</v>
      </c>
      <c r="AE44" s="83">
        <f t="shared" si="41"/>
        <v>5.0106666652902785</v>
      </c>
      <c r="AF44" s="83">
        <f t="shared" si="41"/>
        <v>3.7125645126912215</v>
      </c>
      <c r="AG44" s="83">
        <f t="shared" si="41"/>
        <v>6.8058093496682011</v>
      </c>
      <c r="AH44" s="83">
        <f t="shared" si="41"/>
        <v>0.55657839466819448</v>
      </c>
      <c r="AI44" s="83">
        <f t="shared" si="41"/>
        <v>1.2192373633806122</v>
      </c>
      <c r="AJ44" s="83">
        <f t="shared" si="41"/>
        <v>32.907559993195846</v>
      </c>
      <c r="AK44" s="83"/>
      <c r="AL44" s="83"/>
      <c r="AM44" s="83"/>
      <c r="AN44" s="83">
        <f t="shared" ref="AN44:AV44" si="42">(AN45+AN41)</f>
        <v>5.1972045466213688</v>
      </c>
      <c r="AO44" s="83">
        <f t="shared" si="42"/>
        <v>1.4021872694458812</v>
      </c>
      <c r="AP44" s="83">
        <f t="shared" si="42"/>
        <v>2.0506950844774066</v>
      </c>
      <c r="AQ44" s="83">
        <f t="shared" si="42"/>
        <v>1.0913763437419244</v>
      </c>
      <c r="AR44" s="83">
        <f t="shared" si="42"/>
        <v>0.77237583141604604</v>
      </c>
      <c r="AS44" s="83">
        <f t="shared" si="42"/>
        <v>2.4297420839826138</v>
      </c>
      <c r="AT44" s="83">
        <f t="shared" si="42"/>
        <v>0.39731134706715132</v>
      </c>
      <c r="AU44" s="83">
        <f t="shared" si="42"/>
        <v>0.39731134706715132</v>
      </c>
      <c r="AV44" s="83">
        <f t="shared" si="42"/>
        <v>3.5590028024692981</v>
      </c>
      <c r="AW44" s="83"/>
      <c r="AX44" s="83">
        <f t="shared" ref="AX44:BF44" si="43">(AX45+AX41)</f>
        <v>5.070778933190649</v>
      </c>
      <c r="AY44" s="83">
        <f t="shared" si="43"/>
        <v>0.79777160847278172</v>
      </c>
      <c r="AZ44" s="83">
        <f t="shared" si="43"/>
        <v>2.289818425272224</v>
      </c>
      <c r="BA44" s="83">
        <f t="shared" si="43"/>
        <v>1.1417470063144095</v>
      </c>
      <c r="BB44" s="83">
        <f t="shared" si="43"/>
        <v>0.46980935861275502</v>
      </c>
      <c r="BC44" s="83">
        <f t="shared" si="43"/>
        <v>1.6946889736646966</v>
      </c>
      <c r="BD44" s="83">
        <f t="shared" si="43"/>
        <v>0.31424716714696554</v>
      </c>
      <c r="BE44" s="83">
        <f t="shared" si="43"/>
        <v>0</v>
      </c>
      <c r="BF44" s="83">
        <f t="shared" si="43"/>
        <v>2.8037875724499246</v>
      </c>
      <c r="BG44" s="83"/>
      <c r="BH44" s="83">
        <f t="shared" ref="BH44:BP44" si="44">(BH45+BH41)</f>
        <v>4.7161083537991502</v>
      </c>
      <c r="BI44" s="83">
        <f t="shared" si="44"/>
        <v>0.88223442204773916</v>
      </c>
      <c r="BJ44" s="83">
        <f t="shared" si="44"/>
        <v>1.3726885753145146</v>
      </c>
      <c r="BK44" s="83">
        <f t="shared" si="44"/>
        <v>1.0195747374728712</v>
      </c>
      <c r="BL44" s="83">
        <f t="shared" si="44"/>
        <v>1.1745102992380554</v>
      </c>
      <c r="BM44" s="83">
        <f t="shared" si="44"/>
        <v>1.1094889417982805</v>
      </c>
      <c r="BN44" s="83">
        <f t="shared" si="44"/>
        <v>0.39731134706715132</v>
      </c>
      <c r="BO44" s="83">
        <f t="shared" si="44"/>
        <v>0.31424716714696554</v>
      </c>
      <c r="BP44" s="83">
        <f t="shared" si="44"/>
        <v>2.1270754252903616</v>
      </c>
      <c r="BQ44" s="83"/>
      <c r="BR44" s="83">
        <f t="shared" ref="BR44:BZ44" si="45">(BR45+BR41)</f>
        <v>4.5970277570783242</v>
      </c>
      <c r="BS44" s="83">
        <f t="shared" si="45"/>
        <v>1.0195747374728712</v>
      </c>
      <c r="BT44" s="83">
        <f t="shared" si="45"/>
        <v>1.6112888799111316</v>
      </c>
      <c r="BU44" s="83">
        <f t="shared" si="45"/>
        <v>1.0732039419039741</v>
      </c>
      <c r="BV44" s="83">
        <f t="shared" si="45"/>
        <v>0.98351755450404221</v>
      </c>
      <c r="BW44" s="83">
        <f t="shared" si="45"/>
        <v>2.3123814197077524</v>
      </c>
      <c r="BX44" s="83">
        <f t="shared" si="45"/>
        <v>0.46980935861275502</v>
      </c>
      <c r="BY44" s="83">
        <f t="shared" si="45"/>
        <v>0</v>
      </c>
      <c r="BZ44" s="83">
        <f t="shared" si="45"/>
        <v>2.6123206789451929</v>
      </c>
      <c r="CA44" s="83"/>
      <c r="CB44" s="83">
        <f t="shared" ref="CB44:CJ44" si="46">(CB45+CB41)</f>
        <v>4.4566021987756308</v>
      </c>
      <c r="CC44" s="83">
        <f t="shared" si="46"/>
        <v>1.0195747374728712</v>
      </c>
      <c r="CD44" s="83">
        <f t="shared" si="46"/>
        <v>1.4251758559446757</v>
      </c>
      <c r="CE44" s="83">
        <f t="shared" si="46"/>
        <v>1.0703371462672564</v>
      </c>
      <c r="CF44" s="83">
        <f t="shared" si="46"/>
        <v>0.90549813840956495</v>
      </c>
      <c r="CG44" s="83">
        <f t="shared" si="46"/>
        <v>1.8281140380982306</v>
      </c>
      <c r="CH44" s="83">
        <f t="shared" si="46"/>
        <v>0.31424716714696554</v>
      </c>
      <c r="CI44" s="83">
        <f t="shared" si="46"/>
        <v>0.31424716714696554</v>
      </c>
      <c r="CJ44" s="83">
        <f t="shared" si="46"/>
        <v>2.2453404892229276</v>
      </c>
      <c r="CK44" s="83"/>
      <c r="CL44" s="83">
        <f t="shared" ref="CL44:CT44" si="47">(CL45+CL41)</f>
        <v>4.3283247497972024</v>
      </c>
      <c r="CM44" s="83">
        <f t="shared" si="47"/>
        <v>1.1094889417982805</v>
      </c>
      <c r="CN44" s="83">
        <f t="shared" si="47"/>
        <v>1.7172118156270311</v>
      </c>
      <c r="CO44" s="83">
        <f t="shared" si="47"/>
        <v>1.1745102992380554</v>
      </c>
      <c r="CP44" s="83">
        <f t="shared" si="47"/>
        <v>0.90549813840956495</v>
      </c>
      <c r="CQ44" s="83">
        <f t="shared" si="47"/>
        <v>1.578750462444138</v>
      </c>
      <c r="CR44" s="83">
        <f t="shared" si="47"/>
        <v>0.31424716714696554</v>
      </c>
      <c r="CS44" s="83">
        <f t="shared" si="47"/>
        <v>0.21186336654290394</v>
      </c>
      <c r="CT44" s="83">
        <f t="shared" si="47"/>
        <v>2.7691189675985388</v>
      </c>
      <c r="CU44" s="83"/>
      <c r="CV44" s="83">
        <f t="shared" ref="CV44:DD44" si="48">(CV45+CV41)</f>
        <v>4.3396698998406276</v>
      </c>
      <c r="CW44" s="83">
        <f t="shared" si="48"/>
        <v>0.75173695602422508</v>
      </c>
      <c r="CX44" s="83">
        <f t="shared" si="48"/>
        <v>1.4837468890849328</v>
      </c>
      <c r="CY44" s="83">
        <f t="shared" si="48"/>
        <v>1.1025182981842985</v>
      </c>
      <c r="CZ44" s="83">
        <f t="shared" si="48"/>
        <v>1.1268269274393321</v>
      </c>
      <c r="DA44" s="83">
        <f t="shared" si="48"/>
        <v>2.0213978427410955</v>
      </c>
      <c r="DB44" s="83">
        <f t="shared" si="48"/>
        <v>0.31424716714696554</v>
      </c>
      <c r="DC44" s="83">
        <f t="shared" si="48"/>
        <v>0.21186336654290394</v>
      </c>
      <c r="DD44" s="83">
        <f t="shared" si="48"/>
        <v>2.1809788229031466</v>
      </c>
      <c r="DE44" s="83"/>
      <c r="DF44" s="83">
        <f t="shared" ref="DF44:DN44" si="49">(DF45+DF41)</f>
        <v>4.2313195799565939</v>
      </c>
      <c r="DG44" s="83">
        <f t="shared" si="49"/>
        <v>1.2192373633806122</v>
      </c>
      <c r="DH44" s="83">
        <f t="shared" si="49"/>
        <v>1.2281223929785368</v>
      </c>
      <c r="DI44" s="83">
        <f t="shared" si="49"/>
        <v>0.83354935146261833</v>
      </c>
      <c r="DJ44" s="83">
        <f t="shared" si="49"/>
        <v>1.0397951956813527</v>
      </c>
      <c r="DK44" s="83">
        <f t="shared" si="49"/>
        <v>1.8107807160733365</v>
      </c>
      <c r="DL44" s="83">
        <f t="shared" si="49"/>
        <v>0.21186336654290394</v>
      </c>
      <c r="DM44" s="83">
        <f t="shared" si="49"/>
        <v>0.31424716714696554</v>
      </c>
      <c r="DN44" s="83">
        <f t="shared" si="49"/>
        <v>2.0391494749457424</v>
      </c>
      <c r="DO44" s="83"/>
      <c r="DP44" s="83">
        <f t="shared" ref="DP44:FJ44" si="50">(DP45+DP41)</f>
        <v>4.1740025280848387</v>
      </c>
      <c r="DQ44" s="83">
        <f t="shared" si="50"/>
        <v>0.96302656973241885</v>
      </c>
      <c r="DR44" s="83">
        <f t="shared" si="50"/>
        <v>1.4000735190738969</v>
      </c>
      <c r="DS44" s="83">
        <f t="shared" si="50"/>
        <v>0.75173695602422508</v>
      </c>
      <c r="DT44" s="83">
        <f t="shared" si="50"/>
        <v>0.94551235150962509</v>
      </c>
      <c r="DU44" s="83">
        <f t="shared" si="50"/>
        <v>1.4161225547089504</v>
      </c>
      <c r="DV44" s="83">
        <f t="shared" si="50"/>
        <v>0.31424716714696554</v>
      </c>
      <c r="DW44" s="83">
        <f t="shared" si="50"/>
        <v>0</v>
      </c>
      <c r="DX44" s="83">
        <f t="shared" si="50"/>
        <v>1.9370955899761508</v>
      </c>
      <c r="DY44" s="83">
        <f t="shared" si="50"/>
        <v>5.5981717157398521</v>
      </c>
      <c r="DZ44" s="83">
        <f t="shared" si="50"/>
        <v>0.89462019844903795</v>
      </c>
      <c r="EA44" s="83">
        <f t="shared" si="50"/>
        <v>0.78614429133431274</v>
      </c>
      <c r="EB44" s="83">
        <f t="shared" si="50"/>
        <v>9.1020589228494249</v>
      </c>
      <c r="EC44" s="83">
        <f t="shared" si="50"/>
        <v>1.9204825584642482</v>
      </c>
      <c r="ED44" s="83">
        <f t="shared" si="50"/>
        <v>0.87874127438269456</v>
      </c>
      <c r="EE44" s="83">
        <f t="shared" si="50"/>
        <v>1.3400088238760293</v>
      </c>
      <c r="EF44" s="83">
        <f t="shared" si="50"/>
        <v>1.9783702064390187</v>
      </c>
      <c r="EG44" s="83">
        <f t="shared" si="50"/>
        <v>1.1841726186802661</v>
      </c>
      <c r="EH44" s="83">
        <f t="shared" si="50"/>
        <v>1.6348406384091076</v>
      </c>
      <c r="EI44" s="83">
        <f t="shared" si="50"/>
        <v>0.31424716714696554</v>
      </c>
      <c r="EJ44" s="83">
        <f t="shared" si="50"/>
        <v>1.5421390660609569</v>
      </c>
      <c r="EK44" s="83">
        <f t="shared" si="50"/>
        <v>1.6389132596093439</v>
      </c>
      <c r="EL44" s="83">
        <f t="shared" si="50"/>
        <v>1.3117291377930085</v>
      </c>
      <c r="EM44" s="83">
        <f t="shared" si="50"/>
        <v>1.0947203209602143</v>
      </c>
      <c r="EN44" s="83">
        <f t="shared" si="50"/>
        <v>0</v>
      </c>
      <c r="EO44" s="83">
        <f t="shared" si="50"/>
        <v>0.91068360252295921</v>
      </c>
      <c r="EP44" s="83">
        <f t="shared" si="50"/>
        <v>1.2071067811865475</v>
      </c>
      <c r="EQ44" s="83" t="e">
        <f t="shared" ref="EQ44:ES44" si="51">(EQ45+EQ41)</f>
        <v>#DIV/0!</v>
      </c>
      <c r="ER44" s="83" t="e">
        <f t="shared" si="51"/>
        <v>#DIV/0!</v>
      </c>
      <c r="ES44" s="83" t="e">
        <f t="shared" si="51"/>
        <v>#DIV/0!</v>
      </c>
      <c r="ET44" s="83">
        <f t="shared" si="50"/>
        <v>6.0995081002331961</v>
      </c>
      <c r="EU44" s="83">
        <f t="shared" si="50"/>
        <v>1.015564931182928</v>
      </c>
      <c r="EV44" s="83">
        <f t="shared" si="50"/>
        <v>1.3400088238760293</v>
      </c>
      <c r="EW44" s="83">
        <f t="shared" si="50"/>
        <v>1.6567761769144211</v>
      </c>
      <c r="EX44" s="83">
        <f t="shared" si="50"/>
        <v>1.4448366294918475</v>
      </c>
      <c r="EY44" s="83">
        <f t="shared" si="50"/>
        <v>1.3064233159199259</v>
      </c>
      <c r="EZ44" s="83">
        <f t="shared" si="50"/>
        <v>1.6994002297596484</v>
      </c>
      <c r="FA44" s="83">
        <f t="shared" si="50"/>
        <v>1.0444923355520928</v>
      </c>
      <c r="FB44" s="83">
        <f t="shared" si="50"/>
        <v>1.5317695174027912</v>
      </c>
      <c r="FC44" s="83">
        <f t="shared" si="50"/>
        <v>2.1327713555110814</v>
      </c>
      <c r="FD44" s="83">
        <f t="shared" si="50"/>
        <v>0.75</v>
      </c>
      <c r="FE44" s="83">
        <f t="shared" si="50"/>
        <v>0</v>
      </c>
      <c r="FF44" s="83">
        <f t="shared" si="50"/>
        <v>0</v>
      </c>
      <c r="FG44" s="83" t="e">
        <f t="shared" ref="FG44:FI44" si="52">(FG45+FG41)</f>
        <v>#DIV/0!</v>
      </c>
      <c r="FH44" s="83" t="e">
        <f t="shared" si="52"/>
        <v>#DIV/0!</v>
      </c>
      <c r="FI44" s="83" t="e">
        <f t="shared" si="52"/>
        <v>#DIV/0!</v>
      </c>
      <c r="FJ44" s="83">
        <f t="shared" si="50"/>
        <v>7.4935328285045415</v>
      </c>
      <c r="FM44" s="88" t="s">
        <v>279</v>
      </c>
    </row>
    <row r="45" spans="1:169" x14ac:dyDescent="0.25">
      <c r="A45" s="82" t="s">
        <v>233</v>
      </c>
      <c r="B45" s="90"/>
      <c r="C45" s="90"/>
      <c r="D45" s="90"/>
      <c r="E45" s="41"/>
      <c r="F45" s="90"/>
      <c r="G45" s="90"/>
      <c r="H45" s="90"/>
      <c r="I45" s="90"/>
      <c r="J45" s="41">
        <f>AVERAGE(Table117[S-IP])</f>
        <v>3.4623655913978495</v>
      </c>
      <c r="K45" s="41">
        <f>AVERAGE(Table117[S-H])</f>
        <v>3.129032258064516</v>
      </c>
      <c r="L45" s="41">
        <f>AVERAGE(Table117[S-R])</f>
        <v>1.3870967741935485</v>
      </c>
      <c r="M45" s="41">
        <f>AVERAGE(Table117[S-ER])</f>
        <v>1.2258064516129032</v>
      </c>
      <c r="N45" s="41">
        <f>AVERAGE(Table117[S-BB])</f>
        <v>0.967741935483871</v>
      </c>
      <c r="O45" s="41">
        <f>AVERAGE(Table117[S-SO])</f>
        <v>2.064516129032258</v>
      </c>
      <c r="P45" s="41">
        <f>AVERAGE(Table117[S-HR])</f>
        <v>0.19354838709677419</v>
      </c>
      <c r="Q45" s="41">
        <f>AVERAGE(Table117[S-HBP])</f>
        <v>0.19354838709677419</v>
      </c>
      <c r="R45" s="41">
        <f>AVERAGE(Table117[S-BF])</f>
        <v>14.35483870967742</v>
      </c>
      <c r="S45" s="41"/>
      <c r="T45" s="41"/>
      <c r="U45" s="41">
        <f>AVERAGE(Table117[IRL])</f>
        <v>0.12903225806451613</v>
      </c>
      <c r="V45" s="41">
        <f>AVERAGE(Table117[IRS])</f>
        <v>0</v>
      </c>
      <c r="W45" s="90"/>
      <c r="X45" s="90"/>
      <c r="Y45" s="90"/>
      <c r="Z45" s="90"/>
      <c r="AA45" s="90"/>
      <c r="AB45" s="41">
        <f>AVERAGE(Table117[B-IP])</f>
        <v>5.623655913978495</v>
      </c>
      <c r="AC45" s="41">
        <f>AVERAGE(Table117[B-H])</f>
        <v>5.4516129032258061</v>
      </c>
      <c r="AD45" s="41">
        <f>AVERAGE(Table117[B-R])</f>
        <v>3.096774193548387</v>
      </c>
      <c r="AE45" s="41">
        <f>AVERAGE(Table117[B-ER])</f>
        <v>2.3225806451612905</v>
      </c>
      <c r="AF45" s="41">
        <f>AVERAGE(Table117[B-BB])</f>
        <v>2.161290322580645</v>
      </c>
      <c r="AG45" s="41">
        <f>AVERAGE(Table117[B-SO])</f>
        <v>4.4838709677419351</v>
      </c>
      <c r="AH45" s="41">
        <f>AVERAGE(Table117[B-HR])</f>
        <v>0.12903225806451613</v>
      </c>
      <c r="AI45" s="41">
        <f>AVERAGE(Table117[B-HBP])</f>
        <v>0.45161290322580644</v>
      </c>
      <c r="AJ45" s="41">
        <f>AVERAGE(Table117[B-BF])</f>
        <v>24.806451612903224</v>
      </c>
      <c r="AK45" s="41"/>
      <c r="AL45" s="41"/>
      <c r="AM45" s="90"/>
      <c r="AN45" s="41">
        <f>AVERAGE(Table117[AB1])</f>
        <v>4.161290322580645</v>
      </c>
      <c r="AO45" s="41">
        <f>AVERAGE(Table117[R1])</f>
        <v>0.70967741935483875</v>
      </c>
      <c r="AP45" s="41">
        <f>AVERAGE(Table117[H1])</f>
        <v>1.1290322580645162</v>
      </c>
      <c r="AQ45" s="41">
        <f>AVERAGE(Table117[RBI1])</f>
        <v>0.41935483870967744</v>
      </c>
      <c r="AR45" s="41">
        <f>AVERAGE(Table117[BB1])</f>
        <v>0.25806451612903225</v>
      </c>
      <c r="AS45" s="41">
        <f>AVERAGE(Table117[SO1])</f>
        <v>1.3225806451612903</v>
      </c>
      <c r="AT45" s="41">
        <f>AVERAGE(Table117[HBP1])</f>
        <v>9.6774193548387094E-2</v>
      </c>
      <c r="AU45" s="41">
        <f>AVERAGE(Table117[SF1])</f>
        <v>9.6774193548387094E-2</v>
      </c>
      <c r="AV45" s="41">
        <f>AVERAGE(Table117[TB1])</f>
        <v>1.8709677419354838</v>
      </c>
      <c r="AW45" s="90"/>
      <c r="AX45" s="41">
        <f>AVERAGE(Table117[AB2])</f>
        <v>4.225806451612903</v>
      </c>
      <c r="AY45" s="41">
        <f>AVERAGE(Table117[R2])</f>
        <v>0.32258064516129031</v>
      </c>
      <c r="AZ45" s="41">
        <f>AVERAGE(Table117[H2])</f>
        <v>1.2580645161290323</v>
      </c>
      <c r="BA45" s="41">
        <f>AVERAGE(Table117[RBI2])</f>
        <v>0.5161290322580645</v>
      </c>
      <c r="BB45" s="41">
        <f>AVERAGE(Table117[BB2])</f>
        <v>0.12903225806451613</v>
      </c>
      <c r="BC45" s="41">
        <f>AVERAGE(Table117[SO2])</f>
        <v>0.77419354838709675</v>
      </c>
      <c r="BD45" s="41">
        <f>AVERAGE(Table117[HBP2])</f>
        <v>6.4516129032258063E-2</v>
      </c>
      <c r="BE45" s="41">
        <f>AVERAGE(Table117[SF2])</f>
        <v>0</v>
      </c>
      <c r="BF45" s="41">
        <f>AVERAGE(Table117[TB2])</f>
        <v>1.5161290322580645</v>
      </c>
      <c r="BG45" s="90"/>
      <c r="BH45" s="41">
        <f>AVERAGE(Table117[AB3])</f>
        <v>3.7096774193548385</v>
      </c>
      <c r="BI45" s="41">
        <f>AVERAGE(Table117[R3])</f>
        <v>0.38709677419354838</v>
      </c>
      <c r="BJ45" s="41">
        <f>AVERAGE(Table117[H3])</f>
        <v>0.74193548387096775</v>
      </c>
      <c r="BK45" s="41">
        <f>AVERAGE(Table117[RBI3])</f>
        <v>0.45161290322580644</v>
      </c>
      <c r="BL45" s="41">
        <f>AVERAGE(Table117[BB3])</f>
        <v>0.45161290322580644</v>
      </c>
      <c r="BM45" s="41">
        <f>AVERAGE(Table117[SO3])</f>
        <v>0.4838709677419355</v>
      </c>
      <c r="BN45" s="41">
        <f>AVERAGE(Table117[HBP3])</f>
        <v>9.6774193548387094E-2</v>
      </c>
      <c r="BO45" s="41">
        <f>AVERAGE(Table117[SF3])</f>
        <v>6.4516129032258063E-2</v>
      </c>
      <c r="BP45" s="41">
        <f>AVERAGE(Table117[TB3])</f>
        <v>1.064516129032258</v>
      </c>
      <c r="BQ45" s="90"/>
      <c r="BR45" s="41">
        <f>AVERAGE(Table117[AB4])</f>
        <v>3.7419354838709675</v>
      </c>
      <c r="BS45" s="41">
        <f>AVERAGE(Table117[R4])</f>
        <v>0.45161290322580644</v>
      </c>
      <c r="BT45" s="41">
        <f>AVERAGE(Table117[H4])</f>
        <v>0.70967741935483875</v>
      </c>
      <c r="BU45" s="41">
        <f>AVERAGE(Table117[RBI4])</f>
        <v>0.29032258064516131</v>
      </c>
      <c r="BV45" s="41">
        <f>AVERAGE(Table117[BB4])</f>
        <v>0.41935483870967744</v>
      </c>
      <c r="BW45" s="41">
        <f>AVERAGE(Table117[SO4])</f>
        <v>1.2258064516129032</v>
      </c>
      <c r="BX45" s="41">
        <f>AVERAGE(Table117[HBP4])</f>
        <v>0.12903225806451613</v>
      </c>
      <c r="BY45" s="41">
        <f>AVERAGE(Table117[SF4])</f>
        <v>0</v>
      </c>
      <c r="BZ45" s="41">
        <f>AVERAGE(Table117[TB4])</f>
        <v>1.064516129032258</v>
      </c>
      <c r="CA45" s="90"/>
      <c r="CB45" s="41">
        <f>AVERAGE(Table117[AB5])</f>
        <v>3.6129032258064515</v>
      </c>
      <c r="CC45" s="41">
        <f>AVERAGE(Table117[R5])</f>
        <v>0.45161290322580644</v>
      </c>
      <c r="CD45" s="41">
        <f>AVERAGE(Table117[H5])</f>
        <v>0.67741935483870963</v>
      </c>
      <c r="CE45" s="41">
        <f>AVERAGE(Table117[RBI5])</f>
        <v>0.32258064516129031</v>
      </c>
      <c r="CF45" s="41">
        <f>AVERAGE(Table117[BB5])</f>
        <v>0.35483870967741937</v>
      </c>
      <c r="CG45" s="41">
        <f>AVERAGE(Table117[SO5])</f>
        <v>0.87096774193548387</v>
      </c>
      <c r="CH45" s="41">
        <f>AVERAGE(Table117[HBP5])</f>
        <v>6.4516129032258063E-2</v>
      </c>
      <c r="CI45" s="41">
        <f>AVERAGE(Table117[SF5])</f>
        <v>6.4516129032258063E-2</v>
      </c>
      <c r="CJ45" s="41">
        <f>AVERAGE(Table117[TB5])</f>
        <v>0.967741935483871</v>
      </c>
      <c r="CK45" s="90"/>
      <c r="CL45" s="41">
        <f>AVERAGE(Table117[AB6])</f>
        <v>3.6129032258064515</v>
      </c>
      <c r="CM45" s="41">
        <f>AVERAGE(Table117[R6])</f>
        <v>0.4838709677419355</v>
      </c>
      <c r="CN45" s="41">
        <f>AVERAGE(Table117[H6])</f>
        <v>0.87096774193548387</v>
      </c>
      <c r="CO45" s="41">
        <f>AVERAGE(Table117[RBI6])</f>
        <v>0.45161290322580644</v>
      </c>
      <c r="CP45" s="41">
        <f>AVERAGE(Table117[BB6])</f>
        <v>0.35483870967741937</v>
      </c>
      <c r="CQ45" s="41">
        <f>AVERAGE(Table117[SO6])</f>
        <v>0.77419354838709675</v>
      </c>
      <c r="CR45" s="41">
        <f>AVERAGE(Table117[HBP6])</f>
        <v>6.4516129032258063E-2</v>
      </c>
      <c r="CS45" s="41">
        <f>AVERAGE(Table117[SF6])</f>
        <v>3.2258064516129031E-2</v>
      </c>
      <c r="CT45" s="41">
        <f>AVERAGE(Table117[TB6])</f>
        <v>1.3225806451612903</v>
      </c>
      <c r="CU45" s="90"/>
      <c r="CV45" s="41">
        <f>AVERAGE(Table117[AB7])</f>
        <v>3.3548387096774195</v>
      </c>
      <c r="CW45" s="41">
        <f>AVERAGE(Table117[R7])</f>
        <v>0.29032258064516131</v>
      </c>
      <c r="CX45" s="41">
        <f>AVERAGE(Table117[H7])</f>
        <v>0.64516129032258063</v>
      </c>
      <c r="CY45" s="41">
        <f>AVERAGE(Table117[RBI7])</f>
        <v>0.38709677419354838</v>
      </c>
      <c r="CZ45" s="41">
        <f>AVERAGE(Table117[BB7])</f>
        <v>0.45161290322580644</v>
      </c>
      <c r="DA45" s="41">
        <f>AVERAGE(Table117[SO7])</f>
        <v>1.1612903225806452</v>
      </c>
      <c r="DB45" s="41">
        <f>AVERAGE(Table117[HBP7])</f>
        <v>6.4516129032258063E-2</v>
      </c>
      <c r="DC45" s="41">
        <f>AVERAGE(Table117[SF7])</f>
        <v>3.2258064516129031E-2</v>
      </c>
      <c r="DD45" s="41">
        <f>AVERAGE(Table117[TB7])</f>
        <v>0.87096774193548387</v>
      </c>
      <c r="DE45" s="90"/>
      <c r="DF45" s="41">
        <f>AVERAGE(Table117[AB8])</f>
        <v>3.3225806451612905</v>
      </c>
      <c r="DG45" s="41">
        <f>AVERAGE(Table117[R8])</f>
        <v>0.45161290322580644</v>
      </c>
      <c r="DH45" s="41">
        <f>AVERAGE(Table117[H8])</f>
        <v>0.61290322580645162</v>
      </c>
      <c r="DI45" s="41">
        <f>AVERAGE(Table117[RBI8])</f>
        <v>0.25806451612903225</v>
      </c>
      <c r="DJ45" s="41">
        <f>AVERAGE(Table117[BB8])</f>
        <v>0.41935483870967744</v>
      </c>
      <c r="DK45" s="41">
        <f>AVERAGE(Table117[SO8])</f>
        <v>0.90322580645161288</v>
      </c>
      <c r="DL45" s="41">
        <f>AVERAGE(Table117[HBP8])</f>
        <v>3.2258064516129031E-2</v>
      </c>
      <c r="DM45" s="41">
        <f>AVERAGE(Table117[SF8])</f>
        <v>6.4516129032258063E-2</v>
      </c>
      <c r="DN45" s="41">
        <f>AVERAGE(Table117[TB8])</f>
        <v>0.90322580645161288</v>
      </c>
      <c r="DO45" s="90"/>
      <c r="DP45" s="41">
        <f>AVERAGE(Table117[AB9])</f>
        <v>3.193548387096774</v>
      </c>
      <c r="DQ45" s="41">
        <f>AVERAGE(Table117[R9])</f>
        <v>0.35483870967741937</v>
      </c>
      <c r="DR45" s="41">
        <f>AVERAGE(Table117[H9])</f>
        <v>0.64516129032258063</v>
      </c>
      <c r="DS45" s="41">
        <f>AVERAGE(Table117[RBI9])</f>
        <v>0.29032258064516131</v>
      </c>
      <c r="DT45" s="41">
        <f>AVERAGE(Table117[BB9])</f>
        <v>0.38709677419354838</v>
      </c>
      <c r="DU45" s="41">
        <f>AVERAGE(Table117[SO9])</f>
        <v>0.61290322580645162</v>
      </c>
      <c r="DV45" s="41">
        <f>AVERAGE(Table117[HBP9])</f>
        <v>6.4516129032258063E-2</v>
      </c>
      <c r="DW45" s="41">
        <f>AVERAGE(Table117[SF9])</f>
        <v>0</v>
      </c>
      <c r="DX45" s="41">
        <f>AVERAGE(Table117[TB9])</f>
        <v>0.83870967741935487</v>
      </c>
      <c r="DY45" s="41">
        <f>AVERAGE(Table117[IVL])</f>
        <v>2.6129032258064515</v>
      </c>
      <c r="DZ45" s="41">
        <f>AVERAGE(Table117[SVL])</f>
        <v>0.22580645161290322</v>
      </c>
      <c r="EA45" s="41">
        <f>AVERAGE(Table117[CVL])</f>
        <v>0.22580645161290322</v>
      </c>
      <c r="EB45" s="41">
        <f>AVERAGE(Table117[IVR])</f>
        <v>6.4623655913978491</v>
      </c>
      <c r="EC45" s="41">
        <f>AVERAGE(Table117[SVR])</f>
        <v>0.77419354838709675</v>
      </c>
      <c r="ED45" s="41">
        <f>AVERAGE(Table117[CVR])</f>
        <v>0.29032258064516131</v>
      </c>
      <c r="EE45" s="41">
        <f>AVERAGE(Table117[RI1])</f>
        <v>0.45161290322580644</v>
      </c>
      <c r="EF45" s="41">
        <f>AVERAGE(Table117[RI2])</f>
        <v>0.67741935483870963</v>
      </c>
      <c r="EG45" s="41">
        <f>AVERAGE(Table117[RI3])</f>
        <v>0.41935483870967744</v>
      </c>
      <c r="EH45" s="41">
        <f>AVERAGE(Table117[RI4])</f>
        <v>0.4838709677419355</v>
      </c>
      <c r="EI45" s="41">
        <f>AVERAGE(Table117[RI5])</f>
        <v>6.4516129032258063E-2</v>
      </c>
      <c r="EJ45" s="41">
        <f>AVERAGE(Table117[RI6])</f>
        <v>0.45161290322580644</v>
      </c>
      <c r="EK45" s="41">
        <f>AVERAGE(Table117[RI7])</f>
        <v>0.54838709677419351</v>
      </c>
      <c r="EL45" s="41">
        <f>AVERAGE(Table117[RI8])</f>
        <v>0.48275862068965519</v>
      </c>
      <c r="EM45" s="41">
        <f>AVERAGE(Table117[RI9])</f>
        <v>0.33333333333333331</v>
      </c>
      <c r="EN45" s="41">
        <f>AVERAGE(Table117[RI10])</f>
        <v>0</v>
      </c>
      <c r="EO45" s="41">
        <f>AVERAGE(Table117[RI11])</f>
        <v>0.33333333333333331</v>
      </c>
      <c r="EP45" s="41">
        <f>AVERAGE(Table117[RI12])</f>
        <v>0.5</v>
      </c>
      <c r="EQ45" s="41">
        <f>AVERAGE(Table117[RI13])</f>
        <v>0</v>
      </c>
      <c r="ER45" s="41">
        <f>AVERAGE(Table117[RI14])</f>
        <v>0</v>
      </c>
      <c r="ES45" s="41">
        <f>AVERAGE(Table117[RI15])</f>
        <v>1</v>
      </c>
      <c r="ET45" s="41">
        <f>AVERAGE(Table117[RT])</f>
        <v>3.903225806451613</v>
      </c>
      <c r="EU45" s="41">
        <f>AVERAGE(Table117[OI1])</f>
        <v>0.35483870967741937</v>
      </c>
      <c r="EV45" s="41">
        <f>AVERAGE(Table117[OI2])</f>
        <v>0.45161290322580644</v>
      </c>
      <c r="EW45" s="41">
        <f>AVERAGE(Table117[OI3])</f>
        <v>0.67741935483870963</v>
      </c>
      <c r="EX45" s="41">
        <f>AVERAGE(Table117[OI4])</f>
        <v>0.41935483870967744</v>
      </c>
      <c r="EY45" s="41">
        <f>AVERAGE(Table117[OI5])</f>
        <v>0.38709677419354838</v>
      </c>
      <c r="EZ45" s="41">
        <f>AVERAGE(Table117[OI6])</f>
        <v>0.58064516129032262</v>
      </c>
      <c r="FA45" s="41">
        <f>AVERAGE(Table117[OI7])</f>
        <v>0.33333333333333331</v>
      </c>
      <c r="FB45" s="41">
        <f>AVERAGE(Table117[OI8])</f>
        <v>0.58620689655172409</v>
      </c>
      <c r="FC45" s="41">
        <f>AVERAGE(Table117[OI9])</f>
        <v>0.84615384615384615</v>
      </c>
      <c r="FD45" s="41">
        <f>AVERAGE(Table117[OI10])</f>
        <v>0.25</v>
      </c>
      <c r="FE45" s="41">
        <f>AVERAGE(Table117[OI11])</f>
        <v>0</v>
      </c>
      <c r="FF45" s="41">
        <f>AVERAGE(Table117[OI12])</f>
        <v>0</v>
      </c>
      <c r="FG45" s="41">
        <f>AVERAGE(Table117[OI13])</f>
        <v>0</v>
      </c>
      <c r="FH45" s="41">
        <f>AVERAGE(Table117[OI14])</f>
        <v>0</v>
      </c>
      <c r="FI45" s="41">
        <f>AVERAGE(Table117[OI15])</f>
        <v>0</v>
      </c>
      <c r="FJ45" s="41">
        <f>AVERAGE(Table117[OT])</f>
        <v>4.4838709677419351</v>
      </c>
      <c r="FM45" s="86" t="s">
        <v>233</v>
      </c>
    </row>
    <row r="46" spans="1:169" x14ac:dyDescent="0.25">
      <c r="A46" s="87" t="s">
        <v>278</v>
      </c>
      <c r="B46" s="53"/>
      <c r="C46" s="53"/>
      <c r="D46" s="53"/>
      <c r="E46" s="83"/>
      <c r="F46" s="83"/>
      <c r="G46" s="83"/>
      <c r="H46" s="83"/>
      <c r="I46" s="83"/>
      <c r="J46" s="83">
        <f t="shared" ref="J46:R46" si="53">(J45-J41)</f>
        <v>1.9067844344144635</v>
      </c>
      <c r="K46" s="83">
        <f t="shared" si="53"/>
        <v>1.0355194926568791</v>
      </c>
      <c r="L46" s="83">
        <f t="shared" si="53"/>
        <v>-0.17660437702511711</v>
      </c>
      <c r="M46" s="83">
        <f t="shared" si="53"/>
        <v>-0.31712749424813813</v>
      </c>
      <c r="N46" s="83">
        <f t="shared" si="53"/>
        <v>-0.20084327657790357</v>
      </c>
      <c r="O46" s="83">
        <f t="shared" si="53"/>
        <v>0.58272703313123109</v>
      </c>
      <c r="P46" s="83">
        <f t="shared" si="53"/>
        <v>-0.20806127735447522</v>
      </c>
      <c r="Q46" s="83">
        <f t="shared" si="53"/>
        <v>-0.28390002817686755</v>
      </c>
      <c r="R46" s="83">
        <f t="shared" si="53"/>
        <v>7.9021990064408492</v>
      </c>
      <c r="S46" s="83"/>
      <c r="T46" s="83"/>
      <c r="U46" s="83">
        <f>(U45-U41)</f>
        <v>-0.43322127216723305</v>
      </c>
      <c r="V46" s="83">
        <f>(V45-V41)</f>
        <v>0</v>
      </c>
      <c r="W46" s="83"/>
      <c r="X46" s="83"/>
      <c r="Y46" s="83"/>
      <c r="Z46" s="83"/>
      <c r="AA46" s="83"/>
      <c r="AB46" s="83">
        <f t="shared" ref="AB46:AJ46" si="54">(AB45-AB41)</f>
        <v>3.5711201101966337</v>
      </c>
      <c r="AC46" s="83">
        <f t="shared" si="54"/>
        <v>1.9794501797212432</v>
      </c>
      <c r="AD46" s="83">
        <f t="shared" si="54"/>
        <v>0.38439714613926501</v>
      </c>
      <c r="AE46" s="83">
        <f t="shared" si="54"/>
        <v>-0.36550537496769753</v>
      </c>
      <c r="AF46" s="83">
        <f t="shared" si="54"/>
        <v>0.61001613247006836</v>
      </c>
      <c r="AG46" s="83">
        <f t="shared" si="54"/>
        <v>2.1619325858156691</v>
      </c>
      <c r="AH46" s="83">
        <f t="shared" si="54"/>
        <v>-0.29851387853916223</v>
      </c>
      <c r="AI46" s="83">
        <f t="shared" si="54"/>
        <v>-0.31601155692899935</v>
      </c>
      <c r="AJ46" s="83">
        <f t="shared" si="54"/>
        <v>16.705343232610602</v>
      </c>
      <c r="AK46" s="83"/>
      <c r="AL46" s="83"/>
      <c r="AM46" s="83"/>
      <c r="AN46" s="83">
        <f t="shared" ref="AN46:AV46" si="55">(AN45-AN41)</f>
        <v>3.1253760985399213</v>
      </c>
      <c r="AO46" s="83">
        <f t="shared" si="55"/>
        <v>1.7167569263796145E-2</v>
      </c>
      <c r="AP46" s="83">
        <f t="shared" si="55"/>
        <v>0.2073694316516258</v>
      </c>
      <c r="AQ46" s="83">
        <f t="shared" si="55"/>
        <v>-0.25266666632256957</v>
      </c>
      <c r="AR46" s="83">
        <f t="shared" si="55"/>
        <v>-0.25624679915798154</v>
      </c>
      <c r="AS46" s="83">
        <f t="shared" si="55"/>
        <v>0.2154192063399667</v>
      </c>
      <c r="AT46" s="83">
        <f t="shared" si="55"/>
        <v>-0.20376295997037716</v>
      </c>
      <c r="AU46" s="83">
        <f t="shared" si="55"/>
        <v>-0.20376295997037716</v>
      </c>
      <c r="AV46" s="83">
        <f t="shared" si="55"/>
        <v>0.18293268140166941</v>
      </c>
      <c r="AW46" s="83"/>
      <c r="AX46" s="83">
        <f t="shared" ref="AX46:BF46" si="56">(AX45-AX41)</f>
        <v>3.3808339700351571</v>
      </c>
      <c r="AY46" s="83">
        <f t="shared" si="56"/>
        <v>-0.15261031815020115</v>
      </c>
      <c r="AZ46" s="83">
        <f t="shared" si="56"/>
        <v>0.22631060698584027</v>
      </c>
      <c r="BA46" s="83">
        <f t="shared" si="56"/>
        <v>-0.1094889417982805</v>
      </c>
      <c r="BB46" s="83">
        <f t="shared" si="56"/>
        <v>-0.21174484248372277</v>
      </c>
      <c r="BC46" s="83">
        <f t="shared" si="56"/>
        <v>-0.146301876890503</v>
      </c>
      <c r="BD46" s="83">
        <f t="shared" si="56"/>
        <v>-0.18521490908244939</v>
      </c>
      <c r="BE46" s="83">
        <f t="shared" si="56"/>
        <v>0</v>
      </c>
      <c r="BF46" s="83">
        <f t="shared" si="56"/>
        <v>0.2284704920662044</v>
      </c>
      <c r="BG46" s="83"/>
      <c r="BH46" s="83">
        <f t="shared" ref="BH46:BP46" si="57">(BH45-BH41)</f>
        <v>2.7032464849105264</v>
      </c>
      <c r="BI46" s="83">
        <f t="shared" si="57"/>
        <v>-0.10804087366064241</v>
      </c>
      <c r="BJ46" s="83">
        <f t="shared" si="57"/>
        <v>0.1111823924274209</v>
      </c>
      <c r="BK46" s="83">
        <f t="shared" si="57"/>
        <v>-0.11634893102125837</v>
      </c>
      <c r="BL46" s="83">
        <f t="shared" si="57"/>
        <v>-0.27128449278644257</v>
      </c>
      <c r="BM46" s="83">
        <f t="shared" si="57"/>
        <v>-0.14174700631440951</v>
      </c>
      <c r="BN46" s="83">
        <f t="shared" si="57"/>
        <v>-0.20376295997037716</v>
      </c>
      <c r="BO46" s="83">
        <f t="shared" si="57"/>
        <v>-0.18521490908244939</v>
      </c>
      <c r="BP46" s="83">
        <f t="shared" si="57"/>
        <v>1.9568327741545932E-3</v>
      </c>
      <c r="BQ46" s="83"/>
      <c r="BR46" s="83">
        <f t="shared" ref="BR46:BZ46" si="58">(BR45-BR41)</f>
        <v>2.8868432106636108</v>
      </c>
      <c r="BS46" s="83">
        <f t="shared" si="58"/>
        <v>-0.11634893102125837</v>
      </c>
      <c r="BT46" s="83">
        <f t="shared" si="58"/>
        <v>-0.19193404120145408</v>
      </c>
      <c r="BU46" s="83">
        <f t="shared" si="58"/>
        <v>-0.49255878061365138</v>
      </c>
      <c r="BV46" s="83">
        <f t="shared" si="58"/>
        <v>-0.14480787708468729</v>
      </c>
      <c r="BW46" s="83">
        <f t="shared" si="58"/>
        <v>0.13923148351805392</v>
      </c>
      <c r="BX46" s="83">
        <f t="shared" si="58"/>
        <v>-0.21174484248372277</v>
      </c>
      <c r="BY46" s="83">
        <f t="shared" si="58"/>
        <v>0</v>
      </c>
      <c r="BZ46" s="83">
        <f t="shared" si="58"/>
        <v>-0.48328842088067692</v>
      </c>
      <c r="CA46" s="83"/>
      <c r="CB46" s="83">
        <f t="shared" ref="CB46:CJ46" si="59">(CB45-CB41)</f>
        <v>2.7692042528372722</v>
      </c>
      <c r="CC46" s="83">
        <f t="shared" si="59"/>
        <v>-0.11634893102125837</v>
      </c>
      <c r="CD46" s="83">
        <f t="shared" si="59"/>
        <v>-7.0337146267256401E-2</v>
      </c>
      <c r="CE46" s="83">
        <f t="shared" si="59"/>
        <v>-0.42517585594467572</v>
      </c>
      <c r="CF46" s="83">
        <f t="shared" si="59"/>
        <v>-0.1958207190547262</v>
      </c>
      <c r="CG46" s="83">
        <f t="shared" si="59"/>
        <v>-8.6178554227262838E-2</v>
      </c>
      <c r="CH46" s="83">
        <f t="shared" si="59"/>
        <v>-0.18521490908244939</v>
      </c>
      <c r="CI46" s="83">
        <f t="shared" si="59"/>
        <v>-0.18521490908244939</v>
      </c>
      <c r="CJ46" s="83">
        <f t="shared" si="59"/>
        <v>-0.30985661825518562</v>
      </c>
      <c r="CK46" s="83"/>
      <c r="CL46" s="83">
        <f t="shared" ref="CL46:CT46" si="60">(CL45-CL41)</f>
        <v>2.8974817018157011</v>
      </c>
      <c r="CM46" s="83">
        <f t="shared" si="60"/>
        <v>-0.14174700631440951</v>
      </c>
      <c r="CN46" s="83">
        <f t="shared" si="60"/>
        <v>2.4723668243936792E-2</v>
      </c>
      <c r="CO46" s="83">
        <f t="shared" si="60"/>
        <v>-0.27128449278644257</v>
      </c>
      <c r="CP46" s="83">
        <f t="shared" si="60"/>
        <v>-0.1958207190547262</v>
      </c>
      <c r="CQ46" s="83">
        <f t="shared" si="60"/>
        <v>-3.0363365669944464E-2</v>
      </c>
      <c r="CR46" s="83">
        <f t="shared" si="60"/>
        <v>-0.18521490908244939</v>
      </c>
      <c r="CS46" s="83">
        <f t="shared" si="60"/>
        <v>-0.14734723751064588</v>
      </c>
      <c r="CT46" s="83">
        <f t="shared" si="60"/>
        <v>-0.12395767727595852</v>
      </c>
      <c r="CU46" s="83"/>
      <c r="CV46" s="83">
        <f t="shared" ref="CV46:DD46" si="61">(CV45-CV41)</f>
        <v>2.3700075195142114</v>
      </c>
      <c r="CW46" s="83">
        <f t="shared" si="61"/>
        <v>-0.17109179473390251</v>
      </c>
      <c r="CX46" s="83">
        <f t="shared" si="61"/>
        <v>-0.19342430843977165</v>
      </c>
      <c r="CY46" s="83">
        <f t="shared" si="61"/>
        <v>-0.32832474979720161</v>
      </c>
      <c r="CZ46" s="83">
        <f t="shared" si="61"/>
        <v>-0.22360112098771928</v>
      </c>
      <c r="DA46" s="83">
        <f t="shared" si="61"/>
        <v>0.30118280242019502</v>
      </c>
      <c r="DB46" s="83">
        <f t="shared" si="61"/>
        <v>-0.18521490908244939</v>
      </c>
      <c r="DC46" s="83">
        <f t="shared" si="61"/>
        <v>-0.14734723751064588</v>
      </c>
      <c r="DD46" s="83">
        <f t="shared" si="61"/>
        <v>-0.43904333903217896</v>
      </c>
      <c r="DE46" s="83"/>
      <c r="DF46" s="83">
        <f t="shared" ref="DF46:DN46" si="62">(DF45-DF41)</f>
        <v>2.413841710365987</v>
      </c>
      <c r="DG46" s="83">
        <f t="shared" si="62"/>
        <v>-0.31601155692899935</v>
      </c>
      <c r="DH46" s="83">
        <f t="shared" si="62"/>
        <v>-2.3159413656335115E-3</v>
      </c>
      <c r="DI46" s="83">
        <f t="shared" si="62"/>
        <v>-0.31742031920455382</v>
      </c>
      <c r="DJ46" s="83">
        <f t="shared" si="62"/>
        <v>-0.20108551826199778</v>
      </c>
      <c r="DK46" s="83">
        <f t="shared" si="62"/>
        <v>-4.3291031701105931E-3</v>
      </c>
      <c r="DL46" s="83">
        <f t="shared" si="62"/>
        <v>-0.14734723751064588</v>
      </c>
      <c r="DM46" s="83">
        <f t="shared" si="62"/>
        <v>-0.18521490908244939</v>
      </c>
      <c r="DN46" s="83">
        <f t="shared" si="62"/>
        <v>-0.23269786204251675</v>
      </c>
      <c r="DO46" s="83"/>
      <c r="DP46" s="83">
        <f t="shared" ref="DP46:FJ46" si="63">(DP45-DP41)</f>
        <v>2.2130942461087093</v>
      </c>
      <c r="DQ46" s="83">
        <f t="shared" si="63"/>
        <v>-0.2533491503775801</v>
      </c>
      <c r="DR46" s="83">
        <f t="shared" si="63"/>
        <v>-0.10975093842873562</v>
      </c>
      <c r="DS46" s="83">
        <f t="shared" si="63"/>
        <v>-0.17109179473390251</v>
      </c>
      <c r="DT46" s="83">
        <f t="shared" si="63"/>
        <v>-0.17131880312252834</v>
      </c>
      <c r="DU46" s="83">
        <f t="shared" si="63"/>
        <v>-0.19031610309604718</v>
      </c>
      <c r="DV46" s="83">
        <f t="shared" si="63"/>
        <v>-0.18521490908244939</v>
      </c>
      <c r="DW46" s="83">
        <f t="shared" si="63"/>
        <v>0</v>
      </c>
      <c r="DX46" s="83">
        <f t="shared" si="63"/>
        <v>-0.2596762351374412</v>
      </c>
      <c r="DY46" s="83">
        <f t="shared" si="63"/>
        <v>-0.37236526412694948</v>
      </c>
      <c r="DZ46" s="83">
        <f t="shared" si="63"/>
        <v>-0.44300729522323146</v>
      </c>
      <c r="EA46" s="83">
        <f t="shared" si="63"/>
        <v>-0.33453138810850624</v>
      </c>
      <c r="EB46" s="83">
        <f t="shared" si="63"/>
        <v>3.8226722599462728</v>
      </c>
      <c r="EC46" s="83">
        <f t="shared" si="63"/>
        <v>-0.3720954616900547</v>
      </c>
      <c r="ED46" s="83">
        <f t="shared" si="63"/>
        <v>-0.29809611309237199</v>
      </c>
      <c r="EE46" s="83">
        <f t="shared" si="63"/>
        <v>-0.43678301742441644</v>
      </c>
      <c r="EF46" s="83">
        <f t="shared" si="63"/>
        <v>-0.62353149676159958</v>
      </c>
      <c r="EG46" s="83">
        <f t="shared" si="63"/>
        <v>-0.3454629412609112</v>
      </c>
      <c r="EH46" s="83">
        <f t="shared" si="63"/>
        <v>-0.66709870292523665</v>
      </c>
      <c r="EI46" s="83">
        <f t="shared" si="63"/>
        <v>-0.18521490908244939</v>
      </c>
      <c r="EJ46" s="83">
        <f t="shared" si="63"/>
        <v>-0.63891325960934386</v>
      </c>
      <c r="EK46" s="83">
        <f t="shared" si="63"/>
        <v>-0.54213906606095685</v>
      </c>
      <c r="EL46" s="83">
        <f t="shared" si="63"/>
        <v>-0.34621189641369804</v>
      </c>
      <c r="EM46" s="83">
        <f t="shared" si="63"/>
        <v>-0.42805365429354775</v>
      </c>
      <c r="EN46" s="83">
        <f t="shared" si="63"/>
        <v>0</v>
      </c>
      <c r="EO46" s="83">
        <f t="shared" si="63"/>
        <v>-0.24401693585629253</v>
      </c>
      <c r="EP46" s="83">
        <f t="shared" si="63"/>
        <v>-0.20710678118654757</v>
      </c>
      <c r="EQ46" s="83" t="e">
        <f t="shared" ref="EQ46:ES46" si="64">(EQ45-EQ41)</f>
        <v>#DIV/0!</v>
      </c>
      <c r="ER46" s="83" t="e">
        <f t="shared" si="64"/>
        <v>#DIV/0!</v>
      </c>
      <c r="ES46" s="83" t="e">
        <f t="shared" si="64"/>
        <v>#DIV/0!</v>
      </c>
      <c r="ET46" s="83">
        <f t="shared" si="63"/>
        <v>1.7069435126700294</v>
      </c>
      <c r="EU46" s="83">
        <f t="shared" si="63"/>
        <v>-0.30588751182808915</v>
      </c>
      <c r="EV46" s="83">
        <f t="shared" si="63"/>
        <v>-0.43678301742441644</v>
      </c>
      <c r="EW46" s="83">
        <f t="shared" si="63"/>
        <v>-0.30193746723700177</v>
      </c>
      <c r="EX46" s="83">
        <f t="shared" si="63"/>
        <v>-0.60612695207249256</v>
      </c>
      <c r="EY46" s="83">
        <f t="shared" si="63"/>
        <v>-0.53222976753282902</v>
      </c>
      <c r="EZ46" s="83">
        <f t="shared" si="63"/>
        <v>-0.53810990717900331</v>
      </c>
      <c r="FA46" s="83">
        <f t="shared" si="63"/>
        <v>-0.37782566888542618</v>
      </c>
      <c r="FB46" s="83">
        <f t="shared" si="63"/>
        <v>-0.35935572429934304</v>
      </c>
      <c r="FC46" s="83">
        <f t="shared" si="63"/>
        <v>-0.44046366320338926</v>
      </c>
      <c r="FD46" s="83">
        <f t="shared" si="63"/>
        <v>-0.25</v>
      </c>
      <c r="FE46" s="83">
        <f t="shared" si="63"/>
        <v>0</v>
      </c>
      <c r="FF46" s="83">
        <f t="shared" si="63"/>
        <v>0</v>
      </c>
      <c r="FG46" s="83" t="e">
        <f t="shared" ref="FG46:FI46" si="65">(FG45-FG41)</f>
        <v>#DIV/0!</v>
      </c>
      <c r="FH46" s="83" t="e">
        <f t="shared" si="65"/>
        <v>#DIV/0!</v>
      </c>
      <c r="FI46" s="83" t="e">
        <f t="shared" si="65"/>
        <v>#DIV/0!</v>
      </c>
      <c r="FJ46" s="83">
        <f t="shared" si="63"/>
        <v>1.4742091069793291</v>
      </c>
      <c r="FM46" s="88" t="s">
        <v>278</v>
      </c>
    </row>
    <row r="47" spans="1:169" x14ac:dyDescent="0.25">
      <c r="A47" s="87" t="s">
        <v>277</v>
      </c>
      <c r="B47" s="53"/>
      <c r="C47" s="53"/>
      <c r="D47" s="53"/>
      <c r="E47" s="83"/>
      <c r="F47" s="83"/>
      <c r="G47" s="83"/>
      <c r="H47" s="83"/>
      <c r="I47" s="83"/>
      <c r="J47" s="83">
        <f t="shared" ref="J47:R47" si="66">(J45-(2*J41))</f>
        <v>0.3512032774310776</v>
      </c>
      <c r="K47" s="83">
        <f t="shared" si="66"/>
        <v>-1.0579932727507577</v>
      </c>
      <c r="L47" s="83">
        <f t="shared" si="66"/>
        <v>-1.7403055282437827</v>
      </c>
      <c r="M47" s="83">
        <f t="shared" si="66"/>
        <v>-1.8600614401091795</v>
      </c>
      <c r="N47" s="83">
        <f t="shared" si="66"/>
        <v>-1.3694284886396781</v>
      </c>
      <c r="O47" s="83">
        <f t="shared" si="66"/>
        <v>-0.89906206276979583</v>
      </c>
      <c r="P47" s="83">
        <f t="shared" si="66"/>
        <v>-0.60967094180572468</v>
      </c>
      <c r="Q47" s="83">
        <f t="shared" si="66"/>
        <v>-0.76134844345050934</v>
      </c>
      <c r="R47" s="83">
        <f t="shared" si="66"/>
        <v>1.4495593032042784</v>
      </c>
      <c r="S47" s="83"/>
      <c r="T47" s="83"/>
      <c r="U47" s="83">
        <f>(U45-(2*U41))</f>
        <v>-0.99547480239898223</v>
      </c>
      <c r="V47" s="83">
        <f>(V45-(2*V41))</f>
        <v>0</v>
      </c>
      <c r="W47" s="83"/>
      <c r="X47" s="83"/>
      <c r="Y47" s="83"/>
      <c r="Z47" s="83"/>
      <c r="AA47" s="83"/>
      <c r="AB47" s="83">
        <f t="shared" ref="AB47:AJ47" si="67">(AB45-(2*AB41))</f>
        <v>1.5185843064147724</v>
      </c>
      <c r="AC47" s="83">
        <f t="shared" si="67"/>
        <v>-1.4927125437833197</v>
      </c>
      <c r="AD47" s="83">
        <f t="shared" si="67"/>
        <v>-2.327979901269857</v>
      </c>
      <c r="AE47" s="83">
        <f t="shared" si="67"/>
        <v>-3.0535913950966855</v>
      </c>
      <c r="AF47" s="83">
        <f t="shared" si="67"/>
        <v>-0.94125805764050829</v>
      </c>
      <c r="AG47" s="83">
        <f t="shared" si="67"/>
        <v>-0.16000579611059695</v>
      </c>
      <c r="AH47" s="83">
        <f t="shared" si="67"/>
        <v>-0.72606001514284058</v>
      </c>
      <c r="AI47" s="83">
        <f t="shared" si="67"/>
        <v>-1.0836360170838051</v>
      </c>
      <c r="AJ47" s="83">
        <f t="shared" si="67"/>
        <v>8.6042348523179797</v>
      </c>
      <c r="AK47" s="83"/>
      <c r="AL47" s="83"/>
      <c r="AM47" s="83"/>
      <c r="AN47" s="83">
        <f t="shared" ref="AN47:AV47" si="68">(AN45-(2*AN41))</f>
        <v>2.089461874499198</v>
      </c>
      <c r="AO47" s="83">
        <f t="shared" si="68"/>
        <v>-0.67534228082724646</v>
      </c>
      <c r="AP47" s="83">
        <f t="shared" si="68"/>
        <v>-0.71429339476126463</v>
      </c>
      <c r="AQ47" s="83">
        <f t="shared" si="68"/>
        <v>-0.92468817135481651</v>
      </c>
      <c r="AR47" s="83">
        <f t="shared" si="68"/>
        <v>-0.77055811444499533</v>
      </c>
      <c r="AS47" s="83">
        <f t="shared" si="68"/>
        <v>-0.89174223248135687</v>
      </c>
      <c r="AT47" s="83">
        <f t="shared" si="68"/>
        <v>-0.50430011348914139</v>
      </c>
      <c r="AU47" s="83">
        <f t="shared" si="68"/>
        <v>-0.50430011348914139</v>
      </c>
      <c r="AV47" s="83">
        <f t="shared" si="68"/>
        <v>-1.505102379132145</v>
      </c>
      <c r="AW47" s="83"/>
      <c r="AX47" s="83">
        <f t="shared" ref="AX47:BF47" si="69">(AX45-(2*AX41))</f>
        <v>2.5358614884574107</v>
      </c>
      <c r="AY47" s="83">
        <f t="shared" si="69"/>
        <v>-0.62780128146169267</v>
      </c>
      <c r="AZ47" s="83">
        <f t="shared" si="69"/>
        <v>-0.80544330215735171</v>
      </c>
      <c r="BA47" s="83">
        <f t="shared" si="69"/>
        <v>-0.73510691585462551</v>
      </c>
      <c r="BB47" s="83">
        <f t="shared" si="69"/>
        <v>-0.55252194303196167</v>
      </c>
      <c r="BC47" s="83">
        <f t="shared" si="69"/>
        <v>-1.0667973021681028</v>
      </c>
      <c r="BD47" s="83">
        <f t="shared" si="69"/>
        <v>-0.43494594719715685</v>
      </c>
      <c r="BE47" s="83">
        <f t="shared" si="69"/>
        <v>0</v>
      </c>
      <c r="BF47" s="83">
        <f t="shared" si="69"/>
        <v>-1.0591880481256557</v>
      </c>
      <c r="BG47" s="83"/>
      <c r="BH47" s="83">
        <f t="shared" ref="BH47:BP47" si="70">(BH45-(2*BH41))</f>
        <v>1.6968155504662144</v>
      </c>
      <c r="BI47" s="83">
        <f t="shared" si="70"/>
        <v>-0.6031785215148332</v>
      </c>
      <c r="BJ47" s="83">
        <f t="shared" si="70"/>
        <v>-0.51957069901612596</v>
      </c>
      <c r="BK47" s="83">
        <f t="shared" si="70"/>
        <v>-0.68431076526832313</v>
      </c>
      <c r="BL47" s="83">
        <f t="shared" si="70"/>
        <v>-0.99418188879869152</v>
      </c>
      <c r="BM47" s="83">
        <f t="shared" si="70"/>
        <v>-0.76736498037075451</v>
      </c>
      <c r="BN47" s="83">
        <f t="shared" si="70"/>
        <v>-0.50430011348914139</v>
      </c>
      <c r="BO47" s="83">
        <f t="shared" si="70"/>
        <v>-0.43494594719715685</v>
      </c>
      <c r="BP47" s="83">
        <f t="shared" si="70"/>
        <v>-1.0606024634839488</v>
      </c>
      <c r="BQ47" s="83"/>
      <c r="BR47" s="83">
        <f t="shared" ref="BR47:BZ47" si="71">(BR45-(2*BR41))</f>
        <v>2.0317509374562541</v>
      </c>
      <c r="BS47" s="83">
        <f t="shared" si="71"/>
        <v>-0.68431076526832313</v>
      </c>
      <c r="BT47" s="83">
        <f t="shared" si="71"/>
        <v>-1.0935455017577469</v>
      </c>
      <c r="BU47" s="83">
        <f t="shared" si="71"/>
        <v>-1.2754401418724641</v>
      </c>
      <c r="BV47" s="83">
        <f t="shared" si="71"/>
        <v>-0.70897059287905195</v>
      </c>
      <c r="BW47" s="83">
        <f t="shared" si="71"/>
        <v>-0.9473434845767954</v>
      </c>
      <c r="BX47" s="83">
        <f t="shared" si="71"/>
        <v>-0.55252194303196167</v>
      </c>
      <c r="BY47" s="83">
        <f t="shared" si="71"/>
        <v>0</v>
      </c>
      <c r="BZ47" s="83">
        <f t="shared" si="71"/>
        <v>-2.0310929707936118</v>
      </c>
      <c r="CA47" s="83"/>
      <c r="CB47" s="83">
        <f t="shared" ref="CB47:CJ47" si="72">(CB45-(2*CB41))</f>
        <v>1.9255052798680929</v>
      </c>
      <c r="CC47" s="83">
        <f t="shared" si="72"/>
        <v>-0.68431076526832313</v>
      </c>
      <c r="CD47" s="83">
        <f t="shared" si="72"/>
        <v>-0.81809364737322243</v>
      </c>
      <c r="CE47" s="83">
        <f t="shared" si="72"/>
        <v>-1.1729323570506418</v>
      </c>
      <c r="CF47" s="83">
        <f t="shared" si="72"/>
        <v>-0.74648014778687177</v>
      </c>
      <c r="CG47" s="83">
        <f t="shared" si="72"/>
        <v>-1.0433248503900097</v>
      </c>
      <c r="CH47" s="83">
        <f t="shared" si="72"/>
        <v>-0.43494594719715685</v>
      </c>
      <c r="CI47" s="83">
        <f t="shared" si="72"/>
        <v>-0.43494594719715685</v>
      </c>
      <c r="CJ47" s="83">
        <f t="shared" si="72"/>
        <v>-1.5874551719942422</v>
      </c>
      <c r="CK47" s="83"/>
      <c r="CL47" s="83">
        <f t="shared" ref="CL47:CT47" si="73">(CL45-(2*CL41))</f>
        <v>2.1820601778249507</v>
      </c>
      <c r="CM47" s="83">
        <f t="shared" si="73"/>
        <v>-0.76736498037075451</v>
      </c>
      <c r="CN47" s="83">
        <f t="shared" si="73"/>
        <v>-0.82152040544761029</v>
      </c>
      <c r="CO47" s="83">
        <f t="shared" si="73"/>
        <v>-0.99418188879869152</v>
      </c>
      <c r="CP47" s="83">
        <f t="shared" si="73"/>
        <v>-0.74648014778687177</v>
      </c>
      <c r="CQ47" s="83">
        <f t="shared" si="73"/>
        <v>-0.83492027972698568</v>
      </c>
      <c r="CR47" s="83">
        <f t="shared" si="73"/>
        <v>-0.43494594719715685</v>
      </c>
      <c r="CS47" s="83">
        <f t="shared" si="73"/>
        <v>-0.32695253953742076</v>
      </c>
      <c r="CT47" s="83">
        <f t="shared" si="73"/>
        <v>-1.5704959997132073</v>
      </c>
      <c r="CU47" s="83"/>
      <c r="CV47" s="83">
        <f t="shared" ref="CV47:DD47" si="74">(CV45-(2*CV41))</f>
        <v>1.3851763293510038</v>
      </c>
      <c r="CW47" s="83">
        <f t="shared" si="74"/>
        <v>-0.63250617011296639</v>
      </c>
      <c r="CX47" s="83">
        <f t="shared" si="74"/>
        <v>-1.032009907202124</v>
      </c>
      <c r="CY47" s="83">
        <f t="shared" si="74"/>
        <v>-1.0437462737879515</v>
      </c>
      <c r="CZ47" s="83">
        <f t="shared" si="74"/>
        <v>-0.89881514520124495</v>
      </c>
      <c r="DA47" s="83">
        <f t="shared" si="74"/>
        <v>-0.55892471774025521</v>
      </c>
      <c r="DB47" s="83">
        <f t="shared" si="74"/>
        <v>-0.43494594719715685</v>
      </c>
      <c r="DC47" s="83">
        <f t="shared" si="74"/>
        <v>-0.32695253953742076</v>
      </c>
      <c r="DD47" s="83">
        <f t="shared" si="74"/>
        <v>-1.7490544199998417</v>
      </c>
      <c r="DE47" s="83"/>
      <c r="DF47" s="83">
        <f t="shared" ref="DF47:DN47" si="75">(DF45-(2*DF41))</f>
        <v>1.5051027755706838</v>
      </c>
      <c r="DG47" s="83">
        <f t="shared" si="75"/>
        <v>-1.0836360170838051</v>
      </c>
      <c r="DH47" s="83">
        <f t="shared" si="75"/>
        <v>-0.61753510853771865</v>
      </c>
      <c r="DI47" s="83">
        <f t="shared" si="75"/>
        <v>-0.8929051545381399</v>
      </c>
      <c r="DJ47" s="83">
        <f t="shared" si="75"/>
        <v>-0.82152587523367293</v>
      </c>
      <c r="DK47" s="83">
        <f t="shared" si="75"/>
        <v>-0.91188401279183406</v>
      </c>
      <c r="DL47" s="83">
        <f t="shared" si="75"/>
        <v>-0.32695253953742076</v>
      </c>
      <c r="DM47" s="83">
        <f t="shared" si="75"/>
        <v>-0.43494594719715685</v>
      </c>
      <c r="DN47" s="83">
        <f t="shared" si="75"/>
        <v>-1.3686215305366463</v>
      </c>
      <c r="DO47" s="83"/>
      <c r="DP47" s="83">
        <f t="shared" ref="DP47:FJ47" si="76">(DP45-(2*DP41))</f>
        <v>1.2326401051206441</v>
      </c>
      <c r="DQ47" s="83">
        <f t="shared" si="76"/>
        <v>-0.86153701043257958</v>
      </c>
      <c r="DR47" s="83">
        <f t="shared" si="76"/>
        <v>-0.86466316718005187</v>
      </c>
      <c r="DS47" s="83">
        <f t="shared" si="76"/>
        <v>-0.63250617011296639</v>
      </c>
      <c r="DT47" s="83">
        <f t="shared" si="76"/>
        <v>-0.72973438043860506</v>
      </c>
      <c r="DU47" s="83">
        <f t="shared" si="76"/>
        <v>-0.99353543199854599</v>
      </c>
      <c r="DV47" s="83">
        <f t="shared" si="76"/>
        <v>-0.43494594719715685</v>
      </c>
      <c r="DW47" s="83">
        <f t="shared" si="76"/>
        <v>0</v>
      </c>
      <c r="DX47" s="83">
        <f t="shared" si="76"/>
        <v>-1.3580621476942372</v>
      </c>
      <c r="DY47" s="83">
        <f t="shared" si="76"/>
        <v>-3.3576337540603505</v>
      </c>
      <c r="DZ47" s="83">
        <f t="shared" si="76"/>
        <v>-1.1118210420593662</v>
      </c>
      <c r="EA47" s="83">
        <f t="shared" si="76"/>
        <v>-0.89486922782991574</v>
      </c>
      <c r="EB47" s="83">
        <f t="shared" si="76"/>
        <v>1.1829789284946965</v>
      </c>
      <c r="EC47" s="83">
        <f t="shared" si="76"/>
        <v>-1.5183844717672061</v>
      </c>
      <c r="ED47" s="83">
        <f t="shared" si="76"/>
        <v>-0.88651480682990536</v>
      </c>
      <c r="EE47" s="83">
        <f t="shared" si="76"/>
        <v>-1.3251789380746393</v>
      </c>
      <c r="EF47" s="83">
        <f t="shared" si="76"/>
        <v>-1.9244823483619089</v>
      </c>
      <c r="EG47" s="83">
        <f t="shared" si="76"/>
        <v>-1.1102807212314998</v>
      </c>
      <c r="EH47" s="83">
        <f t="shared" si="76"/>
        <v>-1.8180683735924088</v>
      </c>
      <c r="EI47" s="83">
        <f t="shared" si="76"/>
        <v>-0.43494594719715685</v>
      </c>
      <c r="EJ47" s="83">
        <f t="shared" si="76"/>
        <v>-1.7294394224444942</v>
      </c>
      <c r="EK47" s="83">
        <f t="shared" si="76"/>
        <v>-1.6326652288961072</v>
      </c>
      <c r="EL47" s="83">
        <f t="shared" si="76"/>
        <v>-1.1751824135170512</v>
      </c>
      <c r="EM47" s="83">
        <f t="shared" si="76"/>
        <v>-1.1894406419204289</v>
      </c>
      <c r="EN47" s="83">
        <f t="shared" si="76"/>
        <v>0</v>
      </c>
      <c r="EO47" s="83">
        <f t="shared" si="76"/>
        <v>-0.82136720504591842</v>
      </c>
      <c r="EP47" s="83">
        <f t="shared" si="76"/>
        <v>-0.91421356237309515</v>
      </c>
      <c r="EQ47" s="83" t="e">
        <f t="shared" ref="EQ47:ES47" si="77">(EQ45-(2*EQ41))</f>
        <v>#DIV/0!</v>
      </c>
      <c r="ER47" s="83" t="e">
        <f t="shared" si="77"/>
        <v>#DIV/0!</v>
      </c>
      <c r="ES47" s="83" t="e">
        <f t="shared" si="77"/>
        <v>#DIV/0!</v>
      </c>
      <c r="ET47" s="83">
        <f t="shared" si="76"/>
        <v>-0.48933878111155416</v>
      </c>
      <c r="EU47" s="83">
        <f t="shared" si="76"/>
        <v>-0.96661373333359768</v>
      </c>
      <c r="EV47" s="83">
        <f t="shared" si="76"/>
        <v>-1.3251789380746393</v>
      </c>
      <c r="EW47" s="83">
        <f t="shared" si="76"/>
        <v>-1.2812942893127133</v>
      </c>
      <c r="EX47" s="83">
        <f t="shared" si="76"/>
        <v>-1.6316087428546626</v>
      </c>
      <c r="EY47" s="83">
        <f t="shared" si="76"/>
        <v>-1.4515563092592063</v>
      </c>
      <c r="EZ47" s="83">
        <f t="shared" si="76"/>
        <v>-1.6568649756483294</v>
      </c>
      <c r="FA47" s="83">
        <f t="shared" si="76"/>
        <v>-1.0889846711041857</v>
      </c>
      <c r="FB47" s="83">
        <f t="shared" si="76"/>
        <v>-1.3049183451504103</v>
      </c>
      <c r="FC47" s="83">
        <f t="shared" si="76"/>
        <v>-1.7270811725606245</v>
      </c>
      <c r="FD47" s="83">
        <f t="shared" si="76"/>
        <v>-0.75</v>
      </c>
      <c r="FE47" s="83">
        <f t="shared" si="76"/>
        <v>0</v>
      </c>
      <c r="FF47" s="83">
        <f t="shared" si="76"/>
        <v>0</v>
      </c>
      <c r="FG47" s="83" t="e">
        <f t="shared" ref="FG47:FI47" si="78">(FG45-(2*FG41))</f>
        <v>#DIV/0!</v>
      </c>
      <c r="FH47" s="83" t="e">
        <f t="shared" si="78"/>
        <v>#DIV/0!</v>
      </c>
      <c r="FI47" s="83" t="e">
        <f t="shared" si="78"/>
        <v>#DIV/0!</v>
      </c>
      <c r="FJ47" s="83">
        <f t="shared" si="76"/>
        <v>-1.5354527537832769</v>
      </c>
      <c r="FM47" s="88" t="s">
        <v>277</v>
      </c>
    </row>
    <row r="48" spans="1:169" x14ac:dyDescent="0.25">
      <c r="A48" s="87" t="s">
        <v>276</v>
      </c>
      <c r="B48" s="53"/>
      <c r="C48" s="53"/>
      <c r="D48" s="53"/>
      <c r="E48" s="83"/>
      <c r="F48" s="83"/>
      <c r="G48" s="83"/>
      <c r="H48" s="83"/>
      <c r="I48" s="83"/>
      <c r="J48" s="83">
        <f t="shared" ref="J48:R48" si="79">(J45-(3*J41))</f>
        <v>-1.2043778795523079</v>
      </c>
      <c r="K48" s="83">
        <f t="shared" si="79"/>
        <v>-3.151506038158395</v>
      </c>
      <c r="L48" s="83">
        <f t="shared" si="79"/>
        <v>-3.3040066794624479</v>
      </c>
      <c r="M48" s="83">
        <f t="shared" si="79"/>
        <v>-3.4029953859702209</v>
      </c>
      <c r="N48" s="83">
        <f t="shared" si="79"/>
        <v>-2.5380137007014527</v>
      </c>
      <c r="O48" s="83">
        <f t="shared" si="79"/>
        <v>-2.380851158670823</v>
      </c>
      <c r="P48" s="83">
        <f t="shared" si="79"/>
        <v>-1.0112806062569739</v>
      </c>
      <c r="Q48" s="83">
        <f t="shared" si="79"/>
        <v>-1.2387968587241509</v>
      </c>
      <c r="R48" s="83">
        <f t="shared" si="79"/>
        <v>-5.0030804000322924</v>
      </c>
      <c r="S48" s="83"/>
      <c r="T48" s="83"/>
      <c r="U48" s="83">
        <f>(U45-(3*U41))</f>
        <v>-1.5577283326307314</v>
      </c>
      <c r="V48" s="83">
        <f>(V45-(3*V41))</f>
        <v>0</v>
      </c>
      <c r="W48" s="83"/>
      <c r="X48" s="83"/>
      <c r="Y48" s="83"/>
      <c r="Z48" s="83"/>
      <c r="AA48" s="83"/>
      <c r="AB48" s="83">
        <f t="shared" ref="AB48:AJ48" si="80">(AB45-(3*AB41))</f>
        <v>-0.53395149736708891</v>
      </c>
      <c r="AC48" s="83">
        <f t="shared" si="80"/>
        <v>-4.9648752672878818</v>
      </c>
      <c r="AD48" s="83">
        <f t="shared" si="80"/>
        <v>-5.040356948678979</v>
      </c>
      <c r="AE48" s="83">
        <f t="shared" si="80"/>
        <v>-5.7416774152256735</v>
      </c>
      <c r="AF48" s="83">
        <f t="shared" si="80"/>
        <v>-2.4925322477510852</v>
      </c>
      <c r="AG48" s="83">
        <f t="shared" si="80"/>
        <v>-2.481944178036863</v>
      </c>
      <c r="AH48" s="83">
        <f t="shared" si="80"/>
        <v>-1.1536061517465188</v>
      </c>
      <c r="AI48" s="83">
        <f t="shared" si="80"/>
        <v>-1.8512604772386108</v>
      </c>
      <c r="AJ48" s="83">
        <f t="shared" si="80"/>
        <v>0.50312647202535743</v>
      </c>
      <c r="AK48" s="83"/>
      <c r="AL48" s="83"/>
      <c r="AM48" s="83"/>
      <c r="AN48" s="83">
        <f t="shared" ref="AN48:AV48" si="81">(AN45-(3*AN41))</f>
        <v>1.0535476504584746</v>
      </c>
      <c r="AO48" s="83">
        <f t="shared" si="81"/>
        <v>-1.3678521309182889</v>
      </c>
      <c r="AP48" s="83">
        <f t="shared" si="81"/>
        <v>-1.635956221174155</v>
      </c>
      <c r="AQ48" s="83">
        <f t="shared" si="81"/>
        <v>-1.5967096763870634</v>
      </c>
      <c r="AR48" s="83">
        <f t="shared" si="81"/>
        <v>-1.2848694297320091</v>
      </c>
      <c r="AS48" s="83">
        <f t="shared" si="81"/>
        <v>-1.9989036713026802</v>
      </c>
      <c r="AT48" s="83">
        <f t="shared" si="81"/>
        <v>-0.8048372670079057</v>
      </c>
      <c r="AU48" s="83">
        <f t="shared" si="81"/>
        <v>-0.8048372670079057</v>
      </c>
      <c r="AV48" s="83">
        <f t="shared" si="81"/>
        <v>-3.1931374396659589</v>
      </c>
      <c r="AW48" s="83"/>
      <c r="AX48" s="83">
        <f t="shared" ref="AX48:BF48" si="82">(AX45-(3*AX41))</f>
        <v>1.6908890068796643</v>
      </c>
      <c r="AY48" s="83">
        <f t="shared" si="82"/>
        <v>-1.1029922447731841</v>
      </c>
      <c r="AZ48" s="83">
        <f t="shared" si="82"/>
        <v>-1.8371972113005437</v>
      </c>
      <c r="BA48" s="83">
        <f t="shared" si="82"/>
        <v>-1.3607248899109705</v>
      </c>
      <c r="BB48" s="83">
        <f t="shared" si="82"/>
        <v>-0.89329904358020051</v>
      </c>
      <c r="BC48" s="83">
        <f t="shared" si="82"/>
        <v>-1.9872927274457026</v>
      </c>
      <c r="BD48" s="83">
        <f t="shared" si="82"/>
        <v>-0.68467698531186438</v>
      </c>
      <c r="BE48" s="83">
        <f t="shared" si="82"/>
        <v>0</v>
      </c>
      <c r="BF48" s="83">
        <f t="shared" si="82"/>
        <v>-2.3468465883175158</v>
      </c>
      <c r="BG48" s="83"/>
      <c r="BH48" s="83">
        <f t="shared" ref="BH48:BP48" si="83">(BH45-(3*BH41))</f>
        <v>0.69038461602190226</v>
      </c>
      <c r="BI48" s="83">
        <f t="shared" si="83"/>
        <v>-1.0983161693690238</v>
      </c>
      <c r="BJ48" s="83">
        <f t="shared" si="83"/>
        <v>-1.1503237904596728</v>
      </c>
      <c r="BK48" s="83">
        <f t="shared" si="83"/>
        <v>-1.2522725995153881</v>
      </c>
      <c r="BL48" s="83">
        <f t="shared" si="83"/>
        <v>-1.7170792848109406</v>
      </c>
      <c r="BM48" s="83">
        <f t="shared" si="83"/>
        <v>-1.3929829544270995</v>
      </c>
      <c r="BN48" s="83">
        <f t="shared" si="83"/>
        <v>-0.8048372670079057</v>
      </c>
      <c r="BO48" s="83">
        <f t="shared" si="83"/>
        <v>-0.68467698531186438</v>
      </c>
      <c r="BP48" s="83">
        <f t="shared" si="83"/>
        <v>-2.123161759742052</v>
      </c>
      <c r="BQ48" s="83"/>
      <c r="BR48" s="83">
        <f t="shared" ref="BR48:BZ48" si="84">(BR45-(3*BR41))</f>
        <v>1.1766586642488974</v>
      </c>
      <c r="BS48" s="83">
        <f t="shared" si="84"/>
        <v>-1.2522725995153881</v>
      </c>
      <c r="BT48" s="83">
        <f t="shared" si="84"/>
        <v>-1.9951569623140399</v>
      </c>
      <c r="BU48" s="83">
        <f t="shared" si="84"/>
        <v>-2.0583215031312765</v>
      </c>
      <c r="BV48" s="83">
        <f t="shared" si="84"/>
        <v>-1.2731333086734167</v>
      </c>
      <c r="BW48" s="83">
        <f t="shared" si="84"/>
        <v>-2.0339184526716449</v>
      </c>
      <c r="BX48" s="83">
        <f t="shared" si="84"/>
        <v>-0.89329904358020051</v>
      </c>
      <c r="BY48" s="83">
        <f t="shared" si="84"/>
        <v>0</v>
      </c>
      <c r="BZ48" s="83">
        <f t="shared" si="84"/>
        <v>-3.5788975207065468</v>
      </c>
      <c r="CA48" s="83"/>
      <c r="CB48" s="83">
        <f t="shared" ref="CB48:CJ48" si="85">(CB45-(3*CB41))</f>
        <v>1.0818063068989137</v>
      </c>
      <c r="CC48" s="83">
        <f t="shared" si="85"/>
        <v>-1.2522725995153881</v>
      </c>
      <c r="CD48" s="83">
        <f t="shared" si="85"/>
        <v>-1.5658501484791887</v>
      </c>
      <c r="CE48" s="83">
        <f t="shared" si="85"/>
        <v>-1.9206888581566079</v>
      </c>
      <c r="CF48" s="83">
        <f t="shared" si="85"/>
        <v>-1.2971395765190175</v>
      </c>
      <c r="CG48" s="83">
        <f t="shared" si="85"/>
        <v>-2.0004711465527563</v>
      </c>
      <c r="CH48" s="83">
        <f t="shared" si="85"/>
        <v>-0.68467698531186438</v>
      </c>
      <c r="CI48" s="83">
        <f t="shared" si="85"/>
        <v>-0.68467698531186438</v>
      </c>
      <c r="CJ48" s="83">
        <f t="shared" si="85"/>
        <v>-2.8650537257332989</v>
      </c>
      <c r="CK48" s="83"/>
      <c r="CL48" s="83">
        <f t="shared" ref="CL48:CT48" si="86">(CL45-(3*CL41))</f>
        <v>1.4666386538342002</v>
      </c>
      <c r="CM48" s="83">
        <f t="shared" si="86"/>
        <v>-1.3929829544270995</v>
      </c>
      <c r="CN48" s="83">
        <f t="shared" si="86"/>
        <v>-1.6677644791391573</v>
      </c>
      <c r="CO48" s="83">
        <f t="shared" si="86"/>
        <v>-1.7170792848109406</v>
      </c>
      <c r="CP48" s="83">
        <f t="shared" si="86"/>
        <v>-1.2971395765190175</v>
      </c>
      <c r="CQ48" s="83">
        <f t="shared" si="86"/>
        <v>-1.6394771937840267</v>
      </c>
      <c r="CR48" s="83">
        <f t="shared" si="86"/>
        <v>-0.68467698531186438</v>
      </c>
      <c r="CS48" s="83">
        <f t="shared" si="86"/>
        <v>-0.5065578415641957</v>
      </c>
      <c r="CT48" s="83">
        <f t="shared" si="86"/>
        <v>-3.0170343221504563</v>
      </c>
      <c r="CU48" s="83"/>
      <c r="CV48" s="83">
        <f t="shared" ref="CV48:DD48" si="87">(CV45-(3*CV41))</f>
        <v>0.40034513918779568</v>
      </c>
      <c r="CW48" s="83">
        <f t="shared" si="87"/>
        <v>-1.0939205454920302</v>
      </c>
      <c r="CX48" s="83">
        <f t="shared" si="87"/>
        <v>-1.8705955059644763</v>
      </c>
      <c r="CY48" s="83">
        <f t="shared" si="87"/>
        <v>-1.7591677977787015</v>
      </c>
      <c r="CZ48" s="83">
        <f t="shared" si="87"/>
        <v>-1.5740291694147706</v>
      </c>
      <c r="DA48" s="83">
        <f t="shared" si="87"/>
        <v>-1.4190322379007057</v>
      </c>
      <c r="DB48" s="83">
        <f t="shared" si="87"/>
        <v>-0.68467698531186438</v>
      </c>
      <c r="DC48" s="83">
        <f t="shared" si="87"/>
        <v>-0.5065578415641957</v>
      </c>
      <c r="DD48" s="83">
        <f t="shared" si="87"/>
        <v>-3.0590655009675043</v>
      </c>
      <c r="DE48" s="83"/>
      <c r="DF48" s="83">
        <f t="shared" ref="DF48:DN48" si="88">(DF45-(3*DF41))</f>
        <v>0.59636384077538063</v>
      </c>
      <c r="DG48" s="83">
        <f t="shared" si="88"/>
        <v>-1.8512604772386108</v>
      </c>
      <c r="DH48" s="83">
        <f t="shared" si="88"/>
        <v>-1.2327542757098038</v>
      </c>
      <c r="DI48" s="83">
        <f t="shared" si="88"/>
        <v>-1.4683899898717259</v>
      </c>
      <c r="DJ48" s="83">
        <f t="shared" si="88"/>
        <v>-1.4419662322053481</v>
      </c>
      <c r="DK48" s="83">
        <f t="shared" si="88"/>
        <v>-1.8194389224135574</v>
      </c>
      <c r="DL48" s="83">
        <f t="shared" si="88"/>
        <v>-0.5065578415641957</v>
      </c>
      <c r="DM48" s="83">
        <f t="shared" si="88"/>
        <v>-0.68467698531186438</v>
      </c>
      <c r="DN48" s="83">
        <f t="shared" si="88"/>
        <v>-2.5045451990307761</v>
      </c>
      <c r="DO48" s="83"/>
      <c r="DP48" s="83">
        <f t="shared" ref="DP48:FJ48" si="89">(DP45-(3*DP41))</f>
        <v>0.25218596413257899</v>
      </c>
      <c r="DQ48" s="83">
        <f t="shared" si="89"/>
        <v>-1.4697248704875792</v>
      </c>
      <c r="DR48" s="83">
        <f t="shared" si="89"/>
        <v>-1.6195753959313683</v>
      </c>
      <c r="DS48" s="83">
        <f t="shared" si="89"/>
        <v>-1.0939205454920302</v>
      </c>
      <c r="DT48" s="83">
        <f t="shared" si="89"/>
        <v>-1.2881499577546816</v>
      </c>
      <c r="DU48" s="83">
        <f t="shared" si="89"/>
        <v>-1.7967547609010448</v>
      </c>
      <c r="DV48" s="83">
        <f t="shared" si="89"/>
        <v>-0.68467698531186438</v>
      </c>
      <c r="DW48" s="83">
        <f t="shared" si="89"/>
        <v>0</v>
      </c>
      <c r="DX48" s="83">
        <f t="shared" si="89"/>
        <v>-2.4564480602510335</v>
      </c>
      <c r="DY48" s="83">
        <f t="shared" si="89"/>
        <v>-6.3429022439937519</v>
      </c>
      <c r="DZ48" s="83">
        <f t="shared" si="89"/>
        <v>-1.7806347888955008</v>
      </c>
      <c r="EA48" s="83">
        <f t="shared" si="89"/>
        <v>-1.4552070675513253</v>
      </c>
      <c r="EB48" s="83">
        <f t="shared" si="89"/>
        <v>-1.4567144029568793</v>
      </c>
      <c r="EC48" s="83">
        <f t="shared" si="89"/>
        <v>-2.6646734818443578</v>
      </c>
      <c r="ED48" s="83">
        <f t="shared" si="89"/>
        <v>-1.4749335005674387</v>
      </c>
      <c r="EE48" s="83">
        <f t="shared" si="89"/>
        <v>-2.2135748587248623</v>
      </c>
      <c r="EF48" s="83">
        <f t="shared" si="89"/>
        <v>-3.2254331999622181</v>
      </c>
      <c r="EG48" s="83">
        <f t="shared" si="89"/>
        <v>-1.8750985012020887</v>
      </c>
      <c r="EH48" s="83">
        <f t="shared" si="89"/>
        <v>-2.9690380442595807</v>
      </c>
      <c r="EI48" s="83">
        <f t="shared" si="89"/>
        <v>-0.68467698531186438</v>
      </c>
      <c r="EJ48" s="83">
        <f t="shared" si="89"/>
        <v>-2.8199655852796446</v>
      </c>
      <c r="EK48" s="83">
        <f t="shared" si="89"/>
        <v>-2.7231913917312576</v>
      </c>
      <c r="EL48" s="83">
        <f t="shared" si="89"/>
        <v>-2.0041529306204047</v>
      </c>
      <c r="EM48" s="83">
        <f t="shared" si="89"/>
        <v>-1.9508276295473099</v>
      </c>
      <c r="EN48" s="83">
        <f t="shared" si="89"/>
        <v>0</v>
      </c>
      <c r="EO48" s="83">
        <f t="shared" si="89"/>
        <v>-1.3987174742355444</v>
      </c>
      <c r="EP48" s="83">
        <f t="shared" si="89"/>
        <v>-1.6213203435596428</v>
      </c>
      <c r="EQ48" s="83" t="e">
        <f t="shared" ref="EQ48:ES48" si="90">(EQ45-(3*EQ41))</f>
        <v>#DIV/0!</v>
      </c>
      <c r="ER48" s="83" t="e">
        <f t="shared" si="90"/>
        <v>#DIV/0!</v>
      </c>
      <c r="ES48" s="83" t="e">
        <f t="shared" si="90"/>
        <v>#DIV/0!</v>
      </c>
      <c r="ET48" s="83">
        <f t="shared" si="89"/>
        <v>-2.6856210748931373</v>
      </c>
      <c r="EU48" s="83">
        <f t="shared" si="89"/>
        <v>-1.6273399548391061</v>
      </c>
      <c r="EV48" s="83">
        <f t="shared" si="89"/>
        <v>-2.2135748587248623</v>
      </c>
      <c r="EW48" s="83">
        <f t="shared" si="89"/>
        <v>-2.2606511113884245</v>
      </c>
      <c r="EX48" s="83">
        <f t="shared" si="89"/>
        <v>-2.6570905336368327</v>
      </c>
      <c r="EY48" s="83">
        <f t="shared" si="89"/>
        <v>-2.3708828509855837</v>
      </c>
      <c r="EZ48" s="83">
        <f t="shared" si="89"/>
        <v>-2.7756200441176553</v>
      </c>
      <c r="FA48" s="83">
        <f t="shared" si="89"/>
        <v>-1.800143673322945</v>
      </c>
      <c r="FB48" s="83">
        <f t="shared" si="89"/>
        <v>-2.2504809660014771</v>
      </c>
      <c r="FC48" s="83">
        <f t="shared" si="89"/>
        <v>-3.0136986819178602</v>
      </c>
      <c r="FD48" s="83">
        <f t="shared" si="89"/>
        <v>-1.25</v>
      </c>
      <c r="FE48" s="83">
        <f t="shared" si="89"/>
        <v>0</v>
      </c>
      <c r="FF48" s="83">
        <f t="shared" si="89"/>
        <v>0</v>
      </c>
      <c r="FG48" s="83" t="e">
        <f t="shared" ref="FG48:FI48" si="91">(FG45-(3*FG41))</f>
        <v>#DIV/0!</v>
      </c>
      <c r="FH48" s="83" t="e">
        <f t="shared" si="91"/>
        <v>#DIV/0!</v>
      </c>
      <c r="FI48" s="83" t="e">
        <f t="shared" si="91"/>
        <v>#DIV/0!</v>
      </c>
      <c r="FJ48" s="83">
        <f t="shared" si="89"/>
        <v>-4.5451146145458834</v>
      </c>
      <c r="FM48" s="88" t="s">
        <v>276</v>
      </c>
    </row>
  </sheetData>
  <mergeCells count="19">
    <mergeCell ref="W2:AL2"/>
    <mergeCell ref="EE1:FJ1"/>
    <mergeCell ref="F1:AL1"/>
    <mergeCell ref="AM1:DX1"/>
    <mergeCell ref="DY1:ED2"/>
    <mergeCell ref="U2:V2"/>
    <mergeCell ref="F2:T2"/>
    <mergeCell ref="BQ2:BZ2"/>
    <mergeCell ref="BG2:BP2"/>
    <mergeCell ref="FK1:FL2"/>
    <mergeCell ref="AW2:BF2"/>
    <mergeCell ref="AM2:AV2"/>
    <mergeCell ref="EE2:ET2"/>
    <mergeCell ref="EU2:FJ2"/>
    <mergeCell ref="DO2:DX2"/>
    <mergeCell ref="DE2:DN2"/>
    <mergeCell ref="CU2:DD2"/>
    <mergeCell ref="CK2:CT2"/>
    <mergeCell ref="CA2:CJ2"/>
  </mergeCells>
  <conditionalFormatting sqref="FK4:FL35">
    <cfRule type="cellIs" dxfId="196" priority="1" operator="notEqual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36"/>
  <sheetViews>
    <sheetView workbookViewId="0">
      <pane xSplit="1" ySplit="3" topLeftCell="B4" activePane="bottomRight" state="frozen"/>
      <selection activeCell="A14" sqref="A14"/>
      <selection pane="topRight" activeCell="A14" sqref="A14"/>
      <selection pane="bottomLeft" activeCell="A14" sqref="A14"/>
      <selection pane="bottomRight" activeCell="A22" sqref="A22"/>
    </sheetView>
  </sheetViews>
  <sheetFormatPr defaultRowHeight="15" x14ac:dyDescent="0.25"/>
  <cols>
    <col min="1" max="1" width="9.7109375" style="265" bestFit="1" customWidth="1"/>
    <col min="2" max="2" width="6.140625" style="265" bestFit="1" customWidth="1"/>
    <col min="3" max="3" width="6.42578125" style="265" bestFit="1" customWidth="1"/>
    <col min="4" max="4" width="9.140625" style="265" bestFit="1" customWidth="1"/>
    <col min="5" max="5" width="6" style="264" bestFit="1" customWidth="1"/>
    <col min="6" max="6" width="5.42578125" style="264" bestFit="1" customWidth="1"/>
    <col min="7" max="7" width="10.140625" bestFit="1" customWidth="1"/>
    <col min="8" max="8" width="7" bestFit="1" customWidth="1"/>
    <col min="9" max="9" width="6.28515625" bestFit="1" customWidth="1"/>
    <col min="10" max="10" width="6.7109375" bestFit="1" customWidth="1"/>
    <col min="11" max="11" width="6.28515625" bestFit="1" customWidth="1"/>
    <col min="12" max="12" width="6.140625" bestFit="1" customWidth="1"/>
    <col min="13" max="13" width="7.140625" bestFit="1" customWidth="1"/>
    <col min="14" max="14" width="7.28515625" bestFit="1" customWidth="1"/>
    <col min="15" max="16" width="7.42578125" bestFit="1" customWidth="1"/>
    <col min="17" max="17" width="8.5703125" bestFit="1" customWidth="1"/>
    <col min="18" max="18" width="7.140625" bestFit="1" customWidth="1"/>
    <col min="19" max="20" width="7.42578125" bestFit="1" customWidth="1"/>
    <col min="21" max="21" width="6.28515625" bestFit="1" customWidth="1"/>
    <col min="22" max="22" width="6.42578125" bestFit="1" customWidth="1"/>
    <col min="23" max="23" width="7" bestFit="1" customWidth="1"/>
    <col min="24" max="25" width="6.28515625" bestFit="1" customWidth="1"/>
    <col min="26" max="26" width="5.5703125" bestFit="1" customWidth="1"/>
    <col min="27" max="27" width="5.85546875" bestFit="1" customWidth="1"/>
    <col min="28" max="28" width="7" bestFit="1" customWidth="1"/>
    <col min="29" max="30" width="6.42578125" bestFit="1" customWidth="1"/>
    <col min="31" max="31" width="7.5703125" bestFit="1" customWidth="1"/>
    <col min="32" max="32" width="7.7109375" bestFit="1" customWidth="1"/>
    <col min="33" max="33" width="7.85546875" bestFit="1" customWidth="1"/>
    <col min="34" max="34" width="7.7109375" bestFit="1" customWidth="1"/>
    <col min="35" max="35" width="9" bestFit="1" customWidth="1"/>
    <col min="36" max="37" width="7.5703125" bestFit="1" customWidth="1"/>
    <col min="38" max="38" width="7.7109375" bestFit="1" customWidth="1"/>
    <col min="39" max="39" width="10.28515625" bestFit="1" customWidth="1"/>
    <col min="40" max="40" width="6.7109375" bestFit="1" customWidth="1"/>
    <col min="41" max="42" width="6" bestFit="1" customWidth="1"/>
    <col min="43" max="43" width="7.140625" bestFit="1" customWidth="1"/>
    <col min="44" max="44" width="6.5703125" bestFit="1" customWidth="1"/>
    <col min="45" max="45" width="6.7109375" bestFit="1" customWidth="1"/>
    <col min="46" max="46" width="7.85546875" bestFit="1" customWidth="1"/>
    <col min="47" max="47" width="6.28515625" bestFit="1" customWidth="1"/>
    <col min="48" max="48" width="6.42578125" bestFit="1" customWidth="1"/>
    <col min="49" max="49" width="10.28515625" bestFit="1" customWidth="1"/>
    <col min="50" max="50" width="6.7109375" bestFit="1" customWidth="1"/>
    <col min="51" max="52" width="6" bestFit="1" customWidth="1"/>
    <col min="53" max="53" width="7.140625" bestFit="1" customWidth="1"/>
    <col min="54" max="54" width="6.5703125" bestFit="1" customWidth="1"/>
    <col min="55" max="55" width="6.7109375" bestFit="1" customWidth="1"/>
    <col min="56" max="56" width="7.85546875" bestFit="1" customWidth="1"/>
    <col min="57" max="57" width="6.28515625" bestFit="1" customWidth="1"/>
    <col min="58" max="58" width="6.42578125" bestFit="1" customWidth="1"/>
    <col min="59" max="59" width="13.140625" bestFit="1" customWidth="1"/>
    <col min="60" max="60" width="6.7109375" bestFit="1" customWidth="1"/>
    <col min="61" max="62" width="6" bestFit="1" customWidth="1"/>
    <col min="63" max="63" width="7.140625" bestFit="1" customWidth="1"/>
    <col min="64" max="64" width="6.5703125" bestFit="1" customWidth="1"/>
    <col min="65" max="65" width="6.7109375" bestFit="1" customWidth="1"/>
    <col min="66" max="66" width="7.85546875" bestFit="1" customWidth="1"/>
    <col min="67" max="67" width="6.28515625" bestFit="1" customWidth="1"/>
    <col min="68" max="68" width="6.42578125" bestFit="1" customWidth="1"/>
    <col min="69" max="69" width="13.140625" bestFit="1" customWidth="1"/>
    <col min="70" max="70" width="6.7109375" bestFit="1" customWidth="1"/>
    <col min="71" max="72" width="6" bestFit="1" customWidth="1"/>
    <col min="73" max="73" width="7.140625" bestFit="1" customWidth="1"/>
    <col min="74" max="74" width="6.5703125" bestFit="1" customWidth="1"/>
    <col min="75" max="75" width="6.7109375" bestFit="1" customWidth="1"/>
    <col min="76" max="76" width="7.85546875" bestFit="1" customWidth="1"/>
    <col min="77" max="77" width="6.28515625" bestFit="1" customWidth="1"/>
    <col min="78" max="78" width="6.42578125" bestFit="1" customWidth="1"/>
    <col min="79" max="79" width="13.140625" bestFit="1" customWidth="1"/>
    <col min="80" max="80" width="6.7109375" bestFit="1" customWidth="1"/>
    <col min="81" max="82" width="6" bestFit="1" customWidth="1"/>
    <col min="83" max="83" width="7.140625" bestFit="1" customWidth="1"/>
    <col min="84" max="84" width="6.5703125" bestFit="1" customWidth="1"/>
    <col min="85" max="85" width="6.7109375" bestFit="1" customWidth="1"/>
    <col min="86" max="86" width="7.85546875" bestFit="1" customWidth="1"/>
    <col min="87" max="87" width="6.28515625" bestFit="1" customWidth="1"/>
    <col min="88" max="88" width="6.42578125" bestFit="1" customWidth="1"/>
    <col min="89" max="89" width="14" bestFit="1" customWidth="1"/>
    <col min="90" max="90" width="6.7109375" bestFit="1" customWidth="1"/>
    <col min="91" max="92" width="6" bestFit="1" customWidth="1"/>
    <col min="93" max="93" width="7.140625" bestFit="1" customWidth="1"/>
    <col min="94" max="94" width="6.5703125" bestFit="1" customWidth="1"/>
    <col min="95" max="95" width="6.7109375" bestFit="1" customWidth="1"/>
    <col min="96" max="96" width="7.85546875" bestFit="1" customWidth="1"/>
    <col min="97" max="97" width="6.28515625" bestFit="1" customWidth="1"/>
    <col min="98" max="98" width="6.42578125" bestFit="1" customWidth="1"/>
    <col min="99" max="99" width="14" bestFit="1" customWidth="1"/>
    <col min="100" max="100" width="6.7109375" bestFit="1" customWidth="1"/>
    <col min="101" max="102" width="6" bestFit="1" customWidth="1"/>
    <col min="103" max="103" width="7.140625" bestFit="1" customWidth="1"/>
    <col min="104" max="104" width="6.5703125" bestFit="1" customWidth="1"/>
    <col min="105" max="105" width="6.7109375" bestFit="1" customWidth="1"/>
    <col min="106" max="106" width="7.85546875" bestFit="1" customWidth="1"/>
    <col min="107" max="107" width="6.28515625" bestFit="1" customWidth="1"/>
    <col min="108" max="108" width="6.42578125" bestFit="1" customWidth="1"/>
    <col min="109" max="109" width="14" bestFit="1" customWidth="1"/>
    <col min="110" max="110" width="6.7109375" bestFit="1" customWidth="1"/>
    <col min="111" max="112" width="6" bestFit="1" customWidth="1"/>
    <col min="113" max="113" width="7.140625" bestFit="1" customWidth="1"/>
    <col min="114" max="114" width="6.5703125" bestFit="1" customWidth="1"/>
    <col min="115" max="115" width="6.7109375" bestFit="1" customWidth="1"/>
    <col min="116" max="116" width="7.85546875" bestFit="1" customWidth="1"/>
    <col min="117" max="117" width="6.28515625" bestFit="1" customWidth="1"/>
    <col min="118" max="118" width="6.42578125" bestFit="1" customWidth="1"/>
    <col min="119" max="119" width="10.28515625" bestFit="1" customWidth="1"/>
    <col min="120" max="120" width="6.7109375" bestFit="1" customWidth="1"/>
    <col min="121" max="122" width="6" bestFit="1" customWidth="1"/>
    <col min="123" max="123" width="7.140625" bestFit="1" customWidth="1"/>
    <col min="124" max="124" width="6.5703125" bestFit="1" customWidth="1"/>
    <col min="125" max="125" width="6.7109375" bestFit="1" customWidth="1"/>
    <col min="126" max="126" width="7.85546875" bestFit="1" customWidth="1"/>
    <col min="127" max="127" width="6.28515625" bestFit="1" customWidth="1"/>
    <col min="128" max="128" width="6.42578125" bestFit="1" customWidth="1"/>
    <col min="129" max="129" width="6" bestFit="1" customWidth="1"/>
    <col min="130" max="130" width="6.42578125" bestFit="1" customWidth="1"/>
    <col min="131" max="131" width="6.5703125" bestFit="1" customWidth="1"/>
    <col min="132" max="132" width="6.28515625" bestFit="1" customWidth="1"/>
    <col min="133" max="133" width="6.7109375" bestFit="1" customWidth="1"/>
    <col min="134" max="134" width="6.85546875" bestFit="1" customWidth="1"/>
    <col min="135" max="143" width="6" bestFit="1" customWidth="1"/>
    <col min="144" max="144" width="7" bestFit="1" customWidth="1"/>
    <col min="145" max="146" width="7.7109375" bestFit="1" customWidth="1"/>
    <col min="147" max="156" width="6.28515625" bestFit="1" customWidth="1"/>
    <col min="157" max="157" width="7.28515625" bestFit="1" customWidth="1"/>
    <col min="158" max="159" width="7.7109375" bestFit="1" customWidth="1"/>
    <col min="160" max="160" width="6.28515625" bestFit="1" customWidth="1"/>
    <col min="161" max="162" width="11.85546875" bestFit="1" customWidth="1"/>
    <col min="163" max="163" width="90.5703125" style="263" bestFit="1" customWidth="1"/>
  </cols>
  <sheetData>
    <row r="1" spans="1:163" x14ac:dyDescent="0.25">
      <c r="F1" s="460" t="s">
        <v>125</v>
      </c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2"/>
      <c r="AM1" s="460" t="s">
        <v>185</v>
      </c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  <c r="BY1" s="461"/>
      <c r="BZ1" s="461"/>
      <c r="CA1" s="461"/>
      <c r="CB1" s="461"/>
      <c r="CC1" s="461"/>
      <c r="CD1" s="461"/>
      <c r="CE1" s="461"/>
      <c r="CF1" s="461"/>
      <c r="CG1" s="461"/>
      <c r="CH1" s="461"/>
      <c r="CI1" s="461"/>
      <c r="CJ1" s="461"/>
      <c r="CK1" s="461"/>
      <c r="CL1" s="461"/>
      <c r="CM1" s="461"/>
      <c r="CN1" s="461"/>
      <c r="CO1" s="461"/>
      <c r="CP1" s="461"/>
      <c r="CQ1" s="461"/>
      <c r="CR1" s="461"/>
      <c r="CS1" s="461"/>
      <c r="CT1" s="461"/>
      <c r="CU1" s="461"/>
      <c r="CV1" s="461"/>
      <c r="CW1" s="461"/>
      <c r="CX1" s="461"/>
      <c r="CY1" s="461"/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2"/>
      <c r="DY1" s="463" t="s">
        <v>184</v>
      </c>
      <c r="DZ1" s="464"/>
      <c r="EA1" s="464"/>
      <c r="EB1" s="464"/>
      <c r="EC1" s="464"/>
      <c r="ED1" s="465"/>
      <c r="EE1" s="457" t="s">
        <v>178</v>
      </c>
      <c r="EF1" s="457"/>
      <c r="EG1" s="457"/>
      <c r="EH1" s="457"/>
      <c r="EI1" s="457"/>
      <c r="EJ1" s="457"/>
      <c r="EK1" s="457"/>
      <c r="EL1" s="457"/>
      <c r="EM1" s="457"/>
      <c r="EN1" s="457"/>
      <c r="EO1" s="457"/>
      <c r="EP1" s="457"/>
      <c r="EQ1" s="457"/>
      <c r="ER1" s="457"/>
      <c r="ES1" s="457"/>
      <c r="ET1" s="457"/>
      <c r="EU1" s="457"/>
      <c r="EV1" s="457"/>
      <c r="EW1" s="457"/>
      <c r="EX1" s="457"/>
      <c r="EY1" s="457"/>
      <c r="EZ1" s="457"/>
      <c r="FA1" s="457"/>
      <c r="FB1" s="457"/>
      <c r="FC1" s="457"/>
      <c r="FD1" s="457"/>
      <c r="FE1" s="458" t="s">
        <v>247</v>
      </c>
      <c r="FF1" s="458"/>
    </row>
    <row r="2" spans="1:163" x14ac:dyDescent="0.25">
      <c r="A2" s="268"/>
      <c r="B2" s="268"/>
      <c r="C2" s="268"/>
      <c r="D2" s="268"/>
      <c r="E2" s="275"/>
      <c r="F2" s="469" t="s">
        <v>0</v>
      </c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66" t="s">
        <v>186</v>
      </c>
      <c r="V2" s="467"/>
      <c r="W2" s="459" t="s">
        <v>1</v>
      </c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5">
        <v>1</v>
      </c>
      <c r="AN2" s="456"/>
      <c r="AO2" s="456"/>
      <c r="AP2" s="456"/>
      <c r="AQ2" s="456"/>
      <c r="AR2" s="456"/>
      <c r="AS2" s="456"/>
      <c r="AT2" s="456"/>
      <c r="AU2" s="456"/>
      <c r="AV2" s="456"/>
      <c r="AW2" s="456">
        <v>2</v>
      </c>
      <c r="AX2" s="456"/>
      <c r="AY2" s="456"/>
      <c r="AZ2" s="456"/>
      <c r="BA2" s="456"/>
      <c r="BB2" s="456"/>
      <c r="BC2" s="456"/>
      <c r="BD2" s="456"/>
      <c r="BE2" s="456"/>
      <c r="BF2" s="456"/>
      <c r="BG2" s="456">
        <v>3</v>
      </c>
      <c r="BH2" s="456"/>
      <c r="BI2" s="456"/>
      <c r="BJ2" s="456"/>
      <c r="BK2" s="456"/>
      <c r="BL2" s="456"/>
      <c r="BM2" s="456"/>
      <c r="BN2" s="456"/>
      <c r="BO2" s="456"/>
      <c r="BP2" s="456"/>
      <c r="BQ2" s="456">
        <v>4</v>
      </c>
      <c r="BR2" s="456"/>
      <c r="BS2" s="456"/>
      <c r="BT2" s="456"/>
      <c r="BU2" s="456"/>
      <c r="BV2" s="456"/>
      <c r="BW2" s="456"/>
      <c r="BX2" s="456"/>
      <c r="BY2" s="456"/>
      <c r="BZ2" s="456"/>
      <c r="CA2" s="456">
        <v>5</v>
      </c>
      <c r="CB2" s="456"/>
      <c r="CC2" s="456"/>
      <c r="CD2" s="456"/>
      <c r="CE2" s="456"/>
      <c r="CF2" s="456"/>
      <c r="CG2" s="456"/>
      <c r="CH2" s="456"/>
      <c r="CI2" s="456"/>
      <c r="CJ2" s="456"/>
      <c r="CK2" s="456">
        <v>6</v>
      </c>
      <c r="CL2" s="456"/>
      <c r="CM2" s="456"/>
      <c r="CN2" s="456"/>
      <c r="CO2" s="456"/>
      <c r="CP2" s="456"/>
      <c r="CQ2" s="456"/>
      <c r="CR2" s="456"/>
      <c r="CS2" s="456"/>
      <c r="CT2" s="456"/>
      <c r="CU2" s="456">
        <v>7</v>
      </c>
      <c r="CV2" s="456"/>
      <c r="CW2" s="456"/>
      <c r="CX2" s="456"/>
      <c r="CY2" s="456"/>
      <c r="CZ2" s="456"/>
      <c r="DA2" s="456"/>
      <c r="DB2" s="456"/>
      <c r="DC2" s="456"/>
      <c r="DD2" s="456"/>
      <c r="DE2" s="456">
        <v>8</v>
      </c>
      <c r="DF2" s="456"/>
      <c r="DG2" s="456"/>
      <c r="DH2" s="456"/>
      <c r="DI2" s="456"/>
      <c r="DJ2" s="456"/>
      <c r="DK2" s="456"/>
      <c r="DL2" s="456"/>
      <c r="DM2" s="456"/>
      <c r="DN2" s="456"/>
      <c r="DO2" s="456">
        <v>9</v>
      </c>
      <c r="DP2" s="456"/>
      <c r="DQ2" s="456"/>
      <c r="DR2" s="456"/>
      <c r="DS2" s="456"/>
      <c r="DT2" s="456"/>
      <c r="DU2" s="456"/>
      <c r="DV2" s="456"/>
      <c r="DW2" s="456"/>
      <c r="DX2" s="468"/>
      <c r="DY2" s="463"/>
      <c r="DZ2" s="464"/>
      <c r="EA2" s="464"/>
      <c r="EB2" s="464"/>
      <c r="EC2" s="464"/>
      <c r="ED2" s="465"/>
      <c r="EE2" s="457" t="s">
        <v>179</v>
      </c>
      <c r="EF2" s="457"/>
      <c r="EG2" s="457"/>
      <c r="EH2" s="457"/>
      <c r="EI2" s="457"/>
      <c r="EJ2" s="457"/>
      <c r="EK2" s="457"/>
      <c r="EL2" s="457"/>
      <c r="EM2" s="457"/>
      <c r="EN2" s="457"/>
      <c r="EO2" s="457"/>
      <c r="EP2" s="457"/>
      <c r="EQ2" s="457"/>
      <c r="ER2" s="457" t="s">
        <v>180</v>
      </c>
      <c r="ES2" s="457"/>
      <c r="ET2" s="457"/>
      <c r="EU2" s="457"/>
      <c r="EV2" s="457"/>
      <c r="EW2" s="457"/>
      <c r="EX2" s="457"/>
      <c r="EY2" s="457"/>
      <c r="EZ2" s="457"/>
      <c r="FA2" s="457"/>
      <c r="FB2" s="457"/>
      <c r="FC2" s="457"/>
      <c r="FD2" s="457"/>
      <c r="FE2" s="458"/>
      <c r="FF2" s="458"/>
    </row>
    <row r="3" spans="1:163" s="263" customFormat="1" x14ac:dyDescent="0.25">
      <c r="A3" s="273" t="s">
        <v>3</v>
      </c>
      <c r="B3" s="273" t="s">
        <v>126</v>
      </c>
      <c r="C3" s="273" t="s">
        <v>127</v>
      </c>
      <c r="D3" s="273" t="s">
        <v>128</v>
      </c>
      <c r="E3" s="298" t="s">
        <v>151</v>
      </c>
      <c r="F3" s="298" t="s">
        <v>181</v>
      </c>
      <c r="G3" s="297" t="s">
        <v>2</v>
      </c>
      <c r="H3" s="295" t="s">
        <v>4</v>
      </c>
      <c r="I3" s="295" t="s">
        <v>5</v>
      </c>
      <c r="J3" s="35" t="s">
        <v>6</v>
      </c>
      <c r="K3" s="36" t="s">
        <v>7</v>
      </c>
      <c r="L3" s="36" t="s">
        <v>8</v>
      </c>
      <c r="M3" s="36" t="s">
        <v>9</v>
      </c>
      <c r="N3" s="36" t="s">
        <v>10</v>
      </c>
      <c r="O3" s="36" t="s">
        <v>11</v>
      </c>
      <c r="P3" s="36" t="s">
        <v>12</v>
      </c>
      <c r="Q3" s="36" t="s">
        <v>13</v>
      </c>
      <c r="R3" s="36" t="s">
        <v>14</v>
      </c>
      <c r="S3" s="36" t="s">
        <v>15</v>
      </c>
      <c r="T3" s="36" t="s">
        <v>16</v>
      </c>
      <c r="U3" s="295" t="s">
        <v>32</v>
      </c>
      <c r="V3" s="295" t="s">
        <v>33</v>
      </c>
      <c r="W3" s="297" t="s">
        <v>17</v>
      </c>
      <c r="X3" s="297" t="s">
        <v>18</v>
      </c>
      <c r="Y3" s="297" t="s">
        <v>182</v>
      </c>
      <c r="Z3" s="297" t="s">
        <v>183</v>
      </c>
      <c r="AA3" s="297" t="s">
        <v>20</v>
      </c>
      <c r="AB3" s="296" t="s">
        <v>21</v>
      </c>
      <c r="AC3" s="295" t="s">
        <v>22</v>
      </c>
      <c r="AD3" s="295" t="s">
        <v>23</v>
      </c>
      <c r="AE3" s="295" t="s">
        <v>24</v>
      </c>
      <c r="AF3" s="295" t="s">
        <v>25</v>
      </c>
      <c r="AG3" s="295" t="s">
        <v>26</v>
      </c>
      <c r="AH3" s="295" t="s">
        <v>27</v>
      </c>
      <c r="AI3" s="295" t="s">
        <v>28</v>
      </c>
      <c r="AJ3" s="295" t="s">
        <v>29</v>
      </c>
      <c r="AK3" s="295" t="s">
        <v>30</v>
      </c>
      <c r="AL3" s="295" t="s">
        <v>31</v>
      </c>
      <c r="AM3" s="37" t="s">
        <v>35</v>
      </c>
      <c r="AN3" s="37" t="s">
        <v>36</v>
      </c>
      <c r="AO3" s="37" t="s">
        <v>37</v>
      </c>
      <c r="AP3" s="37" t="s">
        <v>38</v>
      </c>
      <c r="AQ3" s="37" t="s">
        <v>39</v>
      </c>
      <c r="AR3" s="37" t="s">
        <v>40</v>
      </c>
      <c r="AS3" s="37" t="s">
        <v>41</v>
      </c>
      <c r="AT3" s="37" t="s">
        <v>42</v>
      </c>
      <c r="AU3" s="37" t="s">
        <v>43</v>
      </c>
      <c r="AV3" s="37" t="s">
        <v>44</v>
      </c>
      <c r="AW3" s="37" t="s">
        <v>45</v>
      </c>
      <c r="AX3" s="37" t="s">
        <v>46</v>
      </c>
      <c r="AY3" s="37" t="s">
        <v>47</v>
      </c>
      <c r="AZ3" s="294" t="s">
        <v>48</v>
      </c>
      <c r="BA3" s="294" t="s">
        <v>49</v>
      </c>
      <c r="BB3" s="294" t="s">
        <v>50</v>
      </c>
      <c r="BC3" s="294" t="s">
        <v>51</v>
      </c>
      <c r="BD3" s="294" t="s">
        <v>52</v>
      </c>
      <c r="BE3" s="294" t="s">
        <v>53</v>
      </c>
      <c r="BF3" s="294" t="s">
        <v>54</v>
      </c>
      <c r="BG3" s="294" t="s">
        <v>55</v>
      </c>
      <c r="BH3" s="294" t="s">
        <v>56</v>
      </c>
      <c r="BI3" s="294" t="s">
        <v>57</v>
      </c>
      <c r="BJ3" s="294" t="s">
        <v>58</v>
      </c>
      <c r="BK3" s="294" t="s">
        <v>59</v>
      </c>
      <c r="BL3" s="294" t="s">
        <v>60</v>
      </c>
      <c r="BM3" s="294" t="s">
        <v>61</v>
      </c>
      <c r="BN3" s="294" t="s">
        <v>62</v>
      </c>
      <c r="BO3" s="294" t="s">
        <v>63</v>
      </c>
      <c r="BP3" s="294" t="s">
        <v>64</v>
      </c>
      <c r="BQ3" s="294" t="s">
        <v>65</v>
      </c>
      <c r="BR3" s="294" t="s">
        <v>66</v>
      </c>
      <c r="BS3" s="294" t="s">
        <v>67</v>
      </c>
      <c r="BT3" s="294" t="s">
        <v>68</v>
      </c>
      <c r="BU3" s="294" t="s">
        <v>69</v>
      </c>
      <c r="BV3" s="294" t="s">
        <v>70</v>
      </c>
      <c r="BW3" s="294" t="s">
        <v>71</v>
      </c>
      <c r="BX3" s="294" t="s">
        <v>72</v>
      </c>
      <c r="BY3" s="294" t="s">
        <v>73</v>
      </c>
      <c r="BZ3" s="294" t="s">
        <v>74</v>
      </c>
      <c r="CA3" s="294" t="s">
        <v>75</v>
      </c>
      <c r="CB3" s="294" t="s">
        <v>76</v>
      </c>
      <c r="CC3" s="294" t="s">
        <v>77</v>
      </c>
      <c r="CD3" s="294" t="s">
        <v>78</v>
      </c>
      <c r="CE3" s="294" t="s">
        <v>79</v>
      </c>
      <c r="CF3" s="294" t="s">
        <v>80</v>
      </c>
      <c r="CG3" s="294" t="s">
        <v>81</v>
      </c>
      <c r="CH3" s="294" t="s">
        <v>82</v>
      </c>
      <c r="CI3" s="294" t="s">
        <v>83</v>
      </c>
      <c r="CJ3" s="294" t="s">
        <v>84</v>
      </c>
      <c r="CK3" s="294" t="s">
        <v>85</v>
      </c>
      <c r="CL3" s="294" t="s">
        <v>86</v>
      </c>
      <c r="CM3" s="294" t="s">
        <v>87</v>
      </c>
      <c r="CN3" s="294" t="s">
        <v>88</v>
      </c>
      <c r="CO3" s="294" t="s">
        <v>89</v>
      </c>
      <c r="CP3" s="294" t="s">
        <v>90</v>
      </c>
      <c r="CQ3" s="294" t="s">
        <v>91</v>
      </c>
      <c r="CR3" s="294" t="s">
        <v>92</v>
      </c>
      <c r="CS3" s="294" t="s">
        <v>93</v>
      </c>
      <c r="CT3" s="294" t="s">
        <v>94</v>
      </c>
      <c r="CU3" s="294" t="s">
        <v>95</v>
      </c>
      <c r="CV3" s="294" t="s">
        <v>96</v>
      </c>
      <c r="CW3" s="294" t="s">
        <v>97</v>
      </c>
      <c r="CX3" s="294" t="s">
        <v>98</v>
      </c>
      <c r="CY3" s="294" t="s">
        <v>99</v>
      </c>
      <c r="CZ3" s="294" t="s">
        <v>100</v>
      </c>
      <c r="DA3" s="294" t="s">
        <v>101</v>
      </c>
      <c r="DB3" s="294" t="s">
        <v>102</v>
      </c>
      <c r="DC3" s="294" t="s">
        <v>103</v>
      </c>
      <c r="DD3" s="294" t="s">
        <v>104</v>
      </c>
      <c r="DE3" s="294" t="s">
        <v>105</v>
      </c>
      <c r="DF3" s="294" t="s">
        <v>106</v>
      </c>
      <c r="DG3" s="294" t="s">
        <v>107</v>
      </c>
      <c r="DH3" s="294" t="s">
        <v>108</v>
      </c>
      <c r="DI3" s="294" t="s">
        <v>109</v>
      </c>
      <c r="DJ3" s="294" t="s">
        <v>110</v>
      </c>
      <c r="DK3" s="294" t="s">
        <v>111</v>
      </c>
      <c r="DL3" s="294" t="s">
        <v>112</v>
      </c>
      <c r="DM3" s="294" t="s">
        <v>113</v>
      </c>
      <c r="DN3" s="294" t="s">
        <v>114</v>
      </c>
      <c r="DO3" s="294" t="s">
        <v>115</v>
      </c>
      <c r="DP3" s="294" t="s">
        <v>116</v>
      </c>
      <c r="DQ3" s="294" t="s">
        <v>117</v>
      </c>
      <c r="DR3" s="294" t="s">
        <v>118</v>
      </c>
      <c r="DS3" s="294" t="s">
        <v>119</v>
      </c>
      <c r="DT3" s="294" t="s">
        <v>120</v>
      </c>
      <c r="DU3" s="294" t="s">
        <v>121</v>
      </c>
      <c r="DV3" s="294" t="s">
        <v>122</v>
      </c>
      <c r="DW3" s="294" t="s">
        <v>123</v>
      </c>
      <c r="DX3" s="294" t="s">
        <v>124</v>
      </c>
      <c r="DY3" s="294" t="s">
        <v>145</v>
      </c>
      <c r="DZ3" s="294" t="s">
        <v>148</v>
      </c>
      <c r="EA3" s="294" t="s">
        <v>149</v>
      </c>
      <c r="EB3" s="294" t="s">
        <v>146</v>
      </c>
      <c r="EC3" s="294" t="s">
        <v>147</v>
      </c>
      <c r="ED3" s="294" t="s">
        <v>150</v>
      </c>
      <c r="EE3" s="294" t="s">
        <v>152</v>
      </c>
      <c r="EF3" s="294" t="s">
        <v>153</v>
      </c>
      <c r="EG3" s="294" t="s">
        <v>154</v>
      </c>
      <c r="EH3" s="294" t="s">
        <v>155</v>
      </c>
      <c r="EI3" s="294" t="s">
        <v>156</v>
      </c>
      <c r="EJ3" s="294" t="s">
        <v>157</v>
      </c>
      <c r="EK3" s="294" t="s">
        <v>158</v>
      </c>
      <c r="EL3" s="294" t="s">
        <v>159</v>
      </c>
      <c r="EM3" s="294" t="s">
        <v>160</v>
      </c>
      <c r="EN3" s="294" t="s">
        <v>161</v>
      </c>
      <c r="EO3" s="294" t="s">
        <v>162</v>
      </c>
      <c r="EP3" s="294" t="s">
        <v>163</v>
      </c>
      <c r="EQ3" s="294" t="s">
        <v>164</v>
      </c>
      <c r="ER3" s="294" t="s">
        <v>165</v>
      </c>
      <c r="ES3" s="294" t="s">
        <v>166</v>
      </c>
      <c r="ET3" s="294" t="s">
        <v>167</v>
      </c>
      <c r="EU3" s="294" t="s">
        <v>168</v>
      </c>
      <c r="EV3" s="294" t="s">
        <v>169</v>
      </c>
      <c r="EW3" s="294" t="s">
        <v>170</v>
      </c>
      <c r="EX3" s="294" t="s">
        <v>171</v>
      </c>
      <c r="EY3" s="294" t="s">
        <v>172</v>
      </c>
      <c r="EZ3" s="294" t="s">
        <v>173</v>
      </c>
      <c r="FA3" s="294" t="s">
        <v>174</v>
      </c>
      <c r="FB3" s="294" t="s">
        <v>175</v>
      </c>
      <c r="FC3" s="294" t="s">
        <v>176</v>
      </c>
      <c r="FD3" s="294" t="s">
        <v>177</v>
      </c>
      <c r="FE3" s="294" t="s">
        <v>245</v>
      </c>
      <c r="FF3" s="294" t="s">
        <v>246</v>
      </c>
      <c r="FG3" s="294" t="s">
        <v>248</v>
      </c>
    </row>
    <row r="4" spans="1:163" x14ac:dyDescent="0.25">
      <c r="A4" s="268">
        <v>40315</v>
      </c>
      <c r="B4" s="268" t="s">
        <v>19</v>
      </c>
      <c r="C4" s="268" t="s">
        <v>129</v>
      </c>
      <c r="D4" s="268" t="s">
        <v>601</v>
      </c>
      <c r="E4" s="275"/>
      <c r="F4" s="293"/>
      <c r="G4" s="292" t="s">
        <v>618</v>
      </c>
      <c r="H4" s="290">
        <v>0</v>
      </c>
      <c r="I4" s="290">
        <v>0</v>
      </c>
      <c r="J4" s="291">
        <f>3+2/3</f>
        <v>3.6666666666666665</v>
      </c>
      <c r="K4" s="290">
        <v>3</v>
      </c>
      <c r="L4" s="290">
        <v>3</v>
      </c>
      <c r="M4" s="290">
        <v>2</v>
      </c>
      <c r="N4" s="290">
        <v>0</v>
      </c>
      <c r="O4" s="290">
        <v>3</v>
      </c>
      <c r="P4" s="290">
        <v>0</v>
      </c>
      <c r="Q4" s="290">
        <v>0</v>
      </c>
      <c r="R4" s="290">
        <v>14</v>
      </c>
      <c r="S4" s="290"/>
      <c r="T4" s="290"/>
      <c r="U4" s="290">
        <v>0</v>
      </c>
      <c r="V4" s="289">
        <v>0</v>
      </c>
      <c r="W4" s="278">
        <v>1</v>
      </c>
      <c r="X4" s="278">
        <v>0</v>
      </c>
      <c r="Y4" s="278">
        <v>1</v>
      </c>
      <c r="Z4" s="278">
        <v>0</v>
      </c>
      <c r="AA4" s="278">
        <v>0</v>
      </c>
      <c r="AB4" s="279">
        <f>5+1/3</f>
        <v>5.333333333333333</v>
      </c>
      <c r="AC4" s="278">
        <v>13</v>
      </c>
      <c r="AD4" s="278">
        <v>3</v>
      </c>
      <c r="AE4" s="278">
        <v>3</v>
      </c>
      <c r="AF4" s="278">
        <v>0</v>
      </c>
      <c r="AG4" s="278">
        <v>2</v>
      </c>
      <c r="AH4" s="278">
        <v>1</v>
      </c>
      <c r="AI4" s="278">
        <v>0</v>
      </c>
      <c r="AJ4" s="278">
        <v>28</v>
      </c>
      <c r="AK4" s="278"/>
      <c r="AL4" s="278"/>
      <c r="AM4" s="213" t="s">
        <v>599</v>
      </c>
      <c r="AN4" s="288">
        <v>4</v>
      </c>
      <c r="AO4" s="288">
        <v>2</v>
      </c>
      <c r="AP4" s="288">
        <v>2</v>
      </c>
      <c r="AQ4" s="288">
        <v>0</v>
      </c>
      <c r="AR4" s="288">
        <v>0</v>
      </c>
      <c r="AS4" s="288">
        <v>1</v>
      </c>
      <c r="AT4" s="288">
        <v>1</v>
      </c>
      <c r="AU4" s="288">
        <v>0</v>
      </c>
      <c r="AV4" s="287">
        <v>2</v>
      </c>
      <c r="AW4" s="213" t="s">
        <v>602</v>
      </c>
      <c r="AX4" s="288">
        <v>4</v>
      </c>
      <c r="AY4" s="288">
        <v>2</v>
      </c>
      <c r="AZ4" s="288">
        <v>2</v>
      </c>
      <c r="BA4" s="288">
        <v>3</v>
      </c>
      <c r="BB4" s="288">
        <v>1</v>
      </c>
      <c r="BC4" s="288">
        <v>0</v>
      </c>
      <c r="BD4" s="288">
        <v>0</v>
      </c>
      <c r="BE4" s="288">
        <v>0</v>
      </c>
      <c r="BF4" s="287">
        <v>2</v>
      </c>
      <c r="BG4" s="213" t="s">
        <v>597</v>
      </c>
      <c r="BH4" s="288">
        <v>5</v>
      </c>
      <c r="BI4" s="288">
        <v>3</v>
      </c>
      <c r="BJ4" s="288">
        <v>3</v>
      </c>
      <c r="BK4" s="288">
        <v>1</v>
      </c>
      <c r="BL4" s="288">
        <v>0</v>
      </c>
      <c r="BM4" s="288">
        <v>1</v>
      </c>
      <c r="BN4" s="288">
        <v>0</v>
      </c>
      <c r="BO4" s="288">
        <v>0</v>
      </c>
      <c r="BP4" s="287">
        <v>5</v>
      </c>
      <c r="BQ4" s="213" t="s">
        <v>596</v>
      </c>
      <c r="BR4" s="288">
        <v>4</v>
      </c>
      <c r="BS4" s="288">
        <v>0</v>
      </c>
      <c r="BT4" s="288">
        <v>2</v>
      </c>
      <c r="BU4" s="288">
        <v>2</v>
      </c>
      <c r="BV4" s="288">
        <v>1</v>
      </c>
      <c r="BW4" s="288">
        <v>2</v>
      </c>
      <c r="BX4" s="288">
        <v>0</v>
      </c>
      <c r="BY4" s="288">
        <v>0</v>
      </c>
      <c r="BZ4" s="287">
        <v>2</v>
      </c>
      <c r="CA4" s="213" t="s">
        <v>595</v>
      </c>
      <c r="CB4" s="288">
        <v>5</v>
      </c>
      <c r="CC4" s="288">
        <v>1</v>
      </c>
      <c r="CD4" s="288">
        <v>1</v>
      </c>
      <c r="CE4" s="288">
        <v>0</v>
      </c>
      <c r="CF4" s="288">
        <v>0</v>
      </c>
      <c r="CG4" s="288">
        <v>2</v>
      </c>
      <c r="CH4" s="288">
        <v>0</v>
      </c>
      <c r="CI4" s="288">
        <v>0</v>
      </c>
      <c r="CJ4" s="287">
        <v>2</v>
      </c>
      <c r="CK4" s="213" t="s">
        <v>594</v>
      </c>
      <c r="CL4" s="288">
        <v>5</v>
      </c>
      <c r="CM4" s="288">
        <v>1</v>
      </c>
      <c r="CN4" s="288">
        <v>1</v>
      </c>
      <c r="CO4" s="288">
        <v>3</v>
      </c>
      <c r="CP4" s="288">
        <v>0</v>
      </c>
      <c r="CQ4" s="288">
        <v>0</v>
      </c>
      <c r="CR4" s="288">
        <v>0</v>
      </c>
      <c r="CS4" s="288">
        <v>0</v>
      </c>
      <c r="CT4" s="287">
        <v>2</v>
      </c>
      <c r="CU4" s="213" t="s">
        <v>593</v>
      </c>
      <c r="CV4" s="288">
        <v>5</v>
      </c>
      <c r="CW4" s="288">
        <v>0</v>
      </c>
      <c r="CX4" s="288">
        <v>3</v>
      </c>
      <c r="CY4" s="288">
        <v>1</v>
      </c>
      <c r="CZ4" s="288">
        <v>0</v>
      </c>
      <c r="DA4" s="288">
        <v>0</v>
      </c>
      <c r="DB4" s="288">
        <v>0</v>
      </c>
      <c r="DC4" s="288">
        <v>0</v>
      </c>
      <c r="DD4" s="287">
        <v>3</v>
      </c>
      <c r="DE4" s="213" t="s">
        <v>598</v>
      </c>
      <c r="DF4" s="288">
        <v>4</v>
      </c>
      <c r="DG4" s="288">
        <v>1</v>
      </c>
      <c r="DH4" s="288">
        <v>1</v>
      </c>
      <c r="DI4" s="288">
        <v>1</v>
      </c>
      <c r="DJ4" s="288">
        <v>0</v>
      </c>
      <c r="DK4" s="288">
        <v>1</v>
      </c>
      <c r="DL4" s="288">
        <v>1</v>
      </c>
      <c r="DM4" s="288">
        <v>0</v>
      </c>
      <c r="DN4" s="287">
        <v>1</v>
      </c>
      <c r="DO4" s="213" t="s">
        <v>592</v>
      </c>
      <c r="DP4" s="288">
        <v>2</v>
      </c>
      <c r="DQ4" s="288">
        <v>3</v>
      </c>
      <c r="DR4" s="288">
        <v>0</v>
      </c>
      <c r="DS4" s="288">
        <v>0</v>
      </c>
      <c r="DT4" s="288">
        <v>3</v>
      </c>
      <c r="DU4" s="288">
        <v>2</v>
      </c>
      <c r="DV4" s="288">
        <v>0</v>
      </c>
      <c r="DW4" s="288">
        <v>0</v>
      </c>
      <c r="DX4" s="287">
        <v>0</v>
      </c>
      <c r="DY4" s="286">
        <v>0</v>
      </c>
      <c r="DZ4" s="283">
        <v>0</v>
      </c>
      <c r="EA4" s="283">
        <v>0</v>
      </c>
      <c r="EB4" s="218">
        <v>8</v>
      </c>
      <c r="EC4" s="283">
        <v>3</v>
      </c>
      <c r="ED4" s="284">
        <v>1</v>
      </c>
      <c r="EE4" s="285">
        <v>0</v>
      </c>
      <c r="EF4" s="283">
        <v>0</v>
      </c>
      <c r="EG4" s="283">
        <v>5</v>
      </c>
      <c r="EH4" s="283">
        <v>2</v>
      </c>
      <c r="EI4" s="283">
        <v>0</v>
      </c>
      <c r="EJ4" s="283">
        <v>1</v>
      </c>
      <c r="EK4" s="283">
        <v>1</v>
      </c>
      <c r="EL4" s="283">
        <v>4</v>
      </c>
      <c r="EM4" s="283"/>
      <c r="EN4" s="283"/>
      <c r="EO4" s="283"/>
      <c r="EP4" s="283"/>
      <c r="EQ4" s="44">
        <f t="shared" ref="EQ4:EQ22" si="0">SUM(EE4:EP4)</f>
        <v>13</v>
      </c>
      <c r="ER4" s="283">
        <v>1</v>
      </c>
      <c r="ES4" s="283">
        <v>2</v>
      </c>
      <c r="ET4" s="283">
        <v>0</v>
      </c>
      <c r="EU4" s="283">
        <v>0</v>
      </c>
      <c r="EV4" s="283">
        <v>2</v>
      </c>
      <c r="EW4" s="283">
        <v>0</v>
      </c>
      <c r="EX4" s="283">
        <v>0</v>
      </c>
      <c r="EY4" s="283">
        <v>1</v>
      </c>
      <c r="EZ4" s="283">
        <v>0</v>
      </c>
      <c r="FA4" s="283"/>
      <c r="FB4" s="283"/>
      <c r="FC4" s="283"/>
      <c r="FD4" s="43">
        <f t="shared" ref="FD4:FD22" si="1">SUM(ER4:FC4)</f>
        <v>6</v>
      </c>
      <c r="FE4" s="282">
        <f t="shared" ref="FE4:FE22" si="2">((SUM(L4,AD4))-(FD4))</f>
        <v>0</v>
      </c>
      <c r="FF4" s="282">
        <f t="shared" ref="FF4:FF22" si="3">((SUM(AO4,AY4,BI4,BS4,CC4,CM4,CW4,DG4,DQ4))-(EQ4))</f>
        <v>0</v>
      </c>
      <c r="FG4" s="281"/>
    </row>
    <row r="5" spans="1:163" x14ac:dyDescent="0.25">
      <c r="A5" s="268">
        <v>40316</v>
      </c>
      <c r="B5" s="268" t="s">
        <v>133</v>
      </c>
      <c r="C5" s="268" t="s">
        <v>131</v>
      </c>
      <c r="D5" s="268" t="s">
        <v>614</v>
      </c>
      <c r="E5" s="275"/>
      <c r="F5" s="293"/>
      <c r="G5" s="292" t="s">
        <v>600</v>
      </c>
      <c r="H5" s="290">
        <v>0</v>
      </c>
      <c r="I5" s="290">
        <v>1</v>
      </c>
      <c r="J5" s="291">
        <v>4</v>
      </c>
      <c r="K5" s="290">
        <v>2</v>
      </c>
      <c r="L5" s="290">
        <v>1</v>
      </c>
      <c r="M5" s="290">
        <v>0</v>
      </c>
      <c r="N5" s="290">
        <v>0</v>
      </c>
      <c r="O5" s="290">
        <v>0</v>
      </c>
      <c r="P5" s="290">
        <v>0</v>
      </c>
      <c r="Q5" s="290">
        <v>0</v>
      </c>
      <c r="R5" s="290">
        <v>15</v>
      </c>
      <c r="S5" s="290"/>
      <c r="T5" s="290"/>
      <c r="U5" s="290">
        <v>0</v>
      </c>
      <c r="V5" s="289">
        <v>0</v>
      </c>
      <c r="W5" s="278">
        <v>0</v>
      </c>
      <c r="X5" s="278">
        <v>0</v>
      </c>
      <c r="Y5" s="278">
        <v>0</v>
      </c>
      <c r="Z5" s="278">
        <v>0</v>
      </c>
      <c r="AA5" s="278">
        <v>0</v>
      </c>
      <c r="AB5" s="279">
        <v>4</v>
      </c>
      <c r="AC5" s="278">
        <v>3</v>
      </c>
      <c r="AD5" s="278">
        <v>3</v>
      </c>
      <c r="AE5" s="278">
        <v>3</v>
      </c>
      <c r="AF5" s="278">
        <v>3</v>
      </c>
      <c r="AG5" s="278">
        <v>0</v>
      </c>
      <c r="AH5" s="278">
        <v>0</v>
      </c>
      <c r="AI5" s="278">
        <v>0</v>
      </c>
      <c r="AJ5" s="278">
        <v>18</v>
      </c>
      <c r="AK5" s="278"/>
      <c r="AL5" s="278"/>
      <c r="AM5" s="213" t="s">
        <v>592</v>
      </c>
      <c r="AN5" s="288">
        <v>5</v>
      </c>
      <c r="AO5" s="288">
        <v>0</v>
      </c>
      <c r="AP5" s="288">
        <v>1</v>
      </c>
      <c r="AQ5" s="288">
        <v>0</v>
      </c>
      <c r="AR5" s="288">
        <v>0</v>
      </c>
      <c r="AS5" s="288">
        <v>1</v>
      </c>
      <c r="AT5" s="288">
        <v>0</v>
      </c>
      <c r="AU5" s="288">
        <v>0</v>
      </c>
      <c r="AV5" s="287">
        <v>1</v>
      </c>
      <c r="AW5" s="213" t="s">
        <v>602</v>
      </c>
      <c r="AX5" s="288">
        <v>4</v>
      </c>
      <c r="AY5" s="288">
        <v>0</v>
      </c>
      <c r="AZ5" s="288">
        <v>0</v>
      </c>
      <c r="BA5" s="288">
        <v>0</v>
      </c>
      <c r="BB5" s="288">
        <v>0</v>
      </c>
      <c r="BC5" s="288">
        <v>0</v>
      </c>
      <c r="BD5" s="288">
        <v>1</v>
      </c>
      <c r="BE5" s="288">
        <v>0</v>
      </c>
      <c r="BF5" s="287">
        <v>0</v>
      </c>
      <c r="BG5" s="213" t="s">
        <v>597</v>
      </c>
      <c r="BH5" s="288">
        <v>4</v>
      </c>
      <c r="BI5" s="288">
        <v>1</v>
      </c>
      <c r="BJ5" s="288">
        <v>1</v>
      </c>
      <c r="BK5" s="288">
        <v>0</v>
      </c>
      <c r="BL5" s="288">
        <v>0</v>
      </c>
      <c r="BM5" s="288">
        <v>1</v>
      </c>
      <c r="BN5" s="288">
        <v>0</v>
      </c>
      <c r="BO5" s="288">
        <v>0</v>
      </c>
      <c r="BP5" s="287">
        <v>1</v>
      </c>
      <c r="BQ5" s="213" t="s">
        <v>596</v>
      </c>
      <c r="BR5" s="288">
        <v>2</v>
      </c>
      <c r="BS5" s="288">
        <v>2</v>
      </c>
      <c r="BT5" s="288">
        <v>2</v>
      </c>
      <c r="BU5" s="288">
        <v>0</v>
      </c>
      <c r="BV5" s="288">
        <v>2</v>
      </c>
      <c r="BW5" s="288">
        <v>0</v>
      </c>
      <c r="BX5" s="288">
        <v>0</v>
      </c>
      <c r="BY5" s="288">
        <v>0</v>
      </c>
      <c r="BZ5" s="287">
        <v>4</v>
      </c>
      <c r="CA5" s="213" t="s">
        <v>593</v>
      </c>
      <c r="CB5" s="288">
        <v>3</v>
      </c>
      <c r="CC5" s="288">
        <v>0</v>
      </c>
      <c r="CD5" s="288">
        <v>1</v>
      </c>
      <c r="CE5" s="288">
        <v>1</v>
      </c>
      <c r="CF5" s="288">
        <v>0</v>
      </c>
      <c r="CG5" s="288">
        <v>0</v>
      </c>
      <c r="CH5" s="288">
        <v>1</v>
      </c>
      <c r="CI5" s="288">
        <v>0</v>
      </c>
      <c r="CJ5" s="287">
        <v>1</v>
      </c>
      <c r="CK5" s="213" t="s">
        <v>595</v>
      </c>
      <c r="CL5" s="288">
        <v>4</v>
      </c>
      <c r="CM5" s="288">
        <v>0</v>
      </c>
      <c r="CN5" s="288">
        <v>2</v>
      </c>
      <c r="CO5" s="288">
        <v>1</v>
      </c>
      <c r="CP5" s="288">
        <v>0</v>
      </c>
      <c r="CQ5" s="288">
        <v>0</v>
      </c>
      <c r="CR5" s="288">
        <v>0</v>
      </c>
      <c r="CS5" s="288">
        <v>0</v>
      </c>
      <c r="CT5" s="287">
        <v>2</v>
      </c>
      <c r="CU5" s="213" t="s">
        <v>591</v>
      </c>
      <c r="CV5" s="288">
        <v>4</v>
      </c>
      <c r="CW5" s="288">
        <v>0</v>
      </c>
      <c r="CX5" s="288">
        <v>0</v>
      </c>
      <c r="CY5" s="288">
        <v>0</v>
      </c>
      <c r="CZ5" s="288">
        <v>0</v>
      </c>
      <c r="DA5" s="288">
        <v>1</v>
      </c>
      <c r="DB5" s="288">
        <v>0</v>
      </c>
      <c r="DC5" s="288">
        <v>0</v>
      </c>
      <c r="DD5" s="287">
        <v>0</v>
      </c>
      <c r="DE5" s="213" t="s">
        <v>604</v>
      </c>
      <c r="DF5" s="288">
        <v>4</v>
      </c>
      <c r="DG5" s="288">
        <v>0</v>
      </c>
      <c r="DH5" s="288">
        <v>0</v>
      </c>
      <c r="DI5" s="288">
        <v>0</v>
      </c>
      <c r="DJ5" s="288">
        <v>0</v>
      </c>
      <c r="DK5" s="288">
        <v>1</v>
      </c>
      <c r="DL5" s="288">
        <v>0</v>
      </c>
      <c r="DM5" s="288">
        <v>0</v>
      </c>
      <c r="DN5" s="287">
        <v>0</v>
      </c>
      <c r="DO5" s="213" t="s">
        <v>613</v>
      </c>
      <c r="DP5" s="288">
        <v>3</v>
      </c>
      <c r="DQ5" s="288">
        <v>0</v>
      </c>
      <c r="DR5" s="288">
        <v>1</v>
      </c>
      <c r="DS5" s="288">
        <v>0</v>
      </c>
      <c r="DT5" s="288">
        <v>1</v>
      </c>
      <c r="DU5" s="288">
        <v>1</v>
      </c>
      <c r="DV5" s="288">
        <v>0</v>
      </c>
      <c r="DW5" s="288">
        <v>0</v>
      </c>
      <c r="DX5" s="287">
        <v>1</v>
      </c>
      <c r="DY5" s="286">
        <v>0</v>
      </c>
      <c r="DZ5" s="283">
        <v>0</v>
      </c>
      <c r="EA5" s="283">
        <v>0</v>
      </c>
      <c r="EB5" s="218">
        <v>9</v>
      </c>
      <c r="EC5" s="283">
        <v>0</v>
      </c>
      <c r="ED5" s="284">
        <v>0</v>
      </c>
      <c r="EE5" s="285">
        <v>0</v>
      </c>
      <c r="EF5" s="283">
        <v>0</v>
      </c>
      <c r="EG5" s="283">
        <v>0</v>
      </c>
      <c r="EH5" s="283">
        <v>0</v>
      </c>
      <c r="EI5" s="283">
        <v>0</v>
      </c>
      <c r="EJ5" s="283">
        <v>1</v>
      </c>
      <c r="EK5" s="283">
        <v>0</v>
      </c>
      <c r="EL5" s="283">
        <v>2</v>
      </c>
      <c r="EM5" s="283">
        <v>0</v>
      </c>
      <c r="EN5" s="283"/>
      <c r="EO5" s="283"/>
      <c r="EP5" s="283"/>
      <c r="EQ5" s="284">
        <f t="shared" si="0"/>
        <v>3</v>
      </c>
      <c r="ER5" s="283">
        <v>0</v>
      </c>
      <c r="ES5" s="283">
        <v>0</v>
      </c>
      <c r="ET5" s="283">
        <v>1</v>
      </c>
      <c r="EU5" s="283">
        <v>0</v>
      </c>
      <c r="EV5" s="283">
        <v>3</v>
      </c>
      <c r="EW5" s="283">
        <v>0</v>
      </c>
      <c r="EX5" s="283">
        <v>0</v>
      </c>
      <c r="EY5" s="283">
        <v>0</v>
      </c>
      <c r="EZ5" s="283"/>
      <c r="FA5" s="283"/>
      <c r="FB5" s="283"/>
      <c r="FC5" s="283"/>
      <c r="FD5" s="283">
        <f t="shared" si="1"/>
        <v>4</v>
      </c>
      <c r="FE5" s="282">
        <f t="shared" si="2"/>
        <v>0</v>
      </c>
      <c r="FF5" s="282">
        <f t="shared" si="3"/>
        <v>0</v>
      </c>
      <c r="FG5" s="281"/>
    </row>
    <row r="6" spans="1:163" x14ac:dyDescent="0.25">
      <c r="A6" s="268">
        <v>40317</v>
      </c>
      <c r="B6" s="268" t="s">
        <v>19</v>
      </c>
      <c r="C6" s="268" t="s">
        <v>131</v>
      </c>
      <c r="D6" s="268" t="s">
        <v>612</v>
      </c>
      <c r="E6" s="275"/>
      <c r="F6" s="293"/>
      <c r="G6" s="292" t="s">
        <v>609</v>
      </c>
      <c r="H6" s="290">
        <v>0</v>
      </c>
      <c r="I6" s="290">
        <v>1</v>
      </c>
      <c r="J6" s="291">
        <v>3</v>
      </c>
      <c r="K6" s="290">
        <v>6</v>
      </c>
      <c r="L6" s="290">
        <v>5</v>
      </c>
      <c r="M6" s="290">
        <v>5</v>
      </c>
      <c r="N6" s="290">
        <v>2</v>
      </c>
      <c r="O6" s="290">
        <v>3</v>
      </c>
      <c r="P6" s="290">
        <v>1</v>
      </c>
      <c r="Q6" s="290">
        <v>0</v>
      </c>
      <c r="R6" s="290">
        <v>16</v>
      </c>
      <c r="S6" s="290"/>
      <c r="T6" s="290"/>
      <c r="U6" s="290">
        <v>0</v>
      </c>
      <c r="V6" s="289">
        <v>0</v>
      </c>
      <c r="W6" s="278">
        <v>0</v>
      </c>
      <c r="X6" s="278">
        <v>0</v>
      </c>
      <c r="Y6" s="278">
        <v>0</v>
      </c>
      <c r="Z6" s="278">
        <v>0</v>
      </c>
      <c r="AA6" s="278">
        <v>0</v>
      </c>
      <c r="AB6" s="279">
        <v>6</v>
      </c>
      <c r="AC6" s="278">
        <v>7</v>
      </c>
      <c r="AD6" s="278">
        <v>3</v>
      </c>
      <c r="AE6" s="278">
        <v>1</v>
      </c>
      <c r="AF6" s="278">
        <v>3</v>
      </c>
      <c r="AG6" s="278">
        <v>7</v>
      </c>
      <c r="AH6" s="278">
        <v>0</v>
      </c>
      <c r="AI6" s="278">
        <v>1</v>
      </c>
      <c r="AJ6" s="278">
        <v>28</v>
      </c>
      <c r="AK6" s="278"/>
      <c r="AL6" s="278"/>
      <c r="AM6" s="213" t="s">
        <v>599</v>
      </c>
      <c r="AN6" s="288">
        <v>3</v>
      </c>
      <c r="AO6" s="288">
        <v>1</v>
      </c>
      <c r="AP6" s="288">
        <v>0</v>
      </c>
      <c r="AQ6" s="288">
        <v>0</v>
      </c>
      <c r="AR6" s="288">
        <v>2</v>
      </c>
      <c r="AS6" s="288">
        <v>3</v>
      </c>
      <c r="AT6" s="288">
        <v>0</v>
      </c>
      <c r="AU6" s="288">
        <v>0</v>
      </c>
      <c r="AV6" s="287">
        <v>0</v>
      </c>
      <c r="AW6" s="213" t="s">
        <v>613</v>
      </c>
      <c r="AX6" s="288">
        <v>5</v>
      </c>
      <c r="AY6" s="288">
        <v>1</v>
      </c>
      <c r="AZ6" s="288">
        <v>0</v>
      </c>
      <c r="BA6" s="288">
        <v>0</v>
      </c>
      <c r="BB6" s="288">
        <v>0</v>
      </c>
      <c r="BC6" s="288">
        <v>0</v>
      </c>
      <c r="BD6" s="288">
        <v>0</v>
      </c>
      <c r="BE6" s="288">
        <v>0</v>
      </c>
      <c r="BF6" s="287">
        <v>0</v>
      </c>
      <c r="BG6" s="213" t="s">
        <v>597</v>
      </c>
      <c r="BH6" s="288">
        <v>5</v>
      </c>
      <c r="BI6" s="288">
        <v>1</v>
      </c>
      <c r="BJ6" s="288">
        <v>1</v>
      </c>
      <c r="BK6" s="288">
        <v>1</v>
      </c>
      <c r="BL6" s="288">
        <v>0</v>
      </c>
      <c r="BM6" s="288">
        <v>1</v>
      </c>
      <c r="BN6" s="288">
        <v>0</v>
      </c>
      <c r="BO6" s="288">
        <v>0</v>
      </c>
      <c r="BP6" s="287">
        <v>1</v>
      </c>
      <c r="BQ6" s="213" t="s">
        <v>593</v>
      </c>
      <c r="BR6" s="288">
        <v>5</v>
      </c>
      <c r="BS6" s="288">
        <v>2</v>
      </c>
      <c r="BT6" s="288">
        <v>3</v>
      </c>
      <c r="BU6" s="288">
        <v>2</v>
      </c>
      <c r="BV6" s="288">
        <v>0</v>
      </c>
      <c r="BW6" s="288">
        <v>0</v>
      </c>
      <c r="BX6" s="288">
        <v>0</v>
      </c>
      <c r="BY6" s="288">
        <v>0</v>
      </c>
      <c r="BZ6" s="287">
        <v>7</v>
      </c>
      <c r="CA6" s="213" t="s">
        <v>595</v>
      </c>
      <c r="CB6" s="288">
        <v>5</v>
      </c>
      <c r="CC6" s="288">
        <v>1</v>
      </c>
      <c r="CD6" s="288">
        <v>1</v>
      </c>
      <c r="CE6" s="288">
        <v>0</v>
      </c>
      <c r="CF6" s="288">
        <v>0</v>
      </c>
      <c r="CG6" s="288">
        <v>0</v>
      </c>
      <c r="CH6" s="288">
        <v>0</v>
      </c>
      <c r="CI6" s="288">
        <v>0</v>
      </c>
      <c r="CJ6" s="287">
        <v>1</v>
      </c>
      <c r="CK6" s="213" t="s">
        <v>594</v>
      </c>
      <c r="CL6" s="288">
        <v>5</v>
      </c>
      <c r="CM6" s="288">
        <v>0</v>
      </c>
      <c r="CN6" s="288">
        <v>3</v>
      </c>
      <c r="CO6" s="288">
        <v>0</v>
      </c>
      <c r="CP6" s="288">
        <v>0</v>
      </c>
      <c r="CQ6" s="288">
        <v>0</v>
      </c>
      <c r="CR6" s="288">
        <v>0</v>
      </c>
      <c r="CS6" s="288">
        <v>0</v>
      </c>
      <c r="CT6" s="287">
        <v>3</v>
      </c>
      <c r="CU6" s="213" t="s">
        <v>598</v>
      </c>
      <c r="CV6" s="288">
        <v>4</v>
      </c>
      <c r="CW6" s="288">
        <v>0</v>
      </c>
      <c r="CX6" s="288">
        <v>1</v>
      </c>
      <c r="CY6" s="288">
        <v>0</v>
      </c>
      <c r="CZ6" s="288">
        <v>1</v>
      </c>
      <c r="DA6" s="288">
        <v>0</v>
      </c>
      <c r="DB6" s="288">
        <v>0</v>
      </c>
      <c r="DC6" s="288">
        <v>0</v>
      </c>
      <c r="DD6" s="287">
        <v>2</v>
      </c>
      <c r="DE6" s="213" t="s">
        <v>591</v>
      </c>
      <c r="DF6" s="288">
        <v>4</v>
      </c>
      <c r="DG6" s="288">
        <v>0</v>
      </c>
      <c r="DH6" s="288">
        <v>0</v>
      </c>
      <c r="DI6" s="288">
        <v>0</v>
      </c>
      <c r="DJ6" s="288">
        <v>0</v>
      </c>
      <c r="DK6" s="288">
        <v>2</v>
      </c>
      <c r="DL6" s="288">
        <v>1</v>
      </c>
      <c r="DM6" s="288">
        <v>0</v>
      </c>
      <c r="DN6" s="287">
        <v>0</v>
      </c>
      <c r="DO6" s="213" t="s">
        <v>602</v>
      </c>
      <c r="DP6" s="288">
        <v>4</v>
      </c>
      <c r="DQ6" s="288">
        <v>0</v>
      </c>
      <c r="DR6" s="288">
        <v>1</v>
      </c>
      <c r="DS6" s="288">
        <v>0</v>
      </c>
      <c r="DT6" s="288">
        <v>0</v>
      </c>
      <c r="DU6" s="288">
        <v>1</v>
      </c>
      <c r="DV6" s="288">
        <v>0</v>
      </c>
      <c r="DW6" s="288">
        <v>0</v>
      </c>
      <c r="DX6" s="287">
        <v>2</v>
      </c>
      <c r="DY6" s="286">
        <v>6</v>
      </c>
      <c r="DZ6" s="283">
        <v>1</v>
      </c>
      <c r="EA6" s="283">
        <v>0</v>
      </c>
      <c r="EB6" s="218">
        <v>3</v>
      </c>
      <c r="EC6" s="283">
        <v>0</v>
      </c>
      <c r="ED6" s="284">
        <v>0</v>
      </c>
      <c r="EE6" s="285">
        <v>1</v>
      </c>
      <c r="EF6" s="283">
        <v>0</v>
      </c>
      <c r="EG6" s="283">
        <v>1</v>
      </c>
      <c r="EH6" s="283">
        <v>0</v>
      </c>
      <c r="EI6" s="283">
        <v>1</v>
      </c>
      <c r="EJ6" s="283">
        <v>0</v>
      </c>
      <c r="EK6" s="283">
        <v>3</v>
      </c>
      <c r="EL6" s="283">
        <v>0</v>
      </c>
      <c r="EM6" s="283">
        <v>0</v>
      </c>
      <c r="EN6" s="283"/>
      <c r="EO6" s="283"/>
      <c r="EP6" s="283"/>
      <c r="EQ6" s="284">
        <f t="shared" si="0"/>
        <v>6</v>
      </c>
      <c r="ER6" s="283">
        <v>0</v>
      </c>
      <c r="ES6" s="283">
        <v>2</v>
      </c>
      <c r="ET6" s="283">
        <v>3</v>
      </c>
      <c r="EU6" s="283">
        <v>2</v>
      </c>
      <c r="EV6" s="283">
        <v>0</v>
      </c>
      <c r="EW6" s="283">
        <v>0</v>
      </c>
      <c r="EX6" s="283">
        <v>0</v>
      </c>
      <c r="EY6" s="283">
        <v>0</v>
      </c>
      <c r="EZ6" s="283">
        <v>1</v>
      </c>
      <c r="FA6" s="283"/>
      <c r="FB6" s="283"/>
      <c r="FC6" s="283"/>
      <c r="FD6" s="283">
        <f t="shared" si="1"/>
        <v>8</v>
      </c>
      <c r="FE6" s="282">
        <f t="shared" si="2"/>
        <v>0</v>
      </c>
      <c r="FF6" s="282">
        <f t="shared" si="3"/>
        <v>0</v>
      </c>
      <c r="FG6" s="281"/>
    </row>
    <row r="7" spans="1:163" x14ac:dyDescent="0.25">
      <c r="A7" s="268">
        <v>40318</v>
      </c>
      <c r="B7" s="268" t="s">
        <v>133</v>
      </c>
      <c r="C7" s="268" t="s">
        <v>129</v>
      </c>
      <c r="D7" s="268" t="s">
        <v>610</v>
      </c>
      <c r="E7" s="275"/>
      <c r="F7" s="293"/>
      <c r="G7" s="292" t="s">
        <v>617</v>
      </c>
      <c r="H7" s="290">
        <v>0</v>
      </c>
      <c r="I7" s="290">
        <v>0</v>
      </c>
      <c r="J7" s="291">
        <f>0+1/3</f>
        <v>0.33333333333333331</v>
      </c>
      <c r="K7" s="290">
        <v>2</v>
      </c>
      <c r="L7" s="290">
        <v>5</v>
      </c>
      <c r="M7" s="290">
        <v>2</v>
      </c>
      <c r="N7" s="290">
        <v>1</v>
      </c>
      <c r="O7" s="290">
        <v>0</v>
      </c>
      <c r="P7" s="290">
        <v>0</v>
      </c>
      <c r="Q7" s="290">
        <v>1</v>
      </c>
      <c r="R7" s="290">
        <v>6</v>
      </c>
      <c r="S7" s="290"/>
      <c r="T7" s="290"/>
      <c r="U7" s="290">
        <v>2</v>
      </c>
      <c r="V7" s="289">
        <v>2</v>
      </c>
      <c r="W7" s="278">
        <v>1</v>
      </c>
      <c r="X7" s="278">
        <v>0</v>
      </c>
      <c r="Y7" s="278">
        <v>1</v>
      </c>
      <c r="Z7" s="278">
        <v>0</v>
      </c>
      <c r="AA7" s="278">
        <v>0</v>
      </c>
      <c r="AB7" s="279">
        <f>8+2/3</f>
        <v>8.6666666666666661</v>
      </c>
      <c r="AC7" s="278">
        <v>10</v>
      </c>
      <c r="AD7" s="278">
        <v>4</v>
      </c>
      <c r="AE7" s="278">
        <v>3</v>
      </c>
      <c r="AF7" s="278">
        <v>4</v>
      </c>
      <c r="AG7" s="278">
        <v>7</v>
      </c>
      <c r="AH7" s="278">
        <v>0</v>
      </c>
      <c r="AI7" s="278">
        <v>1</v>
      </c>
      <c r="AJ7" s="278">
        <v>42</v>
      </c>
      <c r="AK7" s="278"/>
      <c r="AL7" s="278"/>
      <c r="AM7" s="213" t="s">
        <v>613</v>
      </c>
      <c r="AN7" s="288">
        <v>4</v>
      </c>
      <c r="AO7" s="288">
        <v>1</v>
      </c>
      <c r="AP7" s="288">
        <v>1</v>
      </c>
      <c r="AQ7" s="288">
        <v>1</v>
      </c>
      <c r="AR7" s="288">
        <v>2</v>
      </c>
      <c r="AS7" s="288">
        <v>0</v>
      </c>
      <c r="AT7" s="288">
        <v>0</v>
      </c>
      <c r="AU7" s="288">
        <v>0</v>
      </c>
      <c r="AV7" s="287">
        <v>1</v>
      </c>
      <c r="AW7" s="213" t="s">
        <v>602</v>
      </c>
      <c r="AX7" s="288">
        <v>4</v>
      </c>
      <c r="AY7" s="288">
        <v>2</v>
      </c>
      <c r="AZ7" s="288">
        <v>2</v>
      </c>
      <c r="BA7" s="288">
        <v>0</v>
      </c>
      <c r="BB7" s="288">
        <v>2</v>
      </c>
      <c r="BC7" s="288">
        <v>1</v>
      </c>
      <c r="BD7" s="288">
        <v>0</v>
      </c>
      <c r="BE7" s="288">
        <v>0</v>
      </c>
      <c r="BF7" s="287">
        <v>2</v>
      </c>
      <c r="BG7" s="213" t="s">
        <v>597</v>
      </c>
      <c r="BH7" s="288">
        <v>4</v>
      </c>
      <c r="BI7" s="288">
        <v>2</v>
      </c>
      <c r="BJ7" s="288">
        <v>2</v>
      </c>
      <c r="BK7" s="288">
        <v>1</v>
      </c>
      <c r="BL7" s="288">
        <v>2</v>
      </c>
      <c r="BM7" s="288">
        <v>0</v>
      </c>
      <c r="BN7" s="288">
        <v>0</v>
      </c>
      <c r="BO7" s="288">
        <v>0</v>
      </c>
      <c r="BP7" s="287">
        <v>3</v>
      </c>
      <c r="BQ7" s="213" t="s">
        <v>593</v>
      </c>
      <c r="BR7" s="288">
        <v>4</v>
      </c>
      <c r="BS7" s="288">
        <v>2</v>
      </c>
      <c r="BT7" s="288">
        <v>1</v>
      </c>
      <c r="BU7" s="288">
        <v>2</v>
      </c>
      <c r="BV7" s="288">
        <v>2</v>
      </c>
      <c r="BW7" s="288">
        <v>1</v>
      </c>
      <c r="BX7" s="288">
        <v>0</v>
      </c>
      <c r="BY7" s="288">
        <v>0</v>
      </c>
      <c r="BZ7" s="287">
        <v>2</v>
      </c>
      <c r="CA7" s="213" t="s">
        <v>595</v>
      </c>
      <c r="CB7" s="288">
        <v>4</v>
      </c>
      <c r="CC7" s="288">
        <v>2</v>
      </c>
      <c r="CD7" s="288">
        <v>0</v>
      </c>
      <c r="CE7" s="288">
        <v>0</v>
      </c>
      <c r="CF7" s="288">
        <v>1</v>
      </c>
      <c r="CG7" s="288">
        <v>1</v>
      </c>
      <c r="CH7" s="288">
        <v>1</v>
      </c>
      <c r="CI7" s="288">
        <v>0</v>
      </c>
      <c r="CJ7" s="287">
        <v>0</v>
      </c>
      <c r="CK7" s="213" t="s">
        <v>594</v>
      </c>
      <c r="CL7" s="288">
        <v>4</v>
      </c>
      <c r="CM7" s="288">
        <v>1</v>
      </c>
      <c r="CN7" s="288">
        <v>1</v>
      </c>
      <c r="CO7" s="288">
        <v>1</v>
      </c>
      <c r="CP7" s="288">
        <v>2</v>
      </c>
      <c r="CQ7" s="288">
        <v>0</v>
      </c>
      <c r="CR7" s="288">
        <v>0</v>
      </c>
      <c r="CS7" s="288">
        <v>0</v>
      </c>
      <c r="CT7" s="287">
        <v>1</v>
      </c>
      <c r="CU7" s="213" t="s">
        <v>598</v>
      </c>
      <c r="CV7" s="288">
        <v>4</v>
      </c>
      <c r="CW7" s="288">
        <v>1</v>
      </c>
      <c r="CX7" s="288">
        <v>2</v>
      </c>
      <c r="CY7" s="288">
        <v>4</v>
      </c>
      <c r="CZ7" s="288">
        <v>2</v>
      </c>
      <c r="DA7" s="288">
        <v>1</v>
      </c>
      <c r="DB7" s="288">
        <v>0</v>
      </c>
      <c r="DC7" s="288">
        <v>0</v>
      </c>
      <c r="DD7" s="287">
        <v>3</v>
      </c>
      <c r="DE7" s="213" t="s">
        <v>592</v>
      </c>
      <c r="DF7" s="288">
        <v>5</v>
      </c>
      <c r="DG7" s="288">
        <v>2</v>
      </c>
      <c r="DH7" s="288">
        <v>2</v>
      </c>
      <c r="DI7" s="288">
        <v>2</v>
      </c>
      <c r="DJ7" s="288">
        <v>1</v>
      </c>
      <c r="DK7" s="288">
        <v>1</v>
      </c>
      <c r="DL7" s="288">
        <v>0</v>
      </c>
      <c r="DM7" s="288">
        <v>0</v>
      </c>
      <c r="DN7" s="287">
        <v>3</v>
      </c>
      <c r="DO7" s="213" t="s">
        <v>591</v>
      </c>
      <c r="DP7" s="288">
        <v>6</v>
      </c>
      <c r="DQ7" s="288">
        <v>1</v>
      </c>
      <c r="DR7" s="288">
        <v>2</v>
      </c>
      <c r="DS7" s="288">
        <v>1</v>
      </c>
      <c r="DT7" s="288">
        <v>0</v>
      </c>
      <c r="DU7" s="288">
        <v>0</v>
      </c>
      <c r="DV7" s="288">
        <v>0</v>
      </c>
      <c r="DW7" s="288">
        <v>0</v>
      </c>
      <c r="DX7" s="287">
        <v>2</v>
      </c>
      <c r="DY7" s="286">
        <f>1+1/3</f>
        <v>1.3333333333333333</v>
      </c>
      <c r="DZ7" s="283">
        <v>0</v>
      </c>
      <c r="EA7" s="283">
        <v>1</v>
      </c>
      <c r="EB7" s="218">
        <f>7+2/3</f>
        <v>7.666666666666667</v>
      </c>
      <c r="EC7" s="283">
        <v>2</v>
      </c>
      <c r="ED7" s="284">
        <v>0</v>
      </c>
      <c r="EE7" s="285">
        <v>2</v>
      </c>
      <c r="EF7" s="283">
        <v>1</v>
      </c>
      <c r="EG7" s="283">
        <v>0</v>
      </c>
      <c r="EH7" s="283">
        <v>0</v>
      </c>
      <c r="EI7" s="283">
        <v>3</v>
      </c>
      <c r="EJ7" s="283">
        <v>5</v>
      </c>
      <c r="EK7" s="283">
        <v>0</v>
      </c>
      <c r="EL7" s="283">
        <v>2</v>
      </c>
      <c r="EM7" s="283">
        <v>1</v>
      </c>
      <c r="EN7" s="283"/>
      <c r="EO7" s="283"/>
      <c r="EP7" s="283"/>
      <c r="EQ7" s="284">
        <f t="shared" si="0"/>
        <v>14</v>
      </c>
      <c r="ER7" s="283">
        <v>7</v>
      </c>
      <c r="ES7" s="283">
        <v>0</v>
      </c>
      <c r="ET7" s="283">
        <v>1</v>
      </c>
      <c r="EU7" s="283">
        <v>0</v>
      </c>
      <c r="EV7" s="283">
        <v>0</v>
      </c>
      <c r="EW7" s="283">
        <v>0</v>
      </c>
      <c r="EX7" s="283">
        <v>1</v>
      </c>
      <c r="EY7" s="283">
        <v>0</v>
      </c>
      <c r="EZ7" s="283">
        <v>0</v>
      </c>
      <c r="FA7" s="283"/>
      <c r="FB7" s="283"/>
      <c r="FC7" s="283"/>
      <c r="FD7" s="283">
        <f t="shared" si="1"/>
        <v>9</v>
      </c>
      <c r="FE7" s="282">
        <f t="shared" si="2"/>
        <v>0</v>
      </c>
      <c r="FF7" s="282">
        <f t="shared" si="3"/>
        <v>0</v>
      </c>
      <c r="FG7" s="38" t="s">
        <v>616</v>
      </c>
    </row>
    <row r="8" spans="1:163" x14ac:dyDescent="0.25">
      <c r="A8" s="268">
        <v>40322</v>
      </c>
      <c r="B8" s="268" t="s">
        <v>133</v>
      </c>
      <c r="C8" s="268" t="s">
        <v>129</v>
      </c>
      <c r="D8" s="268" t="s">
        <v>601</v>
      </c>
      <c r="E8" s="275"/>
      <c r="F8" s="293"/>
      <c r="G8" s="292" t="s">
        <v>615</v>
      </c>
      <c r="H8" s="290">
        <v>0</v>
      </c>
      <c r="I8" s="290">
        <v>0</v>
      </c>
      <c r="J8" s="291">
        <v>2</v>
      </c>
      <c r="K8" s="290">
        <v>2</v>
      </c>
      <c r="L8" s="290">
        <v>2</v>
      </c>
      <c r="M8" s="290">
        <v>0</v>
      </c>
      <c r="N8" s="290">
        <v>3</v>
      </c>
      <c r="O8" s="290">
        <v>1</v>
      </c>
      <c r="P8" s="290">
        <v>0</v>
      </c>
      <c r="Q8" s="290">
        <v>0</v>
      </c>
      <c r="R8" s="290">
        <v>9</v>
      </c>
      <c r="S8" s="290"/>
      <c r="T8" s="290"/>
      <c r="U8" s="290">
        <v>0</v>
      </c>
      <c r="V8" s="289">
        <v>0</v>
      </c>
      <c r="W8" s="278">
        <v>1</v>
      </c>
      <c r="X8" s="278">
        <v>0</v>
      </c>
      <c r="Y8" s="278">
        <v>1</v>
      </c>
      <c r="Z8" s="278">
        <v>1</v>
      </c>
      <c r="AA8" s="278">
        <v>0</v>
      </c>
      <c r="AB8" s="279">
        <v>7</v>
      </c>
      <c r="AC8" s="278">
        <v>1</v>
      </c>
      <c r="AD8" s="278">
        <v>0</v>
      </c>
      <c r="AE8" s="278">
        <v>0</v>
      </c>
      <c r="AF8" s="278">
        <v>1</v>
      </c>
      <c r="AG8" s="278">
        <v>9</v>
      </c>
      <c r="AH8" s="278">
        <v>0</v>
      </c>
      <c r="AI8" s="278">
        <v>0</v>
      </c>
      <c r="AJ8" s="278">
        <v>23</v>
      </c>
      <c r="AK8" s="278"/>
      <c r="AL8" s="278"/>
      <c r="AM8" s="213" t="s">
        <v>599</v>
      </c>
      <c r="AN8" s="288">
        <v>4</v>
      </c>
      <c r="AO8" s="288">
        <v>0</v>
      </c>
      <c r="AP8" s="288">
        <v>0</v>
      </c>
      <c r="AQ8" s="288">
        <v>0</v>
      </c>
      <c r="AR8" s="288">
        <v>0</v>
      </c>
      <c r="AS8" s="288">
        <v>2</v>
      </c>
      <c r="AT8" s="288">
        <v>0</v>
      </c>
      <c r="AU8" s="288">
        <v>0</v>
      </c>
      <c r="AV8" s="287">
        <v>0</v>
      </c>
      <c r="AW8" s="213" t="s">
        <v>613</v>
      </c>
      <c r="AX8" s="288">
        <v>2</v>
      </c>
      <c r="AY8" s="288">
        <v>1</v>
      </c>
      <c r="AZ8" s="288">
        <v>1</v>
      </c>
      <c r="BA8" s="288">
        <v>0</v>
      </c>
      <c r="BB8" s="288">
        <v>2</v>
      </c>
      <c r="BC8" s="288">
        <v>1</v>
      </c>
      <c r="BD8" s="288">
        <v>0</v>
      </c>
      <c r="BE8" s="288">
        <v>0</v>
      </c>
      <c r="BF8" s="287">
        <v>1</v>
      </c>
      <c r="BG8" s="213" t="s">
        <v>597</v>
      </c>
      <c r="BH8" s="288">
        <v>4</v>
      </c>
      <c r="BI8" s="288">
        <v>1</v>
      </c>
      <c r="BJ8" s="288">
        <v>0</v>
      </c>
      <c r="BK8" s="288">
        <v>0</v>
      </c>
      <c r="BL8" s="288">
        <v>0</v>
      </c>
      <c r="BM8" s="288">
        <v>1</v>
      </c>
      <c r="BN8" s="288">
        <v>0</v>
      </c>
      <c r="BO8" s="288">
        <v>0</v>
      </c>
      <c r="BP8" s="287">
        <v>0</v>
      </c>
      <c r="BQ8" s="213" t="s">
        <v>593</v>
      </c>
      <c r="BR8" s="288">
        <v>3</v>
      </c>
      <c r="BS8" s="288">
        <v>0</v>
      </c>
      <c r="BT8" s="288">
        <v>1</v>
      </c>
      <c r="BU8" s="288">
        <v>0</v>
      </c>
      <c r="BV8" s="288">
        <v>1</v>
      </c>
      <c r="BW8" s="288">
        <v>1</v>
      </c>
      <c r="BX8" s="288">
        <v>0</v>
      </c>
      <c r="BY8" s="288">
        <v>0</v>
      </c>
      <c r="BZ8" s="287">
        <v>1</v>
      </c>
      <c r="CA8" s="213" t="s">
        <v>598</v>
      </c>
      <c r="CB8" s="288">
        <v>4</v>
      </c>
      <c r="CC8" s="288">
        <v>2</v>
      </c>
      <c r="CD8" s="288">
        <v>1</v>
      </c>
      <c r="CE8" s="288">
        <v>1</v>
      </c>
      <c r="CF8" s="288">
        <v>0</v>
      </c>
      <c r="CG8" s="288">
        <v>0</v>
      </c>
      <c r="CH8" s="288">
        <v>0</v>
      </c>
      <c r="CI8" s="288">
        <v>0</v>
      </c>
      <c r="CJ8" s="287">
        <v>2</v>
      </c>
      <c r="CK8" s="213" t="s">
        <v>604</v>
      </c>
      <c r="CL8" s="288">
        <v>4</v>
      </c>
      <c r="CM8" s="288">
        <v>0</v>
      </c>
      <c r="CN8" s="288">
        <v>2</v>
      </c>
      <c r="CO8" s="288">
        <v>3</v>
      </c>
      <c r="CP8" s="288">
        <v>0</v>
      </c>
      <c r="CQ8" s="288">
        <v>1</v>
      </c>
      <c r="CR8" s="288">
        <v>0</v>
      </c>
      <c r="CS8" s="288">
        <v>0</v>
      </c>
      <c r="CT8" s="287">
        <v>3</v>
      </c>
      <c r="CU8" s="213" t="s">
        <v>595</v>
      </c>
      <c r="CV8" s="288">
        <v>4</v>
      </c>
      <c r="CW8" s="288">
        <v>0</v>
      </c>
      <c r="CX8" s="288">
        <v>0</v>
      </c>
      <c r="CY8" s="288">
        <v>0</v>
      </c>
      <c r="CZ8" s="288">
        <v>0</v>
      </c>
      <c r="DA8" s="288">
        <v>0</v>
      </c>
      <c r="DB8" s="288">
        <v>0</v>
      </c>
      <c r="DC8" s="288">
        <v>0</v>
      </c>
      <c r="DD8" s="287">
        <v>0</v>
      </c>
      <c r="DE8" s="213" t="s">
        <v>591</v>
      </c>
      <c r="DF8" s="288">
        <v>4</v>
      </c>
      <c r="DG8" s="288">
        <v>0</v>
      </c>
      <c r="DH8" s="288">
        <v>1</v>
      </c>
      <c r="DI8" s="288">
        <v>0</v>
      </c>
      <c r="DJ8" s="288">
        <v>0</v>
      </c>
      <c r="DK8" s="288">
        <v>2</v>
      </c>
      <c r="DL8" s="288">
        <v>0</v>
      </c>
      <c r="DM8" s="288">
        <v>0</v>
      </c>
      <c r="DN8" s="287">
        <v>1</v>
      </c>
      <c r="DO8" s="213" t="s">
        <v>602</v>
      </c>
      <c r="DP8" s="288">
        <v>4</v>
      </c>
      <c r="DQ8" s="288">
        <v>0</v>
      </c>
      <c r="DR8" s="288">
        <v>0</v>
      </c>
      <c r="DS8" s="288">
        <v>0</v>
      </c>
      <c r="DT8" s="288">
        <v>0</v>
      </c>
      <c r="DU8" s="288">
        <v>1</v>
      </c>
      <c r="DV8" s="288">
        <v>0</v>
      </c>
      <c r="DW8" s="288">
        <v>0</v>
      </c>
      <c r="DX8" s="287">
        <v>0</v>
      </c>
      <c r="DY8" s="286">
        <v>0</v>
      </c>
      <c r="DZ8" s="283">
        <v>0</v>
      </c>
      <c r="EA8" s="283">
        <v>0</v>
      </c>
      <c r="EB8" s="218">
        <v>9</v>
      </c>
      <c r="EC8" s="283">
        <v>3</v>
      </c>
      <c r="ED8" s="284">
        <v>1</v>
      </c>
      <c r="EE8" s="285">
        <v>0</v>
      </c>
      <c r="EF8" s="283">
        <v>0</v>
      </c>
      <c r="EG8" s="283">
        <v>0</v>
      </c>
      <c r="EH8" s="283">
        <v>2</v>
      </c>
      <c r="EI8" s="283">
        <v>0</v>
      </c>
      <c r="EJ8" s="283">
        <v>2</v>
      </c>
      <c r="EK8" s="283">
        <v>0</v>
      </c>
      <c r="EL8" s="283">
        <v>0</v>
      </c>
      <c r="EM8" s="283">
        <v>0</v>
      </c>
      <c r="EN8" s="283"/>
      <c r="EO8" s="283"/>
      <c r="EP8" s="283"/>
      <c r="EQ8" s="284">
        <f t="shared" si="0"/>
        <v>4</v>
      </c>
      <c r="ER8" s="283">
        <v>2</v>
      </c>
      <c r="ES8" s="283">
        <v>0</v>
      </c>
      <c r="ET8" s="283">
        <v>0</v>
      </c>
      <c r="EU8" s="283">
        <v>0</v>
      </c>
      <c r="EV8" s="283">
        <v>0</v>
      </c>
      <c r="EW8" s="283">
        <v>0</v>
      </c>
      <c r="EX8" s="283">
        <v>0</v>
      </c>
      <c r="EY8" s="283">
        <v>0</v>
      </c>
      <c r="EZ8" s="283">
        <v>0</v>
      </c>
      <c r="FA8" s="283"/>
      <c r="FB8" s="283"/>
      <c r="FC8" s="283"/>
      <c r="FD8" s="283">
        <f t="shared" si="1"/>
        <v>2</v>
      </c>
      <c r="FE8" s="282">
        <f t="shared" si="2"/>
        <v>0</v>
      </c>
      <c r="FF8" s="282">
        <f t="shared" si="3"/>
        <v>0</v>
      </c>
      <c r="FG8" s="281"/>
    </row>
    <row r="9" spans="1:163" x14ac:dyDescent="0.25">
      <c r="A9" s="268">
        <v>40323</v>
      </c>
      <c r="B9" s="268" t="s">
        <v>19</v>
      </c>
      <c r="C9" s="268" t="s">
        <v>131</v>
      </c>
      <c r="D9" s="268" t="s">
        <v>614</v>
      </c>
      <c r="E9" s="275"/>
      <c r="F9" s="293"/>
      <c r="G9" s="292" t="s">
        <v>608</v>
      </c>
      <c r="H9" s="290">
        <v>0</v>
      </c>
      <c r="I9" s="290">
        <v>0</v>
      </c>
      <c r="J9" s="291">
        <v>1</v>
      </c>
      <c r="K9" s="290">
        <v>1</v>
      </c>
      <c r="L9" s="290">
        <v>0</v>
      </c>
      <c r="M9" s="290">
        <v>0</v>
      </c>
      <c r="N9" s="290">
        <v>1</v>
      </c>
      <c r="O9" s="290">
        <v>1</v>
      </c>
      <c r="P9" s="290">
        <v>0</v>
      </c>
      <c r="Q9" s="290">
        <v>1</v>
      </c>
      <c r="R9" s="290">
        <v>6</v>
      </c>
      <c r="S9" s="290"/>
      <c r="T9" s="290"/>
      <c r="U9" s="290">
        <v>0</v>
      </c>
      <c r="V9" s="289">
        <v>0</v>
      </c>
      <c r="W9" s="278">
        <v>0</v>
      </c>
      <c r="X9" s="278">
        <v>1</v>
      </c>
      <c r="Y9" s="278">
        <v>0</v>
      </c>
      <c r="Z9" s="278">
        <v>0</v>
      </c>
      <c r="AA9" s="278">
        <v>0</v>
      </c>
      <c r="AB9" s="279">
        <v>8</v>
      </c>
      <c r="AC9" s="278">
        <v>14</v>
      </c>
      <c r="AD9" s="278">
        <v>8</v>
      </c>
      <c r="AE9" s="278">
        <v>7</v>
      </c>
      <c r="AF9" s="278">
        <v>2</v>
      </c>
      <c r="AG9" s="278">
        <v>7</v>
      </c>
      <c r="AH9" s="278">
        <v>1</v>
      </c>
      <c r="AI9" s="278">
        <v>1</v>
      </c>
      <c r="AJ9" s="278">
        <v>38</v>
      </c>
      <c r="AK9" s="278"/>
      <c r="AL9" s="278"/>
      <c r="AM9" s="213" t="s">
        <v>592</v>
      </c>
      <c r="AN9" s="288">
        <v>5</v>
      </c>
      <c r="AO9" s="288">
        <v>0</v>
      </c>
      <c r="AP9" s="288">
        <v>1</v>
      </c>
      <c r="AQ9" s="288">
        <v>0</v>
      </c>
      <c r="AR9" s="288">
        <v>0</v>
      </c>
      <c r="AS9" s="288">
        <v>0</v>
      </c>
      <c r="AT9" s="288">
        <v>0</v>
      </c>
      <c r="AU9" s="288">
        <v>0</v>
      </c>
      <c r="AV9" s="287">
        <v>1</v>
      </c>
      <c r="AW9" s="213" t="s">
        <v>613</v>
      </c>
      <c r="AX9" s="288">
        <v>3</v>
      </c>
      <c r="AY9" s="288">
        <v>0</v>
      </c>
      <c r="AZ9" s="288">
        <v>0</v>
      </c>
      <c r="BA9" s="288">
        <v>0</v>
      </c>
      <c r="BB9" s="288">
        <v>1</v>
      </c>
      <c r="BC9" s="288">
        <v>0</v>
      </c>
      <c r="BD9" s="288">
        <v>0</v>
      </c>
      <c r="BE9" s="288">
        <v>0</v>
      </c>
      <c r="BF9" s="287">
        <v>0</v>
      </c>
      <c r="BG9" s="213" t="s">
        <v>597</v>
      </c>
      <c r="BH9" s="288">
        <v>4</v>
      </c>
      <c r="BI9" s="288">
        <v>0</v>
      </c>
      <c r="BJ9" s="288">
        <v>0</v>
      </c>
      <c r="BK9" s="288">
        <v>0</v>
      </c>
      <c r="BL9" s="288">
        <v>0</v>
      </c>
      <c r="BM9" s="288">
        <v>2</v>
      </c>
      <c r="BN9" s="288">
        <v>0</v>
      </c>
      <c r="BO9" s="288">
        <v>0</v>
      </c>
      <c r="BP9" s="287">
        <v>0</v>
      </c>
      <c r="BQ9" s="213" t="s">
        <v>593</v>
      </c>
      <c r="BR9" s="288">
        <v>3</v>
      </c>
      <c r="BS9" s="288">
        <v>1</v>
      </c>
      <c r="BT9" s="288">
        <v>0</v>
      </c>
      <c r="BU9" s="288">
        <v>0</v>
      </c>
      <c r="BV9" s="288">
        <v>1</v>
      </c>
      <c r="BW9" s="288">
        <v>0</v>
      </c>
      <c r="BX9" s="288">
        <v>0</v>
      </c>
      <c r="BY9" s="288">
        <v>0</v>
      </c>
      <c r="BZ9" s="287">
        <v>0</v>
      </c>
      <c r="CA9" s="213" t="s">
        <v>596</v>
      </c>
      <c r="CB9" s="288">
        <v>4</v>
      </c>
      <c r="CC9" s="288">
        <v>0</v>
      </c>
      <c r="CD9" s="288">
        <v>2</v>
      </c>
      <c r="CE9" s="288">
        <v>0</v>
      </c>
      <c r="CF9" s="288">
        <v>0</v>
      </c>
      <c r="CG9" s="288">
        <v>0</v>
      </c>
      <c r="CH9" s="288">
        <v>0</v>
      </c>
      <c r="CI9" s="288">
        <v>0</v>
      </c>
      <c r="CJ9" s="287">
        <v>3</v>
      </c>
      <c r="CK9" s="213" t="s">
        <v>594</v>
      </c>
      <c r="CL9" s="288">
        <v>3</v>
      </c>
      <c r="CM9" s="288">
        <v>0</v>
      </c>
      <c r="CN9" s="288">
        <v>1</v>
      </c>
      <c r="CO9" s="288">
        <v>0</v>
      </c>
      <c r="CP9" s="288">
        <v>1</v>
      </c>
      <c r="CQ9" s="288">
        <v>0</v>
      </c>
      <c r="CR9" s="288">
        <v>0</v>
      </c>
      <c r="CS9" s="288">
        <v>0</v>
      </c>
      <c r="CT9" s="287">
        <v>1</v>
      </c>
      <c r="CU9" s="213" t="s">
        <v>604</v>
      </c>
      <c r="CV9" s="288">
        <v>4</v>
      </c>
      <c r="CW9" s="288">
        <v>0</v>
      </c>
      <c r="CX9" s="288">
        <v>1</v>
      </c>
      <c r="CY9" s="288">
        <v>0</v>
      </c>
      <c r="CZ9" s="288">
        <v>0</v>
      </c>
      <c r="DA9" s="288">
        <v>1</v>
      </c>
      <c r="DB9" s="288">
        <v>0</v>
      </c>
      <c r="DC9" s="288">
        <v>0</v>
      </c>
      <c r="DD9" s="287">
        <v>1</v>
      </c>
      <c r="DE9" s="213" t="s">
        <v>603</v>
      </c>
      <c r="DF9" s="288">
        <v>3</v>
      </c>
      <c r="DG9" s="288">
        <v>1</v>
      </c>
      <c r="DH9" s="288">
        <v>0</v>
      </c>
      <c r="DI9" s="288">
        <v>0</v>
      </c>
      <c r="DJ9" s="288">
        <v>0</v>
      </c>
      <c r="DK9" s="288">
        <v>1</v>
      </c>
      <c r="DL9" s="288">
        <v>1</v>
      </c>
      <c r="DM9" s="288">
        <v>0</v>
      </c>
      <c r="DN9" s="287">
        <v>0</v>
      </c>
      <c r="DO9" s="213" t="s">
        <v>602</v>
      </c>
      <c r="DP9" s="288">
        <v>4</v>
      </c>
      <c r="DQ9" s="288">
        <v>0</v>
      </c>
      <c r="DR9" s="288">
        <v>1</v>
      </c>
      <c r="DS9" s="288">
        <v>1</v>
      </c>
      <c r="DT9" s="288">
        <v>0</v>
      </c>
      <c r="DU9" s="288">
        <v>0</v>
      </c>
      <c r="DV9" s="288">
        <v>0</v>
      </c>
      <c r="DW9" s="288">
        <v>0</v>
      </c>
      <c r="DX9" s="287">
        <v>1</v>
      </c>
      <c r="DY9" s="286">
        <v>0</v>
      </c>
      <c r="DZ9" s="283">
        <v>0</v>
      </c>
      <c r="EA9" s="283">
        <v>0</v>
      </c>
      <c r="EB9" s="218">
        <v>9</v>
      </c>
      <c r="EC9" s="283">
        <v>2</v>
      </c>
      <c r="ED9" s="284">
        <v>1</v>
      </c>
      <c r="EE9" s="285">
        <v>0</v>
      </c>
      <c r="EF9" s="283">
        <v>0</v>
      </c>
      <c r="EG9" s="283">
        <v>1</v>
      </c>
      <c r="EH9" s="283">
        <v>1</v>
      </c>
      <c r="EI9" s="283">
        <v>0</v>
      </c>
      <c r="EJ9" s="283">
        <v>0</v>
      </c>
      <c r="EK9" s="283">
        <v>0</v>
      </c>
      <c r="EL9" s="283">
        <v>0</v>
      </c>
      <c r="EM9" s="283">
        <v>0</v>
      </c>
      <c r="EN9" s="283"/>
      <c r="EO9" s="283"/>
      <c r="EP9" s="283"/>
      <c r="EQ9" s="284">
        <f t="shared" si="0"/>
        <v>2</v>
      </c>
      <c r="ER9" s="283">
        <v>0</v>
      </c>
      <c r="ES9" s="283">
        <v>0</v>
      </c>
      <c r="ET9" s="283">
        <v>3</v>
      </c>
      <c r="EU9" s="283">
        <v>0</v>
      </c>
      <c r="EV9" s="283">
        <v>1</v>
      </c>
      <c r="EW9" s="283">
        <v>2</v>
      </c>
      <c r="EX9" s="283">
        <v>1</v>
      </c>
      <c r="EY9" s="283">
        <v>0</v>
      </c>
      <c r="EZ9" s="283">
        <v>1</v>
      </c>
      <c r="FA9" s="283"/>
      <c r="FB9" s="283"/>
      <c r="FC9" s="283"/>
      <c r="FD9" s="283">
        <f t="shared" si="1"/>
        <v>8</v>
      </c>
      <c r="FE9" s="282">
        <f t="shared" si="2"/>
        <v>0</v>
      </c>
      <c r="FF9" s="282">
        <f t="shared" si="3"/>
        <v>0</v>
      </c>
      <c r="FG9" s="281"/>
    </row>
    <row r="10" spans="1:163" x14ac:dyDescent="0.25">
      <c r="A10" s="268">
        <v>40324</v>
      </c>
      <c r="B10" s="268" t="s">
        <v>133</v>
      </c>
      <c r="C10" s="268" t="s">
        <v>131</v>
      </c>
      <c r="D10" s="268" t="s">
        <v>612</v>
      </c>
      <c r="E10" s="275"/>
      <c r="F10" s="293"/>
      <c r="G10" s="292" t="s">
        <v>611</v>
      </c>
      <c r="H10" s="290">
        <v>0</v>
      </c>
      <c r="I10" s="290">
        <v>1</v>
      </c>
      <c r="J10" s="291">
        <f>3+2/3</f>
        <v>3.6666666666666665</v>
      </c>
      <c r="K10" s="290">
        <v>4</v>
      </c>
      <c r="L10" s="290">
        <v>3</v>
      </c>
      <c r="M10" s="290">
        <v>3</v>
      </c>
      <c r="N10" s="290">
        <v>2</v>
      </c>
      <c r="O10" s="290">
        <v>3</v>
      </c>
      <c r="P10" s="290">
        <v>1</v>
      </c>
      <c r="Q10" s="290">
        <v>1</v>
      </c>
      <c r="R10" s="290">
        <v>16</v>
      </c>
      <c r="S10" s="290"/>
      <c r="T10" s="290"/>
      <c r="U10" s="290">
        <v>0</v>
      </c>
      <c r="V10" s="289">
        <v>0</v>
      </c>
      <c r="W10" s="278">
        <v>0</v>
      </c>
      <c r="X10" s="278">
        <v>0</v>
      </c>
      <c r="Y10" s="278">
        <v>0</v>
      </c>
      <c r="Z10" s="278">
        <v>0</v>
      </c>
      <c r="AA10" s="278">
        <v>0</v>
      </c>
      <c r="AB10" s="279">
        <f>4+1/3</f>
        <v>4.333333333333333</v>
      </c>
      <c r="AC10" s="278">
        <v>2</v>
      </c>
      <c r="AD10" s="278">
        <v>1</v>
      </c>
      <c r="AE10" s="278">
        <v>1</v>
      </c>
      <c r="AF10" s="278">
        <v>0</v>
      </c>
      <c r="AG10" s="278">
        <v>6</v>
      </c>
      <c r="AH10" s="278">
        <v>1</v>
      </c>
      <c r="AI10" s="278">
        <v>1</v>
      </c>
      <c r="AJ10" s="278">
        <v>17</v>
      </c>
      <c r="AK10" s="278"/>
      <c r="AL10" s="278"/>
      <c r="AM10" s="213" t="s">
        <v>592</v>
      </c>
      <c r="AN10" s="288">
        <v>4</v>
      </c>
      <c r="AO10" s="288">
        <v>0</v>
      </c>
      <c r="AP10" s="288">
        <v>0</v>
      </c>
      <c r="AQ10" s="288">
        <v>0</v>
      </c>
      <c r="AR10" s="288">
        <v>0</v>
      </c>
      <c r="AS10" s="288">
        <v>0</v>
      </c>
      <c r="AT10" s="288">
        <v>0</v>
      </c>
      <c r="AU10" s="288">
        <v>0</v>
      </c>
      <c r="AV10" s="287">
        <v>0</v>
      </c>
      <c r="AW10" s="213" t="s">
        <v>598</v>
      </c>
      <c r="AX10" s="288">
        <v>4</v>
      </c>
      <c r="AY10" s="288">
        <v>0</v>
      </c>
      <c r="AZ10" s="288">
        <v>0</v>
      </c>
      <c r="BA10" s="288">
        <v>0</v>
      </c>
      <c r="BB10" s="288">
        <v>0</v>
      </c>
      <c r="BC10" s="288">
        <v>1</v>
      </c>
      <c r="BD10" s="288">
        <v>0</v>
      </c>
      <c r="BE10" s="288">
        <v>0</v>
      </c>
      <c r="BF10" s="287">
        <v>0</v>
      </c>
      <c r="BG10" s="213" t="s">
        <v>593</v>
      </c>
      <c r="BH10" s="288">
        <v>4</v>
      </c>
      <c r="BI10" s="288">
        <v>0</v>
      </c>
      <c r="BJ10" s="288">
        <v>1</v>
      </c>
      <c r="BK10" s="288">
        <v>0</v>
      </c>
      <c r="BL10" s="288">
        <v>0</v>
      </c>
      <c r="BM10" s="288">
        <v>2</v>
      </c>
      <c r="BN10" s="288">
        <v>0</v>
      </c>
      <c r="BO10" s="288">
        <v>0</v>
      </c>
      <c r="BP10" s="287">
        <v>1</v>
      </c>
      <c r="BQ10" s="213" t="s">
        <v>605</v>
      </c>
      <c r="BR10" s="288">
        <v>3</v>
      </c>
      <c r="BS10" s="288">
        <v>0</v>
      </c>
      <c r="BT10" s="288">
        <v>0</v>
      </c>
      <c r="BU10" s="288">
        <v>0</v>
      </c>
      <c r="BV10" s="288">
        <v>1</v>
      </c>
      <c r="BW10" s="288">
        <v>1</v>
      </c>
      <c r="BX10" s="288">
        <v>0</v>
      </c>
      <c r="BY10" s="288">
        <v>0</v>
      </c>
      <c r="BZ10" s="287">
        <v>0</v>
      </c>
      <c r="CA10" s="213" t="s">
        <v>596</v>
      </c>
      <c r="CB10" s="288">
        <v>3</v>
      </c>
      <c r="CC10" s="288">
        <v>0</v>
      </c>
      <c r="CD10" s="288">
        <v>1</v>
      </c>
      <c r="CE10" s="288">
        <v>0</v>
      </c>
      <c r="CF10" s="288">
        <v>0</v>
      </c>
      <c r="CG10" s="288">
        <v>2</v>
      </c>
      <c r="CH10" s="288">
        <v>1</v>
      </c>
      <c r="CI10" s="288">
        <v>0</v>
      </c>
      <c r="CJ10" s="287">
        <v>1</v>
      </c>
      <c r="CK10" s="213" t="s">
        <v>594</v>
      </c>
      <c r="CL10" s="288">
        <v>4</v>
      </c>
      <c r="CM10" s="288">
        <v>0</v>
      </c>
      <c r="CN10" s="288">
        <v>0</v>
      </c>
      <c r="CO10" s="288">
        <v>0</v>
      </c>
      <c r="CP10" s="288">
        <v>0</v>
      </c>
      <c r="CQ10" s="288">
        <v>1</v>
      </c>
      <c r="CR10" s="288">
        <v>0</v>
      </c>
      <c r="CS10" s="288">
        <v>0</v>
      </c>
      <c r="CT10" s="287">
        <v>0</v>
      </c>
      <c r="CU10" s="213" t="s">
        <v>595</v>
      </c>
      <c r="CV10" s="288">
        <v>3</v>
      </c>
      <c r="CW10" s="288">
        <v>1</v>
      </c>
      <c r="CX10" s="288">
        <v>2</v>
      </c>
      <c r="CY10" s="288">
        <v>1</v>
      </c>
      <c r="CZ10" s="288">
        <v>1</v>
      </c>
      <c r="DA10" s="288">
        <v>0</v>
      </c>
      <c r="DB10" s="288">
        <v>0</v>
      </c>
      <c r="DC10" s="288">
        <v>0</v>
      </c>
      <c r="DD10" s="287">
        <v>5</v>
      </c>
      <c r="DE10" s="213" t="s">
        <v>591</v>
      </c>
      <c r="DF10" s="288">
        <v>3</v>
      </c>
      <c r="DG10" s="288">
        <v>0</v>
      </c>
      <c r="DH10" s="288">
        <v>0</v>
      </c>
      <c r="DI10" s="288">
        <v>0</v>
      </c>
      <c r="DJ10" s="288">
        <v>1</v>
      </c>
      <c r="DK10" s="288">
        <v>1</v>
      </c>
      <c r="DL10" s="288">
        <v>0</v>
      </c>
      <c r="DM10" s="288">
        <v>0</v>
      </c>
      <c r="DN10" s="287">
        <v>0</v>
      </c>
      <c r="DO10" s="213" t="s">
        <v>602</v>
      </c>
      <c r="DP10" s="288">
        <v>3</v>
      </c>
      <c r="DQ10" s="288">
        <v>0</v>
      </c>
      <c r="DR10" s="288">
        <v>0</v>
      </c>
      <c r="DS10" s="288">
        <v>0</v>
      </c>
      <c r="DT10" s="288">
        <v>0</v>
      </c>
      <c r="DU10" s="288">
        <v>1</v>
      </c>
      <c r="DV10" s="288">
        <v>0</v>
      </c>
      <c r="DW10" s="288">
        <v>0</v>
      </c>
      <c r="DX10" s="287">
        <v>0</v>
      </c>
      <c r="DY10" s="286">
        <v>8</v>
      </c>
      <c r="DZ10" s="283">
        <v>3</v>
      </c>
      <c r="EA10" s="283">
        <v>0</v>
      </c>
      <c r="EB10" s="218">
        <v>1</v>
      </c>
      <c r="EC10" s="283">
        <v>0</v>
      </c>
      <c r="ED10" s="284">
        <v>0</v>
      </c>
      <c r="EE10" s="285">
        <v>0</v>
      </c>
      <c r="EF10" s="283">
        <v>0</v>
      </c>
      <c r="EG10" s="283">
        <v>0</v>
      </c>
      <c r="EH10" s="283">
        <v>0</v>
      </c>
      <c r="EI10" s="283">
        <v>0</v>
      </c>
      <c r="EJ10" s="283">
        <v>0</v>
      </c>
      <c r="EK10" s="283">
        <v>1</v>
      </c>
      <c r="EL10" s="283">
        <v>0</v>
      </c>
      <c r="EM10" s="283">
        <v>0</v>
      </c>
      <c r="EN10" s="283"/>
      <c r="EO10" s="283"/>
      <c r="EP10" s="283"/>
      <c r="EQ10" s="284">
        <f t="shared" si="0"/>
        <v>1</v>
      </c>
      <c r="ER10" s="283">
        <v>0</v>
      </c>
      <c r="ES10" s="283">
        <v>0</v>
      </c>
      <c r="ET10" s="283">
        <v>0</v>
      </c>
      <c r="EU10" s="283">
        <v>3</v>
      </c>
      <c r="EV10" s="283">
        <v>0</v>
      </c>
      <c r="EW10" s="283">
        <v>0</v>
      </c>
      <c r="EX10" s="283">
        <v>0</v>
      </c>
      <c r="EY10" s="283">
        <v>1</v>
      </c>
      <c r="EZ10" s="283"/>
      <c r="FA10" s="283"/>
      <c r="FB10" s="283"/>
      <c r="FC10" s="283"/>
      <c r="FD10" s="283">
        <f t="shared" si="1"/>
        <v>4</v>
      </c>
      <c r="FE10" s="282">
        <f t="shared" si="2"/>
        <v>0</v>
      </c>
      <c r="FF10" s="282">
        <f t="shared" si="3"/>
        <v>0</v>
      </c>
      <c r="FG10" s="281"/>
    </row>
    <row r="11" spans="1:163" x14ac:dyDescent="0.25">
      <c r="A11" s="268">
        <v>40325</v>
      </c>
      <c r="B11" s="268" t="s">
        <v>19</v>
      </c>
      <c r="C11" s="268" t="s">
        <v>129</v>
      </c>
      <c r="D11" s="268" t="s">
        <v>610</v>
      </c>
      <c r="E11" s="275"/>
      <c r="F11" s="293"/>
      <c r="G11" s="292" t="s">
        <v>609</v>
      </c>
      <c r="H11" s="290">
        <v>0</v>
      </c>
      <c r="I11" s="290">
        <v>0</v>
      </c>
      <c r="J11" s="291">
        <f>4+2/3</f>
        <v>4.666666666666667</v>
      </c>
      <c r="K11" s="290">
        <v>8</v>
      </c>
      <c r="L11" s="290">
        <v>7</v>
      </c>
      <c r="M11" s="290">
        <v>7</v>
      </c>
      <c r="N11" s="290">
        <v>2</v>
      </c>
      <c r="O11" s="290">
        <v>8</v>
      </c>
      <c r="P11" s="290">
        <v>0</v>
      </c>
      <c r="Q11" s="290">
        <v>0</v>
      </c>
      <c r="R11" s="290">
        <v>24</v>
      </c>
      <c r="S11" s="290"/>
      <c r="T11" s="290"/>
      <c r="U11" s="290">
        <v>3</v>
      </c>
      <c r="V11" s="289">
        <v>1</v>
      </c>
      <c r="W11" s="278">
        <v>1</v>
      </c>
      <c r="X11" s="278">
        <v>0</v>
      </c>
      <c r="Y11" s="278">
        <v>0</v>
      </c>
      <c r="Z11" s="278">
        <v>0</v>
      </c>
      <c r="AA11" s="278">
        <v>0</v>
      </c>
      <c r="AB11" s="279">
        <f>4+1/3</f>
        <v>4.333333333333333</v>
      </c>
      <c r="AC11" s="278">
        <v>1</v>
      </c>
      <c r="AD11" s="278">
        <v>0</v>
      </c>
      <c r="AE11" s="278">
        <v>0</v>
      </c>
      <c r="AF11" s="278">
        <v>2</v>
      </c>
      <c r="AG11" s="278">
        <v>0</v>
      </c>
      <c r="AH11" s="278">
        <v>0</v>
      </c>
      <c r="AI11" s="278">
        <v>0</v>
      </c>
      <c r="AJ11" s="278">
        <v>15</v>
      </c>
      <c r="AK11" s="278"/>
      <c r="AL11" s="278"/>
      <c r="AM11" s="213" t="s">
        <v>592</v>
      </c>
      <c r="AN11" s="288">
        <v>4</v>
      </c>
      <c r="AO11" s="288">
        <v>1</v>
      </c>
      <c r="AP11" s="288">
        <v>0</v>
      </c>
      <c r="AQ11" s="288">
        <v>0</v>
      </c>
      <c r="AR11" s="288">
        <v>1</v>
      </c>
      <c r="AS11" s="288">
        <v>0</v>
      </c>
      <c r="AT11" s="288">
        <v>0</v>
      </c>
      <c r="AU11" s="288">
        <v>0</v>
      </c>
      <c r="AV11" s="287">
        <v>0</v>
      </c>
      <c r="AW11" s="213" t="s">
        <v>598</v>
      </c>
      <c r="AX11" s="288">
        <v>5</v>
      </c>
      <c r="AY11" s="288">
        <v>1</v>
      </c>
      <c r="AZ11" s="288">
        <v>1</v>
      </c>
      <c r="BA11" s="288">
        <v>0</v>
      </c>
      <c r="BB11" s="288">
        <v>0</v>
      </c>
      <c r="BC11" s="288">
        <v>3</v>
      </c>
      <c r="BD11" s="288">
        <v>0</v>
      </c>
      <c r="BE11" s="288">
        <v>0</v>
      </c>
      <c r="BF11" s="287">
        <v>1</v>
      </c>
      <c r="BG11" s="213" t="s">
        <v>597</v>
      </c>
      <c r="BH11" s="288">
        <v>4</v>
      </c>
      <c r="BI11" s="288">
        <v>2</v>
      </c>
      <c r="BJ11" s="288">
        <v>2</v>
      </c>
      <c r="BK11" s="288">
        <v>1</v>
      </c>
      <c r="BL11" s="288">
        <v>0</v>
      </c>
      <c r="BM11" s="288">
        <v>0</v>
      </c>
      <c r="BN11" s="288">
        <v>0</v>
      </c>
      <c r="BO11" s="288">
        <v>1</v>
      </c>
      <c r="BP11" s="287">
        <v>3</v>
      </c>
      <c r="BQ11" s="213" t="s">
        <v>596</v>
      </c>
      <c r="BR11" s="288">
        <v>5</v>
      </c>
      <c r="BS11" s="288">
        <v>1</v>
      </c>
      <c r="BT11" s="288">
        <v>3</v>
      </c>
      <c r="BU11" s="288">
        <v>3</v>
      </c>
      <c r="BV11" s="288">
        <v>0</v>
      </c>
      <c r="BW11" s="288">
        <v>0</v>
      </c>
      <c r="BX11" s="288">
        <v>0</v>
      </c>
      <c r="BY11" s="288">
        <v>0</v>
      </c>
      <c r="BZ11" s="287">
        <v>4</v>
      </c>
      <c r="CA11" s="213" t="s">
        <v>605</v>
      </c>
      <c r="CB11" s="288">
        <v>4</v>
      </c>
      <c r="CC11" s="288">
        <v>0</v>
      </c>
      <c r="CD11" s="288">
        <v>2</v>
      </c>
      <c r="CE11" s="288">
        <v>2</v>
      </c>
      <c r="CF11" s="288">
        <v>1</v>
      </c>
      <c r="CG11" s="288">
        <v>0</v>
      </c>
      <c r="CH11" s="288">
        <v>0</v>
      </c>
      <c r="CI11" s="288">
        <v>0</v>
      </c>
      <c r="CJ11" s="287">
        <v>2</v>
      </c>
      <c r="CK11" s="213" t="s">
        <v>593</v>
      </c>
      <c r="CL11" s="288">
        <v>2</v>
      </c>
      <c r="CM11" s="288">
        <v>0</v>
      </c>
      <c r="CN11" s="288">
        <v>1</v>
      </c>
      <c r="CO11" s="288">
        <v>0</v>
      </c>
      <c r="CP11" s="288">
        <v>1</v>
      </c>
      <c r="CQ11" s="288">
        <v>0</v>
      </c>
      <c r="CR11" s="288">
        <v>0</v>
      </c>
      <c r="CS11" s="288">
        <v>0</v>
      </c>
      <c r="CT11" s="287">
        <v>1</v>
      </c>
      <c r="CU11" s="213" t="s">
        <v>595</v>
      </c>
      <c r="CV11" s="288">
        <v>3</v>
      </c>
      <c r="CW11" s="288">
        <v>1</v>
      </c>
      <c r="CX11" s="288">
        <v>1</v>
      </c>
      <c r="CY11" s="288">
        <v>0</v>
      </c>
      <c r="CZ11" s="288">
        <v>1</v>
      </c>
      <c r="DA11" s="288">
        <v>0</v>
      </c>
      <c r="DB11" s="288">
        <v>0</v>
      </c>
      <c r="DC11" s="288">
        <v>0</v>
      </c>
      <c r="DD11" s="287">
        <v>1</v>
      </c>
      <c r="DE11" s="213" t="s">
        <v>594</v>
      </c>
      <c r="DF11" s="288">
        <v>3</v>
      </c>
      <c r="DG11" s="288">
        <v>2</v>
      </c>
      <c r="DH11" s="288">
        <v>1</v>
      </c>
      <c r="DI11" s="288">
        <v>1</v>
      </c>
      <c r="DJ11" s="288">
        <v>1</v>
      </c>
      <c r="DK11" s="288">
        <v>0</v>
      </c>
      <c r="DL11" s="288">
        <v>0</v>
      </c>
      <c r="DM11" s="288">
        <v>0</v>
      </c>
      <c r="DN11" s="287">
        <v>4</v>
      </c>
      <c r="DO11" s="213" t="s">
        <v>591</v>
      </c>
      <c r="DP11" s="288">
        <v>3</v>
      </c>
      <c r="DQ11" s="288">
        <v>2</v>
      </c>
      <c r="DR11" s="288">
        <v>2</v>
      </c>
      <c r="DS11" s="288">
        <v>3</v>
      </c>
      <c r="DT11" s="288">
        <v>1</v>
      </c>
      <c r="DU11" s="288">
        <v>1</v>
      </c>
      <c r="DV11" s="288">
        <v>0</v>
      </c>
      <c r="DW11" s="288">
        <v>0</v>
      </c>
      <c r="DX11" s="287">
        <v>5</v>
      </c>
      <c r="DY11" s="286">
        <v>2</v>
      </c>
      <c r="DZ11" s="283">
        <v>0</v>
      </c>
      <c r="EA11" s="283">
        <v>0</v>
      </c>
      <c r="EB11" s="218">
        <v>6</v>
      </c>
      <c r="EC11" s="283">
        <v>2</v>
      </c>
      <c r="ED11" s="284">
        <v>1</v>
      </c>
      <c r="EE11" s="285">
        <v>3</v>
      </c>
      <c r="EF11" s="283">
        <v>0</v>
      </c>
      <c r="EG11" s="283">
        <v>0</v>
      </c>
      <c r="EH11" s="283">
        <v>2</v>
      </c>
      <c r="EI11" s="283">
        <v>3</v>
      </c>
      <c r="EJ11" s="283">
        <v>1</v>
      </c>
      <c r="EK11" s="283">
        <v>1</v>
      </c>
      <c r="EL11" s="283">
        <v>0</v>
      </c>
      <c r="EM11" s="283"/>
      <c r="EN11" s="283"/>
      <c r="EO11" s="283"/>
      <c r="EP11" s="283"/>
      <c r="EQ11" s="284">
        <f t="shared" si="0"/>
        <v>10</v>
      </c>
      <c r="ER11" s="283">
        <v>0</v>
      </c>
      <c r="ES11" s="283">
        <v>0</v>
      </c>
      <c r="ET11" s="283">
        <v>5</v>
      </c>
      <c r="EU11" s="283">
        <v>0</v>
      </c>
      <c r="EV11" s="283">
        <v>2</v>
      </c>
      <c r="EW11" s="283">
        <v>0</v>
      </c>
      <c r="EX11" s="283">
        <v>0</v>
      </c>
      <c r="EY11" s="283">
        <v>0</v>
      </c>
      <c r="EZ11" s="283">
        <v>0</v>
      </c>
      <c r="FA11" s="283"/>
      <c r="FB11" s="283"/>
      <c r="FC11" s="283"/>
      <c r="FD11" s="283">
        <f t="shared" si="1"/>
        <v>7</v>
      </c>
      <c r="FE11" s="282">
        <f t="shared" si="2"/>
        <v>0</v>
      </c>
      <c r="FF11" s="282">
        <f t="shared" si="3"/>
        <v>0</v>
      </c>
      <c r="FG11" s="38" t="s">
        <v>627</v>
      </c>
    </row>
    <row r="12" spans="1:163" x14ac:dyDescent="0.25">
      <c r="A12" s="268">
        <v>40328</v>
      </c>
      <c r="B12" s="268" t="s">
        <v>133</v>
      </c>
      <c r="C12" s="268" t="s">
        <v>129</v>
      </c>
      <c r="D12" s="268" t="s">
        <v>607</v>
      </c>
      <c r="E12" s="275"/>
      <c r="F12" s="293"/>
      <c r="G12" s="292" t="s">
        <v>608</v>
      </c>
      <c r="H12" s="290">
        <v>0</v>
      </c>
      <c r="I12" s="290">
        <v>0</v>
      </c>
      <c r="J12" s="291">
        <f>1+1/3</f>
        <v>1.3333333333333333</v>
      </c>
      <c r="K12" s="290">
        <v>1</v>
      </c>
      <c r="L12" s="290">
        <v>2</v>
      </c>
      <c r="M12" s="290">
        <v>2</v>
      </c>
      <c r="N12" s="290">
        <v>4</v>
      </c>
      <c r="O12" s="290">
        <v>1</v>
      </c>
      <c r="P12" s="290">
        <v>0</v>
      </c>
      <c r="Q12" s="290">
        <v>0</v>
      </c>
      <c r="R12" s="290">
        <v>9</v>
      </c>
      <c r="S12" s="290"/>
      <c r="T12" s="290"/>
      <c r="U12" s="290">
        <v>3</v>
      </c>
      <c r="V12" s="289">
        <v>1</v>
      </c>
      <c r="W12" s="278">
        <v>1</v>
      </c>
      <c r="X12" s="278">
        <v>0</v>
      </c>
      <c r="Y12" s="278">
        <v>0</v>
      </c>
      <c r="Z12" s="278">
        <v>0</v>
      </c>
      <c r="AA12" s="278">
        <v>0</v>
      </c>
      <c r="AB12" s="279">
        <f>5+2/3</f>
        <v>5.666666666666667</v>
      </c>
      <c r="AC12" s="278">
        <v>6</v>
      </c>
      <c r="AD12" s="278">
        <v>4</v>
      </c>
      <c r="AE12" s="278">
        <v>4</v>
      </c>
      <c r="AF12" s="278">
        <v>4</v>
      </c>
      <c r="AG12" s="278">
        <v>4</v>
      </c>
      <c r="AH12" s="278">
        <v>0</v>
      </c>
      <c r="AI12" s="278">
        <v>1</v>
      </c>
      <c r="AJ12" s="278">
        <v>24</v>
      </c>
      <c r="AK12" s="278"/>
      <c r="AL12" s="278"/>
      <c r="AM12" s="213" t="s">
        <v>599</v>
      </c>
      <c r="AN12" s="288">
        <v>4</v>
      </c>
      <c r="AO12" s="288">
        <v>1</v>
      </c>
      <c r="AP12" s="288">
        <v>2</v>
      </c>
      <c r="AQ12" s="288">
        <v>0</v>
      </c>
      <c r="AR12" s="288">
        <v>0</v>
      </c>
      <c r="AS12" s="288">
        <v>0</v>
      </c>
      <c r="AT12" s="288">
        <v>0</v>
      </c>
      <c r="AU12" s="288">
        <v>0</v>
      </c>
      <c r="AV12" s="287">
        <v>2</v>
      </c>
      <c r="AW12" s="213" t="s">
        <v>598</v>
      </c>
      <c r="AX12" s="288">
        <v>3</v>
      </c>
      <c r="AY12" s="288">
        <v>1</v>
      </c>
      <c r="AZ12" s="288">
        <v>0</v>
      </c>
      <c r="BA12" s="288">
        <v>0</v>
      </c>
      <c r="BB12" s="288">
        <v>1</v>
      </c>
      <c r="BC12" s="288">
        <v>0</v>
      </c>
      <c r="BD12" s="288">
        <v>0</v>
      </c>
      <c r="BE12" s="288">
        <v>0</v>
      </c>
      <c r="BF12" s="287">
        <v>0</v>
      </c>
      <c r="BG12" s="213" t="s">
        <v>597</v>
      </c>
      <c r="BH12" s="288">
        <v>3</v>
      </c>
      <c r="BI12" s="288">
        <v>1</v>
      </c>
      <c r="BJ12" s="288">
        <v>0</v>
      </c>
      <c r="BK12" s="288">
        <v>1</v>
      </c>
      <c r="BL12" s="288">
        <v>1</v>
      </c>
      <c r="BM12" s="288">
        <v>0</v>
      </c>
      <c r="BN12" s="288">
        <v>0</v>
      </c>
      <c r="BO12" s="288">
        <v>0</v>
      </c>
      <c r="BP12" s="287">
        <v>0</v>
      </c>
      <c r="BQ12" s="213" t="s">
        <v>596</v>
      </c>
      <c r="BR12" s="288">
        <v>4</v>
      </c>
      <c r="BS12" s="288">
        <v>2</v>
      </c>
      <c r="BT12" s="288">
        <v>2</v>
      </c>
      <c r="BU12" s="288">
        <v>1</v>
      </c>
      <c r="BV12" s="288">
        <v>0</v>
      </c>
      <c r="BW12" s="288">
        <v>1</v>
      </c>
      <c r="BX12" s="288">
        <v>0</v>
      </c>
      <c r="BY12" s="288">
        <v>0</v>
      </c>
      <c r="BZ12" s="287">
        <v>3</v>
      </c>
      <c r="CA12" s="213" t="s">
        <v>605</v>
      </c>
      <c r="CB12" s="288">
        <v>4</v>
      </c>
      <c r="CC12" s="288">
        <v>1</v>
      </c>
      <c r="CD12" s="288">
        <v>2</v>
      </c>
      <c r="CE12" s="288">
        <v>2</v>
      </c>
      <c r="CF12" s="288">
        <v>0</v>
      </c>
      <c r="CG12" s="288">
        <v>0</v>
      </c>
      <c r="CH12" s="288">
        <v>0</v>
      </c>
      <c r="CI12" s="288">
        <v>0</v>
      </c>
      <c r="CJ12" s="287">
        <v>3</v>
      </c>
      <c r="CK12" s="213" t="s">
        <v>593</v>
      </c>
      <c r="CL12" s="288">
        <v>4</v>
      </c>
      <c r="CM12" s="288">
        <v>0</v>
      </c>
      <c r="CN12" s="288">
        <v>1</v>
      </c>
      <c r="CO12" s="288">
        <v>1</v>
      </c>
      <c r="CP12" s="288">
        <v>0</v>
      </c>
      <c r="CQ12" s="288">
        <v>0</v>
      </c>
      <c r="CR12" s="288">
        <v>0</v>
      </c>
      <c r="CS12" s="288">
        <v>0</v>
      </c>
      <c r="CT12" s="287">
        <v>2</v>
      </c>
      <c r="CU12" s="213" t="s">
        <v>594</v>
      </c>
      <c r="CV12" s="288">
        <v>4</v>
      </c>
      <c r="CW12" s="288">
        <v>2</v>
      </c>
      <c r="CX12" s="288">
        <v>1</v>
      </c>
      <c r="CY12" s="288">
        <v>0</v>
      </c>
      <c r="CZ12" s="288">
        <v>0</v>
      </c>
      <c r="DA12" s="288">
        <v>0</v>
      </c>
      <c r="DB12" s="288">
        <v>0</v>
      </c>
      <c r="DC12" s="288">
        <v>0</v>
      </c>
      <c r="DD12" s="287">
        <v>1</v>
      </c>
      <c r="DE12" s="213" t="s">
        <v>595</v>
      </c>
      <c r="DF12" s="288">
        <v>2</v>
      </c>
      <c r="DG12" s="288">
        <v>2</v>
      </c>
      <c r="DH12" s="288">
        <v>1</v>
      </c>
      <c r="DI12" s="288">
        <v>3</v>
      </c>
      <c r="DJ12" s="288">
        <v>1</v>
      </c>
      <c r="DK12" s="288">
        <v>0</v>
      </c>
      <c r="DL12" s="288">
        <v>0</v>
      </c>
      <c r="DM12" s="288">
        <v>0</v>
      </c>
      <c r="DN12" s="287">
        <v>4</v>
      </c>
      <c r="DO12" s="213" t="s">
        <v>591</v>
      </c>
      <c r="DP12" s="288">
        <v>2</v>
      </c>
      <c r="DQ12" s="288">
        <v>0</v>
      </c>
      <c r="DR12" s="288">
        <v>1</v>
      </c>
      <c r="DS12" s="288">
        <v>0</v>
      </c>
      <c r="DT12" s="288">
        <v>0</v>
      </c>
      <c r="DU12" s="288">
        <v>0</v>
      </c>
      <c r="DV12" s="288">
        <v>1</v>
      </c>
      <c r="DW12" s="288">
        <v>0</v>
      </c>
      <c r="DX12" s="287">
        <v>1</v>
      </c>
      <c r="DY12" s="286">
        <v>3</v>
      </c>
      <c r="DZ12" s="283">
        <v>0</v>
      </c>
      <c r="EA12" s="283">
        <v>1</v>
      </c>
      <c r="EB12" s="218">
        <v>4</v>
      </c>
      <c r="EC12" s="283">
        <v>3</v>
      </c>
      <c r="ED12" s="284">
        <v>1</v>
      </c>
      <c r="EE12" s="285">
        <v>3</v>
      </c>
      <c r="EF12" s="283">
        <v>1</v>
      </c>
      <c r="EG12" s="283">
        <v>0</v>
      </c>
      <c r="EH12" s="283">
        <v>2</v>
      </c>
      <c r="EI12" s="283">
        <v>2</v>
      </c>
      <c r="EJ12" s="283">
        <v>1</v>
      </c>
      <c r="EK12" s="283">
        <v>1</v>
      </c>
      <c r="EL12" s="283"/>
      <c r="EM12" s="283"/>
      <c r="EN12" s="283"/>
      <c r="EO12" s="283"/>
      <c r="EP12" s="283"/>
      <c r="EQ12" s="284">
        <f t="shared" si="0"/>
        <v>10</v>
      </c>
      <c r="ER12" s="283">
        <v>0</v>
      </c>
      <c r="ES12" s="283">
        <v>2</v>
      </c>
      <c r="ET12" s="283">
        <v>0</v>
      </c>
      <c r="EU12" s="283">
        <v>3</v>
      </c>
      <c r="EV12" s="283">
        <v>0</v>
      </c>
      <c r="EW12" s="283">
        <v>0</v>
      </c>
      <c r="EX12" s="283">
        <v>1</v>
      </c>
      <c r="EY12" s="283"/>
      <c r="EZ12" s="283"/>
      <c r="FA12" s="283"/>
      <c r="FB12" s="283"/>
      <c r="FC12" s="283"/>
      <c r="FD12" s="283">
        <f t="shared" si="1"/>
        <v>6</v>
      </c>
      <c r="FE12" s="282">
        <f t="shared" si="2"/>
        <v>0</v>
      </c>
      <c r="FF12" s="282">
        <f t="shared" si="3"/>
        <v>0</v>
      </c>
      <c r="FG12" s="38" t="s">
        <v>475</v>
      </c>
    </row>
    <row r="13" spans="1:163" x14ac:dyDescent="0.25">
      <c r="A13" s="268">
        <v>40328</v>
      </c>
      <c r="B13" s="268" t="s">
        <v>19</v>
      </c>
      <c r="C13" s="268" t="s">
        <v>131</v>
      </c>
      <c r="D13" s="268" t="s">
        <v>607</v>
      </c>
      <c r="E13" s="275"/>
      <c r="F13" s="293"/>
      <c r="G13" s="292" t="s">
        <v>606</v>
      </c>
      <c r="H13" s="290">
        <v>0</v>
      </c>
      <c r="I13" s="290">
        <v>1</v>
      </c>
      <c r="J13" s="291">
        <v>1</v>
      </c>
      <c r="K13" s="290">
        <v>3</v>
      </c>
      <c r="L13" s="290">
        <v>5</v>
      </c>
      <c r="M13" s="290">
        <v>4</v>
      </c>
      <c r="N13" s="290">
        <v>2</v>
      </c>
      <c r="O13" s="290">
        <v>0</v>
      </c>
      <c r="P13" s="290">
        <v>0</v>
      </c>
      <c r="Q13" s="290">
        <v>1</v>
      </c>
      <c r="R13" s="290">
        <v>9</v>
      </c>
      <c r="S13" s="290"/>
      <c r="T13" s="290"/>
      <c r="U13" s="290">
        <v>2</v>
      </c>
      <c r="V13" s="289">
        <v>1</v>
      </c>
      <c r="W13" s="278">
        <v>0</v>
      </c>
      <c r="X13" s="278">
        <v>0</v>
      </c>
      <c r="Y13" s="278">
        <v>0</v>
      </c>
      <c r="Z13" s="278">
        <v>0</v>
      </c>
      <c r="AA13" s="278">
        <v>0</v>
      </c>
      <c r="AB13" s="279">
        <v>6</v>
      </c>
      <c r="AC13" s="278">
        <v>1</v>
      </c>
      <c r="AD13" s="278">
        <v>0</v>
      </c>
      <c r="AE13" s="278">
        <v>0</v>
      </c>
      <c r="AF13" s="278">
        <v>1</v>
      </c>
      <c r="AG13" s="278">
        <v>2</v>
      </c>
      <c r="AH13" s="278">
        <v>0</v>
      </c>
      <c r="AI13" s="278">
        <v>0</v>
      </c>
      <c r="AJ13" s="278">
        <v>20</v>
      </c>
      <c r="AK13" s="278"/>
      <c r="AL13" s="278"/>
      <c r="AM13" s="213" t="s">
        <v>592</v>
      </c>
      <c r="AN13" s="288">
        <v>2</v>
      </c>
      <c r="AO13" s="288">
        <v>1</v>
      </c>
      <c r="AP13" s="288">
        <v>0</v>
      </c>
      <c r="AQ13" s="288">
        <v>0</v>
      </c>
      <c r="AR13" s="288">
        <v>1</v>
      </c>
      <c r="AS13" s="288">
        <v>2</v>
      </c>
      <c r="AT13" s="288">
        <v>1</v>
      </c>
      <c r="AU13" s="288">
        <v>0</v>
      </c>
      <c r="AV13" s="287">
        <v>0</v>
      </c>
      <c r="AW13" s="213" t="s">
        <v>591</v>
      </c>
      <c r="AX13" s="288">
        <v>4</v>
      </c>
      <c r="AY13" s="288">
        <v>0</v>
      </c>
      <c r="AZ13" s="288">
        <v>0</v>
      </c>
      <c r="BA13" s="288">
        <v>0</v>
      </c>
      <c r="BB13" s="288">
        <v>0</v>
      </c>
      <c r="BC13" s="288">
        <v>1</v>
      </c>
      <c r="BD13" s="288">
        <v>0</v>
      </c>
      <c r="BE13" s="288">
        <v>0</v>
      </c>
      <c r="BF13" s="287">
        <v>0</v>
      </c>
      <c r="BG13" s="213" t="s">
        <v>597</v>
      </c>
      <c r="BH13" s="288">
        <v>2</v>
      </c>
      <c r="BI13" s="288">
        <v>1</v>
      </c>
      <c r="BJ13" s="288">
        <v>2</v>
      </c>
      <c r="BK13" s="288">
        <v>1</v>
      </c>
      <c r="BL13" s="288">
        <v>1</v>
      </c>
      <c r="BM13" s="288">
        <v>0</v>
      </c>
      <c r="BN13" s="288">
        <v>0</v>
      </c>
      <c r="BO13" s="288">
        <v>0</v>
      </c>
      <c r="BP13" s="287">
        <v>2</v>
      </c>
      <c r="BQ13" s="213" t="s">
        <v>596</v>
      </c>
      <c r="BR13" s="288">
        <v>3</v>
      </c>
      <c r="BS13" s="288">
        <v>0</v>
      </c>
      <c r="BT13" s="288">
        <v>1</v>
      </c>
      <c r="BU13" s="288">
        <v>0</v>
      </c>
      <c r="BV13" s="288">
        <v>0</v>
      </c>
      <c r="BW13" s="288">
        <v>1</v>
      </c>
      <c r="BX13" s="288">
        <v>0</v>
      </c>
      <c r="BY13" s="288">
        <v>0</v>
      </c>
      <c r="BZ13" s="287">
        <v>1</v>
      </c>
      <c r="CA13" s="213" t="s">
        <v>605</v>
      </c>
      <c r="CB13" s="288">
        <v>3</v>
      </c>
      <c r="CC13" s="288">
        <v>0</v>
      </c>
      <c r="CD13" s="288">
        <v>1</v>
      </c>
      <c r="CE13" s="288">
        <v>1</v>
      </c>
      <c r="CF13" s="288">
        <v>0</v>
      </c>
      <c r="CG13" s="288">
        <v>0</v>
      </c>
      <c r="CH13" s="288">
        <v>0</v>
      </c>
      <c r="CI13" s="288">
        <v>0</v>
      </c>
      <c r="CJ13" s="287">
        <v>2</v>
      </c>
      <c r="CK13" s="213" t="s">
        <v>593</v>
      </c>
      <c r="CL13" s="288">
        <v>2</v>
      </c>
      <c r="CM13" s="288">
        <v>0</v>
      </c>
      <c r="CN13" s="288">
        <v>0</v>
      </c>
      <c r="CO13" s="288">
        <v>0</v>
      </c>
      <c r="CP13" s="288">
        <v>1</v>
      </c>
      <c r="CQ13" s="288">
        <v>0</v>
      </c>
      <c r="CR13" s="288">
        <v>0</v>
      </c>
      <c r="CS13" s="288">
        <v>0</v>
      </c>
      <c r="CT13" s="287">
        <v>0</v>
      </c>
      <c r="CU13" s="213" t="s">
        <v>604</v>
      </c>
      <c r="CV13" s="288">
        <v>2</v>
      </c>
      <c r="CW13" s="288">
        <v>0</v>
      </c>
      <c r="CX13" s="288">
        <v>1</v>
      </c>
      <c r="CY13" s="288">
        <v>0</v>
      </c>
      <c r="CZ13" s="288">
        <v>1</v>
      </c>
      <c r="DA13" s="288">
        <v>1</v>
      </c>
      <c r="DB13" s="288">
        <v>0</v>
      </c>
      <c r="DC13" s="288">
        <v>0</v>
      </c>
      <c r="DD13" s="287">
        <v>1</v>
      </c>
      <c r="DE13" s="213" t="s">
        <v>603</v>
      </c>
      <c r="DF13" s="288">
        <v>3</v>
      </c>
      <c r="DG13" s="288">
        <v>0</v>
      </c>
      <c r="DH13" s="288">
        <v>1</v>
      </c>
      <c r="DI13" s="288">
        <v>0</v>
      </c>
      <c r="DJ13" s="288">
        <v>0</v>
      </c>
      <c r="DK13" s="288">
        <v>0</v>
      </c>
      <c r="DL13" s="288">
        <v>0</v>
      </c>
      <c r="DM13" s="288">
        <v>0</v>
      </c>
      <c r="DN13" s="287">
        <v>1</v>
      </c>
      <c r="DO13" s="213" t="s">
        <v>602</v>
      </c>
      <c r="DP13" s="288">
        <v>3</v>
      </c>
      <c r="DQ13" s="288">
        <v>0</v>
      </c>
      <c r="DR13" s="288">
        <v>0</v>
      </c>
      <c r="DS13" s="288">
        <v>0</v>
      </c>
      <c r="DT13" s="288">
        <v>0</v>
      </c>
      <c r="DU13" s="288">
        <v>1</v>
      </c>
      <c r="DV13" s="288">
        <v>0</v>
      </c>
      <c r="DW13" s="288">
        <v>0</v>
      </c>
      <c r="DX13" s="287">
        <v>0</v>
      </c>
      <c r="DY13" s="286">
        <f>1+2/3</f>
        <v>1.6666666666666665</v>
      </c>
      <c r="DZ13" s="283">
        <v>0</v>
      </c>
      <c r="EA13" s="283">
        <v>0</v>
      </c>
      <c r="EB13" s="218">
        <f>5+1/3</f>
        <v>5.333333333333333</v>
      </c>
      <c r="EC13" s="283">
        <v>0</v>
      </c>
      <c r="ED13" s="284">
        <v>1</v>
      </c>
      <c r="EE13" s="285">
        <v>1</v>
      </c>
      <c r="EF13" s="283">
        <v>0</v>
      </c>
      <c r="EG13" s="283">
        <v>0</v>
      </c>
      <c r="EH13" s="283">
        <v>0</v>
      </c>
      <c r="EI13" s="283">
        <v>0</v>
      </c>
      <c r="EJ13" s="283">
        <v>1</v>
      </c>
      <c r="EK13" s="283">
        <v>0</v>
      </c>
      <c r="EL13" s="283"/>
      <c r="EM13" s="283"/>
      <c r="EN13" s="283"/>
      <c r="EO13" s="283"/>
      <c r="EP13" s="283"/>
      <c r="EQ13" s="284">
        <f t="shared" si="0"/>
        <v>2</v>
      </c>
      <c r="ER13" s="283">
        <v>1</v>
      </c>
      <c r="ES13" s="283">
        <v>4</v>
      </c>
      <c r="ET13" s="283">
        <v>0</v>
      </c>
      <c r="EU13" s="283">
        <v>0</v>
      </c>
      <c r="EV13" s="283">
        <v>0</v>
      </c>
      <c r="EW13" s="283">
        <v>0</v>
      </c>
      <c r="EX13" s="283">
        <v>0</v>
      </c>
      <c r="EY13" s="283"/>
      <c r="EZ13" s="283"/>
      <c r="FA13" s="283"/>
      <c r="FB13" s="283"/>
      <c r="FC13" s="283"/>
      <c r="FD13" s="283">
        <f t="shared" si="1"/>
        <v>5</v>
      </c>
      <c r="FE13" s="282">
        <f t="shared" si="2"/>
        <v>0</v>
      </c>
      <c r="FF13" s="282">
        <f t="shared" si="3"/>
        <v>0</v>
      </c>
      <c r="FG13" s="38" t="s">
        <v>378</v>
      </c>
    </row>
    <row r="14" spans="1:163" x14ac:dyDescent="0.25">
      <c r="A14" s="268">
        <v>40329</v>
      </c>
      <c r="B14" s="268" t="s">
        <v>19</v>
      </c>
      <c r="C14" s="268" t="s">
        <v>129</v>
      </c>
      <c r="D14" s="268" t="s">
        <v>601</v>
      </c>
      <c r="E14" s="275"/>
      <c r="F14" s="293"/>
      <c r="G14" s="292" t="s">
        <v>600</v>
      </c>
      <c r="H14" s="290">
        <v>1</v>
      </c>
      <c r="I14" s="290">
        <v>0</v>
      </c>
      <c r="J14" s="291">
        <v>5</v>
      </c>
      <c r="K14" s="290">
        <v>4</v>
      </c>
      <c r="L14" s="290">
        <v>1</v>
      </c>
      <c r="M14" s="290">
        <v>0</v>
      </c>
      <c r="N14" s="290">
        <v>1</v>
      </c>
      <c r="O14" s="290">
        <v>4</v>
      </c>
      <c r="P14" s="290">
        <v>0</v>
      </c>
      <c r="Q14" s="290">
        <v>1</v>
      </c>
      <c r="R14" s="290">
        <v>21</v>
      </c>
      <c r="S14" s="290"/>
      <c r="T14" s="290"/>
      <c r="U14" s="290">
        <v>0</v>
      </c>
      <c r="V14" s="289">
        <v>0</v>
      </c>
      <c r="W14" s="278">
        <v>0</v>
      </c>
      <c r="X14" s="278">
        <v>0</v>
      </c>
      <c r="Y14" s="278">
        <v>1</v>
      </c>
      <c r="Z14" s="278">
        <v>1</v>
      </c>
      <c r="AA14" s="278">
        <v>0</v>
      </c>
      <c r="AB14" s="279">
        <v>4</v>
      </c>
      <c r="AC14" s="278">
        <v>3</v>
      </c>
      <c r="AD14" s="278">
        <v>1</v>
      </c>
      <c r="AE14" s="278">
        <v>1</v>
      </c>
      <c r="AF14" s="278">
        <v>2</v>
      </c>
      <c r="AG14" s="278">
        <v>4</v>
      </c>
      <c r="AH14" s="278">
        <v>1</v>
      </c>
      <c r="AI14" s="278">
        <v>0</v>
      </c>
      <c r="AJ14" s="278">
        <v>15</v>
      </c>
      <c r="AK14" s="278"/>
      <c r="AL14" s="278"/>
      <c r="AM14" s="213" t="s">
        <v>599</v>
      </c>
      <c r="AN14" s="288">
        <v>4</v>
      </c>
      <c r="AO14" s="288">
        <v>0</v>
      </c>
      <c r="AP14" s="288">
        <v>3</v>
      </c>
      <c r="AQ14" s="288">
        <v>0</v>
      </c>
      <c r="AR14" s="288">
        <v>0</v>
      </c>
      <c r="AS14" s="288">
        <v>0</v>
      </c>
      <c r="AT14" s="288">
        <v>0</v>
      </c>
      <c r="AU14" s="288">
        <v>0</v>
      </c>
      <c r="AV14" s="287">
        <v>4</v>
      </c>
      <c r="AW14" s="213" t="s">
        <v>598</v>
      </c>
      <c r="AX14" s="288">
        <v>4</v>
      </c>
      <c r="AY14" s="288">
        <v>1</v>
      </c>
      <c r="AZ14" s="288">
        <v>0</v>
      </c>
      <c r="BA14" s="288">
        <v>0</v>
      </c>
      <c r="BB14" s="288">
        <v>0</v>
      </c>
      <c r="BC14" s="288">
        <v>1</v>
      </c>
      <c r="BD14" s="288">
        <v>0</v>
      </c>
      <c r="BE14" s="288">
        <v>0</v>
      </c>
      <c r="BF14" s="287">
        <v>0</v>
      </c>
      <c r="BG14" s="213" t="s">
        <v>597</v>
      </c>
      <c r="BH14" s="288">
        <v>4</v>
      </c>
      <c r="BI14" s="288">
        <v>1</v>
      </c>
      <c r="BJ14" s="288">
        <v>1</v>
      </c>
      <c r="BK14" s="288">
        <v>0</v>
      </c>
      <c r="BL14" s="288">
        <v>0</v>
      </c>
      <c r="BM14" s="288">
        <v>1</v>
      </c>
      <c r="BN14" s="288">
        <v>0</v>
      </c>
      <c r="BO14" s="288">
        <v>0</v>
      </c>
      <c r="BP14" s="287">
        <v>1</v>
      </c>
      <c r="BQ14" s="213" t="s">
        <v>596</v>
      </c>
      <c r="BR14" s="288">
        <v>2</v>
      </c>
      <c r="BS14" s="288">
        <v>1</v>
      </c>
      <c r="BT14" s="288">
        <v>2</v>
      </c>
      <c r="BU14" s="288">
        <v>2</v>
      </c>
      <c r="BV14" s="288">
        <v>1</v>
      </c>
      <c r="BW14" s="288">
        <v>0</v>
      </c>
      <c r="BX14" s="288">
        <v>1</v>
      </c>
      <c r="BY14" s="288">
        <v>0</v>
      </c>
      <c r="BZ14" s="287">
        <v>4</v>
      </c>
      <c r="CA14" s="213" t="s">
        <v>595</v>
      </c>
      <c r="CB14" s="288">
        <v>3</v>
      </c>
      <c r="CC14" s="288">
        <v>0</v>
      </c>
      <c r="CD14" s="288">
        <v>2</v>
      </c>
      <c r="CE14" s="288">
        <v>0</v>
      </c>
      <c r="CF14" s="288">
        <v>0</v>
      </c>
      <c r="CG14" s="288">
        <v>0</v>
      </c>
      <c r="CH14" s="288">
        <v>0</v>
      </c>
      <c r="CI14" s="288">
        <v>0</v>
      </c>
      <c r="CJ14" s="287">
        <v>3</v>
      </c>
      <c r="CK14" s="213" t="s">
        <v>594</v>
      </c>
      <c r="CL14" s="288">
        <v>2</v>
      </c>
      <c r="CM14" s="288">
        <v>0</v>
      </c>
      <c r="CN14" s="288">
        <v>0</v>
      </c>
      <c r="CO14" s="288">
        <v>0</v>
      </c>
      <c r="CP14" s="288">
        <v>1</v>
      </c>
      <c r="CQ14" s="288">
        <v>0</v>
      </c>
      <c r="CR14" s="288">
        <v>0</v>
      </c>
      <c r="CS14" s="288">
        <v>0</v>
      </c>
      <c r="CT14" s="287">
        <v>0</v>
      </c>
      <c r="CU14" s="213" t="s">
        <v>593</v>
      </c>
      <c r="CV14" s="288">
        <v>4</v>
      </c>
      <c r="CW14" s="288">
        <v>0</v>
      </c>
      <c r="CX14" s="288">
        <v>0</v>
      </c>
      <c r="CY14" s="288">
        <v>0</v>
      </c>
      <c r="CZ14" s="288">
        <v>0</v>
      </c>
      <c r="DA14" s="288">
        <v>2</v>
      </c>
      <c r="DB14" s="288">
        <v>0</v>
      </c>
      <c r="DC14" s="288">
        <v>0</v>
      </c>
      <c r="DD14" s="287">
        <v>0</v>
      </c>
      <c r="DE14" s="213" t="s">
        <v>592</v>
      </c>
      <c r="DF14" s="288">
        <v>2</v>
      </c>
      <c r="DG14" s="288">
        <v>0</v>
      </c>
      <c r="DH14" s="288">
        <v>0</v>
      </c>
      <c r="DI14" s="288">
        <v>0</v>
      </c>
      <c r="DJ14" s="288">
        <v>2</v>
      </c>
      <c r="DK14" s="288">
        <v>0</v>
      </c>
      <c r="DL14" s="288">
        <v>0</v>
      </c>
      <c r="DM14" s="288">
        <v>0</v>
      </c>
      <c r="DN14" s="287">
        <v>0</v>
      </c>
      <c r="DO14" s="213" t="s">
        <v>591</v>
      </c>
      <c r="DP14" s="288">
        <v>4</v>
      </c>
      <c r="DQ14" s="288">
        <v>0</v>
      </c>
      <c r="DR14" s="288">
        <v>1</v>
      </c>
      <c r="DS14" s="288">
        <v>0</v>
      </c>
      <c r="DT14" s="288">
        <v>0</v>
      </c>
      <c r="DU14" s="288">
        <v>1</v>
      </c>
      <c r="DV14" s="288">
        <v>0</v>
      </c>
      <c r="DW14" s="288">
        <v>0</v>
      </c>
      <c r="DX14" s="287">
        <v>1</v>
      </c>
      <c r="DY14" s="286">
        <v>0</v>
      </c>
      <c r="DZ14" s="283">
        <v>0</v>
      </c>
      <c r="EA14" s="283">
        <v>0</v>
      </c>
      <c r="EB14" s="218">
        <v>8</v>
      </c>
      <c r="EC14" s="283">
        <v>0</v>
      </c>
      <c r="ED14" s="284">
        <v>2</v>
      </c>
      <c r="EE14" s="285">
        <v>2</v>
      </c>
      <c r="EF14" s="283">
        <v>0</v>
      </c>
      <c r="EG14" s="283">
        <v>0</v>
      </c>
      <c r="EH14" s="283">
        <v>1</v>
      </c>
      <c r="EI14" s="283">
        <v>0</v>
      </c>
      <c r="EJ14" s="283">
        <v>0</v>
      </c>
      <c r="EK14" s="283">
        <v>0</v>
      </c>
      <c r="EL14" s="283">
        <v>0</v>
      </c>
      <c r="EM14" s="283"/>
      <c r="EN14" s="283"/>
      <c r="EO14" s="283"/>
      <c r="EP14" s="283"/>
      <c r="EQ14" s="284">
        <f t="shared" si="0"/>
        <v>3</v>
      </c>
      <c r="ER14" s="283">
        <v>1</v>
      </c>
      <c r="ES14" s="283">
        <v>0</v>
      </c>
      <c r="ET14" s="283">
        <v>0</v>
      </c>
      <c r="EU14" s="283">
        <v>0</v>
      </c>
      <c r="EV14" s="283">
        <v>0</v>
      </c>
      <c r="EW14" s="283">
        <v>0</v>
      </c>
      <c r="EX14" s="283">
        <v>0</v>
      </c>
      <c r="EY14" s="283">
        <v>1</v>
      </c>
      <c r="EZ14" s="283">
        <v>0</v>
      </c>
      <c r="FA14" s="283"/>
      <c r="FB14" s="283"/>
      <c r="FC14" s="283"/>
      <c r="FD14" s="283">
        <f t="shared" si="1"/>
        <v>2</v>
      </c>
      <c r="FE14" s="282">
        <f t="shared" si="2"/>
        <v>0</v>
      </c>
      <c r="FF14" s="282">
        <f t="shared" si="3"/>
        <v>0</v>
      </c>
      <c r="FG14" s="38" t="s">
        <v>622</v>
      </c>
    </row>
    <row r="15" spans="1:163" x14ac:dyDescent="0.25">
      <c r="A15" s="268">
        <v>40331</v>
      </c>
      <c r="B15" s="268" t="s">
        <v>19</v>
      </c>
      <c r="C15" s="268" t="s">
        <v>131</v>
      </c>
      <c r="D15" s="268" t="s">
        <v>612</v>
      </c>
      <c r="E15" s="275"/>
      <c r="F15" s="293"/>
      <c r="G15" s="292" t="s">
        <v>618</v>
      </c>
      <c r="H15" s="290">
        <v>0</v>
      </c>
      <c r="I15" s="290">
        <v>0</v>
      </c>
      <c r="J15" s="291">
        <v>3</v>
      </c>
      <c r="K15" s="290">
        <v>0</v>
      </c>
      <c r="L15" s="290">
        <v>1</v>
      </c>
      <c r="M15" s="290">
        <v>1</v>
      </c>
      <c r="N15" s="290">
        <v>1</v>
      </c>
      <c r="O15" s="290">
        <v>6</v>
      </c>
      <c r="P15" s="290">
        <v>0</v>
      </c>
      <c r="Q15" s="290">
        <v>0</v>
      </c>
      <c r="R15" s="290">
        <v>10</v>
      </c>
      <c r="S15" s="290"/>
      <c r="T15" s="290"/>
      <c r="U15" s="290">
        <v>0</v>
      </c>
      <c r="V15" s="289">
        <v>0</v>
      </c>
      <c r="W15" s="278">
        <v>0</v>
      </c>
      <c r="X15" s="278">
        <v>1</v>
      </c>
      <c r="Y15" s="278">
        <v>0</v>
      </c>
      <c r="Z15" s="278">
        <v>0</v>
      </c>
      <c r="AA15" s="278">
        <v>1</v>
      </c>
      <c r="AB15" s="279">
        <v>6</v>
      </c>
      <c r="AC15" s="278">
        <v>8</v>
      </c>
      <c r="AD15" s="278">
        <v>6</v>
      </c>
      <c r="AE15" s="278">
        <v>6</v>
      </c>
      <c r="AF15" s="278">
        <v>0</v>
      </c>
      <c r="AG15" s="278">
        <v>6</v>
      </c>
      <c r="AH15" s="278">
        <v>2</v>
      </c>
      <c r="AI15" s="278">
        <v>0</v>
      </c>
      <c r="AJ15" s="278">
        <v>26</v>
      </c>
      <c r="AK15" s="278"/>
      <c r="AL15" s="278"/>
      <c r="AM15" s="1" t="s">
        <v>592</v>
      </c>
      <c r="AN15" s="288">
        <v>4</v>
      </c>
      <c r="AO15" s="288">
        <v>0</v>
      </c>
      <c r="AP15" s="288">
        <v>0</v>
      </c>
      <c r="AQ15" s="288">
        <v>0</v>
      </c>
      <c r="AR15" s="288">
        <v>0</v>
      </c>
      <c r="AS15" s="288">
        <v>1</v>
      </c>
      <c r="AT15" s="288">
        <v>0</v>
      </c>
      <c r="AU15" s="288">
        <v>0</v>
      </c>
      <c r="AV15" s="287">
        <v>0</v>
      </c>
      <c r="AW15" s="1" t="s">
        <v>598</v>
      </c>
      <c r="AX15" s="288">
        <v>4</v>
      </c>
      <c r="AY15" s="288">
        <v>0</v>
      </c>
      <c r="AZ15" s="288">
        <v>2</v>
      </c>
      <c r="BA15" s="288">
        <v>0</v>
      </c>
      <c r="BB15" s="288">
        <v>1</v>
      </c>
      <c r="BC15" s="288">
        <v>1</v>
      </c>
      <c r="BD15" s="288">
        <v>0</v>
      </c>
      <c r="BE15" s="288">
        <v>0</v>
      </c>
      <c r="BF15" s="287">
        <v>2</v>
      </c>
      <c r="BG15" s="1" t="s">
        <v>597</v>
      </c>
      <c r="BH15" s="288">
        <v>3</v>
      </c>
      <c r="BI15" s="288">
        <v>0</v>
      </c>
      <c r="BJ15" s="288">
        <v>0</v>
      </c>
      <c r="BK15" s="288">
        <v>0</v>
      </c>
      <c r="BL15" s="288">
        <v>1</v>
      </c>
      <c r="BM15" s="288">
        <v>1</v>
      </c>
      <c r="BN15" s="288">
        <v>1</v>
      </c>
      <c r="BO15" s="288">
        <v>0</v>
      </c>
      <c r="BP15" s="287">
        <v>0</v>
      </c>
      <c r="BQ15" s="1" t="s">
        <v>596</v>
      </c>
      <c r="BR15" s="288">
        <v>4</v>
      </c>
      <c r="BS15" s="288">
        <v>0</v>
      </c>
      <c r="BT15" s="288">
        <v>0</v>
      </c>
      <c r="BU15" s="288">
        <v>0</v>
      </c>
      <c r="BV15" s="288">
        <v>0</v>
      </c>
      <c r="BW15" s="288">
        <v>1</v>
      </c>
      <c r="BX15" s="288">
        <v>0</v>
      </c>
      <c r="BY15" s="288">
        <v>0</v>
      </c>
      <c r="BZ15" s="287">
        <v>0</v>
      </c>
      <c r="CA15" s="1" t="s">
        <v>595</v>
      </c>
      <c r="CB15" s="288">
        <v>4</v>
      </c>
      <c r="CC15" s="288">
        <v>1</v>
      </c>
      <c r="CD15" s="288">
        <v>1</v>
      </c>
      <c r="CE15" s="288">
        <v>1</v>
      </c>
      <c r="CF15" s="288">
        <v>0</v>
      </c>
      <c r="CG15" s="288">
        <v>0</v>
      </c>
      <c r="CH15" s="288">
        <v>0</v>
      </c>
      <c r="CI15" s="288">
        <v>0</v>
      </c>
      <c r="CJ15" s="287">
        <v>4</v>
      </c>
      <c r="CK15" s="1" t="s">
        <v>594</v>
      </c>
      <c r="CL15" s="288">
        <v>3</v>
      </c>
      <c r="CM15" s="288">
        <v>0</v>
      </c>
      <c r="CN15" s="288">
        <v>0</v>
      </c>
      <c r="CO15" s="288">
        <v>0</v>
      </c>
      <c r="CP15" s="288">
        <v>1</v>
      </c>
      <c r="CQ15" s="288">
        <v>0</v>
      </c>
      <c r="CR15" s="288">
        <v>0</v>
      </c>
      <c r="CS15" s="288">
        <v>0</v>
      </c>
      <c r="CT15" s="287">
        <v>0</v>
      </c>
      <c r="CU15" s="1" t="s">
        <v>602</v>
      </c>
      <c r="CV15" s="288">
        <v>4</v>
      </c>
      <c r="CW15" s="288">
        <v>1</v>
      </c>
      <c r="CX15" s="288">
        <v>1</v>
      </c>
      <c r="CY15" s="288">
        <v>1</v>
      </c>
      <c r="CZ15" s="288">
        <v>0</v>
      </c>
      <c r="DA15" s="288">
        <v>0</v>
      </c>
      <c r="DB15" s="288">
        <v>0</v>
      </c>
      <c r="DC15" s="288">
        <v>0</v>
      </c>
      <c r="DD15" s="287">
        <v>4</v>
      </c>
      <c r="DE15" s="1" t="s">
        <v>591</v>
      </c>
      <c r="DF15" s="288">
        <v>3</v>
      </c>
      <c r="DG15" s="288">
        <v>2</v>
      </c>
      <c r="DH15" s="288">
        <v>2</v>
      </c>
      <c r="DI15" s="288">
        <v>0</v>
      </c>
      <c r="DJ15" s="288">
        <v>1</v>
      </c>
      <c r="DK15" s="288">
        <v>0</v>
      </c>
      <c r="DL15" s="288">
        <v>0</v>
      </c>
      <c r="DM15" s="288">
        <v>0</v>
      </c>
      <c r="DN15" s="287">
        <v>2</v>
      </c>
      <c r="DO15" s="1" t="s">
        <v>613</v>
      </c>
      <c r="DP15" s="288">
        <v>2</v>
      </c>
      <c r="DQ15" s="288">
        <v>1</v>
      </c>
      <c r="DR15" s="288">
        <v>1</v>
      </c>
      <c r="DS15" s="288">
        <v>2</v>
      </c>
      <c r="DT15" s="288">
        <v>1</v>
      </c>
      <c r="DU15" s="288">
        <v>0</v>
      </c>
      <c r="DV15" s="288">
        <v>1</v>
      </c>
      <c r="DW15" s="288">
        <v>0</v>
      </c>
      <c r="DX15" s="287">
        <v>4</v>
      </c>
      <c r="DY15" s="286">
        <f>0+2/3</f>
        <v>0.66666666666666663</v>
      </c>
      <c r="DZ15" s="283">
        <v>0</v>
      </c>
      <c r="EA15" s="283">
        <v>0</v>
      </c>
      <c r="EB15" s="45">
        <f>8+1/3</f>
        <v>8.3333333333333339</v>
      </c>
      <c r="EC15" s="283">
        <v>2</v>
      </c>
      <c r="ED15" s="284">
        <v>2</v>
      </c>
      <c r="EE15" s="285">
        <v>0</v>
      </c>
      <c r="EF15" s="283">
        <v>0</v>
      </c>
      <c r="EG15" s="283">
        <v>0</v>
      </c>
      <c r="EH15" s="283">
        <v>2</v>
      </c>
      <c r="EI15" s="283">
        <v>0</v>
      </c>
      <c r="EJ15" s="283">
        <v>0</v>
      </c>
      <c r="EK15" s="283">
        <v>2</v>
      </c>
      <c r="EL15" s="283">
        <v>0</v>
      </c>
      <c r="EM15" s="283">
        <v>1</v>
      </c>
      <c r="EN15" s="283"/>
      <c r="EO15" s="283"/>
      <c r="EP15" s="283"/>
      <c r="EQ15" s="284">
        <f t="shared" si="0"/>
        <v>5</v>
      </c>
      <c r="ER15" s="283">
        <v>0</v>
      </c>
      <c r="ES15" s="283">
        <v>0</v>
      </c>
      <c r="ET15" s="283">
        <v>1</v>
      </c>
      <c r="EU15" s="283">
        <v>0</v>
      </c>
      <c r="EV15" s="283">
        <v>0</v>
      </c>
      <c r="EW15" s="283">
        <v>0</v>
      </c>
      <c r="EX15" s="283">
        <v>3</v>
      </c>
      <c r="EY15" s="283">
        <v>1</v>
      </c>
      <c r="EZ15" s="283">
        <v>2</v>
      </c>
      <c r="FA15" s="283"/>
      <c r="FB15" s="283"/>
      <c r="FC15" s="283"/>
      <c r="FD15" s="283">
        <f t="shared" si="1"/>
        <v>7</v>
      </c>
      <c r="FE15" s="282">
        <f t="shared" si="2"/>
        <v>0</v>
      </c>
      <c r="FF15" s="282">
        <f t="shared" si="3"/>
        <v>0</v>
      </c>
      <c r="FG15" s="281"/>
    </row>
    <row r="16" spans="1:163" x14ac:dyDescent="0.25">
      <c r="A16" s="268">
        <v>40332</v>
      </c>
      <c r="B16" s="268" t="s">
        <v>133</v>
      </c>
      <c r="C16" s="268" t="s">
        <v>129</v>
      </c>
      <c r="D16" s="268" t="s">
        <v>610</v>
      </c>
      <c r="E16" s="275"/>
      <c r="F16" s="293"/>
      <c r="G16" s="292" t="s">
        <v>623</v>
      </c>
      <c r="H16" s="290">
        <v>1</v>
      </c>
      <c r="I16" s="290">
        <v>0</v>
      </c>
      <c r="J16" s="291">
        <v>5</v>
      </c>
      <c r="K16" s="290">
        <v>3</v>
      </c>
      <c r="L16" s="290">
        <v>0</v>
      </c>
      <c r="M16" s="290">
        <v>0</v>
      </c>
      <c r="N16" s="290">
        <v>0</v>
      </c>
      <c r="O16" s="290">
        <v>3</v>
      </c>
      <c r="P16" s="290">
        <v>0</v>
      </c>
      <c r="Q16" s="290">
        <v>0</v>
      </c>
      <c r="R16" s="290">
        <v>18</v>
      </c>
      <c r="S16" s="290"/>
      <c r="T16" s="290"/>
      <c r="U16" s="290">
        <v>0</v>
      </c>
      <c r="V16" s="289">
        <v>0</v>
      </c>
      <c r="W16" s="278">
        <v>0</v>
      </c>
      <c r="X16" s="278">
        <v>0</v>
      </c>
      <c r="Y16" s="278">
        <v>1</v>
      </c>
      <c r="Z16" s="278">
        <v>1</v>
      </c>
      <c r="AA16" s="278">
        <v>0</v>
      </c>
      <c r="AB16" s="279">
        <v>4</v>
      </c>
      <c r="AC16" s="278">
        <v>4</v>
      </c>
      <c r="AD16" s="278">
        <v>1</v>
      </c>
      <c r="AE16" s="278">
        <v>1</v>
      </c>
      <c r="AF16" s="278">
        <v>1</v>
      </c>
      <c r="AG16" s="278">
        <v>4</v>
      </c>
      <c r="AH16" s="278">
        <v>0</v>
      </c>
      <c r="AI16" s="278">
        <v>0</v>
      </c>
      <c r="AJ16" s="278">
        <v>16</v>
      </c>
      <c r="AK16" s="278"/>
      <c r="AL16" s="278"/>
      <c r="AM16" s="1" t="s">
        <v>599</v>
      </c>
      <c r="AN16" s="288">
        <v>4</v>
      </c>
      <c r="AO16" s="288">
        <v>1</v>
      </c>
      <c r="AP16" s="288">
        <v>1</v>
      </c>
      <c r="AQ16" s="288">
        <v>0</v>
      </c>
      <c r="AR16" s="288">
        <v>1</v>
      </c>
      <c r="AS16" s="288">
        <v>1</v>
      </c>
      <c r="AT16" s="288">
        <v>0</v>
      </c>
      <c r="AU16" s="288">
        <v>0</v>
      </c>
      <c r="AV16" s="287">
        <v>1</v>
      </c>
      <c r="AW16" s="1" t="s">
        <v>598</v>
      </c>
      <c r="AX16" s="288">
        <v>2</v>
      </c>
      <c r="AY16" s="288">
        <v>1</v>
      </c>
      <c r="AZ16" s="288">
        <v>0</v>
      </c>
      <c r="BA16" s="288">
        <v>0</v>
      </c>
      <c r="BB16" s="288">
        <v>3</v>
      </c>
      <c r="BC16" s="288">
        <v>0</v>
      </c>
      <c r="BD16" s="288">
        <v>0</v>
      </c>
      <c r="BE16" s="288">
        <v>0</v>
      </c>
      <c r="BF16" s="287">
        <v>0</v>
      </c>
      <c r="BG16" s="1" t="s">
        <v>595</v>
      </c>
      <c r="BH16" s="288">
        <v>4</v>
      </c>
      <c r="BI16" s="288">
        <v>0</v>
      </c>
      <c r="BJ16" s="288">
        <v>2</v>
      </c>
      <c r="BK16" s="288">
        <v>2</v>
      </c>
      <c r="BL16" s="288">
        <v>1</v>
      </c>
      <c r="BM16" s="288">
        <v>0</v>
      </c>
      <c r="BN16" s="288">
        <v>0</v>
      </c>
      <c r="BO16" s="288">
        <v>0</v>
      </c>
      <c r="BP16" s="287">
        <v>2</v>
      </c>
      <c r="BQ16" s="1" t="s">
        <v>596</v>
      </c>
      <c r="BR16" s="288">
        <v>5</v>
      </c>
      <c r="BS16" s="288">
        <v>0</v>
      </c>
      <c r="BT16" s="288">
        <v>0</v>
      </c>
      <c r="BU16" s="288">
        <v>0</v>
      </c>
      <c r="BV16" s="288">
        <v>0</v>
      </c>
      <c r="BW16" s="288">
        <v>0</v>
      </c>
      <c r="BX16" s="288">
        <v>0</v>
      </c>
      <c r="BY16" s="288">
        <v>0</v>
      </c>
      <c r="BZ16" s="287">
        <v>0</v>
      </c>
      <c r="CA16" s="1" t="s">
        <v>593</v>
      </c>
      <c r="CB16" s="288">
        <v>3</v>
      </c>
      <c r="CC16" s="288">
        <v>0</v>
      </c>
      <c r="CD16" s="288">
        <v>1</v>
      </c>
      <c r="CE16" s="288">
        <v>1</v>
      </c>
      <c r="CF16" s="288">
        <v>0</v>
      </c>
      <c r="CG16" s="288">
        <v>1</v>
      </c>
      <c r="CH16" s="288">
        <v>0</v>
      </c>
      <c r="CI16" s="288">
        <v>0</v>
      </c>
      <c r="CJ16" s="287">
        <v>2</v>
      </c>
      <c r="CK16" s="1" t="s">
        <v>604</v>
      </c>
      <c r="CL16" s="288">
        <v>4</v>
      </c>
      <c r="CM16" s="288">
        <v>0</v>
      </c>
      <c r="CN16" s="288">
        <v>1</v>
      </c>
      <c r="CO16" s="288">
        <v>0</v>
      </c>
      <c r="CP16" s="288">
        <v>0</v>
      </c>
      <c r="CQ16" s="288">
        <v>1</v>
      </c>
      <c r="CR16" s="288">
        <v>0</v>
      </c>
      <c r="CS16" s="288">
        <v>0</v>
      </c>
      <c r="CT16" s="287">
        <v>1</v>
      </c>
      <c r="CU16" s="1" t="s">
        <v>602</v>
      </c>
      <c r="CV16" s="288">
        <v>4</v>
      </c>
      <c r="CW16" s="288">
        <v>0</v>
      </c>
      <c r="CX16" s="288">
        <v>1</v>
      </c>
      <c r="CY16" s="288">
        <v>0</v>
      </c>
      <c r="CZ16" s="288">
        <v>0</v>
      </c>
      <c r="DA16" s="288">
        <v>1</v>
      </c>
      <c r="DB16" s="288">
        <v>0</v>
      </c>
      <c r="DC16" s="288">
        <v>0</v>
      </c>
      <c r="DD16" s="287">
        <v>1</v>
      </c>
      <c r="DE16" s="1" t="s">
        <v>603</v>
      </c>
      <c r="DF16" s="288">
        <v>4</v>
      </c>
      <c r="DG16" s="288">
        <v>0</v>
      </c>
      <c r="DH16" s="288">
        <v>0</v>
      </c>
      <c r="DI16" s="288">
        <v>0</v>
      </c>
      <c r="DJ16" s="288">
        <v>0</v>
      </c>
      <c r="DK16" s="288">
        <v>2</v>
      </c>
      <c r="DL16" s="288">
        <v>0</v>
      </c>
      <c r="DM16" s="288">
        <v>0</v>
      </c>
      <c r="DN16" s="287">
        <v>0</v>
      </c>
      <c r="DO16" s="1" t="s">
        <v>591</v>
      </c>
      <c r="DP16" s="288">
        <v>3</v>
      </c>
      <c r="DQ16" s="288">
        <v>1</v>
      </c>
      <c r="DR16" s="288">
        <v>1</v>
      </c>
      <c r="DS16" s="288">
        <v>0</v>
      </c>
      <c r="DT16" s="288">
        <v>1</v>
      </c>
      <c r="DU16" s="288">
        <v>1</v>
      </c>
      <c r="DV16" s="288">
        <v>0</v>
      </c>
      <c r="DW16" s="288">
        <v>0</v>
      </c>
      <c r="DX16" s="287">
        <v>1</v>
      </c>
      <c r="DY16" s="286">
        <v>4</v>
      </c>
      <c r="DZ16" s="283">
        <v>0</v>
      </c>
      <c r="EA16" s="283">
        <v>0</v>
      </c>
      <c r="EB16" s="45">
        <v>5</v>
      </c>
      <c r="EC16" s="283">
        <v>3</v>
      </c>
      <c r="ED16" s="284">
        <v>0</v>
      </c>
      <c r="EE16" s="285">
        <v>1</v>
      </c>
      <c r="EF16" s="283">
        <v>2</v>
      </c>
      <c r="EG16" s="283">
        <v>0</v>
      </c>
      <c r="EH16" s="283">
        <v>0</v>
      </c>
      <c r="EI16" s="283">
        <v>0</v>
      </c>
      <c r="EJ16" s="283">
        <v>0</v>
      </c>
      <c r="EK16" s="283">
        <v>0</v>
      </c>
      <c r="EL16" s="283">
        <v>0</v>
      </c>
      <c r="EM16" s="283">
        <v>0</v>
      </c>
      <c r="EN16" s="283"/>
      <c r="EO16" s="283"/>
      <c r="EP16" s="283"/>
      <c r="EQ16" s="284">
        <f t="shared" si="0"/>
        <v>3</v>
      </c>
      <c r="ER16" s="283">
        <v>0</v>
      </c>
      <c r="ES16" s="283">
        <v>0</v>
      </c>
      <c r="ET16" s="283">
        <v>0</v>
      </c>
      <c r="EU16" s="283">
        <v>0</v>
      </c>
      <c r="EV16" s="283">
        <v>0</v>
      </c>
      <c r="EW16" s="283">
        <v>1</v>
      </c>
      <c r="EX16" s="283">
        <v>0</v>
      </c>
      <c r="EY16" s="283">
        <v>0</v>
      </c>
      <c r="EZ16" s="283">
        <v>0</v>
      </c>
      <c r="FA16" s="283"/>
      <c r="FB16" s="283"/>
      <c r="FC16" s="283"/>
      <c r="FD16" s="283">
        <f t="shared" si="1"/>
        <v>1</v>
      </c>
      <c r="FE16" s="282">
        <f t="shared" si="2"/>
        <v>0</v>
      </c>
      <c r="FF16" s="282">
        <f t="shared" si="3"/>
        <v>0</v>
      </c>
      <c r="FG16" s="281"/>
    </row>
    <row r="17" spans="1:163" x14ac:dyDescent="0.25">
      <c r="A17" s="268">
        <v>40334</v>
      </c>
      <c r="B17" s="268" t="s">
        <v>133</v>
      </c>
      <c r="C17" s="268" t="s">
        <v>129</v>
      </c>
      <c r="D17" s="268" t="s">
        <v>624</v>
      </c>
      <c r="E17" s="275"/>
      <c r="F17" s="293"/>
      <c r="G17" s="292" t="s">
        <v>625</v>
      </c>
      <c r="H17" s="290">
        <v>0</v>
      </c>
      <c r="I17" s="290">
        <v>0</v>
      </c>
      <c r="J17" s="291">
        <f>3+2/3</f>
        <v>3.6666666666666665</v>
      </c>
      <c r="K17" s="290">
        <v>2</v>
      </c>
      <c r="L17" s="290">
        <v>2</v>
      </c>
      <c r="M17" s="290">
        <v>0</v>
      </c>
      <c r="N17" s="290">
        <v>3</v>
      </c>
      <c r="O17" s="290">
        <v>1</v>
      </c>
      <c r="P17" s="290">
        <v>0</v>
      </c>
      <c r="Q17" s="290">
        <v>1</v>
      </c>
      <c r="R17" s="290">
        <v>17</v>
      </c>
      <c r="S17" s="290"/>
      <c r="T17" s="290"/>
      <c r="U17" s="290">
        <v>1</v>
      </c>
      <c r="V17" s="289">
        <v>0</v>
      </c>
      <c r="W17" s="278">
        <v>1</v>
      </c>
      <c r="X17" s="278">
        <v>0</v>
      </c>
      <c r="Y17" s="278">
        <v>0</v>
      </c>
      <c r="Z17" s="278">
        <v>0</v>
      </c>
      <c r="AA17" s="278">
        <v>0</v>
      </c>
      <c r="AB17" s="279">
        <f>5+1/3</f>
        <v>5.333333333333333</v>
      </c>
      <c r="AC17" s="278">
        <v>2</v>
      </c>
      <c r="AD17" s="278">
        <v>0</v>
      </c>
      <c r="AE17" s="278">
        <v>0</v>
      </c>
      <c r="AF17" s="278">
        <v>2</v>
      </c>
      <c r="AG17" s="278">
        <v>2</v>
      </c>
      <c r="AH17" s="278">
        <v>0</v>
      </c>
      <c r="AI17" s="278">
        <v>0</v>
      </c>
      <c r="AJ17" s="278">
        <v>20</v>
      </c>
      <c r="AK17" s="278"/>
      <c r="AL17" s="278"/>
      <c r="AM17" s="1" t="s">
        <v>592</v>
      </c>
      <c r="AN17" s="288">
        <v>6</v>
      </c>
      <c r="AO17" s="288">
        <v>0</v>
      </c>
      <c r="AP17" s="288">
        <v>0</v>
      </c>
      <c r="AQ17" s="288">
        <v>0</v>
      </c>
      <c r="AR17" s="288">
        <v>0</v>
      </c>
      <c r="AS17" s="288">
        <v>3</v>
      </c>
      <c r="AT17" s="288">
        <v>0</v>
      </c>
      <c r="AU17" s="288">
        <v>0</v>
      </c>
      <c r="AV17" s="287">
        <v>0</v>
      </c>
      <c r="AW17" s="1" t="s">
        <v>598</v>
      </c>
      <c r="AX17" s="288">
        <v>5</v>
      </c>
      <c r="AY17" s="288">
        <v>3</v>
      </c>
      <c r="AZ17" s="288">
        <v>2</v>
      </c>
      <c r="BA17" s="288">
        <v>0</v>
      </c>
      <c r="BB17" s="288">
        <v>1</v>
      </c>
      <c r="BC17" s="288">
        <v>1</v>
      </c>
      <c r="BD17" s="288">
        <v>0</v>
      </c>
      <c r="BE17" s="288">
        <v>0</v>
      </c>
      <c r="BF17" s="287">
        <v>2</v>
      </c>
      <c r="BG17" s="1" t="s">
        <v>597</v>
      </c>
      <c r="BH17" s="288">
        <v>4</v>
      </c>
      <c r="BI17" s="288">
        <v>2</v>
      </c>
      <c r="BJ17" s="288">
        <v>1</v>
      </c>
      <c r="BK17" s="288">
        <v>0</v>
      </c>
      <c r="BL17" s="288">
        <v>1</v>
      </c>
      <c r="BM17" s="288">
        <v>1</v>
      </c>
      <c r="BN17" s="288">
        <v>0</v>
      </c>
      <c r="BO17" s="288">
        <v>0</v>
      </c>
      <c r="BP17" s="287">
        <v>2</v>
      </c>
      <c r="BQ17" s="1" t="s">
        <v>593</v>
      </c>
      <c r="BR17" s="288">
        <v>5</v>
      </c>
      <c r="BS17" s="288">
        <v>0</v>
      </c>
      <c r="BT17" s="288">
        <v>3</v>
      </c>
      <c r="BU17" s="288">
        <v>1</v>
      </c>
      <c r="BV17" s="288">
        <v>0</v>
      </c>
      <c r="BW17" s="288">
        <v>0</v>
      </c>
      <c r="BX17" s="288">
        <v>0</v>
      </c>
      <c r="BY17" s="288">
        <v>0</v>
      </c>
      <c r="BZ17" s="287">
        <v>4</v>
      </c>
      <c r="CA17" s="1" t="s">
        <v>595</v>
      </c>
      <c r="CB17" s="288">
        <v>3</v>
      </c>
      <c r="CC17" s="288">
        <v>3</v>
      </c>
      <c r="CD17" s="288">
        <v>2</v>
      </c>
      <c r="CE17" s="288">
        <v>1</v>
      </c>
      <c r="CF17" s="288">
        <v>2</v>
      </c>
      <c r="CG17" s="288">
        <v>0</v>
      </c>
      <c r="CH17" s="288">
        <v>0</v>
      </c>
      <c r="CI17" s="288">
        <v>0</v>
      </c>
      <c r="CJ17" s="287">
        <v>2</v>
      </c>
      <c r="CK17" s="1" t="s">
        <v>594</v>
      </c>
      <c r="CL17" s="288">
        <v>5</v>
      </c>
      <c r="CM17" s="288">
        <v>2</v>
      </c>
      <c r="CN17" s="288">
        <v>2</v>
      </c>
      <c r="CO17" s="288">
        <v>2</v>
      </c>
      <c r="CP17" s="288">
        <v>0</v>
      </c>
      <c r="CQ17" s="288">
        <v>0</v>
      </c>
      <c r="CR17" s="288">
        <v>0</v>
      </c>
      <c r="CS17" s="288">
        <v>0</v>
      </c>
      <c r="CT17" s="287">
        <v>2</v>
      </c>
      <c r="CU17" s="1" t="s">
        <v>602</v>
      </c>
      <c r="CV17" s="288">
        <v>5</v>
      </c>
      <c r="CW17" s="288">
        <v>1</v>
      </c>
      <c r="CX17" s="288">
        <v>3</v>
      </c>
      <c r="CY17" s="288">
        <v>4</v>
      </c>
      <c r="CZ17" s="288">
        <v>0</v>
      </c>
      <c r="DA17" s="288">
        <v>0</v>
      </c>
      <c r="DB17" s="288">
        <v>0</v>
      </c>
      <c r="DC17" s="288">
        <v>0</v>
      </c>
      <c r="DD17" s="287">
        <v>3</v>
      </c>
      <c r="DE17" s="1" t="s">
        <v>591</v>
      </c>
      <c r="DF17" s="288">
        <v>4</v>
      </c>
      <c r="DG17" s="288">
        <v>0</v>
      </c>
      <c r="DH17" s="288">
        <v>2</v>
      </c>
      <c r="DI17" s="288">
        <v>2</v>
      </c>
      <c r="DJ17" s="288">
        <v>1</v>
      </c>
      <c r="DK17" s="288">
        <v>0</v>
      </c>
      <c r="DL17" s="288">
        <v>0</v>
      </c>
      <c r="DM17" s="288">
        <v>0</v>
      </c>
      <c r="DN17" s="287">
        <v>4</v>
      </c>
      <c r="DO17" s="1" t="s">
        <v>599</v>
      </c>
      <c r="DP17" s="288">
        <v>3</v>
      </c>
      <c r="DQ17" s="288">
        <v>0</v>
      </c>
      <c r="DR17" s="288">
        <v>1</v>
      </c>
      <c r="DS17" s="288">
        <v>0</v>
      </c>
      <c r="DT17" s="288">
        <v>2</v>
      </c>
      <c r="DU17" s="288">
        <v>1</v>
      </c>
      <c r="DV17" s="288">
        <v>0</v>
      </c>
      <c r="DW17" s="288">
        <v>0</v>
      </c>
      <c r="DX17" s="287">
        <v>1</v>
      </c>
      <c r="DY17" s="286">
        <f>2+2/3</f>
        <v>2.6666666666666665</v>
      </c>
      <c r="DZ17" s="283">
        <v>1</v>
      </c>
      <c r="EA17" s="283">
        <v>0</v>
      </c>
      <c r="EB17" s="45">
        <f>6+1/3</f>
        <v>6.333333333333333</v>
      </c>
      <c r="EC17" s="283">
        <v>4</v>
      </c>
      <c r="ED17" s="284">
        <v>0</v>
      </c>
      <c r="EE17" s="285">
        <v>1</v>
      </c>
      <c r="EF17" s="283">
        <v>0</v>
      </c>
      <c r="EG17" s="283">
        <v>0</v>
      </c>
      <c r="EH17" s="283">
        <v>4</v>
      </c>
      <c r="EI17" s="283">
        <v>1</v>
      </c>
      <c r="EJ17" s="283">
        <v>0</v>
      </c>
      <c r="EK17" s="283">
        <v>2</v>
      </c>
      <c r="EL17" s="283">
        <v>0</v>
      </c>
      <c r="EM17" s="283">
        <v>3</v>
      </c>
      <c r="EN17" s="283"/>
      <c r="EO17" s="283"/>
      <c r="EP17" s="283"/>
      <c r="EQ17" s="284">
        <f t="shared" si="0"/>
        <v>11</v>
      </c>
      <c r="ER17" s="283">
        <v>1</v>
      </c>
      <c r="ES17" s="283">
        <v>0</v>
      </c>
      <c r="ET17" s="283">
        <v>0</v>
      </c>
      <c r="EU17" s="283">
        <v>1</v>
      </c>
      <c r="EV17" s="283">
        <v>0</v>
      </c>
      <c r="EW17" s="283">
        <v>0</v>
      </c>
      <c r="EX17" s="283">
        <v>0</v>
      </c>
      <c r="EY17" s="283">
        <v>0</v>
      </c>
      <c r="EZ17" s="283">
        <v>0</v>
      </c>
      <c r="FA17" s="283"/>
      <c r="FB17" s="283"/>
      <c r="FC17" s="283"/>
      <c r="FD17" s="283">
        <f t="shared" si="1"/>
        <v>2</v>
      </c>
      <c r="FE17" s="282">
        <f t="shared" si="2"/>
        <v>0</v>
      </c>
      <c r="FF17" s="282">
        <f t="shared" si="3"/>
        <v>0</v>
      </c>
      <c r="FG17" s="281"/>
    </row>
    <row r="18" spans="1:163" x14ac:dyDescent="0.25">
      <c r="A18" s="268">
        <v>40335</v>
      </c>
      <c r="B18" s="268" t="s">
        <v>19</v>
      </c>
      <c r="C18" s="268" t="s">
        <v>129</v>
      </c>
      <c r="D18" s="268" t="s">
        <v>607</v>
      </c>
      <c r="E18" s="275"/>
      <c r="F18" s="293"/>
      <c r="G18" s="292" t="s">
        <v>611</v>
      </c>
      <c r="H18" s="290">
        <v>0</v>
      </c>
      <c r="I18" s="290">
        <v>0</v>
      </c>
      <c r="J18" s="291">
        <f>3+2/3</f>
        <v>3.6666666666666665</v>
      </c>
      <c r="K18" s="290">
        <v>4</v>
      </c>
      <c r="L18" s="290">
        <v>1</v>
      </c>
      <c r="M18" s="290">
        <v>1</v>
      </c>
      <c r="N18" s="290">
        <v>0</v>
      </c>
      <c r="O18" s="290">
        <v>2</v>
      </c>
      <c r="P18" s="290">
        <v>0</v>
      </c>
      <c r="Q18" s="290">
        <v>0</v>
      </c>
      <c r="R18" s="290">
        <v>15</v>
      </c>
      <c r="S18" s="290"/>
      <c r="T18" s="290"/>
      <c r="U18" s="290">
        <v>1</v>
      </c>
      <c r="V18" s="289">
        <v>1</v>
      </c>
      <c r="W18" s="278">
        <v>1</v>
      </c>
      <c r="X18" s="278">
        <v>0</v>
      </c>
      <c r="Y18" s="278">
        <v>0</v>
      </c>
      <c r="Z18" s="278">
        <v>0</v>
      </c>
      <c r="AA18" s="278">
        <v>0</v>
      </c>
      <c r="AB18" s="279">
        <f>6+1/3</f>
        <v>6.333333333333333</v>
      </c>
      <c r="AC18" s="278">
        <v>9</v>
      </c>
      <c r="AD18" s="278">
        <v>6</v>
      </c>
      <c r="AE18" s="278">
        <v>6</v>
      </c>
      <c r="AF18" s="278">
        <v>3</v>
      </c>
      <c r="AG18" s="278">
        <v>2</v>
      </c>
      <c r="AH18" s="278">
        <v>2</v>
      </c>
      <c r="AI18" s="278">
        <v>0</v>
      </c>
      <c r="AJ18" s="278">
        <v>31</v>
      </c>
      <c r="AK18" s="278"/>
      <c r="AL18" s="278"/>
      <c r="AM18" s="1" t="s">
        <v>599</v>
      </c>
      <c r="AN18" s="288">
        <v>4</v>
      </c>
      <c r="AO18" s="288">
        <v>0</v>
      </c>
      <c r="AP18" s="288">
        <v>0</v>
      </c>
      <c r="AQ18" s="288">
        <v>0</v>
      </c>
      <c r="AR18" s="288">
        <v>2</v>
      </c>
      <c r="AS18" s="288">
        <v>2</v>
      </c>
      <c r="AT18" s="288">
        <v>0</v>
      </c>
      <c r="AU18" s="288">
        <v>0</v>
      </c>
      <c r="AV18" s="287">
        <v>0</v>
      </c>
      <c r="AW18" s="1" t="s">
        <v>598</v>
      </c>
      <c r="AX18" s="288">
        <v>4</v>
      </c>
      <c r="AY18" s="288">
        <v>2</v>
      </c>
      <c r="AZ18" s="288">
        <v>3</v>
      </c>
      <c r="BA18" s="288">
        <v>0</v>
      </c>
      <c r="BB18" s="288">
        <v>1</v>
      </c>
      <c r="BC18" s="288">
        <v>0</v>
      </c>
      <c r="BD18" s="288">
        <v>0</v>
      </c>
      <c r="BE18" s="288">
        <v>0</v>
      </c>
      <c r="BF18" s="287">
        <v>4</v>
      </c>
      <c r="BG18" s="1" t="s">
        <v>597</v>
      </c>
      <c r="BH18" s="288">
        <v>4</v>
      </c>
      <c r="BI18" s="288">
        <v>1</v>
      </c>
      <c r="BJ18" s="288">
        <v>2</v>
      </c>
      <c r="BK18" s="288">
        <v>0</v>
      </c>
      <c r="BL18" s="288">
        <v>0</v>
      </c>
      <c r="BM18" s="288">
        <v>1</v>
      </c>
      <c r="BN18" s="288">
        <v>1</v>
      </c>
      <c r="BO18" s="288">
        <v>0</v>
      </c>
      <c r="BP18" s="287">
        <v>2</v>
      </c>
      <c r="BQ18" s="1" t="s">
        <v>593</v>
      </c>
      <c r="BR18" s="288">
        <v>5</v>
      </c>
      <c r="BS18" s="288">
        <v>2</v>
      </c>
      <c r="BT18" s="288">
        <v>1</v>
      </c>
      <c r="BU18" s="288">
        <v>0</v>
      </c>
      <c r="BV18" s="288">
        <v>0</v>
      </c>
      <c r="BW18" s="288">
        <v>0</v>
      </c>
      <c r="BX18" s="288">
        <v>1</v>
      </c>
      <c r="BY18" s="288">
        <v>0</v>
      </c>
      <c r="BZ18" s="287">
        <v>1</v>
      </c>
      <c r="CA18" s="1" t="s">
        <v>595</v>
      </c>
      <c r="CB18" s="288">
        <v>5</v>
      </c>
      <c r="CC18" s="288">
        <v>1</v>
      </c>
      <c r="CD18" s="288">
        <v>2</v>
      </c>
      <c r="CE18" s="288">
        <v>1</v>
      </c>
      <c r="CF18" s="288">
        <v>0</v>
      </c>
      <c r="CG18" s="288">
        <v>0</v>
      </c>
      <c r="CH18" s="288">
        <v>0</v>
      </c>
      <c r="CI18" s="288">
        <v>0</v>
      </c>
      <c r="CJ18" s="287">
        <v>2</v>
      </c>
      <c r="CK18" s="1" t="s">
        <v>604</v>
      </c>
      <c r="CL18" s="288">
        <v>5</v>
      </c>
      <c r="CM18" s="288">
        <v>1</v>
      </c>
      <c r="CN18" s="288">
        <v>4</v>
      </c>
      <c r="CO18" s="288">
        <v>3</v>
      </c>
      <c r="CP18" s="288">
        <v>0</v>
      </c>
      <c r="CQ18" s="288">
        <v>0</v>
      </c>
      <c r="CR18" s="288">
        <v>0</v>
      </c>
      <c r="CS18" s="288">
        <v>0</v>
      </c>
      <c r="CT18" s="287">
        <v>5</v>
      </c>
      <c r="CU18" s="1" t="s">
        <v>602</v>
      </c>
      <c r="CV18" s="288">
        <v>4</v>
      </c>
      <c r="CW18" s="288">
        <v>0</v>
      </c>
      <c r="CX18" s="288">
        <v>0</v>
      </c>
      <c r="CY18" s="288">
        <v>0</v>
      </c>
      <c r="CZ18" s="288">
        <v>1</v>
      </c>
      <c r="DA18" s="288">
        <v>1</v>
      </c>
      <c r="DB18" s="288">
        <v>0</v>
      </c>
      <c r="DC18" s="288">
        <v>0</v>
      </c>
      <c r="DD18" s="287">
        <v>0</v>
      </c>
      <c r="DE18" s="1" t="s">
        <v>591</v>
      </c>
      <c r="DF18" s="288">
        <v>3</v>
      </c>
      <c r="DG18" s="288">
        <v>1</v>
      </c>
      <c r="DH18" s="288">
        <v>1</v>
      </c>
      <c r="DI18" s="288">
        <v>1</v>
      </c>
      <c r="DJ18" s="288">
        <v>2</v>
      </c>
      <c r="DK18" s="288">
        <v>0</v>
      </c>
      <c r="DL18" s="288">
        <v>0</v>
      </c>
      <c r="DM18" s="288">
        <v>0</v>
      </c>
      <c r="DN18" s="287">
        <v>1</v>
      </c>
      <c r="DO18" s="1" t="s">
        <v>592</v>
      </c>
      <c r="DP18" s="288">
        <v>3</v>
      </c>
      <c r="DQ18" s="288">
        <v>0</v>
      </c>
      <c r="DR18" s="288">
        <v>0</v>
      </c>
      <c r="DS18" s="288">
        <v>0</v>
      </c>
      <c r="DT18" s="288">
        <v>1</v>
      </c>
      <c r="DU18" s="288">
        <v>2</v>
      </c>
      <c r="DV18" s="288">
        <v>1</v>
      </c>
      <c r="DW18" s="288">
        <v>0</v>
      </c>
      <c r="DX18" s="287">
        <v>0</v>
      </c>
      <c r="DY18" s="286">
        <f>3+1/3</f>
        <v>3.3333333333333335</v>
      </c>
      <c r="DZ18" s="283">
        <v>0</v>
      </c>
      <c r="EA18" s="283">
        <v>0</v>
      </c>
      <c r="EB18" s="45">
        <f>5+2/3</f>
        <v>5.666666666666667</v>
      </c>
      <c r="EC18" s="283">
        <v>2</v>
      </c>
      <c r="ED18" s="284">
        <v>1</v>
      </c>
      <c r="EE18" s="285">
        <v>5</v>
      </c>
      <c r="EF18" s="283">
        <v>0</v>
      </c>
      <c r="EG18" s="283">
        <v>0</v>
      </c>
      <c r="EH18" s="283">
        <v>1</v>
      </c>
      <c r="EI18" s="283">
        <v>0</v>
      </c>
      <c r="EJ18" s="283">
        <v>0</v>
      </c>
      <c r="EK18" s="283">
        <v>0</v>
      </c>
      <c r="EL18" s="283">
        <v>0</v>
      </c>
      <c r="EM18" s="283">
        <v>1</v>
      </c>
      <c r="EN18" s="283">
        <v>1</v>
      </c>
      <c r="EO18" s="283"/>
      <c r="EP18" s="283"/>
      <c r="EQ18" s="284">
        <f t="shared" si="0"/>
        <v>8</v>
      </c>
      <c r="ER18" s="283">
        <v>0</v>
      </c>
      <c r="ES18" s="283">
        <v>0</v>
      </c>
      <c r="ET18" s="283">
        <v>0</v>
      </c>
      <c r="EU18" s="283">
        <v>1</v>
      </c>
      <c r="EV18" s="283">
        <v>0</v>
      </c>
      <c r="EW18" s="283">
        <v>6</v>
      </c>
      <c r="EX18" s="283">
        <v>0</v>
      </c>
      <c r="EY18" s="283">
        <v>0</v>
      </c>
      <c r="EZ18" s="283">
        <v>0</v>
      </c>
      <c r="FA18" s="283">
        <v>0</v>
      </c>
      <c r="FB18" s="283"/>
      <c r="FC18" s="283"/>
      <c r="FD18" s="283">
        <f t="shared" si="1"/>
        <v>7</v>
      </c>
      <c r="FE18" s="282">
        <f t="shared" si="2"/>
        <v>0</v>
      </c>
      <c r="FF18" s="282">
        <f t="shared" si="3"/>
        <v>0</v>
      </c>
      <c r="FG18" s="281"/>
    </row>
    <row r="19" spans="1:163" x14ac:dyDescent="0.25">
      <c r="A19" s="268">
        <v>40336</v>
      </c>
      <c r="B19" s="268" t="s">
        <v>133</v>
      </c>
      <c r="C19" s="268" t="s">
        <v>131</v>
      </c>
      <c r="D19" s="268" t="s">
        <v>601</v>
      </c>
      <c r="E19" s="275"/>
      <c r="F19" s="293"/>
      <c r="G19" s="292" t="s">
        <v>600</v>
      </c>
      <c r="H19" s="290">
        <v>0</v>
      </c>
      <c r="I19" s="290">
        <v>0</v>
      </c>
      <c r="J19" s="291">
        <v>5</v>
      </c>
      <c r="K19" s="290">
        <v>5</v>
      </c>
      <c r="L19" s="290">
        <v>3</v>
      </c>
      <c r="M19" s="290">
        <v>3</v>
      </c>
      <c r="N19" s="290">
        <v>2</v>
      </c>
      <c r="O19" s="290">
        <v>2</v>
      </c>
      <c r="P19" s="290">
        <v>0</v>
      </c>
      <c r="Q19" s="290">
        <v>0</v>
      </c>
      <c r="R19" s="290">
        <v>20</v>
      </c>
      <c r="S19" s="290"/>
      <c r="T19" s="290"/>
      <c r="U19" s="290">
        <v>0</v>
      </c>
      <c r="V19" s="289">
        <v>0</v>
      </c>
      <c r="W19" s="278">
        <v>0</v>
      </c>
      <c r="X19" s="278">
        <v>1</v>
      </c>
      <c r="Y19" s="278">
        <v>0</v>
      </c>
      <c r="Z19" s="278">
        <v>0</v>
      </c>
      <c r="AA19" s="278">
        <v>0</v>
      </c>
      <c r="AB19" s="279">
        <v>3</v>
      </c>
      <c r="AC19" s="278">
        <v>2</v>
      </c>
      <c r="AD19" s="278">
        <v>3</v>
      </c>
      <c r="AE19" s="278">
        <v>3</v>
      </c>
      <c r="AF19" s="278">
        <v>3</v>
      </c>
      <c r="AG19" s="278">
        <v>2</v>
      </c>
      <c r="AH19" s="278">
        <v>1</v>
      </c>
      <c r="AI19" s="278">
        <v>0</v>
      </c>
      <c r="AJ19" s="278">
        <v>13</v>
      </c>
      <c r="AK19" s="278"/>
      <c r="AL19" s="278"/>
      <c r="AM19" s="1" t="s">
        <v>599</v>
      </c>
      <c r="AN19" s="288">
        <v>5</v>
      </c>
      <c r="AO19" s="288">
        <v>1</v>
      </c>
      <c r="AP19" s="288">
        <v>2</v>
      </c>
      <c r="AQ19" s="288">
        <v>0</v>
      </c>
      <c r="AR19" s="288">
        <v>0</v>
      </c>
      <c r="AS19" s="288">
        <v>2</v>
      </c>
      <c r="AT19" s="288">
        <v>0</v>
      </c>
      <c r="AU19" s="288">
        <v>0</v>
      </c>
      <c r="AV19" s="287">
        <v>2</v>
      </c>
      <c r="AW19" s="1" t="s">
        <v>598</v>
      </c>
      <c r="AX19" s="288">
        <v>4</v>
      </c>
      <c r="AY19" s="288">
        <v>0</v>
      </c>
      <c r="AZ19" s="288">
        <v>1</v>
      </c>
      <c r="BA19" s="288">
        <v>1</v>
      </c>
      <c r="BB19" s="288">
        <v>0</v>
      </c>
      <c r="BC19" s="288">
        <v>1</v>
      </c>
      <c r="BD19" s="288">
        <v>0</v>
      </c>
      <c r="BE19" s="288">
        <v>0</v>
      </c>
      <c r="BF19" s="287">
        <v>1</v>
      </c>
      <c r="BG19" s="1" t="s">
        <v>597</v>
      </c>
      <c r="BH19" s="288">
        <v>3</v>
      </c>
      <c r="BI19" s="288">
        <v>0</v>
      </c>
      <c r="BJ19" s="288">
        <v>0</v>
      </c>
      <c r="BK19" s="288">
        <v>0</v>
      </c>
      <c r="BL19" s="288">
        <v>1</v>
      </c>
      <c r="BM19" s="288">
        <v>1</v>
      </c>
      <c r="BN19" s="288">
        <v>0</v>
      </c>
      <c r="BO19" s="288">
        <v>0</v>
      </c>
      <c r="BP19" s="287">
        <v>0</v>
      </c>
      <c r="BQ19" s="1" t="s">
        <v>596</v>
      </c>
      <c r="BR19" s="288">
        <v>4</v>
      </c>
      <c r="BS19" s="288">
        <v>0</v>
      </c>
      <c r="BT19" s="288">
        <v>0</v>
      </c>
      <c r="BU19" s="288">
        <v>0</v>
      </c>
      <c r="BV19" s="288">
        <v>0</v>
      </c>
      <c r="BW19" s="288">
        <v>2</v>
      </c>
      <c r="BX19" s="288">
        <v>0</v>
      </c>
      <c r="BY19" s="288">
        <v>0</v>
      </c>
      <c r="BZ19" s="287">
        <v>0</v>
      </c>
      <c r="CA19" s="1" t="s">
        <v>595</v>
      </c>
      <c r="CB19" s="288">
        <v>3</v>
      </c>
      <c r="CC19" s="288">
        <v>1</v>
      </c>
      <c r="CD19" s="288">
        <v>0</v>
      </c>
      <c r="CE19" s="288">
        <v>0</v>
      </c>
      <c r="CF19" s="288">
        <v>1</v>
      </c>
      <c r="CG19" s="288">
        <v>0</v>
      </c>
      <c r="CH19" s="288">
        <v>0</v>
      </c>
      <c r="CI19" s="288">
        <v>0</v>
      </c>
      <c r="CJ19" s="287">
        <v>0</v>
      </c>
      <c r="CK19" s="1" t="s">
        <v>594</v>
      </c>
      <c r="CL19" s="288">
        <v>4</v>
      </c>
      <c r="CM19" s="288">
        <v>1</v>
      </c>
      <c r="CN19" s="288">
        <v>3</v>
      </c>
      <c r="CO19" s="288">
        <v>0</v>
      </c>
      <c r="CP19" s="288">
        <v>0</v>
      </c>
      <c r="CQ19" s="288">
        <v>0</v>
      </c>
      <c r="CR19" s="288">
        <v>0</v>
      </c>
      <c r="CS19" s="288">
        <v>0</v>
      </c>
      <c r="CT19" s="287">
        <v>3</v>
      </c>
      <c r="CU19" s="1" t="s">
        <v>604</v>
      </c>
      <c r="CV19" s="288">
        <v>3</v>
      </c>
      <c r="CW19" s="288">
        <v>0</v>
      </c>
      <c r="CX19" s="288">
        <v>1</v>
      </c>
      <c r="CY19" s="288">
        <v>2</v>
      </c>
      <c r="CZ19" s="288">
        <v>1</v>
      </c>
      <c r="DA19" s="288">
        <v>0</v>
      </c>
      <c r="DB19" s="288">
        <v>0</v>
      </c>
      <c r="DC19" s="288">
        <v>0</v>
      </c>
      <c r="DD19" s="287">
        <v>2</v>
      </c>
      <c r="DE19" s="1" t="s">
        <v>603</v>
      </c>
      <c r="DF19" s="288">
        <v>4</v>
      </c>
      <c r="DG19" s="288">
        <v>0</v>
      </c>
      <c r="DH19" s="288">
        <v>0</v>
      </c>
      <c r="DI19" s="288">
        <v>0</v>
      </c>
      <c r="DJ19" s="288">
        <v>0</v>
      </c>
      <c r="DK19" s="288">
        <v>2</v>
      </c>
      <c r="DL19" s="288">
        <v>0</v>
      </c>
      <c r="DM19" s="288">
        <v>0</v>
      </c>
      <c r="DN19" s="287">
        <v>0</v>
      </c>
      <c r="DO19" s="1" t="s">
        <v>591</v>
      </c>
      <c r="DP19" s="288">
        <v>4</v>
      </c>
      <c r="DQ19" s="288">
        <v>0</v>
      </c>
      <c r="DR19" s="288">
        <v>2</v>
      </c>
      <c r="DS19" s="288">
        <v>0</v>
      </c>
      <c r="DT19" s="288">
        <v>0</v>
      </c>
      <c r="DU19" s="288">
        <v>1</v>
      </c>
      <c r="DV19" s="288">
        <v>0</v>
      </c>
      <c r="DW19" s="288">
        <v>0</v>
      </c>
      <c r="DX19" s="287">
        <v>2</v>
      </c>
      <c r="DY19" s="286">
        <v>0</v>
      </c>
      <c r="DZ19" s="283">
        <v>0</v>
      </c>
      <c r="EA19" s="283">
        <v>0</v>
      </c>
      <c r="EB19" s="45">
        <v>9</v>
      </c>
      <c r="EC19" s="283">
        <v>1</v>
      </c>
      <c r="ED19" s="284">
        <v>0</v>
      </c>
      <c r="EE19" s="285">
        <v>0</v>
      </c>
      <c r="EF19" s="283">
        <v>0</v>
      </c>
      <c r="EG19" s="283">
        <v>0</v>
      </c>
      <c r="EH19" s="283">
        <v>2</v>
      </c>
      <c r="EI19" s="283">
        <v>1</v>
      </c>
      <c r="EJ19" s="283">
        <v>0</v>
      </c>
      <c r="EK19" s="283">
        <v>0</v>
      </c>
      <c r="EL19" s="283">
        <v>0</v>
      </c>
      <c r="EM19" s="283">
        <v>0</v>
      </c>
      <c r="EN19" s="283"/>
      <c r="EO19" s="283"/>
      <c r="EP19" s="283"/>
      <c r="EQ19" s="284">
        <f t="shared" si="0"/>
        <v>3</v>
      </c>
      <c r="ER19" s="283">
        <v>0</v>
      </c>
      <c r="ES19" s="283">
        <v>2</v>
      </c>
      <c r="ET19" s="283">
        <v>1</v>
      </c>
      <c r="EU19" s="283">
        <v>0</v>
      </c>
      <c r="EV19" s="283">
        <v>0</v>
      </c>
      <c r="EW19" s="283">
        <v>3</v>
      </c>
      <c r="EX19" s="283">
        <v>0</v>
      </c>
      <c r="EY19" s="283">
        <v>0</v>
      </c>
      <c r="EZ19" s="283"/>
      <c r="FA19" s="283"/>
      <c r="FB19" s="283"/>
      <c r="FC19" s="283"/>
      <c r="FD19" s="283">
        <f t="shared" si="1"/>
        <v>6</v>
      </c>
      <c r="FE19" s="282">
        <f t="shared" si="2"/>
        <v>0</v>
      </c>
      <c r="FF19" s="282">
        <f t="shared" si="3"/>
        <v>0</v>
      </c>
      <c r="FG19" s="281"/>
    </row>
    <row r="20" spans="1:163" x14ac:dyDescent="0.25">
      <c r="A20" s="268">
        <v>40337</v>
      </c>
      <c r="B20" s="268" t="s">
        <v>19</v>
      </c>
      <c r="C20" s="268" t="s">
        <v>131</v>
      </c>
      <c r="D20" s="268" t="s">
        <v>614</v>
      </c>
      <c r="E20" s="275"/>
      <c r="F20" s="293"/>
      <c r="G20" s="292" t="s">
        <v>618</v>
      </c>
      <c r="H20" s="290">
        <v>0</v>
      </c>
      <c r="I20" s="290">
        <v>0</v>
      </c>
      <c r="J20" s="291">
        <v>4</v>
      </c>
      <c r="K20" s="290">
        <v>4</v>
      </c>
      <c r="L20" s="290">
        <v>3</v>
      </c>
      <c r="M20" s="290">
        <v>3</v>
      </c>
      <c r="N20" s="290">
        <v>2</v>
      </c>
      <c r="O20" s="290">
        <v>6</v>
      </c>
      <c r="P20" s="290">
        <v>1</v>
      </c>
      <c r="Q20" s="290">
        <v>0</v>
      </c>
      <c r="R20" s="290">
        <v>17</v>
      </c>
      <c r="S20" s="290"/>
      <c r="T20" s="290"/>
      <c r="U20" s="290">
        <v>0</v>
      </c>
      <c r="V20" s="289">
        <v>0</v>
      </c>
      <c r="W20" s="278">
        <v>0</v>
      </c>
      <c r="X20" s="278">
        <v>1</v>
      </c>
      <c r="Y20" s="278">
        <v>0</v>
      </c>
      <c r="Z20" s="278">
        <v>0</v>
      </c>
      <c r="AA20" s="278">
        <v>0</v>
      </c>
      <c r="AB20" s="279">
        <v>6</v>
      </c>
      <c r="AC20" s="278">
        <v>7</v>
      </c>
      <c r="AD20" s="278">
        <v>6</v>
      </c>
      <c r="AE20" s="278">
        <v>5</v>
      </c>
      <c r="AF20" s="278">
        <v>4</v>
      </c>
      <c r="AG20" s="278">
        <v>6</v>
      </c>
      <c r="AH20" s="278">
        <v>1</v>
      </c>
      <c r="AI20" s="278">
        <v>1</v>
      </c>
      <c r="AJ20" s="278">
        <v>29</v>
      </c>
      <c r="AK20" s="278"/>
      <c r="AL20" s="278"/>
      <c r="AM20" s="1" t="s">
        <v>599</v>
      </c>
      <c r="AN20" s="288">
        <v>4</v>
      </c>
      <c r="AO20" s="288">
        <v>1</v>
      </c>
      <c r="AP20" s="288">
        <v>2</v>
      </c>
      <c r="AQ20" s="288">
        <v>0</v>
      </c>
      <c r="AR20" s="288">
        <v>2</v>
      </c>
      <c r="AS20" s="288">
        <v>0</v>
      </c>
      <c r="AT20" s="288">
        <v>0</v>
      </c>
      <c r="AU20" s="288">
        <v>0</v>
      </c>
      <c r="AV20" s="287">
        <v>2</v>
      </c>
      <c r="AW20" s="1" t="s">
        <v>598</v>
      </c>
      <c r="AX20" s="288">
        <v>5</v>
      </c>
      <c r="AY20" s="288">
        <v>1</v>
      </c>
      <c r="AZ20" s="288">
        <v>3</v>
      </c>
      <c r="BA20" s="288">
        <v>2</v>
      </c>
      <c r="BB20" s="288">
        <v>1</v>
      </c>
      <c r="BC20" s="288">
        <v>1</v>
      </c>
      <c r="BD20" s="288">
        <v>0</v>
      </c>
      <c r="BE20" s="288">
        <v>0</v>
      </c>
      <c r="BF20" s="287">
        <v>7</v>
      </c>
      <c r="BG20" s="1" t="s">
        <v>595</v>
      </c>
      <c r="BH20" s="288">
        <v>5</v>
      </c>
      <c r="BI20" s="288">
        <v>0</v>
      </c>
      <c r="BJ20" s="288">
        <v>0</v>
      </c>
      <c r="BK20" s="288">
        <v>1</v>
      </c>
      <c r="BL20" s="288">
        <v>0</v>
      </c>
      <c r="BM20" s="288">
        <v>0</v>
      </c>
      <c r="BN20" s="288">
        <v>1</v>
      </c>
      <c r="BO20" s="288">
        <v>0</v>
      </c>
      <c r="BP20" s="287">
        <v>0</v>
      </c>
      <c r="BQ20" s="1" t="s">
        <v>596</v>
      </c>
      <c r="BR20" s="288">
        <v>6</v>
      </c>
      <c r="BS20" s="288">
        <v>1</v>
      </c>
      <c r="BT20" s="288">
        <v>1</v>
      </c>
      <c r="BU20" s="288">
        <v>0</v>
      </c>
      <c r="BV20" s="288">
        <v>0</v>
      </c>
      <c r="BW20" s="288">
        <v>1</v>
      </c>
      <c r="BX20" s="288">
        <v>0</v>
      </c>
      <c r="BY20" s="288">
        <v>0</v>
      </c>
      <c r="BZ20" s="287">
        <v>2</v>
      </c>
      <c r="CA20" s="1" t="s">
        <v>594</v>
      </c>
      <c r="CB20" s="288">
        <v>5</v>
      </c>
      <c r="CC20" s="288">
        <v>1</v>
      </c>
      <c r="CD20" s="288">
        <v>3</v>
      </c>
      <c r="CE20" s="288">
        <v>1</v>
      </c>
      <c r="CF20" s="288">
        <v>1</v>
      </c>
      <c r="CG20" s="288">
        <v>0</v>
      </c>
      <c r="CH20" s="288">
        <v>0</v>
      </c>
      <c r="CI20" s="288">
        <v>0</v>
      </c>
      <c r="CJ20" s="287">
        <v>3</v>
      </c>
      <c r="CK20" s="1" t="s">
        <v>626</v>
      </c>
      <c r="CL20" s="288">
        <v>5</v>
      </c>
      <c r="CM20" s="288">
        <v>2</v>
      </c>
      <c r="CN20" s="288">
        <v>3</v>
      </c>
      <c r="CO20" s="288">
        <v>0</v>
      </c>
      <c r="CP20" s="288">
        <v>0</v>
      </c>
      <c r="CQ20" s="288">
        <v>1</v>
      </c>
      <c r="CR20" s="288">
        <v>1</v>
      </c>
      <c r="CS20" s="288">
        <v>0</v>
      </c>
      <c r="CT20" s="287">
        <v>3</v>
      </c>
      <c r="CU20" s="1" t="s">
        <v>602</v>
      </c>
      <c r="CV20" s="288">
        <v>3</v>
      </c>
      <c r="CW20" s="288">
        <v>1</v>
      </c>
      <c r="CX20" s="288">
        <v>0</v>
      </c>
      <c r="CY20" s="288">
        <v>0</v>
      </c>
      <c r="CZ20" s="288">
        <v>0</v>
      </c>
      <c r="DA20" s="288">
        <v>1</v>
      </c>
      <c r="DB20" s="288">
        <v>0</v>
      </c>
      <c r="DC20" s="288">
        <v>0</v>
      </c>
      <c r="DD20" s="287">
        <v>0</v>
      </c>
      <c r="DE20" s="1" t="s">
        <v>592</v>
      </c>
      <c r="DF20" s="288">
        <v>5</v>
      </c>
      <c r="DG20" s="288">
        <v>0</v>
      </c>
      <c r="DH20" s="288">
        <v>1</v>
      </c>
      <c r="DI20" s="288">
        <v>2</v>
      </c>
      <c r="DJ20" s="288">
        <v>0</v>
      </c>
      <c r="DK20" s="288">
        <v>3</v>
      </c>
      <c r="DL20" s="288">
        <v>0</v>
      </c>
      <c r="DM20" s="288">
        <v>0</v>
      </c>
      <c r="DN20" s="287">
        <v>1</v>
      </c>
      <c r="DO20" s="1" t="s">
        <v>591</v>
      </c>
      <c r="DP20" s="288">
        <v>5</v>
      </c>
      <c r="DQ20" s="288">
        <v>1</v>
      </c>
      <c r="DR20" s="288">
        <v>2</v>
      </c>
      <c r="DS20" s="288">
        <v>2</v>
      </c>
      <c r="DT20" s="288">
        <v>0</v>
      </c>
      <c r="DU20" s="288">
        <v>2</v>
      </c>
      <c r="DV20" s="288">
        <v>0</v>
      </c>
      <c r="DW20" s="288">
        <v>0</v>
      </c>
      <c r="DX20" s="287">
        <v>2</v>
      </c>
      <c r="DY20" s="286">
        <v>0</v>
      </c>
      <c r="DZ20" s="283">
        <v>0</v>
      </c>
      <c r="EA20" s="283">
        <v>0</v>
      </c>
      <c r="EB20" s="45">
        <v>10</v>
      </c>
      <c r="EC20" s="283">
        <v>2</v>
      </c>
      <c r="ED20" s="284">
        <v>0</v>
      </c>
      <c r="EE20" s="285">
        <v>0</v>
      </c>
      <c r="EF20" s="283">
        <v>1</v>
      </c>
      <c r="EG20" s="283">
        <v>1</v>
      </c>
      <c r="EH20" s="283">
        <v>0</v>
      </c>
      <c r="EI20" s="283">
        <v>0</v>
      </c>
      <c r="EJ20" s="283">
        <v>0</v>
      </c>
      <c r="EK20" s="283">
        <v>0</v>
      </c>
      <c r="EL20" s="283">
        <v>5</v>
      </c>
      <c r="EM20" s="283">
        <v>0</v>
      </c>
      <c r="EN20" s="283">
        <v>1</v>
      </c>
      <c r="EO20" s="283"/>
      <c r="EP20" s="283"/>
      <c r="EQ20" s="284">
        <f t="shared" si="0"/>
        <v>8</v>
      </c>
      <c r="ER20" s="283">
        <v>0</v>
      </c>
      <c r="ES20" s="283">
        <v>0</v>
      </c>
      <c r="ET20" s="283">
        <v>3</v>
      </c>
      <c r="EU20" s="283">
        <v>0</v>
      </c>
      <c r="EV20" s="283">
        <v>3</v>
      </c>
      <c r="EW20" s="283">
        <v>0</v>
      </c>
      <c r="EX20" s="283">
        <v>1</v>
      </c>
      <c r="EY20" s="283">
        <v>0</v>
      </c>
      <c r="EZ20" s="283">
        <v>0</v>
      </c>
      <c r="FA20" s="283">
        <v>2</v>
      </c>
      <c r="FB20" s="283"/>
      <c r="FC20" s="283"/>
      <c r="FD20" s="283">
        <f t="shared" si="1"/>
        <v>9</v>
      </c>
      <c r="FE20" s="282">
        <f t="shared" si="2"/>
        <v>0</v>
      </c>
      <c r="FF20" s="282">
        <f t="shared" si="3"/>
        <v>0</v>
      </c>
      <c r="FG20" s="281"/>
    </row>
    <row r="21" spans="1:163" x14ac:dyDescent="0.25">
      <c r="A21" s="268">
        <v>40338</v>
      </c>
      <c r="B21" s="268" t="s">
        <v>133</v>
      </c>
      <c r="C21" s="268" t="s">
        <v>131</v>
      </c>
      <c r="D21" s="268" t="s">
        <v>612</v>
      </c>
      <c r="E21" s="275"/>
      <c r="F21" s="293"/>
      <c r="G21" s="292" t="s">
        <v>615</v>
      </c>
      <c r="H21" s="290">
        <v>0</v>
      </c>
      <c r="I21" s="290">
        <v>0</v>
      </c>
      <c r="J21" s="291">
        <f>3+2/3</f>
        <v>3.6666666666666665</v>
      </c>
      <c r="K21" s="290">
        <v>1</v>
      </c>
      <c r="L21" s="290">
        <v>0</v>
      </c>
      <c r="M21" s="290">
        <v>0</v>
      </c>
      <c r="N21" s="290">
        <v>0</v>
      </c>
      <c r="O21" s="290">
        <v>3</v>
      </c>
      <c r="P21" s="290">
        <v>0</v>
      </c>
      <c r="Q21" s="290">
        <v>0</v>
      </c>
      <c r="R21" s="290">
        <v>13</v>
      </c>
      <c r="S21" s="290"/>
      <c r="T21" s="290"/>
      <c r="U21" s="290">
        <v>0</v>
      </c>
      <c r="V21" s="289">
        <v>0</v>
      </c>
      <c r="W21" s="278">
        <v>0</v>
      </c>
      <c r="X21" s="278">
        <v>1</v>
      </c>
      <c r="Y21" s="278">
        <v>0</v>
      </c>
      <c r="Z21" s="278">
        <v>0</v>
      </c>
      <c r="AA21" s="278">
        <v>0</v>
      </c>
      <c r="AB21" s="279">
        <f>4+1/3</f>
        <v>4.333333333333333</v>
      </c>
      <c r="AC21" s="278">
        <v>7</v>
      </c>
      <c r="AD21" s="278">
        <v>5</v>
      </c>
      <c r="AE21" s="278">
        <v>5</v>
      </c>
      <c r="AF21" s="278">
        <v>4</v>
      </c>
      <c r="AG21" s="278">
        <v>4</v>
      </c>
      <c r="AH21" s="278">
        <v>0</v>
      </c>
      <c r="AI21" s="278">
        <v>2</v>
      </c>
      <c r="AJ21" s="278">
        <v>27</v>
      </c>
      <c r="AK21" s="278"/>
      <c r="AL21" s="278"/>
      <c r="AM21" s="1" t="s">
        <v>599</v>
      </c>
      <c r="AN21" s="288">
        <v>5</v>
      </c>
      <c r="AO21" s="288">
        <v>1</v>
      </c>
      <c r="AP21" s="288">
        <v>1</v>
      </c>
      <c r="AQ21" s="288">
        <v>0</v>
      </c>
      <c r="AR21" s="288">
        <v>0</v>
      </c>
      <c r="AS21" s="288">
        <v>2</v>
      </c>
      <c r="AT21" s="288">
        <v>0</v>
      </c>
      <c r="AU21" s="288">
        <v>0</v>
      </c>
      <c r="AV21" s="287">
        <v>1</v>
      </c>
      <c r="AW21" s="1" t="s">
        <v>598</v>
      </c>
      <c r="AX21" s="288">
        <v>2</v>
      </c>
      <c r="AY21" s="288">
        <v>0</v>
      </c>
      <c r="AZ21" s="288">
        <v>2</v>
      </c>
      <c r="BA21" s="288">
        <v>2</v>
      </c>
      <c r="BB21" s="288">
        <v>2</v>
      </c>
      <c r="BC21" s="288">
        <v>0</v>
      </c>
      <c r="BD21" s="288">
        <v>0</v>
      </c>
      <c r="BE21" s="288">
        <v>0</v>
      </c>
      <c r="BF21" s="287">
        <v>2</v>
      </c>
      <c r="BG21" s="1" t="s">
        <v>597</v>
      </c>
      <c r="BH21" s="288">
        <v>4</v>
      </c>
      <c r="BI21" s="288">
        <v>0</v>
      </c>
      <c r="BJ21" s="288">
        <v>0</v>
      </c>
      <c r="BK21" s="288">
        <v>0</v>
      </c>
      <c r="BL21" s="288">
        <v>0</v>
      </c>
      <c r="BM21" s="288">
        <v>1</v>
      </c>
      <c r="BN21" s="288">
        <v>0</v>
      </c>
      <c r="BO21" s="288">
        <v>0</v>
      </c>
      <c r="BP21" s="287">
        <v>0</v>
      </c>
      <c r="BQ21" s="1" t="s">
        <v>596</v>
      </c>
      <c r="BR21" s="288">
        <v>4</v>
      </c>
      <c r="BS21" s="288">
        <v>0</v>
      </c>
      <c r="BT21" s="288">
        <v>0</v>
      </c>
      <c r="BU21" s="288">
        <v>0</v>
      </c>
      <c r="BV21" s="288">
        <v>0</v>
      </c>
      <c r="BW21" s="288">
        <v>1</v>
      </c>
      <c r="BX21" s="288">
        <v>0</v>
      </c>
      <c r="BY21" s="288">
        <v>0</v>
      </c>
      <c r="BZ21" s="287">
        <v>0</v>
      </c>
      <c r="CA21" s="1" t="s">
        <v>595</v>
      </c>
      <c r="CB21" s="288">
        <v>4</v>
      </c>
      <c r="CC21" s="288">
        <v>0</v>
      </c>
      <c r="CD21" s="288">
        <v>0</v>
      </c>
      <c r="CE21" s="288">
        <v>0</v>
      </c>
      <c r="CF21" s="288">
        <v>0</v>
      </c>
      <c r="CG21" s="288">
        <v>0</v>
      </c>
      <c r="CH21" s="288">
        <v>0</v>
      </c>
      <c r="CI21" s="288">
        <v>0</v>
      </c>
      <c r="CJ21" s="287">
        <v>0</v>
      </c>
      <c r="CK21" s="1" t="s">
        <v>626</v>
      </c>
      <c r="CL21" s="288">
        <v>3</v>
      </c>
      <c r="CM21" s="288">
        <v>0</v>
      </c>
      <c r="CN21" s="288">
        <v>0</v>
      </c>
      <c r="CO21" s="288">
        <v>0</v>
      </c>
      <c r="CP21" s="288">
        <v>1</v>
      </c>
      <c r="CQ21" s="288">
        <v>0</v>
      </c>
      <c r="CR21" s="288">
        <v>0</v>
      </c>
      <c r="CS21" s="288">
        <v>0</v>
      </c>
      <c r="CT21" s="287">
        <v>0</v>
      </c>
      <c r="CU21" s="1" t="s">
        <v>604</v>
      </c>
      <c r="CV21" s="288">
        <v>3</v>
      </c>
      <c r="CW21" s="288">
        <v>1</v>
      </c>
      <c r="CX21" s="288">
        <v>0</v>
      </c>
      <c r="CY21" s="288">
        <v>0</v>
      </c>
      <c r="CZ21" s="288">
        <v>1</v>
      </c>
      <c r="DA21" s="288">
        <v>1</v>
      </c>
      <c r="DB21" s="288">
        <v>0</v>
      </c>
      <c r="DC21" s="288">
        <v>0</v>
      </c>
      <c r="DD21" s="287">
        <v>0</v>
      </c>
      <c r="DE21" s="1" t="s">
        <v>592</v>
      </c>
      <c r="DF21" s="288">
        <v>2</v>
      </c>
      <c r="DG21" s="288">
        <v>1</v>
      </c>
      <c r="DH21" s="288">
        <v>0</v>
      </c>
      <c r="DI21" s="288">
        <v>0</v>
      </c>
      <c r="DJ21" s="288">
        <v>2</v>
      </c>
      <c r="DK21" s="288">
        <v>1</v>
      </c>
      <c r="DL21" s="288">
        <v>0</v>
      </c>
      <c r="DM21" s="288">
        <v>0</v>
      </c>
      <c r="DN21" s="287">
        <v>0</v>
      </c>
      <c r="DO21" s="1" t="s">
        <v>602</v>
      </c>
      <c r="DP21" s="288">
        <v>4</v>
      </c>
      <c r="DQ21" s="288">
        <v>1</v>
      </c>
      <c r="DR21" s="288">
        <v>3</v>
      </c>
      <c r="DS21" s="288">
        <v>1</v>
      </c>
      <c r="DT21" s="288">
        <v>0</v>
      </c>
      <c r="DU21" s="288">
        <v>1</v>
      </c>
      <c r="DV21" s="288">
        <v>0</v>
      </c>
      <c r="DW21" s="288">
        <v>0</v>
      </c>
      <c r="DX21" s="287">
        <v>4</v>
      </c>
      <c r="DY21" s="286">
        <v>1</v>
      </c>
      <c r="DZ21" s="283">
        <v>0</v>
      </c>
      <c r="EA21" s="283">
        <v>1</v>
      </c>
      <c r="EB21" s="45">
        <v>8</v>
      </c>
      <c r="EC21" s="283">
        <v>1</v>
      </c>
      <c r="ED21" s="284">
        <v>1</v>
      </c>
      <c r="EE21" s="285">
        <v>1</v>
      </c>
      <c r="EF21" s="283">
        <v>0</v>
      </c>
      <c r="EG21" s="283">
        <v>1</v>
      </c>
      <c r="EH21" s="283">
        <v>0</v>
      </c>
      <c r="EI21" s="283">
        <v>1</v>
      </c>
      <c r="EJ21" s="283">
        <v>0</v>
      </c>
      <c r="EK21" s="283">
        <v>0</v>
      </c>
      <c r="EL21" s="283">
        <v>0</v>
      </c>
      <c r="EM21" s="283">
        <v>1</v>
      </c>
      <c r="EN21" s="283"/>
      <c r="EO21" s="283"/>
      <c r="EP21" s="283"/>
      <c r="EQ21" s="284">
        <f t="shared" si="0"/>
        <v>4</v>
      </c>
      <c r="ER21" s="283">
        <v>0</v>
      </c>
      <c r="ES21" s="283">
        <v>0</v>
      </c>
      <c r="ET21" s="283">
        <v>0</v>
      </c>
      <c r="EU21" s="283">
        <v>0</v>
      </c>
      <c r="EV21" s="283">
        <v>3</v>
      </c>
      <c r="EW21" s="283">
        <v>1</v>
      </c>
      <c r="EX21" s="283">
        <v>0</v>
      </c>
      <c r="EY21" s="283">
        <v>1</v>
      </c>
      <c r="EZ21" s="283"/>
      <c r="FA21" s="283"/>
      <c r="FB21" s="283"/>
      <c r="FC21" s="283"/>
      <c r="FD21" s="283">
        <f t="shared" si="1"/>
        <v>5</v>
      </c>
      <c r="FE21" s="282">
        <f t="shared" si="2"/>
        <v>0</v>
      </c>
      <c r="FF21" s="282">
        <f t="shared" si="3"/>
        <v>0</v>
      </c>
      <c r="FG21" s="281"/>
    </row>
    <row r="22" spans="1:163" x14ac:dyDescent="0.25">
      <c r="A22" s="268">
        <v>40339</v>
      </c>
      <c r="B22" s="268" t="s">
        <v>19</v>
      </c>
      <c r="C22" s="268" t="s">
        <v>131</v>
      </c>
      <c r="D22" s="268" t="s">
        <v>610</v>
      </c>
      <c r="E22" s="275"/>
      <c r="F22" s="293"/>
      <c r="G22" s="292" t="s">
        <v>625</v>
      </c>
      <c r="H22" s="290">
        <v>0</v>
      </c>
      <c r="I22" s="290">
        <v>1</v>
      </c>
      <c r="J22" s="291">
        <f>2+1/3</f>
        <v>2.3333333333333335</v>
      </c>
      <c r="K22" s="290">
        <v>6</v>
      </c>
      <c r="L22" s="290">
        <v>6</v>
      </c>
      <c r="M22" s="290">
        <v>6</v>
      </c>
      <c r="N22" s="290">
        <v>3</v>
      </c>
      <c r="O22" s="290">
        <v>3</v>
      </c>
      <c r="P22" s="290">
        <v>1</v>
      </c>
      <c r="Q22" s="290">
        <v>0</v>
      </c>
      <c r="R22" s="290">
        <v>16</v>
      </c>
      <c r="S22" s="290"/>
      <c r="T22" s="290"/>
      <c r="U22" s="290">
        <v>3</v>
      </c>
      <c r="V22" s="289">
        <v>3</v>
      </c>
      <c r="W22" s="278">
        <v>0</v>
      </c>
      <c r="X22" s="278">
        <v>0</v>
      </c>
      <c r="Y22" s="278">
        <v>0</v>
      </c>
      <c r="Z22" s="278">
        <v>0</v>
      </c>
      <c r="AA22" s="278">
        <v>0</v>
      </c>
      <c r="AB22" s="279">
        <f>4+2/3</f>
        <v>4.666666666666667</v>
      </c>
      <c r="AC22" s="278">
        <v>3</v>
      </c>
      <c r="AD22" s="278">
        <v>2</v>
      </c>
      <c r="AE22" s="278">
        <v>2</v>
      </c>
      <c r="AF22" s="278">
        <v>2</v>
      </c>
      <c r="AG22" s="278">
        <v>1</v>
      </c>
      <c r="AH22" s="278">
        <v>1</v>
      </c>
      <c r="AI22" s="278">
        <v>1</v>
      </c>
      <c r="AJ22" s="278">
        <v>19</v>
      </c>
      <c r="AK22" s="278"/>
      <c r="AL22" s="278"/>
      <c r="AM22" s="1" t="s">
        <v>599</v>
      </c>
      <c r="AN22" s="288">
        <v>3</v>
      </c>
      <c r="AO22" s="288">
        <v>0</v>
      </c>
      <c r="AP22" s="288">
        <v>0</v>
      </c>
      <c r="AQ22" s="288">
        <v>0</v>
      </c>
      <c r="AR22" s="288">
        <v>0</v>
      </c>
      <c r="AS22" s="288">
        <v>1</v>
      </c>
      <c r="AT22" s="288">
        <v>0</v>
      </c>
      <c r="AU22" s="288">
        <v>0</v>
      </c>
      <c r="AV22" s="287">
        <v>0</v>
      </c>
      <c r="AW22" s="1" t="s">
        <v>591</v>
      </c>
      <c r="AX22" s="288">
        <v>3</v>
      </c>
      <c r="AY22" s="288">
        <v>0</v>
      </c>
      <c r="AZ22" s="288">
        <v>0</v>
      </c>
      <c r="BA22" s="288">
        <v>0</v>
      </c>
      <c r="BB22" s="288">
        <v>0</v>
      </c>
      <c r="BC22" s="288">
        <v>0</v>
      </c>
      <c r="BD22" s="288">
        <v>0</v>
      </c>
      <c r="BE22" s="288">
        <v>0</v>
      </c>
      <c r="BF22" s="287">
        <v>0</v>
      </c>
      <c r="BG22" s="1" t="s">
        <v>597</v>
      </c>
      <c r="BH22" s="288">
        <v>3</v>
      </c>
      <c r="BI22" s="288">
        <v>1</v>
      </c>
      <c r="BJ22" s="288">
        <v>1</v>
      </c>
      <c r="BK22" s="288">
        <v>0</v>
      </c>
      <c r="BL22" s="288">
        <v>0</v>
      </c>
      <c r="BM22" s="288">
        <v>0</v>
      </c>
      <c r="BN22" s="288">
        <v>0</v>
      </c>
      <c r="BO22" s="288">
        <v>0</v>
      </c>
      <c r="BP22" s="287">
        <v>2</v>
      </c>
      <c r="BQ22" s="1" t="s">
        <v>626</v>
      </c>
      <c r="BR22" s="288">
        <v>2</v>
      </c>
      <c r="BS22" s="288">
        <v>1</v>
      </c>
      <c r="BT22" s="288">
        <v>0</v>
      </c>
      <c r="BU22" s="288">
        <v>0</v>
      </c>
      <c r="BV22" s="288">
        <v>1</v>
      </c>
      <c r="BW22" s="288">
        <v>0</v>
      </c>
      <c r="BX22" s="288">
        <v>0</v>
      </c>
      <c r="BY22" s="288">
        <v>0</v>
      </c>
      <c r="BZ22" s="287">
        <v>0</v>
      </c>
      <c r="CA22" s="1" t="s">
        <v>596</v>
      </c>
      <c r="CB22" s="288">
        <v>2</v>
      </c>
      <c r="CC22" s="288">
        <v>1</v>
      </c>
      <c r="CD22" s="288">
        <v>0</v>
      </c>
      <c r="CE22" s="288">
        <v>0</v>
      </c>
      <c r="CF22" s="288">
        <v>1</v>
      </c>
      <c r="CG22" s="288">
        <v>0</v>
      </c>
      <c r="CH22" s="288">
        <v>0</v>
      </c>
      <c r="CI22" s="288">
        <v>0</v>
      </c>
      <c r="CJ22" s="287">
        <v>0</v>
      </c>
      <c r="CK22" s="1" t="s">
        <v>594</v>
      </c>
      <c r="CL22" s="288">
        <v>2</v>
      </c>
      <c r="CM22" s="288">
        <v>0</v>
      </c>
      <c r="CN22" s="288">
        <v>0</v>
      </c>
      <c r="CO22" s="288">
        <v>0</v>
      </c>
      <c r="CP22" s="288">
        <v>1</v>
      </c>
      <c r="CQ22" s="288">
        <v>1</v>
      </c>
      <c r="CR22" s="288">
        <v>0</v>
      </c>
      <c r="CS22" s="288">
        <v>0</v>
      </c>
      <c r="CT22" s="287">
        <v>0</v>
      </c>
      <c r="CU22" s="1" t="s">
        <v>595</v>
      </c>
      <c r="CV22" s="288">
        <v>3</v>
      </c>
      <c r="CW22" s="288">
        <v>0</v>
      </c>
      <c r="CX22" s="288">
        <v>1</v>
      </c>
      <c r="CY22" s="288">
        <v>3</v>
      </c>
      <c r="CZ22" s="288">
        <v>0</v>
      </c>
      <c r="DA22" s="288">
        <v>1</v>
      </c>
      <c r="DB22" s="288">
        <v>0</v>
      </c>
      <c r="DC22" s="288">
        <v>0</v>
      </c>
      <c r="DD22" s="287">
        <v>2</v>
      </c>
      <c r="DE22" s="1" t="s">
        <v>603</v>
      </c>
      <c r="DF22" s="288">
        <v>3</v>
      </c>
      <c r="DG22" s="288">
        <v>0</v>
      </c>
      <c r="DH22" s="288">
        <v>1</v>
      </c>
      <c r="DI22" s="288">
        <v>0</v>
      </c>
      <c r="DJ22" s="288">
        <v>0</v>
      </c>
      <c r="DK22" s="288">
        <v>0</v>
      </c>
      <c r="DL22" s="288">
        <v>0</v>
      </c>
      <c r="DM22" s="288">
        <v>0</v>
      </c>
      <c r="DN22" s="287">
        <v>1</v>
      </c>
      <c r="DO22" s="1" t="s">
        <v>602</v>
      </c>
      <c r="DP22" s="288">
        <v>3</v>
      </c>
      <c r="DQ22" s="288">
        <v>0</v>
      </c>
      <c r="DR22" s="288">
        <v>1</v>
      </c>
      <c r="DS22" s="288">
        <v>0</v>
      </c>
      <c r="DT22" s="288">
        <v>0</v>
      </c>
      <c r="DU22" s="288">
        <v>2</v>
      </c>
      <c r="DV22" s="288">
        <v>0</v>
      </c>
      <c r="DW22" s="288">
        <v>0</v>
      </c>
      <c r="DX22" s="287">
        <v>1</v>
      </c>
      <c r="DY22" s="286">
        <v>5</v>
      </c>
      <c r="DZ22" s="283">
        <v>0</v>
      </c>
      <c r="EA22" s="283">
        <v>0</v>
      </c>
      <c r="EB22" s="45">
        <v>2</v>
      </c>
      <c r="EC22" s="283">
        <v>0</v>
      </c>
      <c r="ED22" s="284">
        <v>0</v>
      </c>
      <c r="EE22" s="285">
        <v>0</v>
      </c>
      <c r="EF22" s="283">
        <v>0</v>
      </c>
      <c r="EG22" s="283">
        <v>0</v>
      </c>
      <c r="EH22" s="283">
        <v>3</v>
      </c>
      <c r="EI22" s="283">
        <v>0</v>
      </c>
      <c r="EJ22" s="283">
        <v>0</v>
      </c>
      <c r="EK22" s="283">
        <v>0</v>
      </c>
      <c r="EL22" s="283"/>
      <c r="EM22" s="283"/>
      <c r="EN22" s="283"/>
      <c r="EO22" s="283"/>
      <c r="EP22" s="283"/>
      <c r="EQ22" s="284">
        <f t="shared" si="0"/>
        <v>3</v>
      </c>
      <c r="ER22" s="283">
        <v>1</v>
      </c>
      <c r="ES22" s="283">
        <v>2</v>
      </c>
      <c r="ET22" s="283">
        <v>5</v>
      </c>
      <c r="EU22" s="283">
        <v>0</v>
      </c>
      <c r="EV22" s="283">
        <v>0</v>
      </c>
      <c r="EW22" s="283">
        <v>0</v>
      </c>
      <c r="EX22" s="283">
        <v>0</v>
      </c>
      <c r="EY22" s="283"/>
      <c r="EZ22" s="283"/>
      <c r="FA22" s="283"/>
      <c r="FB22" s="283"/>
      <c r="FC22" s="283"/>
      <c r="FD22" s="283">
        <f t="shared" si="1"/>
        <v>8</v>
      </c>
      <c r="FE22" s="282">
        <f t="shared" si="2"/>
        <v>0</v>
      </c>
      <c r="FF22" s="282">
        <f t="shared" si="3"/>
        <v>0</v>
      </c>
      <c r="FG22" s="38" t="s">
        <v>628</v>
      </c>
    </row>
    <row r="23" spans="1:163" x14ac:dyDescent="0.25">
      <c r="A23" s="280">
        <f>SUBTOTAL(103,Table142[Date])</f>
        <v>19</v>
      </c>
      <c r="B23" s="280"/>
      <c r="C23" s="280"/>
      <c r="D23" s="280"/>
      <c r="E23" s="275"/>
      <c r="F23" s="275"/>
      <c r="G23" s="274" t="s">
        <v>34</v>
      </c>
      <c r="H23" s="278">
        <f>SUBTOTAL(109,Table142[S-W])</f>
        <v>2</v>
      </c>
      <c r="I23" s="278">
        <f>SUBTOTAL(109,Table142[S-L])</f>
        <v>5</v>
      </c>
      <c r="J23" s="279">
        <f>SUBTOTAL(109,Table142[S-IP])</f>
        <v>60</v>
      </c>
      <c r="K23" s="278">
        <f>SUBTOTAL(109,Table142[S-H])</f>
        <v>61</v>
      </c>
      <c r="L23" s="278">
        <f>SUBTOTAL(109,Table142[S-R])</f>
        <v>50</v>
      </c>
      <c r="M23" s="278">
        <f>SUBTOTAL(109,Table142[S-ER])</f>
        <v>39</v>
      </c>
      <c r="N23" s="278">
        <f>SUBTOTAL(109,Table142[S-BB])</f>
        <v>29</v>
      </c>
      <c r="O23" s="278">
        <f>SUBTOTAL(109,Table142[S-SO])</f>
        <v>50</v>
      </c>
      <c r="P23" s="278">
        <f>SUBTOTAL(109,Table142[S-HR])</f>
        <v>4</v>
      </c>
      <c r="Q23" s="278">
        <f>SUBTOTAL(109,Table142[S-HBP])</f>
        <v>6</v>
      </c>
      <c r="R23" s="278">
        <f>SUBTOTAL(109,Table142[S-BF])</f>
        <v>271</v>
      </c>
      <c r="S23" s="278">
        <f>SUBTOTAL(109,Table142[S-Pit])</f>
        <v>0</v>
      </c>
      <c r="T23" s="278">
        <f>SUBTOTAL(109,Table142[S-Str])</f>
        <v>0</v>
      </c>
      <c r="U23" s="278">
        <f>SUBTOTAL(109,Table142[IRL])</f>
        <v>15</v>
      </c>
      <c r="V23" s="278">
        <f>SUBTOTAL(109,Table142[IRS])</f>
        <v>9</v>
      </c>
      <c r="W23" s="278">
        <f>SUBTOTAL(109,Table142[B-W])</f>
        <v>7</v>
      </c>
      <c r="X23" s="278">
        <f>SUBTOTAL(109,Table142[B-L])</f>
        <v>5</v>
      </c>
      <c r="Y23" s="278">
        <f>SUBTOTAL(109,Table142[Hld])</f>
        <v>5</v>
      </c>
      <c r="Z23" s="278">
        <f>SUBTOTAL(109,Table142[Sv])</f>
        <v>3</v>
      </c>
      <c r="AA23" s="278">
        <f>SUBTOTAL(109,Table142[BS])</f>
        <v>1</v>
      </c>
      <c r="AB23" s="279">
        <f>SUBTOTAL(109,Table142[B-IP])</f>
        <v>103</v>
      </c>
      <c r="AC23" s="278">
        <f>SUBTOTAL(109,Table142[B-H])</f>
        <v>103</v>
      </c>
      <c r="AD23" s="278">
        <f>SUBTOTAL(109,Table142[B-R])</f>
        <v>56</v>
      </c>
      <c r="AE23" s="278">
        <f>SUBTOTAL(109,Table142[B-ER])</f>
        <v>51</v>
      </c>
      <c r="AF23" s="278">
        <f>SUBTOTAL(109,Table142[B-BB])</f>
        <v>41</v>
      </c>
      <c r="AG23" s="278">
        <f>SUBTOTAL(109,Table142[B-SO])</f>
        <v>75</v>
      </c>
      <c r="AH23" s="278">
        <f>SUBTOTAL(109,Table142[B-HR])</f>
        <v>11</v>
      </c>
      <c r="AI23" s="278">
        <f>SUBTOTAL(109,Table142[B-HBP])</f>
        <v>9</v>
      </c>
      <c r="AJ23" s="278">
        <f>SUBTOTAL(109,Table142[B-BF])</f>
        <v>449</v>
      </c>
      <c r="AK23" s="278">
        <f>SUBTOTAL(109,Table142[B-Pit])</f>
        <v>0</v>
      </c>
      <c r="AL23" s="278">
        <f>SUBTOTAL(109,Table142[B-Str])</f>
        <v>0</v>
      </c>
      <c r="AM23" s="274" t="str">
        <f>INDEX(Table142[Starter1],MODE(MATCH(Table142[Starter1],Table142[Starter1],0)))</f>
        <v>Antunez, I</v>
      </c>
      <c r="AN23" s="275">
        <f>SUBTOTAL(109,Table142[AB1])</f>
        <v>78</v>
      </c>
      <c r="AO23" s="275">
        <f>SUBTOTAL(109,Table142[R1])</f>
        <v>11</v>
      </c>
      <c r="AP23" s="275">
        <f>SUBTOTAL(109,Table142[H1])</f>
        <v>16</v>
      </c>
      <c r="AQ23" s="275">
        <f>SUBTOTAL(109,Table142[RBI1])</f>
        <v>1</v>
      </c>
      <c r="AR23" s="275">
        <f>SUBTOTAL(109,Table142[BB1])</f>
        <v>11</v>
      </c>
      <c r="AS23" s="275">
        <f>SUBTOTAL(109,Table142[SO1])</f>
        <v>21</v>
      </c>
      <c r="AT23" s="275">
        <f>SUBTOTAL(109,Table142[HBP1])</f>
        <v>2</v>
      </c>
      <c r="AU23" s="275">
        <f>SUBTOTAL(109,Table142[SF1])</f>
        <v>0</v>
      </c>
      <c r="AV23" s="275">
        <f>SUBTOTAL(109,Table142[TB1])</f>
        <v>17</v>
      </c>
      <c r="AW23" s="274" t="str">
        <f>INDEX(Table142[Starter2],MODE(MATCH(Table142[Starter2],Table142[Starter2],0)))</f>
        <v>Paz, F</v>
      </c>
      <c r="AX23" s="275">
        <f>SUBTOTAL(109,Table142[AB2])</f>
        <v>71</v>
      </c>
      <c r="AY23" s="275">
        <f>SUBTOTAL(109,Table142[R2])</f>
        <v>16</v>
      </c>
      <c r="AZ23" s="275">
        <f>SUBTOTAL(109,Table142[H2])</f>
        <v>19</v>
      </c>
      <c r="BA23" s="275">
        <f>SUBTOTAL(109,Table142[RBI2])</f>
        <v>8</v>
      </c>
      <c r="BB23" s="275">
        <f>SUBTOTAL(109,Table142[BB2])</f>
        <v>16</v>
      </c>
      <c r="BC23" s="275">
        <f>SUBTOTAL(109,Table142[SO2])</f>
        <v>12</v>
      </c>
      <c r="BD23" s="275">
        <f>SUBTOTAL(109,Table142[HBP2])</f>
        <v>1</v>
      </c>
      <c r="BE23" s="275">
        <f>SUBTOTAL(109,Table142[SF2])</f>
        <v>0</v>
      </c>
      <c r="BF23" s="275">
        <f>SUBTOTAL(109,Table142[TB2])</f>
        <v>24</v>
      </c>
      <c r="BG23" s="274" t="str">
        <f>INDEX(Table142[Starter3],MODE(MATCH(Table142[Starter3],Table142[Starter3],0)))</f>
        <v>Correa, L</v>
      </c>
      <c r="BH23" s="275">
        <f>SUBTOTAL(109,Table142[AB3])</f>
        <v>73</v>
      </c>
      <c r="BI23" s="275">
        <f>SUBTOTAL(109,Table142[R3])</f>
        <v>17</v>
      </c>
      <c r="BJ23" s="275">
        <f>SUBTOTAL(109,Table142[H3])</f>
        <v>19</v>
      </c>
      <c r="BK23" s="275">
        <f>SUBTOTAL(109,Table142[RBI3])</f>
        <v>9</v>
      </c>
      <c r="BL23" s="275">
        <f>SUBTOTAL(109,Table142[BB3])</f>
        <v>8</v>
      </c>
      <c r="BM23" s="275">
        <f>SUBTOTAL(109,Table142[SO3])</f>
        <v>14</v>
      </c>
      <c r="BN23" s="275">
        <f>SUBTOTAL(109,Table142[HBP3])</f>
        <v>3</v>
      </c>
      <c r="BO23" s="275">
        <f>SUBTOTAL(109,Table142[SF3])</f>
        <v>1</v>
      </c>
      <c r="BP23" s="275">
        <f>SUBTOTAL(109,Table142[TB3])</f>
        <v>25</v>
      </c>
      <c r="BQ23" s="274" t="str">
        <f>INDEX(Table142[Starter4],MODE(MATCH(Table142[Starter4],Table142[Starter4],0)))</f>
        <v>Salas, R</v>
      </c>
      <c r="BR23" s="275">
        <f>SUBTOTAL(109,Table142[AB4])</f>
        <v>73</v>
      </c>
      <c r="BS23" s="275">
        <f>SUBTOTAL(109,Table142[R4])</f>
        <v>15</v>
      </c>
      <c r="BT23" s="275">
        <f>SUBTOTAL(109,Table142[H4])</f>
        <v>22</v>
      </c>
      <c r="BU23" s="275">
        <f>SUBTOTAL(109,Table142[RBI4])</f>
        <v>13</v>
      </c>
      <c r="BV23" s="275">
        <f>SUBTOTAL(109,Table142[BB4])</f>
        <v>10</v>
      </c>
      <c r="BW23" s="275">
        <f>SUBTOTAL(109,Table142[SO4])</f>
        <v>12</v>
      </c>
      <c r="BX23" s="275">
        <f>SUBTOTAL(109,Table142[HBP4])</f>
        <v>2</v>
      </c>
      <c r="BY23" s="275">
        <f>SUBTOTAL(109,Table142[SF4])</f>
        <v>0</v>
      </c>
      <c r="BZ23" s="275">
        <f>SUBTOTAL(109,Table142[TB4])</f>
        <v>35</v>
      </c>
      <c r="CA23" s="274" t="str">
        <f>INDEX(Table142[Starter5],MODE(MATCH(Table142[Starter5],Table142[Starter5],0)))</f>
        <v>Quinonez, J</v>
      </c>
      <c r="CB23" s="275">
        <f>SUBTOTAL(109,Table142[AB5])</f>
        <v>71</v>
      </c>
      <c r="CC23" s="275">
        <f>SUBTOTAL(109,Table142[R5])</f>
        <v>15</v>
      </c>
      <c r="CD23" s="275">
        <f>SUBTOTAL(109,Table142[H5])</f>
        <v>23</v>
      </c>
      <c r="CE23" s="275">
        <f>SUBTOTAL(109,Table142[RBI5])</f>
        <v>12</v>
      </c>
      <c r="CF23" s="275">
        <f>SUBTOTAL(109,Table142[BB5])</f>
        <v>7</v>
      </c>
      <c r="CG23" s="275">
        <f>SUBTOTAL(109,Table142[SO5])</f>
        <v>6</v>
      </c>
      <c r="CH23" s="275">
        <f>SUBTOTAL(109,Table142[HBP5])</f>
        <v>3</v>
      </c>
      <c r="CI23" s="275">
        <f>SUBTOTAL(109,Table142[SF5])</f>
        <v>0</v>
      </c>
      <c r="CJ23" s="275">
        <f>SUBTOTAL(109,Table142[TB5])</f>
        <v>33</v>
      </c>
      <c r="CK23" s="274" t="str">
        <f>INDEX(Table142[Starter6],MODE(MATCH(Table142[Starter6],Table142[Starter6],0)))</f>
        <v>Narvaez, O</v>
      </c>
      <c r="CL23" s="275">
        <f>SUBTOTAL(109,Table142[AB6])</f>
        <v>70</v>
      </c>
      <c r="CM23" s="275">
        <f>SUBTOTAL(109,Table142[R6])</f>
        <v>8</v>
      </c>
      <c r="CN23" s="275">
        <f>SUBTOTAL(109,Table142[H6])</f>
        <v>25</v>
      </c>
      <c r="CO23" s="275">
        <f>SUBTOTAL(109,Table142[RBI6])</f>
        <v>14</v>
      </c>
      <c r="CP23" s="275">
        <f>SUBTOTAL(109,Table142[BB6])</f>
        <v>9</v>
      </c>
      <c r="CQ23" s="275">
        <f>SUBTOTAL(109,Table142[SO6])</f>
        <v>5</v>
      </c>
      <c r="CR23" s="275">
        <f>SUBTOTAL(109,Table142[HBP6])</f>
        <v>1</v>
      </c>
      <c r="CS23" s="275">
        <f>SUBTOTAL(109,Table142[SF6])</f>
        <v>0</v>
      </c>
      <c r="CT23" s="275">
        <f>SUBTOTAL(109,Table142[TB6])</f>
        <v>29</v>
      </c>
      <c r="CU23" s="274" t="str">
        <f>INDEX(Table142[Starter7],MODE(MATCH(Table142[Starter7],Table142[Starter7],0)))</f>
        <v>Bellorin, J</v>
      </c>
      <c r="CV23" s="275">
        <f>SUBTOTAL(109,Table142[AB7])</f>
        <v>70</v>
      </c>
      <c r="CW23" s="275">
        <f>SUBTOTAL(109,Table142[R7])</f>
        <v>9</v>
      </c>
      <c r="CX23" s="275">
        <f>SUBTOTAL(109,Table142[H7])</f>
        <v>19</v>
      </c>
      <c r="CY23" s="275">
        <f>SUBTOTAL(109,Table142[RBI7])</f>
        <v>16</v>
      </c>
      <c r="CZ23" s="275">
        <f>SUBTOTAL(109,Table142[BB7])</f>
        <v>9</v>
      </c>
      <c r="DA23" s="275">
        <f>SUBTOTAL(109,Table142[SO7])</f>
        <v>11</v>
      </c>
      <c r="DB23" s="275">
        <f>SUBTOTAL(109,Table142[HBP7])</f>
        <v>0</v>
      </c>
      <c r="DC23" s="275">
        <f>SUBTOTAL(109,Table142[SF7])</f>
        <v>0</v>
      </c>
      <c r="DD23" s="275">
        <f>SUBTOTAL(109,Table142[TB7])</f>
        <v>29</v>
      </c>
      <c r="DE23" s="274" t="str">
        <f>INDEX(Table142[Starter8],MODE(MATCH(Table142[Starter8],Table142[Starter8],0)))</f>
        <v>Acosta, R</v>
      </c>
      <c r="DF23" s="275">
        <f>SUBTOTAL(109,Table142[AB8])</f>
        <v>65</v>
      </c>
      <c r="DG23" s="275">
        <f>SUBTOTAL(109,Table142[R8])</f>
        <v>12</v>
      </c>
      <c r="DH23" s="275">
        <f>SUBTOTAL(109,Table142[H8])</f>
        <v>14</v>
      </c>
      <c r="DI23" s="275">
        <f>SUBTOTAL(109,Table142[RBI8])</f>
        <v>12</v>
      </c>
      <c r="DJ23" s="275">
        <f>SUBTOTAL(109,Table142[BB8])</f>
        <v>12</v>
      </c>
      <c r="DK23" s="275">
        <f>SUBTOTAL(109,Table142[SO8])</f>
        <v>17</v>
      </c>
      <c r="DL23" s="275">
        <f>SUBTOTAL(109,Table142[HBP8])</f>
        <v>3</v>
      </c>
      <c r="DM23" s="275">
        <f>SUBTOTAL(109,Table142[SF8])</f>
        <v>0</v>
      </c>
      <c r="DN23" s="275">
        <f>SUBTOTAL(109,Table142[TB8])</f>
        <v>23</v>
      </c>
      <c r="DO23" s="274" t="str">
        <f>INDEX(Table142[Starter9],MODE(MATCH(Table142[Starter9],Table142[Starter9],0)))</f>
        <v>Bellorin, J</v>
      </c>
      <c r="DP23" s="275">
        <f>SUBTOTAL(109,Table142[AB9])</f>
        <v>65</v>
      </c>
      <c r="DQ23" s="275">
        <f>SUBTOTAL(109,Table142[R9])</f>
        <v>10</v>
      </c>
      <c r="DR23" s="275">
        <f>SUBTOTAL(109,Table142[H9])</f>
        <v>20</v>
      </c>
      <c r="DS23" s="275">
        <f>SUBTOTAL(109,Table142[RBI9])</f>
        <v>10</v>
      </c>
      <c r="DT23" s="275">
        <f>SUBTOTAL(109,Table142[BB9])</f>
        <v>10</v>
      </c>
      <c r="DU23" s="275">
        <f>SUBTOTAL(109,Table142[SO9])</f>
        <v>19</v>
      </c>
      <c r="DV23" s="275">
        <f>SUBTOTAL(109,Table142[HBP9])</f>
        <v>3</v>
      </c>
      <c r="DW23" s="275">
        <f>SUBTOTAL(109,Table142[SF9])</f>
        <v>0</v>
      </c>
      <c r="DX23" s="275">
        <f>SUBTOTAL(109,Table142[TB9])</f>
        <v>28</v>
      </c>
      <c r="DY23" s="279">
        <f>SUBTOTAL(109,Table142[IVL])</f>
        <v>38.666666666666671</v>
      </c>
      <c r="DZ23" s="278">
        <f>SUBTOTAL(109,Table142[SVL])</f>
        <v>5</v>
      </c>
      <c r="EA23" s="278">
        <f>SUBTOTAL(109,Table142[CVL])</f>
        <v>3</v>
      </c>
      <c r="EB23" s="279">
        <f>SUBTOTAL(109,Table142[IVR])</f>
        <v>124.33333333333333</v>
      </c>
      <c r="EC23" s="278">
        <f>SUBTOTAL(109,Table142[SVR])</f>
        <v>30</v>
      </c>
      <c r="ED23" s="278">
        <f>SUBTOTAL(109,Table142[CVR])</f>
        <v>12</v>
      </c>
      <c r="EE23" s="278">
        <f>SUBTOTAL(109,Table142[RI1])</f>
        <v>20</v>
      </c>
      <c r="EF23" s="278">
        <f>SUBTOTAL(109,Table142[RI2])</f>
        <v>5</v>
      </c>
      <c r="EG23" s="278">
        <f>SUBTOTAL(109,Table142[RI3])</f>
        <v>9</v>
      </c>
      <c r="EH23" s="278">
        <f>SUBTOTAL(109,Table142[RI4])</f>
        <v>22</v>
      </c>
      <c r="EI23" s="278">
        <f>SUBTOTAL(109,Table142[RI5])</f>
        <v>12</v>
      </c>
      <c r="EJ23" s="278">
        <f>SUBTOTAL(109,Table142[RI6])</f>
        <v>12</v>
      </c>
      <c r="EK23" s="278">
        <f>SUBTOTAL(109,Table142[RI7])</f>
        <v>11</v>
      </c>
      <c r="EL23" s="278">
        <f>SUBTOTAL(109,Table142[RI8])</f>
        <v>13</v>
      </c>
      <c r="EM23" s="278">
        <f>SUBTOTAL(109,Table142[RI9])</f>
        <v>7</v>
      </c>
      <c r="EN23" s="278">
        <f>SUBTOTAL(109,Table142[RI10])</f>
        <v>2</v>
      </c>
      <c r="EO23" s="278">
        <f>SUBTOTAL(109,Table142[RI11])</f>
        <v>0</v>
      </c>
      <c r="EP23" s="278">
        <f>SUBTOTAL(109,Table142[RI12])</f>
        <v>0</v>
      </c>
      <c r="EQ23" s="278">
        <f>SUBTOTAL(109,Table142[RT])</f>
        <v>113</v>
      </c>
      <c r="ER23" s="278">
        <f>SUBTOTAL(109,Table142[OI1])</f>
        <v>14</v>
      </c>
      <c r="ES23" s="278">
        <f>SUBTOTAL(109,Table142[OI2])</f>
        <v>14</v>
      </c>
      <c r="ET23" s="278">
        <f>SUBTOTAL(109,Table142[OI3])</f>
        <v>23</v>
      </c>
      <c r="EU23" s="278">
        <f>SUBTOTAL(109,Table142[OI4])</f>
        <v>10</v>
      </c>
      <c r="EV23" s="278">
        <f>SUBTOTAL(109,Table142[OI5])</f>
        <v>14</v>
      </c>
      <c r="EW23" s="278">
        <f>SUBTOTAL(109,Table142[OI6])</f>
        <v>13</v>
      </c>
      <c r="EX23" s="278">
        <f>SUBTOTAL(109,Table142[OI7])</f>
        <v>7</v>
      </c>
      <c r="EY23" s="278">
        <f>SUBTOTAL(109,Table142[OI8])</f>
        <v>5</v>
      </c>
      <c r="EZ23" s="278">
        <f>SUBTOTAL(109,Table142[OI9])</f>
        <v>4</v>
      </c>
      <c r="FA23" s="278">
        <f>SUBTOTAL(109,Table142[OI10])</f>
        <v>2</v>
      </c>
      <c r="FB23" s="278">
        <f>SUBTOTAL(109,Table142[OI11])</f>
        <v>0</v>
      </c>
      <c r="FC23" s="278">
        <f>SUBTOTAL(109,Table142[OI12])</f>
        <v>0</v>
      </c>
      <c r="FD23" s="278">
        <f>SUBTOTAL(109,Table142[OT])</f>
        <v>106</v>
      </c>
      <c r="FE23" s="277"/>
      <c r="FF23" s="277"/>
    </row>
    <row r="24" spans="1:163" x14ac:dyDescent="0.25">
      <c r="A24" s="276" t="s">
        <v>227</v>
      </c>
      <c r="B24" s="268"/>
      <c r="C24" s="268"/>
      <c r="D24" s="268"/>
      <c r="E24" s="4"/>
      <c r="F24" s="275"/>
      <c r="G24" s="274"/>
      <c r="H24" s="274"/>
      <c r="I24" s="274"/>
      <c r="J24" s="5">
        <f>MAX(Table142[S-IP])</f>
        <v>5</v>
      </c>
      <c r="K24" s="6">
        <f>MAX(Table142[S-H])</f>
        <v>8</v>
      </c>
      <c r="L24" s="6">
        <f>MAX(Table142[S-R])</f>
        <v>7</v>
      </c>
      <c r="M24" s="6">
        <f>MAX(Table142[S-ER])</f>
        <v>7</v>
      </c>
      <c r="N24" s="6">
        <f>MAX(Table142[S-BB])</f>
        <v>4</v>
      </c>
      <c r="O24" s="6">
        <f>MAX(Table142[S-SO])</f>
        <v>8</v>
      </c>
      <c r="P24" s="6">
        <f>MAX(Table142[S-HR])</f>
        <v>1</v>
      </c>
      <c r="Q24" s="6">
        <f>MAX(Table142[S-HBP])</f>
        <v>1</v>
      </c>
      <c r="R24" s="6">
        <f>MAX(Table142[S-BF])</f>
        <v>24</v>
      </c>
      <c r="S24" s="6"/>
      <c r="T24" s="6"/>
      <c r="U24" s="6">
        <f>MAX(Table142[IRL])</f>
        <v>3</v>
      </c>
      <c r="V24" s="6">
        <f>MAX(Table142[IRS])</f>
        <v>3</v>
      </c>
      <c r="W24" s="274"/>
      <c r="X24" s="274"/>
      <c r="Y24" s="274"/>
      <c r="Z24" s="274"/>
      <c r="AA24" s="274"/>
      <c r="AB24" s="5">
        <f>MAX(Table142[B-IP])</f>
        <v>8.6666666666666661</v>
      </c>
      <c r="AC24" s="6">
        <f>MAX(Table142[B-H])</f>
        <v>14</v>
      </c>
      <c r="AD24" s="6">
        <f>MAX(Table142[B-R])</f>
        <v>8</v>
      </c>
      <c r="AE24" s="6">
        <f>MAX(Table142[B-ER])</f>
        <v>7</v>
      </c>
      <c r="AF24" s="6">
        <f>MAX(Table142[B-BB])</f>
        <v>4</v>
      </c>
      <c r="AG24" s="6">
        <f>MAX(Table142[B-SO])</f>
        <v>9</v>
      </c>
      <c r="AH24" s="6">
        <f>MAX(Table142[B-HR])</f>
        <v>2</v>
      </c>
      <c r="AI24" s="6">
        <f>MAX(Table142[B-HBP])</f>
        <v>2</v>
      </c>
      <c r="AJ24" s="6">
        <f>MAX(Table142[B-BF])</f>
        <v>42</v>
      </c>
      <c r="AK24" s="6"/>
      <c r="AL24" s="6"/>
      <c r="AM24" s="274"/>
      <c r="AN24" s="6">
        <f>MAX(Table142[AB1])</f>
        <v>6</v>
      </c>
      <c r="AO24" s="6">
        <f>MAX(Table142[R1])</f>
        <v>2</v>
      </c>
      <c r="AP24" s="6">
        <f>MAX(Table142[H1])</f>
        <v>3</v>
      </c>
      <c r="AQ24" s="6">
        <f>MAX(Table142[RBI1])</f>
        <v>1</v>
      </c>
      <c r="AR24" s="6">
        <f>MAX(Table142[BB1])</f>
        <v>2</v>
      </c>
      <c r="AS24" s="6">
        <f>MAX(Table142[SO1])</f>
        <v>3</v>
      </c>
      <c r="AT24" s="6">
        <f>MAX(Table142[HBP1])</f>
        <v>1</v>
      </c>
      <c r="AU24" s="6">
        <f>MAX(Table142[SF1])</f>
        <v>0</v>
      </c>
      <c r="AV24" s="6">
        <f>MAX(Table142[TB1])</f>
        <v>4</v>
      </c>
      <c r="AW24" s="274"/>
      <c r="AX24" s="6">
        <f>MAX(Table142[AB2])</f>
        <v>5</v>
      </c>
      <c r="AY24" s="6">
        <f>MAX(Table142[R2])</f>
        <v>3</v>
      </c>
      <c r="AZ24" s="6">
        <f>MAX(Table142[H2])</f>
        <v>3</v>
      </c>
      <c r="BA24" s="6">
        <f>MAX(Table142[RBI2])</f>
        <v>3</v>
      </c>
      <c r="BB24" s="6">
        <f>MAX(Table142[BB2])</f>
        <v>3</v>
      </c>
      <c r="BC24" s="6">
        <f>MAX(Table142[SO2])</f>
        <v>3</v>
      </c>
      <c r="BD24" s="6">
        <f>MAX(Table142[HBP2])</f>
        <v>1</v>
      </c>
      <c r="BE24" s="6">
        <f>MAX(Table142[SF2])</f>
        <v>0</v>
      </c>
      <c r="BF24" s="6">
        <f>MAX(Table142[TB2])</f>
        <v>7</v>
      </c>
      <c r="BG24" s="274"/>
      <c r="BH24" s="6">
        <f>MAX(Table142[AB3])</f>
        <v>5</v>
      </c>
      <c r="BI24" s="6">
        <f>MAX(Table142[R3])</f>
        <v>3</v>
      </c>
      <c r="BJ24" s="6">
        <f>MAX(Table142[H3])</f>
        <v>3</v>
      </c>
      <c r="BK24" s="6">
        <f>MAX(Table142[RBI3])</f>
        <v>2</v>
      </c>
      <c r="BL24" s="6">
        <f>MAX(Table142[BB3])</f>
        <v>2</v>
      </c>
      <c r="BM24" s="6">
        <f>MAX(Table142[SO3])</f>
        <v>2</v>
      </c>
      <c r="BN24" s="6">
        <f>MAX(Table142[HBP3])</f>
        <v>1</v>
      </c>
      <c r="BO24" s="6">
        <f>MAX(Table142[SF3])</f>
        <v>1</v>
      </c>
      <c r="BP24" s="6">
        <f>MAX(Table142[TB3])</f>
        <v>5</v>
      </c>
      <c r="BQ24" s="274"/>
      <c r="BR24" s="6">
        <f>MAX(Table142[AB4])</f>
        <v>6</v>
      </c>
      <c r="BS24" s="6">
        <f>MAX(Table142[R4])</f>
        <v>2</v>
      </c>
      <c r="BT24" s="6">
        <f>MAX(Table142[H4])</f>
        <v>3</v>
      </c>
      <c r="BU24" s="6">
        <f>MAX(Table142[RBI4])</f>
        <v>3</v>
      </c>
      <c r="BV24" s="6">
        <f>MAX(Table142[BB4])</f>
        <v>2</v>
      </c>
      <c r="BW24" s="6">
        <f>MAX(Table142[SO4])</f>
        <v>2</v>
      </c>
      <c r="BX24" s="6">
        <f>MAX(Table142[HBP4])</f>
        <v>1</v>
      </c>
      <c r="BY24" s="6">
        <f>MAX(Table142[SF4])</f>
        <v>0</v>
      </c>
      <c r="BZ24" s="6">
        <f>MAX(Table142[TB4])</f>
        <v>7</v>
      </c>
      <c r="CA24" s="274"/>
      <c r="CB24" s="6">
        <f>MAX(Table142[AB5])</f>
        <v>5</v>
      </c>
      <c r="CC24" s="6">
        <f>MAX(Table142[R5])</f>
        <v>3</v>
      </c>
      <c r="CD24" s="6">
        <f>MAX(Table142[H5])</f>
        <v>3</v>
      </c>
      <c r="CE24" s="6">
        <f>MAX(Table142[RBI5])</f>
        <v>2</v>
      </c>
      <c r="CF24" s="6">
        <f>MAX(Table142[BB5])</f>
        <v>2</v>
      </c>
      <c r="CG24" s="6">
        <f>MAX(Table142[SO5])</f>
        <v>2</v>
      </c>
      <c r="CH24" s="6">
        <f>MAX(Table142[HBP5])</f>
        <v>1</v>
      </c>
      <c r="CI24" s="6">
        <f>MAX(Table142[SF5])</f>
        <v>0</v>
      </c>
      <c r="CJ24" s="6">
        <f>MAX(Table142[TB5])</f>
        <v>4</v>
      </c>
      <c r="CK24" s="274"/>
      <c r="CL24" s="6">
        <f>MAX(Table142[AB6])</f>
        <v>5</v>
      </c>
      <c r="CM24" s="6">
        <f>MAX(Table142[R6])</f>
        <v>2</v>
      </c>
      <c r="CN24" s="6">
        <f>MAX(Table142[H6])</f>
        <v>4</v>
      </c>
      <c r="CO24" s="6">
        <f>MAX(Table142[RBI6])</f>
        <v>3</v>
      </c>
      <c r="CP24" s="6">
        <f>MAX(Table142[BB6])</f>
        <v>2</v>
      </c>
      <c r="CQ24" s="6">
        <f>MAX(Table142[SO6])</f>
        <v>1</v>
      </c>
      <c r="CR24" s="6">
        <f>MAX(Table142[HBP6])</f>
        <v>1</v>
      </c>
      <c r="CS24" s="6">
        <f>MAX(Table142[SF6])</f>
        <v>0</v>
      </c>
      <c r="CT24" s="6">
        <f>MAX(Table142[TB6])</f>
        <v>5</v>
      </c>
      <c r="CU24" s="274"/>
      <c r="CV24" s="6">
        <f>MAX(Table142[AB7])</f>
        <v>5</v>
      </c>
      <c r="CW24" s="6">
        <f>MAX(Table142[R7])</f>
        <v>2</v>
      </c>
      <c r="CX24" s="6">
        <f>MAX(Table142[H7])</f>
        <v>3</v>
      </c>
      <c r="CY24" s="6">
        <f>MAX(Table142[RBI7])</f>
        <v>4</v>
      </c>
      <c r="CZ24" s="6">
        <f>MAX(Table142[BB7])</f>
        <v>2</v>
      </c>
      <c r="DA24" s="6">
        <f>MAX(Table142[SO7])</f>
        <v>2</v>
      </c>
      <c r="DB24" s="6">
        <f>MAX(Table142[HBP7])</f>
        <v>0</v>
      </c>
      <c r="DC24" s="6">
        <f>MAX(Table142[SF7])</f>
        <v>0</v>
      </c>
      <c r="DD24" s="6">
        <f>MAX(Table142[TB7])</f>
        <v>5</v>
      </c>
      <c r="DE24" s="274"/>
      <c r="DF24" s="6">
        <f>MAX(Table142[AB8])</f>
        <v>5</v>
      </c>
      <c r="DG24" s="6">
        <f>MAX(Table142[R8])</f>
        <v>2</v>
      </c>
      <c r="DH24" s="6">
        <f>MAX(Table142[H8])</f>
        <v>2</v>
      </c>
      <c r="DI24" s="6">
        <f>MAX(Table142[RBI8])</f>
        <v>3</v>
      </c>
      <c r="DJ24" s="6">
        <f>MAX(Table142[BB8])</f>
        <v>2</v>
      </c>
      <c r="DK24" s="6">
        <f>MAX(Table142[SO8])</f>
        <v>3</v>
      </c>
      <c r="DL24" s="6">
        <f>MAX(Table142[HBP8])</f>
        <v>1</v>
      </c>
      <c r="DM24" s="6">
        <f>MAX(Table142[SF8])</f>
        <v>0</v>
      </c>
      <c r="DN24" s="6">
        <f>MAX(Table142[TB8])</f>
        <v>4</v>
      </c>
      <c r="DO24" s="274"/>
      <c r="DP24" s="6">
        <f>MAX(Table142[AB9])</f>
        <v>6</v>
      </c>
      <c r="DQ24" s="6">
        <f>MAX(Table142[R9])</f>
        <v>3</v>
      </c>
      <c r="DR24" s="6">
        <f>MAX(Table142[H9])</f>
        <v>3</v>
      </c>
      <c r="DS24" s="6">
        <f>MAX(Table142[RBI9])</f>
        <v>3</v>
      </c>
      <c r="DT24" s="6">
        <f>MAX(Table142[BB9])</f>
        <v>3</v>
      </c>
      <c r="DU24" s="6">
        <f>MAX(Table142[SO9])</f>
        <v>2</v>
      </c>
      <c r="DV24" s="6">
        <f>MAX(Table142[HBP9])</f>
        <v>1</v>
      </c>
      <c r="DW24" s="6">
        <f>MAX(Table142[SF9])</f>
        <v>0</v>
      </c>
      <c r="DX24" s="6">
        <f>MAX(Table142[TB9])</f>
        <v>5</v>
      </c>
      <c r="DY24" s="5">
        <f>MAX(Table142[IVL])</f>
        <v>8</v>
      </c>
      <c r="DZ24" s="6">
        <f>MAX(Table142[SVL])</f>
        <v>3</v>
      </c>
      <c r="EA24" s="6">
        <f>MAX(Table142[CVL])</f>
        <v>1</v>
      </c>
      <c r="EB24" s="5">
        <f>MAX(Table142[IVR])</f>
        <v>10</v>
      </c>
      <c r="EC24" s="6">
        <f>MAX(Table142[SVR])</f>
        <v>4</v>
      </c>
      <c r="ED24" s="6">
        <f>MAX(Table142[CVR])</f>
        <v>2</v>
      </c>
      <c r="EE24" s="6">
        <f>MAX(Table142[RI1])</f>
        <v>5</v>
      </c>
      <c r="EF24" s="6">
        <f>MAX(Table142[RI2])</f>
        <v>2</v>
      </c>
      <c r="EG24" s="6">
        <f>MAX(Table142[RI3])</f>
        <v>5</v>
      </c>
      <c r="EH24" s="6">
        <f>MAX(Table142[RI4])</f>
        <v>4</v>
      </c>
      <c r="EI24" s="6">
        <f>MAX(Table142[RI5])</f>
        <v>3</v>
      </c>
      <c r="EJ24" s="6">
        <f>MAX(Table142[RI6])</f>
        <v>5</v>
      </c>
      <c r="EK24" s="6">
        <f>MAX(Table142[RI7])</f>
        <v>3</v>
      </c>
      <c r="EL24" s="6">
        <f>MAX(Table142[RI8])</f>
        <v>5</v>
      </c>
      <c r="EM24" s="6">
        <f>MAX(Table142[RI9])</f>
        <v>3</v>
      </c>
      <c r="EN24" s="6">
        <f>MAX(Table142[RI10])</f>
        <v>1</v>
      </c>
      <c r="EO24" s="6">
        <f>MAX(Table142[RI11])</f>
        <v>0</v>
      </c>
      <c r="EP24" s="6">
        <f>MAX(Table142[RI12])</f>
        <v>0</v>
      </c>
      <c r="EQ24" s="6">
        <f>MAX(Table142[RT])</f>
        <v>14</v>
      </c>
      <c r="ER24" s="6">
        <f>MAX(Table142[OI1])</f>
        <v>7</v>
      </c>
      <c r="ES24" s="6">
        <f>MAX(Table142[OI2])</f>
        <v>4</v>
      </c>
      <c r="ET24" s="6">
        <f>MAX(Table142[OI3])</f>
        <v>5</v>
      </c>
      <c r="EU24" s="6">
        <f>MAX(Table142[OI4])</f>
        <v>3</v>
      </c>
      <c r="EV24" s="6">
        <f>MAX(Table142[OI5])</f>
        <v>3</v>
      </c>
      <c r="EW24" s="6">
        <f>MAX(Table142[OI6])</f>
        <v>6</v>
      </c>
      <c r="EX24" s="6">
        <f>MAX(Table142[OI7])</f>
        <v>3</v>
      </c>
      <c r="EY24" s="6">
        <f>MAX(Table142[OI8])</f>
        <v>1</v>
      </c>
      <c r="EZ24" s="6">
        <f>MAX(Table142[OI9])</f>
        <v>2</v>
      </c>
      <c r="FA24" s="6">
        <f>MAX(Table142[OI10])</f>
        <v>2</v>
      </c>
      <c r="FB24" s="6">
        <f>MAX(Table142[OI11])</f>
        <v>0</v>
      </c>
      <c r="FC24" s="6">
        <f>MAX(Table142[OI12])</f>
        <v>0</v>
      </c>
      <c r="FD24" s="6">
        <f>MAX(Table142[OT])</f>
        <v>9</v>
      </c>
      <c r="FG24" s="273" t="s">
        <v>227</v>
      </c>
    </row>
    <row r="25" spans="1:163" x14ac:dyDescent="0.25">
      <c r="A25" s="276" t="s">
        <v>228</v>
      </c>
      <c r="B25" s="268"/>
      <c r="C25" s="268"/>
      <c r="D25" s="268"/>
      <c r="E25" s="4"/>
      <c r="F25" s="275"/>
      <c r="G25" s="274"/>
      <c r="H25" s="274"/>
      <c r="I25" s="274"/>
      <c r="J25" s="5">
        <f>QUARTILE(Table142[S-IP],3)</f>
        <v>4</v>
      </c>
      <c r="K25" s="6">
        <f>QUARTILE(Table142[S-H],3)</f>
        <v>4</v>
      </c>
      <c r="L25" s="6">
        <f>QUARTILE(Table142[S-R],3)</f>
        <v>4</v>
      </c>
      <c r="M25" s="6">
        <f>QUARTILE(Table142[S-ER],3)</f>
        <v>3</v>
      </c>
      <c r="N25" s="6">
        <f>QUARTILE(Table142[S-BB],3)</f>
        <v>2</v>
      </c>
      <c r="O25" s="6">
        <f>QUARTILE(Table142[S-SO],3)</f>
        <v>3</v>
      </c>
      <c r="P25" s="6">
        <f>QUARTILE(Table142[S-HR],3)</f>
        <v>0</v>
      </c>
      <c r="Q25" s="6">
        <f>QUARTILE(Table142[S-HBP],3)</f>
        <v>1</v>
      </c>
      <c r="R25" s="6">
        <f>QUARTILE(Table142[S-BF],3)</f>
        <v>17</v>
      </c>
      <c r="S25" s="6"/>
      <c r="T25" s="6"/>
      <c r="U25" s="6">
        <f>QUARTILE(Table142[IRL],3)</f>
        <v>1.5</v>
      </c>
      <c r="V25" s="6">
        <f>QUARTILE(Table142[IRS],3)</f>
        <v>1</v>
      </c>
      <c r="W25" s="274"/>
      <c r="X25" s="274"/>
      <c r="Y25" s="274"/>
      <c r="Z25" s="274"/>
      <c r="AA25" s="274"/>
      <c r="AB25" s="5">
        <f>QUARTILE(Table142[B-IP],3)</f>
        <v>6</v>
      </c>
      <c r="AC25" s="6">
        <f>QUARTILE(Table142[B-H],3)</f>
        <v>7.5</v>
      </c>
      <c r="AD25" s="6">
        <f>QUARTILE(Table142[B-R],3)</f>
        <v>4.5</v>
      </c>
      <c r="AE25" s="6">
        <f>QUARTILE(Table142[B-ER],3)</f>
        <v>4.5</v>
      </c>
      <c r="AF25" s="6">
        <f>QUARTILE(Table142[B-BB],3)</f>
        <v>3</v>
      </c>
      <c r="AG25" s="6">
        <f>QUARTILE(Table142[B-SO],3)</f>
        <v>6</v>
      </c>
      <c r="AH25" s="6">
        <f>QUARTILE(Table142[B-HR],3)</f>
        <v>1</v>
      </c>
      <c r="AI25" s="6">
        <f>QUARTILE(Table142[B-HBP],3)</f>
        <v>1</v>
      </c>
      <c r="AJ25" s="6">
        <f>QUARTILE(Table142[B-BF],3)</f>
        <v>28</v>
      </c>
      <c r="AK25" s="6"/>
      <c r="AL25" s="6"/>
      <c r="AM25" s="274"/>
      <c r="AN25" s="6">
        <f>QUARTILE(Table142[AB1],3)</f>
        <v>4.5</v>
      </c>
      <c r="AO25" s="6">
        <f>QUARTILE(Table142[R1],3)</f>
        <v>1</v>
      </c>
      <c r="AP25" s="6">
        <f>QUARTILE(Table142[H1],3)</f>
        <v>1.5</v>
      </c>
      <c r="AQ25" s="6">
        <f>QUARTILE(Table142[RBI1],3)</f>
        <v>0</v>
      </c>
      <c r="AR25" s="6">
        <f>QUARTILE(Table142[BB1],3)</f>
        <v>1</v>
      </c>
      <c r="AS25" s="6">
        <f>QUARTILE(Table142[SO1],3)</f>
        <v>2</v>
      </c>
      <c r="AT25" s="6">
        <f>QUARTILE(Table142[HBP1],3)</f>
        <v>0</v>
      </c>
      <c r="AU25" s="6">
        <f>QUARTILE(Table142[SF1],3)</f>
        <v>0</v>
      </c>
      <c r="AV25" s="6">
        <f>QUARTILE(Table142[TB1],3)</f>
        <v>1.5</v>
      </c>
      <c r="AW25" s="274"/>
      <c r="AX25" s="6">
        <f>QUARTILE(Table142[AB2],3)</f>
        <v>4</v>
      </c>
      <c r="AY25" s="6">
        <f>QUARTILE(Table142[R2],3)</f>
        <v>1</v>
      </c>
      <c r="AZ25" s="6">
        <f>QUARTILE(Table142[H2],3)</f>
        <v>2</v>
      </c>
      <c r="BA25" s="6">
        <f>QUARTILE(Table142[RBI2],3)</f>
        <v>0</v>
      </c>
      <c r="BB25" s="6">
        <f>QUARTILE(Table142[BB2],3)</f>
        <v>1</v>
      </c>
      <c r="BC25" s="6">
        <f>QUARTILE(Table142[SO2],3)</f>
        <v>1</v>
      </c>
      <c r="BD25" s="6">
        <f>QUARTILE(Table142[HBP2],3)</f>
        <v>0</v>
      </c>
      <c r="BE25" s="6">
        <f>QUARTILE(Table142[SF2],3)</f>
        <v>0</v>
      </c>
      <c r="BF25" s="6">
        <f>QUARTILE(Table142[TB2],3)</f>
        <v>2</v>
      </c>
      <c r="BG25" s="274"/>
      <c r="BH25" s="6">
        <f>QUARTILE(Table142[AB3],3)</f>
        <v>4</v>
      </c>
      <c r="BI25" s="6">
        <f>QUARTILE(Table142[R3],3)</f>
        <v>1</v>
      </c>
      <c r="BJ25" s="6">
        <f>QUARTILE(Table142[H3],3)</f>
        <v>2</v>
      </c>
      <c r="BK25" s="6">
        <f>QUARTILE(Table142[RBI3],3)</f>
        <v>1</v>
      </c>
      <c r="BL25" s="6">
        <f>QUARTILE(Table142[BB3],3)</f>
        <v>1</v>
      </c>
      <c r="BM25" s="6">
        <f>QUARTILE(Table142[SO3],3)</f>
        <v>1</v>
      </c>
      <c r="BN25" s="6">
        <f>QUARTILE(Table142[HBP3],3)</f>
        <v>0</v>
      </c>
      <c r="BO25" s="6">
        <f>QUARTILE(Table142[SF3],3)</f>
        <v>0</v>
      </c>
      <c r="BP25" s="6">
        <f>QUARTILE(Table142[TB3],3)</f>
        <v>2</v>
      </c>
      <c r="BQ25" s="274"/>
      <c r="BR25" s="6">
        <f>QUARTILE(Table142[AB4],3)</f>
        <v>5</v>
      </c>
      <c r="BS25" s="6">
        <f>QUARTILE(Table142[R4],3)</f>
        <v>1.5</v>
      </c>
      <c r="BT25" s="6">
        <f>QUARTILE(Table142[H4],3)</f>
        <v>2</v>
      </c>
      <c r="BU25" s="6">
        <f>QUARTILE(Table142[RBI4],3)</f>
        <v>1.5</v>
      </c>
      <c r="BV25" s="6">
        <f>QUARTILE(Table142[BB4],3)</f>
        <v>1</v>
      </c>
      <c r="BW25" s="6">
        <f>QUARTILE(Table142[SO4],3)</f>
        <v>1</v>
      </c>
      <c r="BX25" s="6">
        <f>QUARTILE(Table142[HBP4],3)</f>
        <v>0</v>
      </c>
      <c r="BY25" s="6">
        <f>QUARTILE(Table142[SF4],3)</f>
        <v>0</v>
      </c>
      <c r="BZ25" s="6">
        <f>QUARTILE(Table142[TB4],3)</f>
        <v>3.5</v>
      </c>
      <c r="CA25" s="274"/>
      <c r="CB25" s="6">
        <f>QUARTILE(Table142[AB5],3)</f>
        <v>4</v>
      </c>
      <c r="CC25" s="6">
        <f>QUARTILE(Table142[R5],3)</f>
        <v>1</v>
      </c>
      <c r="CD25" s="6">
        <f>QUARTILE(Table142[H5],3)</f>
        <v>2</v>
      </c>
      <c r="CE25" s="6">
        <f>QUARTILE(Table142[RBI5],3)</f>
        <v>1</v>
      </c>
      <c r="CF25" s="6">
        <f>QUARTILE(Table142[BB5],3)</f>
        <v>1</v>
      </c>
      <c r="CG25" s="6">
        <f>QUARTILE(Table142[SO5],3)</f>
        <v>0</v>
      </c>
      <c r="CH25" s="6">
        <f>QUARTILE(Table142[HBP5],3)</f>
        <v>0</v>
      </c>
      <c r="CI25" s="6">
        <f>QUARTILE(Table142[SF5],3)</f>
        <v>0</v>
      </c>
      <c r="CJ25" s="6">
        <f>QUARTILE(Table142[TB5],3)</f>
        <v>2.5</v>
      </c>
      <c r="CK25" s="274"/>
      <c r="CL25" s="6">
        <f>QUARTILE(Table142[AB6],3)</f>
        <v>4.5</v>
      </c>
      <c r="CM25" s="6">
        <f>QUARTILE(Table142[R6],3)</f>
        <v>1</v>
      </c>
      <c r="CN25" s="6">
        <f>QUARTILE(Table142[H6],3)</f>
        <v>2</v>
      </c>
      <c r="CO25" s="6">
        <f>QUARTILE(Table142[RBI6],3)</f>
        <v>1</v>
      </c>
      <c r="CP25" s="6">
        <f>QUARTILE(Table142[BB6],3)</f>
        <v>1</v>
      </c>
      <c r="CQ25" s="6">
        <f>QUARTILE(Table142[SO6],3)</f>
        <v>0.5</v>
      </c>
      <c r="CR25" s="6">
        <f>QUARTILE(Table142[HBP6],3)</f>
        <v>0</v>
      </c>
      <c r="CS25" s="6">
        <f>QUARTILE(Table142[SF6],3)</f>
        <v>0</v>
      </c>
      <c r="CT25" s="6">
        <f>QUARTILE(Table142[TB6],3)</f>
        <v>2.5</v>
      </c>
      <c r="CU25" s="274"/>
      <c r="CV25" s="6">
        <f>QUARTILE(Table142[AB7],3)</f>
        <v>4</v>
      </c>
      <c r="CW25" s="6">
        <f>QUARTILE(Table142[R7],3)</f>
        <v>1</v>
      </c>
      <c r="CX25" s="6">
        <f>QUARTILE(Table142[H7],3)</f>
        <v>1</v>
      </c>
      <c r="CY25" s="6">
        <f>QUARTILE(Table142[RBI7],3)</f>
        <v>1</v>
      </c>
      <c r="CZ25" s="6">
        <f>QUARTILE(Table142[BB7],3)</f>
        <v>1</v>
      </c>
      <c r="DA25" s="6">
        <f>QUARTILE(Table142[SO7],3)</f>
        <v>1</v>
      </c>
      <c r="DB25" s="6">
        <f>QUARTILE(Table142[HBP7],3)</f>
        <v>0</v>
      </c>
      <c r="DC25" s="6">
        <f>QUARTILE(Table142[SF7],3)</f>
        <v>0</v>
      </c>
      <c r="DD25" s="6">
        <f>QUARTILE(Table142[TB7],3)</f>
        <v>2.5</v>
      </c>
      <c r="DE25" s="274"/>
      <c r="DF25" s="6">
        <f>QUARTILE(Table142[AB8],3)</f>
        <v>4</v>
      </c>
      <c r="DG25" s="6">
        <f>QUARTILE(Table142[R8],3)</f>
        <v>1</v>
      </c>
      <c r="DH25" s="6">
        <f>QUARTILE(Table142[H8],3)</f>
        <v>1</v>
      </c>
      <c r="DI25" s="6">
        <f>QUARTILE(Table142[RBI8],3)</f>
        <v>1</v>
      </c>
      <c r="DJ25" s="6">
        <f>QUARTILE(Table142[BB8],3)</f>
        <v>1</v>
      </c>
      <c r="DK25" s="6">
        <f>QUARTILE(Table142[SO8],3)</f>
        <v>1.5</v>
      </c>
      <c r="DL25" s="6">
        <f>QUARTILE(Table142[HBP8],3)</f>
        <v>0</v>
      </c>
      <c r="DM25" s="6">
        <f>QUARTILE(Table142[SF8],3)</f>
        <v>0</v>
      </c>
      <c r="DN25" s="6">
        <f>QUARTILE(Table142[TB8],3)</f>
        <v>1.5</v>
      </c>
      <c r="DO25" s="274"/>
      <c r="DP25" s="6">
        <f>QUARTILE(Table142[AB9],3)</f>
        <v>4</v>
      </c>
      <c r="DQ25" s="6">
        <f>QUARTILE(Table142[R9],3)</f>
        <v>1</v>
      </c>
      <c r="DR25" s="6">
        <f>QUARTILE(Table142[H9],3)</f>
        <v>1.5</v>
      </c>
      <c r="DS25" s="6">
        <f>QUARTILE(Table142[RBI9],3)</f>
        <v>1</v>
      </c>
      <c r="DT25" s="6">
        <f>QUARTILE(Table142[BB9],3)</f>
        <v>1</v>
      </c>
      <c r="DU25" s="6">
        <f>QUARTILE(Table142[SO9],3)</f>
        <v>1</v>
      </c>
      <c r="DV25" s="6">
        <f>QUARTILE(Table142[HBP9],3)</f>
        <v>0</v>
      </c>
      <c r="DW25" s="6">
        <f>QUARTILE(Table142[SF9],3)</f>
        <v>0</v>
      </c>
      <c r="DX25" s="6">
        <f>QUARTILE(Table142[TB9],3)</f>
        <v>2</v>
      </c>
      <c r="DY25" s="5">
        <f>QUARTILE(Table142[IVL],3)</f>
        <v>3.166666666666667</v>
      </c>
      <c r="DZ25" s="6">
        <f>QUARTILE(Table142[SVL],3)</f>
        <v>0</v>
      </c>
      <c r="EA25" s="6">
        <f>QUARTILE(Table142[CVL],3)</f>
        <v>0</v>
      </c>
      <c r="EB25" s="5">
        <f>QUARTILE(Table142[IVR],3)</f>
        <v>8.6666666666666679</v>
      </c>
      <c r="EC25" s="6">
        <f>QUARTILE(Table142[SVR],3)</f>
        <v>2.5</v>
      </c>
      <c r="ED25" s="6">
        <f>QUARTILE(Table142[CVR],3)</f>
        <v>1</v>
      </c>
      <c r="EE25" s="6">
        <f>QUARTILE(Table142[RI1],3)</f>
        <v>1.5</v>
      </c>
      <c r="EF25" s="6">
        <f>QUARTILE(Table142[RI2],3)</f>
        <v>0</v>
      </c>
      <c r="EG25" s="6">
        <f>QUARTILE(Table142[RI3],3)</f>
        <v>0.5</v>
      </c>
      <c r="EH25" s="6">
        <f>QUARTILE(Table142[RI4],3)</f>
        <v>2</v>
      </c>
      <c r="EI25" s="6">
        <f>QUARTILE(Table142[RI5],3)</f>
        <v>1</v>
      </c>
      <c r="EJ25" s="6">
        <f>QUARTILE(Table142[RI6],3)</f>
        <v>1</v>
      </c>
      <c r="EK25" s="6">
        <f>QUARTILE(Table142[RI7],3)</f>
        <v>1</v>
      </c>
      <c r="EL25" s="6">
        <f>QUARTILE(Table142[RI8],3)</f>
        <v>0.5</v>
      </c>
      <c r="EM25" s="6">
        <f>QUARTILE(Table142[RI9],3)</f>
        <v>1</v>
      </c>
      <c r="EN25" s="6">
        <f>QUARTILE(Table142[RI10],3)</f>
        <v>1</v>
      </c>
      <c r="EO25" s="6" t="e">
        <f>QUARTILE(Table142[RI11],3)</f>
        <v>#NUM!</v>
      </c>
      <c r="EP25" s="6" t="e">
        <f>QUARTILE(Table142[RI12],3)</f>
        <v>#NUM!</v>
      </c>
      <c r="EQ25" s="6">
        <f>QUARTILE(Table142[RT],3)</f>
        <v>9</v>
      </c>
      <c r="ER25" s="6">
        <f>QUARTILE(Table142[OI1],3)</f>
        <v>1</v>
      </c>
      <c r="ES25" s="6">
        <f>QUARTILE(Table142[OI2],3)</f>
        <v>2</v>
      </c>
      <c r="ET25" s="6">
        <f>QUARTILE(Table142[OI3],3)</f>
        <v>2</v>
      </c>
      <c r="EU25" s="6">
        <f>QUARTILE(Table142[OI4],3)</f>
        <v>0.5</v>
      </c>
      <c r="EV25" s="6">
        <f>QUARTILE(Table142[OI5],3)</f>
        <v>1.5</v>
      </c>
      <c r="EW25" s="6">
        <f>QUARTILE(Table142[OI6],3)</f>
        <v>0.5</v>
      </c>
      <c r="EX25" s="6">
        <f>QUARTILE(Table142[OI7],3)</f>
        <v>0.5</v>
      </c>
      <c r="EY25" s="6">
        <f>QUARTILE(Table142[OI8],3)</f>
        <v>1</v>
      </c>
      <c r="EZ25" s="6">
        <f>QUARTILE(Table142[OI9],3)</f>
        <v>0.25</v>
      </c>
      <c r="FA25" s="6">
        <f>QUARTILE(Table142[OI10],3)</f>
        <v>1.5</v>
      </c>
      <c r="FB25" s="6" t="e">
        <f>QUARTILE(Table142[OI11],3)</f>
        <v>#NUM!</v>
      </c>
      <c r="FC25" s="6" t="e">
        <f>QUARTILE(Table142[OI12],3)</f>
        <v>#NUM!</v>
      </c>
      <c r="FD25" s="6">
        <f>QUARTILE(Table142[OT],3)</f>
        <v>7.5</v>
      </c>
      <c r="FG25" s="273" t="s">
        <v>228</v>
      </c>
    </row>
    <row r="26" spans="1:163" x14ac:dyDescent="0.25">
      <c r="A26" s="276" t="s">
        <v>229</v>
      </c>
      <c r="B26" s="268"/>
      <c r="C26" s="268"/>
      <c r="D26" s="268"/>
      <c r="E26" s="4"/>
      <c r="F26" s="275"/>
      <c r="G26" s="274"/>
      <c r="H26" s="274"/>
      <c r="I26" s="274"/>
      <c r="J26" s="5">
        <f>MEDIAN(Table142[S-IP])</f>
        <v>3.6666666666666665</v>
      </c>
      <c r="K26" s="6">
        <f>MEDIAN(Table142[S-H])</f>
        <v>3</v>
      </c>
      <c r="L26" s="6">
        <f>MEDIAN(Table142[S-R])</f>
        <v>2</v>
      </c>
      <c r="M26" s="6">
        <f>MEDIAN(Table142[S-ER])</f>
        <v>2</v>
      </c>
      <c r="N26" s="6">
        <f>MEDIAN(Table142[S-BB])</f>
        <v>2</v>
      </c>
      <c r="O26" s="6">
        <f>MEDIAN(Table142[S-SO])</f>
        <v>3</v>
      </c>
      <c r="P26" s="6">
        <f>MEDIAN(Table142[S-HR])</f>
        <v>0</v>
      </c>
      <c r="Q26" s="6">
        <f>MEDIAN(Table142[S-HBP])</f>
        <v>0</v>
      </c>
      <c r="R26" s="6">
        <f>MEDIAN(Table142[S-BF])</f>
        <v>15</v>
      </c>
      <c r="S26" s="6"/>
      <c r="T26" s="6"/>
      <c r="U26" s="6">
        <f>MEDIAN(Table142[IRL])</f>
        <v>0</v>
      </c>
      <c r="V26" s="6">
        <f>MEDIAN(Table142[IRS])</f>
        <v>0</v>
      </c>
      <c r="W26" s="274"/>
      <c r="X26" s="274"/>
      <c r="Y26" s="274"/>
      <c r="Z26" s="274"/>
      <c r="AA26" s="274"/>
      <c r="AB26" s="5">
        <f>MEDIAN(Table142[B-IP])</f>
        <v>5.333333333333333</v>
      </c>
      <c r="AC26" s="6">
        <f>MEDIAN(Table142[B-H])</f>
        <v>4</v>
      </c>
      <c r="AD26" s="6">
        <f>MEDIAN(Table142[B-R])</f>
        <v>3</v>
      </c>
      <c r="AE26" s="6">
        <f>MEDIAN(Table142[B-ER])</f>
        <v>3</v>
      </c>
      <c r="AF26" s="6">
        <f>MEDIAN(Table142[B-BB])</f>
        <v>2</v>
      </c>
      <c r="AG26" s="6">
        <f>MEDIAN(Table142[B-SO])</f>
        <v>4</v>
      </c>
      <c r="AH26" s="6">
        <f>MEDIAN(Table142[B-HR])</f>
        <v>0</v>
      </c>
      <c r="AI26" s="6">
        <f>MEDIAN(Table142[B-HBP])</f>
        <v>0</v>
      </c>
      <c r="AJ26" s="6">
        <f>MEDIAN(Table142[B-BF])</f>
        <v>23</v>
      </c>
      <c r="AK26" s="6"/>
      <c r="AL26" s="6"/>
      <c r="AM26" s="274"/>
      <c r="AN26" s="6">
        <f>MEDIAN(Table142[AB1])</f>
        <v>4</v>
      </c>
      <c r="AO26" s="6">
        <f>MEDIAN(Table142[R1])</f>
        <v>1</v>
      </c>
      <c r="AP26" s="6">
        <f>MEDIAN(Table142[H1])</f>
        <v>1</v>
      </c>
      <c r="AQ26" s="6">
        <f>MEDIAN(Table142[RBI1])</f>
        <v>0</v>
      </c>
      <c r="AR26" s="6">
        <f>MEDIAN(Table142[BB1])</f>
        <v>0</v>
      </c>
      <c r="AS26" s="6">
        <f>MEDIAN(Table142[SO1])</f>
        <v>1</v>
      </c>
      <c r="AT26" s="6">
        <f>MEDIAN(Table142[HBP1])</f>
        <v>0</v>
      </c>
      <c r="AU26" s="6">
        <f>MEDIAN(Table142[SF1])</f>
        <v>0</v>
      </c>
      <c r="AV26" s="6">
        <f>MEDIAN(Table142[TB1])</f>
        <v>1</v>
      </c>
      <c r="AW26" s="274"/>
      <c r="AX26" s="6">
        <f>MEDIAN(Table142[AB2])</f>
        <v>4</v>
      </c>
      <c r="AY26" s="6">
        <f>MEDIAN(Table142[R2])</f>
        <v>1</v>
      </c>
      <c r="AZ26" s="6">
        <f>MEDIAN(Table142[H2])</f>
        <v>1</v>
      </c>
      <c r="BA26" s="6">
        <f>MEDIAN(Table142[RBI2])</f>
        <v>0</v>
      </c>
      <c r="BB26" s="6">
        <f>MEDIAN(Table142[BB2])</f>
        <v>1</v>
      </c>
      <c r="BC26" s="6">
        <f>MEDIAN(Table142[SO2])</f>
        <v>1</v>
      </c>
      <c r="BD26" s="6">
        <f>MEDIAN(Table142[HBP2])</f>
        <v>0</v>
      </c>
      <c r="BE26" s="6">
        <f>MEDIAN(Table142[SF2])</f>
        <v>0</v>
      </c>
      <c r="BF26" s="6">
        <f>MEDIAN(Table142[TB2])</f>
        <v>1</v>
      </c>
      <c r="BG26" s="274"/>
      <c r="BH26" s="6">
        <f>MEDIAN(Table142[AB3])</f>
        <v>4</v>
      </c>
      <c r="BI26" s="6">
        <f>MEDIAN(Table142[R3])</f>
        <v>1</v>
      </c>
      <c r="BJ26" s="6">
        <f>MEDIAN(Table142[H3])</f>
        <v>1</v>
      </c>
      <c r="BK26" s="6">
        <f>MEDIAN(Table142[RBI3])</f>
        <v>0</v>
      </c>
      <c r="BL26" s="6">
        <f>MEDIAN(Table142[BB3])</f>
        <v>0</v>
      </c>
      <c r="BM26" s="6">
        <f>MEDIAN(Table142[SO3])</f>
        <v>1</v>
      </c>
      <c r="BN26" s="6">
        <f>MEDIAN(Table142[HBP3])</f>
        <v>0</v>
      </c>
      <c r="BO26" s="6">
        <f>MEDIAN(Table142[SF3])</f>
        <v>0</v>
      </c>
      <c r="BP26" s="6">
        <f>MEDIAN(Table142[TB3])</f>
        <v>1</v>
      </c>
      <c r="BQ26" s="274"/>
      <c r="BR26" s="6">
        <f>MEDIAN(Table142[AB4])</f>
        <v>4</v>
      </c>
      <c r="BS26" s="6">
        <f>MEDIAN(Table142[R4])</f>
        <v>1</v>
      </c>
      <c r="BT26" s="6">
        <f>MEDIAN(Table142[H4])</f>
        <v>1</v>
      </c>
      <c r="BU26" s="6">
        <f>MEDIAN(Table142[RBI4])</f>
        <v>0</v>
      </c>
      <c r="BV26" s="6">
        <f>MEDIAN(Table142[BB4])</f>
        <v>0</v>
      </c>
      <c r="BW26" s="6">
        <f>MEDIAN(Table142[SO4])</f>
        <v>1</v>
      </c>
      <c r="BX26" s="6">
        <f>MEDIAN(Table142[HBP4])</f>
        <v>0</v>
      </c>
      <c r="BY26" s="6">
        <f>MEDIAN(Table142[SF4])</f>
        <v>0</v>
      </c>
      <c r="BZ26" s="6">
        <f>MEDIAN(Table142[TB4])</f>
        <v>1</v>
      </c>
      <c r="CA26" s="274"/>
      <c r="CB26" s="6">
        <f>MEDIAN(Table142[AB5])</f>
        <v>4</v>
      </c>
      <c r="CC26" s="6">
        <f>MEDIAN(Table142[R5])</f>
        <v>1</v>
      </c>
      <c r="CD26" s="6">
        <f>MEDIAN(Table142[H5])</f>
        <v>1</v>
      </c>
      <c r="CE26" s="6">
        <f>MEDIAN(Table142[RBI5])</f>
        <v>1</v>
      </c>
      <c r="CF26" s="6">
        <f>MEDIAN(Table142[BB5])</f>
        <v>0</v>
      </c>
      <c r="CG26" s="6">
        <f>MEDIAN(Table142[SO5])</f>
        <v>0</v>
      </c>
      <c r="CH26" s="6">
        <f>MEDIAN(Table142[HBP5])</f>
        <v>0</v>
      </c>
      <c r="CI26" s="6">
        <f>MEDIAN(Table142[SF5])</f>
        <v>0</v>
      </c>
      <c r="CJ26" s="6">
        <f>MEDIAN(Table142[TB5])</f>
        <v>2</v>
      </c>
      <c r="CK26" s="274"/>
      <c r="CL26" s="6">
        <f>MEDIAN(Table142[AB6])</f>
        <v>4</v>
      </c>
      <c r="CM26" s="6">
        <f>MEDIAN(Table142[R6])</f>
        <v>0</v>
      </c>
      <c r="CN26" s="6">
        <f>MEDIAN(Table142[H6])</f>
        <v>1</v>
      </c>
      <c r="CO26" s="6">
        <f>MEDIAN(Table142[RBI6])</f>
        <v>0</v>
      </c>
      <c r="CP26" s="6">
        <f>MEDIAN(Table142[BB6])</f>
        <v>0</v>
      </c>
      <c r="CQ26" s="6">
        <f>MEDIAN(Table142[SO6])</f>
        <v>0</v>
      </c>
      <c r="CR26" s="6">
        <f>MEDIAN(Table142[HBP6])</f>
        <v>0</v>
      </c>
      <c r="CS26" s="6">
        <f>MEDIAN(Table142[SF6])</f>
        <v>0</v>
      </c>
      <c r="CT26" s="6">
        <f>MEDIAN(Table142[TB6])</f>
        <v>1</v>
      </c>
      <c r="CU26" s="274"/>
      <c r="CV26" s="6">
        <f>MEDIAN(Table142[AB7])</f>
        <v>4</v>
      </c>
      <c r="CW26" s="6">
        <f>MEDIAN(Table142[R7])</f>
        <v>0</v>
      </c>
      <c r="CX26" s="6">
        <f>MEDIAN(Table142[H7])</f>
        <v>1</v>
      </c>
      <c r="CY26" s="6">
        <f>MEDIAN(Table142[RBI7])</f>
        <v>0</v>
      </c>
      <c r="CZ26" s="6">
        <f>MEDIAN(Table142[BB7])</f>
        <v>0</v>
      </c>
      <c r="DA26" s="6">
        <f>MEDIAN(Table142[SO7])</f>
        <v>1</v>
      </c>
      <c r="DB26" s="6">
        <f>MEDIAN(Table142[HBP7])</f>
        <v>0</v>
      </c>
      <c r="DC26" s="6">
        <f>MEDIAN(Table142[SF7])</f>
        <v>0</v>
      </c>
      <c r="DD26" s="6">
        <f>MEDIAN(Table142[TB7])</f>
        <v>1</v>
      </c>
      <c r="DE26" s="274"/>
      <c r="DF26" s="6">
        <f>MEDIAN(Table142[AB8])</f>
        <v>3</v>
      </c>
      <c r="DG26" s="6">
        <f>MEDIAN(Table142[R8])</f>
        <v>0</v>
      </c>
      <c r="DH26" s="6">
        <f>MEDIAN(Table142[H8])</f>
        <v>1</v>
      </c>
      <c r="DI26" s="6">
        <f>MEDIAN(Table142[RBI8])</f>
        <v>0</v>
      </c>
      <c r="DJ26" s="6">
        <f>MEDIAN(Table142[BB8])</f>
        <v>0</v>
      </c>
      <c r="DK26" s="6">
        <f>MEDIAN(Table142[SO8])</f>
        <v>1</v>
      </c>
      <c r="DL26" s="6">
        <f>MEDIAN(Table142[HBP8])</f>
        <v>0</v>
      </c>
      <c r="DM26" s="6">
        <f>MEDIAN(Table142[SF8])</f>
        <v>0</v>
      </c>
      <c r="DN26" s="6">
        <f>MEDIAN(Table142[TB8])</f>
        <v>1</v>
      </c>
      <c r="DO26" s="274"/>
      <c r="DP26" s="6">
        <f>MEDIAN(Table142[AB9])</f>
        <v>3</v>
      </c>
      <c r="DQ26" s="6">
        <f>MEDIAN(Table142[R9])</f>
        <v>0</v>
      </c>
      <c r="DR26" s="6">
        <f>MEDIAN(Table142[H9])</f>
        <v>1</v>
      </c>
      <c r="DS26" s="6">
        <f>MEDIAN(Table142[RBI9])</f>
        <v>0</v>
      </c>
      <c r="DT26" s="6">
        <f>MEDIAN(Table142[BB9])</f>
        <v>0</v>
      </c>
      <c r="DU26" s="6">
        <f>MEDIAN(Table142[SO9])</f>
        <v>1</v>
      </c>
      <c r="DV26" s="6">
        <f>MEDIAN(Table142[HBP9])</f>
        <v>0</v>
      </c>
      <c r="DW26" s="6">
        <f>MEDIAN(Table142[SF9])</f>
        <v>0</v>
      </c>
      <c r="DX26" s="6">
        <f>MEDIAN(Table142[TB9])</f>
        <v>1</v>
      </c>
      <c r="DY26" s="5">
        <f>MEDIAN(Table142[IVL])</f>
        <v>1.3333333333333333</v>
      </c>
      <c r="DZ26" s="6">
        <f>MEDIAN(Table142[SVL])</f>
        <v>0</v>
      </c>
      <c r="EA26" s="6">
        <f>MEDIAN(Table142[CVL])</f>
        <v>0</v>
      </c>
      <c r="EB26" s="5">
        <f>MEDIAN(Table142[IVR])</f>
        <v>7.666666666666667</v>
      </c>
      <c r="EC26" s="6">
        <f>MEDIAN(Table142[SVR])</f>
        <v>2</v>
      </c>
      <c r="ED26" s="6">
        <f>MEDIAN(Table142[CVR])</f>
        <v>1</v>
      </c>
      <c r="EE26" s="6">
        <f>MEDIAN(Table142[RI1])</f>
        <v>1</v>
      </c>
      <c r="EF26" s="6">
        <f>MEDIAN(Table142[RI2])</f>
        <v>0</v>
      </c>
      <c r="EG26" s="6">
        <f>MEDIAN(Table142[RI3])</f>
        <v>0</v>
      </c>
      <c r="EH26" s="6">
        <f>MEDIAN(Table142[RI4])</f>
        <v>1</v>
      </c>
      <c r="EI26" s="6">
        <f>MEDIAN(Table142[RI5])</f>
        <v>0</v>
      </c>
      <c r="EJ26" s="6">
        <f>MEDIAN(Table142[RI6])</f>
        <v>0</v>
      </c>
      <c r="EK26" s="6">
        <f>MEDIAN(Table142[RI7])</f>
        <v>0</v>
      </c>
      <c r="EL26" s="6">
        <f>MEDIAN(Table142[RI8])</f>
        <v>0</v>
      </c>
      <c r="EM26" s="6">
        <f>MEDIAN(Table142[RI9])</f>
        <v>0</v>
      </c>
      <c r="EN26" s="6">
        <f>MEDIAN(Table142[RI10])</f>
        <v>1</v>
      </c>
      <c r="EO26" s="6" t="e">
        <f>MEDIAN(Table142[RI11])</f>
        <v>#NUM!</v>
      </c>
      <c r="EP26" s="6" t="e">
        <f>MEDIAN(Table142[RI12])</f>
        <v>#NUM!</v>
      </c>
      <c r="EQ26" s="6">
        <f>MEDIAN(Table142[RT])</f>
        <v>4</v>
      </c>
      <c r="ER26" s="6">
        <f>MEDIAN(Table142[OI1])</f>
        <v>0</v>
      </c>
      <c r="ES26" s="6">
        <f>MEDIAN(Table142[OI2])</f>
        <v>0</v>
      </c>
      <c r="ET26" s="6">
        <f>MEDIAN(Table142[OI3])</f>
        <v>0</v>
      </c>
      <c r="EU26" s="6">
        <f>MEDIAN(Table142[OI4])</f>
        <v>0</v>
      </c>
      <c r="EV26" s="6">
        <f>MEDIAN(Table142[OI5])</f>
        <v>0</v>
      </c>
      <c r="EW26" s="6">
        <f>MEDIAN(Table142[OI6])</f>
        <v>0</v>
      </c>
      <c r="EX26" s="6">
        <f>MEDIAN(Table142[OI7])</f>
        <v>0</v>
      </c>
      <c r="EY26" s="6">
        <f>MEDIAN(Table142[OI8])</f>
        <v>0</v>
      </c>
      <c r="EZ26" s="6">
        <f>MEDIAN(Table142[OI9])</f>
        <v>0</v>
      </c>
      <c r="FA26" s="6">
        <f>MEDIAN(Table142[OI10])</f>
        <v>1</v>
      </c>
      <c r="FB26" s="6" t="e">
        <f>MEDIAN(Table142[OI11])</f>
        <v>#NUM!</v>
      </c>
      <c r="FC26" s="6" t="e">
        <f>MEDIAN(Table142[OI12])</f>
        <v>#NUM!</v>
      </c>
      <c r="FD26" s="6">
        <f>MEDIAN(Table142[OT])</f>
        <v>6</v>
      </c>
      <c r="FG26" s="273" t="s">
        <v>229</v>
      </c>
    </row>
    <row r="27" spans="1:163" x14ac:dyDescent="0.25">
      <c r="A27" s="276" t="s">
        <v>230</v>
      </c>
      <c r="B27" s="268"/>
      <c r="C27" s="268"/>
      <c r="D27" s="268"/>
      <c r="E27" s="4"/>
      <c r="F27" s="275"/>
      <c r="G27" s="274"/>
      <c r="H27" s="274"/>
      <c r="I27" s="274"/>
      <c r="J27" s="5">
        <f>QUARTILE(Table142[S-IP],1)</f>
        <v>2.166666666666667</v>
      </c>
      <c r="K27" s="6">
        <f>QUARTILE(Table142[S-H],1)</f>
        <v>2</v>
      </c>
      <c r="L27" s="6">
        <f>QUARTILE(Table142[S-R],1)</f>
        <v>1</v>
      </c>
      <c r="M27" s="6">
        <f>QUARTILE(Table142[S-ER],1)</f>
        <v>0</v>
      </c>
      <c r="N27" s="6">
        <f>QUARTILE(Table142[S-BB],1)</f>
        <v>0.5</v>
      </c>
      <c r="O27" s="6">
        <f>QUARTILE(Table142[S-SO],1)</f>
        <v>1</v>
      </c>
      <c r="P27" s="6">
        <f>QUARTILE(Table142[S-HR],1)</f>
        <v>0</v>
      </c>
      <c r="Q27" s="6">
        <f>QUARTILE(Table142[S-HBP],1)</f>
        <v>0</v>
      </c>
      <c r="R27" s="6">
        <f>QUARTILE(Table142[S-BF],1)</f>
        <v>9.5</v>
      </c>
      <c r="S27" s="6"/>
      <c r="T27" s="6"/>
      <c r="U27" s="6">
        <f>QUARTILE(Table142[IRL],1)</f>
        <v>0</v>
      </c>
      <c r="V27" s="6">
        <f>QUARTILE(Table142[IRS],1)</f>
        <v>0</v>
      </c>
      <c r="W27" s="274"/>
      <c r="X27" s="274"/>
      <c r="Y27" s="274"/>
      <c r="Z27" s="274"/>
      <c r="AA27" s="274"/>
      <c r="AB27" s="5">
        <f>QUARTILE(Table142[B-IP],1)</f>
        <v>4.333333333333333</v>
      </c>
      <c r="AC27" s="6">
        <f>QUARTILE(Table142[B-H],1)</f>
        <v>2</v>
      </c>
      <c r="AD27" s="6">
        <f>QUARTILE(Table142[B-R],1)</f>
        <v>1</v>
      </c>
      <c r="AE27" s="6">
        <f>QUARTILE(Table142[B-ER],1)</f>
        <v>1</v>
      </c>
      <c r="AF27" s="6">
        <f>QUARTILE(Table142[B-BB],1)</f>
        <v>1</v>
      </c>
      <c r="AG27" s="6">
        <f>QUARTILE(Table142[B-SO],1)</f>
        <v>2</v>
      </c>
      <c r="AH27" s="6">
        <f>QUARTILE(Table142[B-HR],1)</f>
        <v>0</v>
      </c>
      <c r="AI27" s="6">
        <f>QUARTILE(Table142[B-HBP],1)</f>
        <v>0</v>
      </c>
      <c r="AJ27" s="6">
        <f>QUARTILE(Table142[B-BF],1)</f>
        <v>17.5</v>
      </c>
      <c r="AK27" s="6"/>
      <c r="AL27" s="6"/>
      <c r="AM27" s="274"/>
      <c r="AN27" s="6">
        <f>QUARTILE(Table142[AB1],1)</f>
        <v>4</v>
      </c>
      <c r="AO27" s="6">
        <f>QUARTILE(Table142[R1],1)</f>
        <v>0</v>
      </c>
      <c r="AP27" s="6">
        <f>QUARTILE(Table142[H1],1)</f>
        <v>0</v>
      </c>
      <c r="AQ27" s="6">
        <f>QUARTILE(Table142[RBI1],1)</f>
        <v>0</v>
      </c>
      <c r="AR27" s="6">
        <f>QUARTILE(Table142[BB1],1)</f>
        <v>0</v>
      </c>
      <c r="AS27" s="6">
        <f>QUARTILE(Table142[SO1],1)</f>
        <v>0</v>
      </c>
      <c r="AT27" s="6">
        <f>QUARTILE(Table142[HBP1],1)</f>
        <v>0</v>
      </c>
      <c r="AU27" s="6">
        <f>QUARTILE(Table142[SF1],1)</f>
        <v>0</v>
      </c>
      <c r="AV27" s="6">
        <f>QUARTILE(Table142[TB1],1)</f>
        <v>0</v>
      </c>
      <c r="AW27" s="274"/>
      <c r="AX27" s="6">
        <f>QUARTILE(Table142[AB2],1)</f>
        <v>3</v>
      </c>
      <c r="AY27" s="6">
        <f>QUARTILE(Table142[R2],1)</f>
        <v>0</v>
      </c>
      <c r="AZ27" s="6">
        <f>QUARTILE(Table142[H2],1)</f>
        <v>0</v>
      </c>
      <c r="BA27" s="6">
        <f>QUARTILE(Table142[RBI2],1)</f>
        <v>0</v>
      </c>
      <c r="BB27" s="6">
        <f>QUARTILE(Table142[BB2],1)</f>
        <v>0</v>
      </c>
      <c r="BC27" s="6">
        <f>QUARTILE(Table142[SO2],1)</f>
        <v>0</v>
      </c>
      <c r="BD27" s="6">
        <f>QUARTILE(Table142[HBP2],1)</f>
        <v>0</v>
      </c>
      <c r="BE27" s="6">
        <f>QUARTILE(Table142[SF2],1)</f>
        <v>0</v>
      </c>
      <c r="BF27" s="6">
        <f>QUARTILE(Table142[TB2],1)</f>
        <v>0</v>
      </c>
      <c r="BG27" s="274"/>
      <c r="BH27" s="6">
        <f>QUARTILE(Table142[AB3],1)</f>
        <v>3.5</v>
      </c>
      <c r="BI27" s="6">
        <f>QUARTILE(Table142[R3],1)</f>
        <v>0</v>
      </c>
      <c r="BJ27" s="6">
        <f>QUARTILE(Table142[H3],1)</f>
        <v>0</v>
      </c>
      <c r="BK27" s="6">
        <f>QUARTILE(Table142[RBI3],1)</f>
        <v>0</v>
      </c>
      <c r="BL27" s="6">
        <f>QUARTILE(Table142[BB3],1)</f>
        <v>0</v>
      </c>
      <c r="BM27" s="6">
        <f>QUARTILE(Table142[SO3],1)</f>
        <v>0</v>
      </c>
      <c r="BN27" s="6">
        <f>QUARTILE(Table142[HBP3],1)</f>
        <v>0</v>
      </c>
      <c r="BO27" s="6">
        <f>QUARTILE(Table142[SF3],1)</f>
        <v>0</v>
      </c>
      <c r="BP27" s="6">
        <f>QUARTILE(Table142[TB3],1)</f>
        <v>0</v>
      </c>
      <c r="BQ27" s="274"/>
      <c r="BR27" s="6">
        <f>QUARTILE(Table142[AB4],1)</f>
        <v>3</v>
      </c>
      <c r="BS27" s="6">
        <f>QUARTILE(Table142[R4],1)</f>
        <v>0</v>
      </c>
      <c r="BT27" s="6">
        <f>QUARTILE(Table142[H4],1)</f>
        <v>0</v>
      </c>
      <c r="BU27" s="6">
        <f>QUARTILE(Table142[RBI4],1)</f>
        <v>0</v>
      </c>
      <c r="BV27" s="6">
        <f>QUARTILE(Table142[BB4],1)</f>
        <v>0</v>
      </c>
      <c r="BW27" s="6">
        <f>QUARTILE(Table142[SO4],1)</f>
        <v>0</v>
      </c>
      <c r="BX27" s="6">
        <f>QUARTILE(Table142[HBP4],1)</f>
        <v>0</v>
      </c>
      <c r="BY27" s="6">
        <f>QUARTILE(Table142[SF4],1)</f>
        <v>0</v>
      </c>
      <c r="BZ27" s="6">
        <f>QUARTILE(Table142[TB4],1)</f>
        <v>0</v>
      </c>
      <c r="CA27" s="274"/>
      <c r="CB27" s="6">
        <f>QUARTILE(Table142[AB5],1)</f>
        <v>3</v>
      </c>
      <c r="CC27" s="6">
        <f>QUARTILE(Table142[R5],1)</f>
        <v>0</v>
      </c>
      <c r="CD27" s="6">
        <f>QUARTILE(Table142[H5],1)</f>
        <v>1</v>
      </c>
      <c r="CE27" s="6">
        <f>QUARTILE(Table142[RBI5],1)</f>
        <v>0</v>
      </c>
      <c r="CF27" s="6">
        <f>QUARTILE(Table142[BB5],1)</f>
        <v>0</v>
      </c>
      <c r="CG27" s="6">
        <f>QUARTILE(Table142[SO5],1)</f>
        <v>0</v>
      </c>
      <c r="CH27" s="6">
        <f>QUARTILE(Table142[HBP5],1)</f>
        <v>0</v>
      </c>
      <c r="CI27" s="6">
        <f>QUARTILE(Table142[SF5],1)</f>
        <v>0</v>
      </c>
      <c r="CJ27" s="6">
        <f>QUARTILE(Table142[TB5],1)</f>
        <v>1</v>
      </c>
      <c r="CK27" s="274"/>
      <c r="CL27" s="6">
        <f>QUARTILE(Table142[AB6],1)</f>
        <v>3</v>
      </c>
      <c r="CM27" s="6">
        <f>QUARTILE(Table142[R6],1)</f>
        <v>0</v>
      </c>
      <c r="CN27" s="6">
        <f>QUARTILE(Table142[H6],1)</f>
        <v>0</v>
      </c>
      <c r="CO27" s="6">
        <f>QUARTILE(Table142[RBI6],1)</f>
        <v>0</v>
      </c>
      <c r="CP27" s="6">
        <f>QUARTILE(Table142[BB6],1)</f>
        <v>0</v>
      </c>
      <c r="CQ27" s="6">
        <f>QUARTILE(Table142[SO6],1)</f>
        <v>0</v>
      </c>
      <c r="CR27" s="6">
        <f>QUARTILE(Table142[HBP6],1)</f>
        <v>0</v>
      </c>
      <c r="CS27" s="6">
        <f>QUARTILE(Table142[SF6],1)</f>
        <v>0</v>
      </c>
      <c r="CT27" s="6">
        <f>QUARTILE(Table142[TB6],1)</f>
        <v>0</v>
      </c>
      <c r="CU27" s="274"/>
      <c r="CV27" s="6">
        <f>QUARTILE(Table142[AB7],1)</f>
        <v>3</v>
      </c>
      <c r="CW27" s="6">
        <f>QUARTILE(Table142[R7],1)</f>
        <v>0</v>
      </c>
      <c r="CX27" s="6">
        <f>QUARTILE(Table142[H7],1)</f>
        <v>0</v>
      </c>
      <c r="CY27" s="6">
        <f>QUARTILE(Table142[RBI7],1)</f>
        <v>0</v>
      </c>
      <c r="CZ27" s="6">
        <f>QUARTILE(Table142[BB7],1)</f>
        <v>0</v>
      </c>
      <c r="DA27" s="6">
        <f>QUARTILE(Table142[SO7],1)</f>
        <v>0</v>
      </c>
      <c r="DB27" s="6">
        <f>QUARTILE(Table142[HBP7],1)</f>
        <v>0</v>
      </c>
      <c r="DC27" s="6">
        <f>QUARTILE(Table142[SF7],1)</f>
        <v>0</v>
      </c>
      <c r="DD27" s="6">
        <f>QUARTILE(Table142[TB7],1)</f>
        <v>0</v>
      </c>
      <c r="DE27" s="274"/>
      <c r="DF27" s="6">
        <f>QUARTILE(Table142[AB8],1)</f>
        <v>3</v>
      </c>
      <c r="DG27" s="6">
        <f>QUARTILE(Table142[R8],1)</f>
        <v>0</v>
      </c>
      <c r="DH27" s="6">
        <f>QUARTILE(Table142[H8],1)</f>
        <v>0</v>
      </c>
      <c r="DI27" s="6">
        <f>QUARTILE(Table142[RBI8],1)</f>
        <v>0</v>
      </c>
      <c r="DJ27" s="6">
        <f>QUARTILE(Table142[BB8],1)</f>
        <v>0</v>
      </c>
      <c r="DK27" s="6">
        <f>QUARTILE(Table142[SO8],1)</f>
        <v>0</v>
      </c>
      <c r="DL27" s="6">
        <f>QUARTILE(Table142[HBP8],1)</f>
        <v>0</v>
      </c>
      <c r="DM27" s="6">
        <f>QUARTILE(Table142[SF8],1)</f>
        <v>0</v>
      </c>
      <c r="DN27" s="6">
        <f>QUARTILE(Table142[TB8],1)</f>
        <v>0</v>
      </c>
      <c r="DO27" s="274"/>
      <c r="DP27" s="6">
        <f>QUARTILE(Table142[AB9],1)</f>
        <v>3</v>
      </c>
      <c r="DQ27" s="6">
        <f>QUARTILE(Table142[R9],1)</f>
        <v>0</v>
      </c>
      <c r="DR27" s="6">
        <f>QUARTILE(Table142[H9],1)</f>
        <v>0.5</v>
      </c>
      <c r="DS27" s="6">
        <f>QUARTILE(Table142[RBI9],1)</f>
        <v>0</v>
      </c>
      <c r="DT27" s="6">
        <f>QUARTILE(Table142[BB9],1)</f>
        <v>0</v>
      </c>
      <c r="DU27" s="6">
        <f>QUARTILE(Table142[SO9],1)</f>
        <v>1</v>
      </c>
      <c r="DV27" s="6">
        <f>QUARTILE(Table142[HBP9],1)</f>
        <v>0</v>
      </c>
      <c r="DW27" s="6">
        <f>QUARTILE(Table142[SF9],1)</f>
        <v>0</v>
      </c>
      <c r="DX27" s="6">
        <f>QUARTILE(Table142[TB9],1)</f>
        <v>0.5</v>
      </c>
      <c r="DY27" s="5">
        <f>QUARTILE(Table142[IVL],1)</f>
        <v>0</v>
      </c>
      <c r="DZ27" s="6">
        <f>QUARTILE(Table142[SVL],1)</f>
        <v>0</v>
      </c>
      <c r="EA27" s="6">
        <f>QUARTILE(Table142[CVL],1)</f>
        <v>0</v>
      </c>
      <c r="EB27" s="5">
        <f>QUARTILE(Table142[IVR],1)</f>
        <v>5.1666666666666661</v>
      </c>
      <c r="EC27" s="6">
        <f>QUARTILE(Table142[SVR],1)</f>
        <v>0</v>
      </c>
      <c r="ED27" s="6">
        <f>QUARTILE(Table142[CVR],1)</f>
        <v>0</v>
      </c>
      <c r="EE27" s="6">
        <f>QUARTILE(Table142[RI1],1)</f>
        <v>0</v>
      </c>
      <c r="EF27" s="6">
        <f>QUARTILE(Table142[RI2],1)</f>
        <v>0</v>
      </c>
      <c r="EG27" s="6">
        <f>QUARTILE(Table142[RI3],1)</f>
        <v>0</v>
      </c>
      <c r="EH27" s="6">
        <f>QUARTILE(Table142[RI4],1)</f>
        <v>0</v>
      </c>
      <c r="EI27" s="6">
        <f>QUARTILE(Table142[RI5],1)</f>
        <v>0</v>
      </c>
      <c r="EJ27" s="6">
        <f>QUARTILE(Table142[RI6],1)</f>
        <v>0</v>
      </c>
      <c r="EK27" s="6">
        <f>QUARTILE(Table142[RI7],1)</f>
        <v>0</v>
      </c>
      <c r="EL27" s="6">
        <f>QUARTILE(Table142[RI8],1)</f>
        <v>0</v>
      </c>
      <c r="EM27" s="6">
        <f>QUARTILE(Table142[RI9],1)</f>
        <v>0</v>
      </c>
      <c r="EN27" s="6">
        <f>QUARTILE(Table142[RI10],1)</f>
        <v>1</v>
      </c>
      <c r="EO27" s="6" t="e">
        <f>QUARTILE(Table142[RI11],1)</f>
        <v>#NUM!</v>
      </c>
      <c r="EP27" s="6" t="e">
        <f>QUARTILE(Table142[RI12],1)</f>
        <v>#NUM!</v>
      </c>
      <c r="EQ27" s="6">
        <f>QUARTILE(Table142[RT],1)</f>
        <v>3</v>
      </c>
      <c r="ER27" s="6">
        <f>QUARTILE(Table142[OI1],1)</f>
        <v>0</v>
      </c>
      <c r="ES27" s="6">
        <f>QUARTILE(Table142[OI2],1)</f>
        <v>0</v>
      </c>
      <c r="ET27" s="6">
        <f>QUARTILE(Table142[OI3],1)</f>
        <v>0</v>
      </c>
      <c r="EU27" s="6">
        <f>QUARTILE(Table142[OI4],1)</f>
        <v>0</v>
      </c>
      <c r="EV27" s="6">
        <f>QUARTILE(Table142[OI5],1)</f>
        <v>0</v>
      </c>
      <c r="EW27" s="6">
        <f>QUARTILE(Table142[OI6],1)</f>
        <v>0</v>
      </c>
      <c r="EX27" s="6">
        <f>QUARTILE(Table142[OI7],1)</f>
        <v>0</v>
      </c>
      <c r="EY27" s="6">
        <f>QUARTILE(Table142[OI8],1)</f>
        <v>0</v>
      </c>
      <c r="EZ27" s="6">
        <f>QUARTILE(Table142[OI9],1)</f>
        <v>0</v>
      </c>
      <c r="FA27" s="6">
        <f>QUARTILE(Table142[OI10],1)</f>
        <v>0.5</v>
      </c>
      <c r="FB27" s="6" t="e">
        <f>QUARTILE(Table142[OI11],1)</f>
        <v>#NUM!</v>
      </c>
      <c r="FC27" s="6" t="e">
        <f>QUARTILE(Table142[OI12],1)</f>
        <v>#NUM!</v>
      </c>
      <c r="FD27" s="6">
        <f>QUARTILE(Table142[OT],1)</f>
        <v>4</v>
      </c>
      <c r="FG27" s="273" t="s">
        <v>230</v>
      </c>
    </row>
    <row r="28" spans="1:163" x14ac:dyDescent="0.25">
      <c r="A28" s="276" t="s">
        <v>231</v>
      </c>
      <c r="B28" s="268"/>
      <c r="C28" s="268"/>
      <c r="D28" s="268"/>
      <c r="E28" s="4"/>
      <c r="F28" s="275"/>
      <c r="G28" s="274"/>
      <c r="H28" s="274"/>
      <c r="I28" s="274"/>
      <c r="J28" s="5">
        <f>MIN(Table142[S-IP])</f>
        <v>0.33333333333333331</v>
      </c>
      <c r="K28" s="6">
        <f>MIN(Table142[S-H])</f>
        <v>0</v>
      </c>
      <c r="L28" s="6">
        <f>MIN(Table142[S-R])</f>
        <v>0</v>
      </c>
      <c r="M28" s="6">
        <f>MIN(Table142[S-ER])</f>
        <v>0</v>
      </c>
      <c r="N28" s="6">
        <f>MIN(Table142[S-BB])</f>
        <v>0</v>
      </c>
      <c r="O28" s="6">
        <f>MIN(Table142[S-SO])</f>
        <v>0</v>
      </c>
      <c r="P28" s="6">
        <f>MIN(Table142[S-HR])</f>
        <v>0</v>
      </c>
      <c r="Q28" s="6">
        <f>MIN(Table142[S-HBP])</f>
        <v>0</v>
      </c>
      <c r="R28" s="6">
        <f>MIN(Table142[S-BF])</f>
        <v>6</v>
      </c>
      <c r="S28" s="6"/>
      <c r="T28" s="6"/>
      <c r="U28" s="6">
        <f>MIN(Table142[IRL])</f>
        <v>0</v>
      </c>
      <c r="V28" s="6">
        <f>MIN(Table142[IRS])</f>
        <v>0</v>
      </c>
      <c r="W28" s="274"/>
      <c r="X28" s="274"/>
      <c r="Y28" s="274"/>
      <c r="Z28" s="274"/>
      <c r="AA28" s="274"/>
      <c r="AB28" s="5">
        <f>MIN(Table142[B-IP])</f>
        <v>3</v>
      </c>
      <c r="AC28" s="6">
        <f>MIN(Table142[B-H])</f>
        <v>1</v>
      </c>
      <c r="AD28" s="6">
        <f>MIN(Table142[B-R])</f>
        <v>0</v>
      </c>
      <c r="AE28" s="6">
        <f>MIN(Table142[B-ER])</f>
        <v>0</v>
      </c>
      <c r="AF28" s="6">
        <f>MIN(Table142[B-BB])</f>
        <v>0</v>
      </c>
      <c r="AG28" s="6">
        <f>MIN(Table142[B-SO])</f>
        <v>0</v>
      </c>
      <c r="AH28" s="6">
        <f>MIN(Table142[B-HR])</f>
        <v>0</v>
      </c>
      <c r="AI28" s="6">
        <f>MIN(Table142[B-HBP])</f>
        <v>0</v>
      </c>
      <c r="AJ28" s="6">
        <f>MIN(Table142[B-BF])</f>
        <v>13</v>
      </c>
      <c r="AK28" s="6"/>
      <c r="AL28" s="6"/>
      <c r="AM28" s="274"/>
      <c r="AN28" s="6">
        <f>MIN(Table142[AB1])</f>
        <v>2</v>
      </c>
      <c r="AO28" s="6">
        <f>MIN(Table142[R1])</f>
        <v>0</v>
      </c>
      <c r="AP28" s="6">
        <f>MIN(Table142[H1])</f>
        <v>0</v>
      </c>
      <c r="AQ28" s="6">
        <f>MIN(Table142[RBI1])</f>
        <v>0</v>
      </c>
      <c r="AR28" s="6">
        <f>MIN(Table142[BB1])</f>
        <v>0</v>
      </c>
      <c r="AS28" s="6">
        <f>MIN(Table142[SO1])</f>
        <v>0</v>
      </c>
      <c r="AT28" s="6">
        <f>MIN(Table142[HBP1])</f>
        <v>0</v>
      </c>
      <c r="AU28" s="6">
        <f>MIN(Table142[SF1])</f>
        <v>0</v>
      </c>
      <c r="AV28" s="6">
        <f>MIN(Table142[TB1])</f>
        <v>0</v>
      </c>
      <c r="AW28" s="274"/>
      <c r="AX28" s="6">
        <f>MIN(Table142[AB2])</f>
        <v>2</v>
      </c>
      <c r="AY28" s="6">
        <f>MIN(Table142[R2])</f>
        <v>0</v>
      </c>
      <c r="AZ28" s="6">
        <f>MIN(Table142[H2])</f>
        <v>0</v>
      </c>
      <c r="BA28" s="6">
        <f>MIN(Table142[RBI2])</f>
        <v>0</v>
      </c>
      <c r="BB28" s="6">
        <f>MIN(Table142[BB2])</f>
        <v>0</v>
      </c>
      <c r="BC28" s="6">
        <f>MIN(Table142[SO2])</f>
        <v>0</v>
      </c>
      <c r="BD28" s="6">
        <f>MIN(Table142[HBP2])</f>
        <v>0</v>
      </c>
      <c r="BE28" s="6">
        <f>MIN(Table142[SF2])</f>
        <v>0</v>
      </c>
      <c r="BF28" s="6">
        <f>MIN(Table142[TB2])</f>
        <v>0</v>
      </c>
      <c r="BG28" s="274"/>
      <c r="BH28" s="6">
        <f>MIN(Table142[AB3])</f>
        <v>2</v>
      </c>
      <c r="BI28" s="6">
        <f>MIN(Table142[R3])</f>
        <v>0</v>
      </c>
      <c r="BJ28" s="6">
        <f>MIN(Table142[H3])</f>
        <v>0</v>
      </c>
      <c r="BK28" s="6">
        <f>MIN(Table142[RBI3])</f>
        <v>0</v>
      </c>
      <c r="BL28" s="6">
        <f>MIN(Table142[BB3])</f>
        <v>0</v>
      </c>
      <c r="BM28" s="6">
        <f>MIN(Table142[SO3])</f>
        <v>0</v>
      </c>
      <c r="BN28" s="6">
        <f>MIN(Table142[HBP3])</f>
        <v>0</v>
      </c>
      <c r="BO28" s="6">
        <f>MIN(Table142[SF3])</f>
        <v>0</v>
      </c>
      <c r="BP28" s="6">
        <f>MIN(Table142[TB3])</f>
        <v>0</v>
      </c>
      <c r="BQ28" s="274"/>
      <c r="BR28" s="6">
        <f>MIN(Table142[AB4])</f>
        <v>2</v>
      </c>
      <c r="BS28" s="6">
        <f>MIN(Table142[R4])</f>
        <v>0</v>
      </c>
      <c r="BT28" s="6">
        <f>MIN(Table142[H4])</f>
        <v>0</v>
      </c>
      <c r="BU28" s="6">
        <f>MIN(Table142[RBI4])</f>
        <v>0</v>
      </c>
      <c r="BV28" s="6">
        <f>MIN(Table142[BB4])</f>
        <v>0</v>
      </c>
      <c r="BW28" s="6">
        <f>MIN(Table142[SO4])</f>
        <v>0</v>
      </c>
      <c r="BX28" s="6">
        <f>MIN(Table142[HBP4])</f>
        <v>0</v>
      </c>
      <c r="BY28" s="6">
        <f>MIN(Table142[SF4])</f>
        <v>0</v>
      </c>
      <c r="BZ28" s="6">
        <f>MIN(Table142[TB4])</f>
        <v>0</v>
      </c>
      <c r="CA28" s="274"/>
      <c r="CB28" s="6">
        <f>MIN(Table142[AB5])</f>
        <v>2</v>
      </c>
      <c r="CC28" s="6">
        <f>MIN(Table142[R5])</f>
        <v>0</v>
      </c>
      <c r="CD28" s="6">
        <f>MIN(Table142[H5])</f>
        <v>0</v>
      </c>
      <c r="CE28" s="6">
        <f>MIN(Table142[RBI5])</f>
        <v>0</v>
      </c>
      <c r="CF28" s="6">
        <f>MIN(Table142[BB5])</f>
        <v>0</v>
      </c>
      <c r="CG28" s="6">
        <f>MIN(Table142[SO5])</f>
        <v>0</v>
      </c>
      <c r="CH28" s="6">
        <f>MIN(Table142[HBP5])</f>
        <v>0</v>
      </c>
      <c r="CI28" s="6">
        <f>MIN(Table142[SF5])</f>
        <v>0</v>
      </c>
      <c r="CJ28" s="6">
        <f>MIN(Table142[TB5])</f>
        <v>0</v>
      </c>
      <c r="CK28" s="274"/>
      <c r="CL28" s="6">
        <f>MIN(Table142[AB6])</f>
        <v>2</v>
      </c>
      <c r="CM28" s="6">
        <f>MIN(Table142[R6])</f>
        <v>0</v>
      </c>
      <c r="CN28" s="6">
        <f>MIN(Table142[H6])</f>
        <v>0</v>
      </c>
      <c r="CO28" s="6">
        <f>MIN(Table142[RBI6])</f>
        <v>0</v>
      </c>
      <c r="CP28" s="6">
        <f>MIN(Table142[BB6])</f>
        <v>0</v>
      </c>
      <c r="CQ28" s="6">
        <f>MIN(Table142[SO6])</f>
        <v>0</v>
      </c>
      <c r="CR28" s="6">
        <f>MIN(Table142[HBP6])</f>
        <v>0</v>
      </c>
      <c r="CS28" s="6">
        <f>MIN(Table142[SF6])</f>
        <v>0</v>
      </c>
      <c r="CT28" s="6">
        <f>MIN(Table142[TB6])</f>
        <v>0</v>
      </c>
      <c r="CU28" s="274"/>
      <c r="CV28" s="6">
        <f>MIN(Table142[AB7])</f>
        <v>2</v>
      </c>
      <c r="CW28" s="6">
        <f>MIN(Table142[R7])</f>
        <v>0</v>
      </c>
      <c r="CX28" s="6">
        <f>MIN(Table142[H7])</f>
        <v>0</v>
      </c>
      <c r="CY28" s="6">
        <f>MIN(Table142[RBI7])</f>
        <v>0</v>
      </c>
      <c r="CZ28" s="6">
        <f>MIN(Table142[BB7])</f>
        <v>0</v>
      </c>
      <c r="DA28" s="6">
        <f>MIN(Table142[SO7])</f>
        <v>0</v>
      </c>
      <c r="DB28" s="6">
        <f>MIN(Table142[HBP7])</f>
        <v>0</v>
      </c>
      <c r="DC28" s="6">
        <f>MIN(Table142[SF7])</f>
        <v>0</v>
      </c>
      <c r="DD28" s="6">
        <f>MIN(Table142[TB7])</f>
        <v>0</v>
      </c>
      <c r="DE28" s="274"/>
      <c r="DF28" s="6">
        <f>MIN(Table142[AB8])</f>
        <v>2</v>
      </c>
      <c r="DG28" s="6">
        <f>MIN(Table142[R8])</f>
        <v>0</v>
      </c>
      <c r="DH28" s="6">
        <f>MIN(Table142[H8])</f>
        <v>0</v>
      </c>
      <c r="DI28" s="6">
        <f>MIN(Table142[RBI8])</f>
        <v>0</v>
      </c>
      <c r="DJ28" s="6">
        <f>MIN(Table142[BB8])</f>
        <v>0</v>
      </c>
      <c r="DK28" s="6">
        <f>MIN(Table142[SO8])</f>
        <v>0</v>
      </c>
      <c r="DL28" s="6">
        <f>MIN(Table142[HBP8])</f>
        <v>0</v>
      </c>
      <c r="DM28" s="6">
        <f>MIN(Table142[SF8])</f>
        <v>0</v>
      </c>
      <c r="DN28" s="6">
        <f>MIN(Table142[TB8])</f>
        <v>0</v>
      </c>
      <c r="DO28" s="274"/>
      <c r="DP28" s="6">
        <f>MIN(Table142[AB9])</f>
        <v>2</v>
      </c>
      <c r="DQ28" s="6">
        <f>MIN(Table142[R9])</f>
        <v>0</v>
      </c>
      <c r="DR28" s="6">
        <f>MIN(Table142[H9])</f>
        <v>0</v>
      </c>
      <c r="DS28" s="6">
        <f>MIN(Table142[RBI9])</f>
        <v>0</v>
      </c>
      <c r="DT28" s="6">
        <f>MIN(Table142[BB9])</f>
        <v>0</v>
      </c>
      <c r="DU28" s="6">
        <f>MIN(Table142[SO9])</f>
        <v>0</v>
      </c>
      <c r="DV28" s="6">
        <f>MIN(Table142[HBP9])</f>
        <v>0</v>
      </c>
      <c r="DW28" s="6">
        <f>MIN(Table142[SF9])</f>
        <v>0</v>
      </c>
      <c r="DX28" s="6">
        <f>MIN(Table142[TB9])</f>
        <v>0</v>
      </c>
      <c r="DY28" s="5">
        <f>MIN(Table142[IVL])</f>
        <v>0</v>
      </c>
      <c r="DZ28" s="6">
        <f>MIN(Table142[SVL])</f>
        <v>0</v>
      </c>
      <c r="EA28" s="6">
        <f>MIN(Table142[CVL])</f>
        <v>0</v>
      </c>
      <c r="EB28" s="5">
        <f>MIN(Table142[IVR])</f>
        <v>1</v>
      </c>
      <c r="EC28" s="6">
        <f>MIN(Table142[SVR])</f>
        <v>0</v>
      </c>
      <c r="ED28" s="6">
        <f>MIN(Table142[CVR])</f>
        <v>0</v>
      </c>
      <c r="EE28" s="6">
        <f>MIN(Table142[RI1])</f>
        <v>0</v>
      </c>
      <c r="EF28" s="6">
        <f>MIN(Table142[RI2])</f>
        <v>0</v>
      </c>
      <c r="EG28" s="6">
        <f>MIN(Table142[RI3])</f>
        <v>0</v>
      </c>
      <c r="EH28" s="6">
        <f>MIN(Table142[RI4])</f>
        <v>0</v>
      </c>
      <c r="EI28" s="6">
        <f>MIN(Table142[RI5])</f>
        <v>0</v>
      </c>
      <c r="EJ28" s="6">
        <f>MIN(Table142[RI6])</f>
        <v>0</v>
      </c>
      <c r="EK28" s="6">
        <f>MIN(Table142[RI7])</f>
        <v>0</v>
      </c>
      <c r="EL28" s="6">
        <f>MIN(Table142[RI8])</f>
        <v>0</v>
      </c>
      <c r="EM28" s="6">
        <f>MIN(Table142[RI9])</f>
        <v>0</v>
      </c>
      <c r="EN28" s="6">
        <f>MIN(Table142[RI10])</f>
        <v>1</v>
      </c>
      <c r="EO28" s="6">
        <f>MIN(Table142[RI11])</f>
        <v>0</v>
      </c>
      <c r="EP28" s="6">
        <f>MIN(Table142[RI12])</f>
        <v>0</v>
      </c>
      <c r="EQ28" s="6">
        <f>MIN(Table142[RT])</f>
        <v>1</v>
      </c>
      <c r="ER28" s="6">
        <f>MIN(Table142[OI1])</f>
        <v>0</v>
      </c>
      <c r="ES28" s="6">
        <f>MIN(Table142[OI2])</f>
        <v>0</v>
      </c>
      <c r="ET28" s="6">
        <f>MIN(Table142[OI3])</f>
        <v>0</v>
      </c>
      <c r="EU28" s="6">
        <f>MIN(Table142[OI4])</f>
        <v>0</v>
      </c>
      <c r="EV28" s="6">
        <f>MIN(Table142[OI5])</f>
        <v>0</v>
      </c>
      <c r="EW28" s="6">
        <f>MIN(Table142[OI6])</f>
        <v>0</v>
      </c>
      <c r="EX28" s="6">
        <f>MIN(Table142[OI7])</f>
        <v>0</v>
      </c>
      <c r="EY28" s="6">
        <f>MIN(Table142[OI8])</f>
        <v>0</v>
      </c>
      <c r="EZ28" s="6">
        <f>MIN(Table142[OI9])</f>
        <v>0</v>
      </c>
      <c r="FA28" s="6">
        <f>MIN(Table142[OI10])</f>
        <v>0</v>
      </c>
      <c r="FB28" s="6">
        <f>MIN(Table142[OI11])</f>
        <v>0</v>
      </c>
      <c r="FC28" s="6">
        <f>MIN(Table142[OI12])</f>
        <v>0</v>
      </c>
      <c r="FD28" s="6">
        <f>MIN(Table142[OT])</f>
        <v>1</v>
      </c>
      <c r="FG28" s="273" t="s">
        <v>231</v>
      </c>
    </row>
    <row r="29" spans="1:163" x14ac:dyDescent="0.25">
      <c r="A29" s="272" t="s">
        <v>232</v>
      </c>
      <c r="B29" s="271"/>
      <c r="C29" s="271"/>
      <c r="D29" s="271"/>
      <c r="E29" s="42"/>
      <c r="F29" s="267"/>
      <c r="G29" s="267"/>
      <c r="H29" s="267"/>
      <c r="I29" s="267"/>
      <c r="J29" s="42">
        <f>STDEV(Table142[S-IP])</f>
        <v>1.4502806073846353</v>
      </c>
      <c r="K29" s="42">
        <f>STDEV(Table142[S-H])</f>
        <v>2.0433889978394295</v>
      </c>
      <c r="L29" s="42">
        <f>STDEV(Table142[S-R])</f>
        <v>2.1137256816602155</v>
      </c>
      <c r="M29" s="42">
        <f>STDEV(Table142[S-ER])</f>
        <v>2.1978192274900921</v>
      </c>
      <c r="N29" s="42">
        <f>STDEV(Table142[S-BB])</f>
        <v>1.2187617145935723</v>
      </c>
      <c r="O29" s="42">
        <f>STDEV(Table142[S-SO])</f>
        <v>2.1911571350871384</v>
      </c>
      <c r="P29" s="42">
        <f>STDEV(Table142[S-HR])</f>
        <v>0.4188539082916955</v>
      </c>
      <c r="Q29" s="42">
        <f>STDEV(Table142[S-HBP])</f>
        <v>0.47756693294091929</v>
      </c>
      <c r="R29" s="42">
        <f>STDEV(Table142[S-BF])</f>
        <v>5.009347986660738</v>
      </c>
      <c r="S29" s="42"/>
      <c r="T29" s="42"/>
      <c r="U29" s="42">
        <f>STDEV(Table142[IRL])</f>
        <v>1.1822270588653645</v>
      </c>
      <c r="V29" s="42">
        <f>STDEV(Table142[IRS])</f>
        <v>0.84119102419205982</v>
      </c>
      <c r="W29" s="267"/>
      <c r="X29" s="267"/>
      <c r="Y29" s="267"/>
      <c r="Z29" s="267"/>
      <c r="AA29" s="267"/>
      <c r="AB29" s="42">
        <f>STDEV(Table142[B-IP])</f>
        <v>1.4522953533535534</v>
      </c>
      <c r="AC29" s="42">
        <f>STDEV(Table142[B-H])</f>
        <v>4.032035458861996</v>
      </c>
      <c r="AD29" s="42">
        <f>STDEV(Table142[B-R])</f>
        <v>2.4375234291871446</v>
      </c>
      <c r="AE29" s="42">
        <f>STDEV(Table142[B-ER])</f>
        <v>2.2864973595958071</v>
      </c>
      <c r="AF29" s="42">
        <f>STDEV(Table142[B-BB])</f>
        <v>1.3849652179642493</v>
      </c>
      <c r="AG29" s="42">
        <f>STDEV(Table142[B-SO])</f>
        <v>2.6346765395084573</v>
      </c>
      <c r="AH29" s="42">
        <f>STDEV(Table142[B-HR])</f>
        <v>0.69248260898212466</v>
      </c>
      <c r="AI29" s="42">
        <f>STDEV(Table142[B-HBP])</f>
        <v>0.61177529032149802</v>
      </c>
      <c r="AJ29" s="42">
        <f>STDEV(Table142[B-BF])</f>
        <v>7.9106856446468035</v>
      </c>
      <c r="AK29" s="42"/>
      <c r="AL29" s="42"/>
      <c r="AM29" s="267"/>
      <c r="AN29" s="42">
        <f>STDEV(Table142[AB1])</f>
        <v>0.87526103040466097</v>
      </c>
      <c r="AO29" s="42">
        <f>STDEV(Table142[R1])</f>
        <v>0.60697697866688405</v>
      </c>
      <c r="AP29" s="42">
        <f>STDEV(Table142[H1])</f>
        <v>0.95819030206465783</v>
      </c>
      <c r="AQ29" s="42">
        <f>STDEV(Table142[RBI1])</f>
        <v>0.22941573387056177</v>
      </c>
      <c r="AR29" s="42">
        <f>STDEV(Table142[BB1])</f>
        <v>0.837707816583391</v>
      </c>
      <c r="AS29" s="42">
        <f>STDEV(Table142[SO1])</f>
        <v>1.0485300208760657</v>
      </c>
      <c r="AT29" s="42">
        <f>STDEV(Table142[HBP1])</f>
        <v>0.31530176764230577</v>
      </c>
      <c r="AU29" s="42">
        <f>STDEV(Table142[SF1])</f>
        <v>0</v>
      </c>
      <c r="AV29" s="42">
        <f>STDEV(Table142[TB1])</f>
        <v>1.1002392084403616</v>
      </c>
      <c r="AW29" s="267"/>
      <c r="AX29" s="42">
        <f>STDEV(Table142[AB2])</f>
        <v>0.9911892555667039</v>
      </c>
      <c r="AY29" s="42">
        <f>STDEV(Table142[R2])</f>
        <v>0.89834155189418308</v>
      </c>
      <c r="AZ29" s="42">
        <f>STDEV(Table142[H2])</f>
        <v>1.1055415967851334</v>
      </c>
      <c r="BA29" s="42">
        <f>STDEV(Table142[RBI2])</f>
        <v>0.90159053737049799</v>
      </c>
      <c r="BB29" s="42">
        <f>STDEV(Table142[BB2])</f>
        <v>0.89834155189418308</v>
      </c>
      <c r="BC29" s="42">
        <f>STDEV(Table142[SO2])</f>
        <v>0.76088591025268215</v>
      </c>
      <c r="BD29" s="42">
        <f>STDEV(Table142[HBP2])</f>
        <v>0.22941573387056177</v>
      </c>
      <c r="BE29" s="42">
        <f>STDEV(Table142[SF2])</f>
        <v>0</v>
      </c>
      <c r="BF29" s="42">
        <f>STDEV(Table142[TB2])</f>
        <v>1.7901615465016278</v>
      </c>
      <c r="BG29" s="267"/>
      <c r="BH29" s="42">
        <f>STDEV(Table142[AB3])</f>
        <v>0.76471911290187311</v>
      </c>
      <c r="BI29" s="42">
        <f>STDEV(Table142[R3])</f>
        <v>0.87526103040466119</v>
      </c>
      <c r="BJ29" s="42">
        <f>STDEV(Table142[H3])</f>
        <v>0.94280904158206336</v>
      </c>
      <c r="BK29" s="42">
        <f>STDEV(Table142[RBI3])</f>
        <v>0.61177529032149802</v>
      </c>
      <c r="BL29" s="42">
        <f>STDEV(Table142[BB3])</f>
        <v>0.60697697866688405</v>
      </c>
      <c r="BM29" s="42">
        <f>STDEV(Table142[SO3])</f>
        <v>0.65337629647494988</v>
      </c>
      <c r="BN29" s="42">
        <f>STDEV(Table142[HBP3])</f>
        <v>0.3746343246326776</v>
      </c>
      <c r="BO29" s="42">
        <f>STDEV(Table142[SF3])</f>
        <v>0.22941573387056177</v>
      </c>
      <c r="BP29" s="42">
        <f>STDEV(Table142[TB3])</f>
        <v>1.3764944032233706</v>
      </c>
      <c r="BQ29" s="267"/>
      <c r="BR29" s="42">
        <f>STDEV(Table142[AB4])</f>
        <v>1.1672930649220894</v>
      </c>
      <c r="BS29" s="42">
        <f>STDEV(Table142[R4])</f>
        <v>0.85498196007096172</v>
      </c>
      <c r="BT29" s="42">
        <f>STDEV(Table142[H4])</f>
        <v>1.1186876187319199</v>
      </c>
      <c r="BU29" s="42">
        <f>STDEV(Table142[RBI4])</f>
        <v>1.0029197142425581</v>
      </c>
      <c r="BV29" s="42">
        <f>STDEV(Table142[BB4])</f>
        <v>0.69669226847946597</v>
      </c>
      <c r="BW29" s="42">
        <f>STDEV(Table142[SO4])</f>
        <v>0.68398556805676947</v>
      </c>
      <c r="BX29" s="42">
        <f>STDEV(Table142[HBP4])</f>
        <v>0.31530176764230577</v>
      </c>
      <c r="BY29" s="42">
        <f>STDEV(Table142[SF4])</f>
        <v>0</v>
      </c>
      <c r="BZ29" s="42">
        <f>STDEV(Table142[TB4])</f>
        <v>2.0072966313133369</v>
      </c>
      <c r="CA29" s="267"/>
      <c r="CB29" s="42">
        <f>STDEV(Table142[AB5])</f>
        <v>0.87191393963432795</v>
      </c>
      <c r="CC29" s="42">
        <f>STDEV(Table142[R5])</f>
        <v>0.85498196007096172</v>
      </c>
      <c r="CD29" s="42">
        <f>STDEV(Table142[H5])</f>
        <v>0.85498196007096172</v>
      </c>
      <c r="CE29" s="42">
        <f>STDEV(Table142[RBI5])</f>
        <v>0.68398556805676947</v>
      </c>
      <c r="CF29" s="42">
        <f>STDEV(Table142[BB5])</f>
        <v>0.59726472037014744</v>
      </c>
      <c r="CG29" s="42">
        <f>STDEV(Table142[SO5])</f>
        <v>0.67103829820720273</v>
      </c>
      <c r="CH29" s="42">
        <f>STDEV(Table142[HBP5])</f>
        <v>0.3746343246326776</v>
      </c>
      <c r="CI29" s="42">
        <f>STDEV(Table142[SF5])</f>
        <v>0</v>
      </c>
      <c r="CJ29" s="42">
        <f>STDEV(Table142[TB5])</f>
        <v>1.1945294407402949</v>
      </c>
      <c r="CK29" s="267"/>
      <c r="CL29" s="42">
        <f>STDEV(Table142[AB6])</f>
        <v>1.1081832770072813</v>
      </c>
      <c r="CM29" s="42">
        <f>STDEV(Table142[R6])</f>
        <v>0.69248260898212466</v>
      </c>
      <c r="CN29" s="42">
        <f>STDEV(Table142[H6])</f>
        <v>1.2495613265350085</v>
      </c>
      <c r="CO29" s="42">
        <f>STDEV(Table142[RBI6])</f>
        <v>1.1470786693528088</v>
      </c>
      <c r="CP29" s="42">
        <f>STDEV(Table142[BB6])</f>
        <v>0.61177529032149802</v>
      </c>
      <c r="CQ29" s="42">
        <f>STDEV(Table142[SO6])</f>
        <v>0.45241392835886407</v>
      </c>
      <c r="CR29" s="42">
        <f>STDEV(Table142[HBP6])</f>
        <v>0.22941573387056177</v>
      </c>
      <c r="CS29" s="42">
        <f>STDEV(Table142[SF6])</f>
        <v>0</v>
      </c>
      <c r="CT29" s="42">
        <f>STDEV(Table142[TB6])</f>
        <v>1.4286131990551605</v>
      </c>
      <c r="CU29" s="267"/>
      <c r="CV29" s="42">
        <f>STDEV(Table142[AB7])</f>
        <v>0.7492686492653553</v>
      </c>
      <c r="CW29" s="42">
        <f>STDEV(Table142[R7])</f>
        <v>0.61177529032149802</v>
      </c>
      <c r="CX29" s="42">
        <f>STDEV(Table142[H7])</f>
        <v>0.94280904158206336</v>
      </c>
      <c r="CY29" s="42">
        <f>STDEV(Table142[RBI7])</f>
        <v>1.3849652179642493</v>
      </c>
      <c r="CZ29" s="42">
        <f>STDEV(Table142[BB7])</f>
        <v>0.61177529032149802</v>
      </c>
      <c r="DA29" s="42">
        <f>STDEV(Table142[SO7])</f>
        <v>0.60697697866688405</v>
      </c>
      <c r="DB29" s="42">
        <f>STDEV(Table142[HBP7])</f>
        <v>0</v>
      </c>
      <c r="DC29" s="42">
        <f>STDEV(Table142[SF7])</f>
        <v>0</v>
      </c>
      <c r="DD29" s="42">
        <f>STDEV(Table142[TB7])</f>
        <v>1.504379571363837</v>
      </c>
      <c r="DE29" s="267"/>
      <c r="DF29" s="42">
        <f>STDEV(Table142[AB8])</f>
        <v>0.90159053737049777</v>
      </c>
      <c r="DG29" s="42">
        <f>STDEV(Table142[R8])</f>
        <v>0.83069758608783972</v>
      </c>
      <c r="DH29" s="42">
        <f>STDEV(Table142[H8])</f>
        <v>0.73349280562690777</v>
      </c>
      <c r="DI29" s="42">
        <f>STDEV(Table142[RBI8])</f>
        <v>0.95513386588183857</v>
      </c>
      <c r="DJ29" s="42">
        <f>STDEV(Table142[BB8])</f>
        <v>0.76088591025268215</v>
      </c>
      <c r="DK29" s="42">
        <f>STDEV(Table142[SO8])</f>
        <v>0.93658581158169396</v>
      </c>
      <c r="DL29" s="42">
        <f>STDEV(Table142[HBP8])</f>
        <v>0.3746343246326776</v>
      </c>
      <c r="DM29" s="42">
        <f>STDEV(Table142[SF8])</f>
        <v>0</v>
      </c>
      <c r="DN29" s="42">
        <f>STDEV(Table142[TB8])</f>
        <v>1.4749368110164003</v>
      </c>
      <c r="DO29" s="267"/>
      <c r="DP29" s="42">
        <f>STDEV(Table142[AB9])</f>
        <v>1.0173926082384543</v>
      </c>
      <c r="DQ29" s="42">
        <f>STDEV(Table142[R9])</f>
        <v>0.84119102419205982</v>
      </c>
      <c r="DR29" s="42">
        <f>STDEV(Table142[H9])</f>
        <v>0.84811452387872421</v>
      </c>
      <c r="DS29" s="42">
        <f>STDEV(Table142[RBI9])</f>
        <v>0.90482785671772814</v>
      </c>
      <c r="DT29" s="42">
        <f>STDEV(Table142[BB9])</f>
        <v>0.84119102419205982</v>
      </c>
      <c r="DU29" s="42">
        <f>STDEV(Table142[SO9])</f>
        <v>0.66666666666666663</v>
      </c>
      <c r="DV29" s="42">
        <f>STDEV(Table142[HBP9])</f>
        <v>0.3746343246326776</v>
      </c>
      <c r="DW29" s="42">
        <f>STDEV(Table142[SF9])</f>
        <v>0</v>
      </c>
      <c r="DX29" s="42">
        <f>STDEV(Table142[TB9])</f>
        <v>1.4669856112538155</v>
      </c>
      <c r="DY29" s="42">
        <f>STDEV(Table142[IVL])</f>
        <v>2.3515026371177363</v>
      </c>
      <c r="DZ29" s="42">
        <f>STDEV(Table142[SVL])</f>
        <v>0.73349280562690777</v>
      </c>
      <c r="EA29" s="42">
        <f>STDEV(Table142[CVL])</f>
        <v>0.3746343246326776</v>
      </c>
      <c r="EB29" s="42">
        <f>STDEV(Table142[IVR])</f>
        <v>2.6062852006464121</v>
      </c>
      <c r="EC29" s="42">
        <f>STDEV(Table142[SVR])</f>
        <v>1.3045130838611441</v>
      </c>
      <c r="ED29" s="42">
        <f>STDEV(Table142[CVR])</f>
        <v>0.68398556805676947</v>
      </c>
      <c r="EE29" s="42">
        <f>STDEV(Table142[RI1])</f>
        <v>1.3933845369589319</v>
      </c>
      <c r="EF29" s="42">
        <f>STDEV(Table142[RI2])</f>
        <v>0.56195148694901631</v>
      </c>
      <c r="EG29" s="42">
        <f>STDEV(Table142[RI3])</f>
        <v>1.1722922015640782</v>
      </c>
      <c r="EH29" s="42">
        <f>STDEV(Table142[RI4])</f>
        <v>1.2139539573337681</v>
      </c>
      <c r="EI29" s="42">
        <f>STDEV(Table142[RI5])</f>
        <v>1.0116282977781399</v>
      </c>
      <c r="EJ29" s="42">
        <f>STDEV(Table142[RI6])</f>
        <v>1.2115429242540032</v>
      </c>
      <c r="EK29" s="42">
        <f>STDEV(Table142[RI7])</f>
        <v>0.90159053737049799</v>
      </c>
      <c r="EL29" s="42">
        <f>STDEV(Table142[RI8])</f>
        <v>1.6007810593582121</v>
      </c>
      <c r="EM29" s="42">
        <f>STDEV(Table142[RI9])</f>
        <v>0.8770580193070292</v>
      </c>
      <c r="EN29" s="42">
        <f>STDEV(Table142[RI10])</f>
        <v>0</v>
      </c>
      <c r="EO29" s="42" t="e">
        <f>STDEV(Table142[RI11])</f>
        <v>#DIV/0!</v>
      </c>
      <c r="EP29" s="42" t="e">
        <f>STDEV(Table142[RI12])</f>
        <v>#DIV/0!</v>
      </c>
      <c r="EQ29" s="42">
        <f>STDEV(Table142[RT])</f>
        <v>4.0065735459301592</v>
      </c>
      <c r="ER29" s="42">
        <f>STDEV(Table142[OI1])</f>
        <v>1.6276126096272245</v>
      </c>
      <c r="ES29" s="42">
        <f>STDEV(Table142[OI2])</f>
        <v>1.1945294407402949</v>
      </c>
      <c r="ET29" s="42">
        <f>STDEV(Table142[OI3])</f>
        <v>1.7184924714030627</v>
      </c>
      <c r="EU29" s="42">
        <f>STDEV(Table142[OI4])</f>
        <v>1.0202625507753482</v>
      </c>
      <c r="EV29" s="42">
        <f>STDEV(Table142[OI5])</f>
        <v>1.1945294407402949</v>
      </c>
      <c r="EW29" s="42">
        <f>STDEV(Table142[OI6])</f>
        <v>1.5294382258037451</v>
      </c>
      <c r="EX29" s="42">
        <f>STDEV(Table142[OI7])</f>
        <v>0.76088591025268215</v>
      </c>
      <c r="EY29" s="42">
        <f>STDEV(Table142[OI8])</f>
        <v>0.47871355387816905</v>
      </c>
      <c r="EZ29" s="42">
        <f>STDEV(Table142[OI9])</f>
        <v>0.6513389472789296</v>
      </c>
      <c r="FA29" s="42">
        <f>STDEV(Table142[OI10])</f>
        <v>1.4142135623730951</v>
      </c>
      <c r="FB29" s="42" t="e">
        <f>STDEV(Table142[OI11])</f>
        <v>#DIV/0!</v>
      </c>
      <c r="FC29" s="42" t="e">
        <f>STDEV(Table142[OI12])</f>
        <v>#DIV/0!</v>
      </c>
      <c r="FD29" s="42">
        <f>STDEV(Table142[OT])</f>
        <v>2.5014615610719404</v>
      </c>
      <c r="FG29" s="270" t="s">
        <v>232</v>
      </c>
    </row>
    <row r="30" spans="1:163" x14ac:dyDescent="0.25">
      <c r="A30" s="269" t="s">
        <v>281</v>
      </c>
      <c r="B30" s="268"/>
      <c r="C30" s="268"/>
      <c r="D30" s="268"/>
      <c r="E30" s="267"/>
      <c r="F30" s="267"/>
      <c r="G30" s="267"/>
      <c r="H30" s="267"/>
      <c r="I30" s="267"/>
      <c r="J30" s="267">
        <f t="shared" ref="J30:R30" si="4">(J33+(3*J29))</f>
        <v>7.5087365589960111</v>
      </c>
      <c r="K30" s="267">
        <f t="shared" si="4"/>
        <v>9.3406933093077633</v>
      </c>
      <c r="L30" s="267">
        <f t="shared" si="4"/>
        <v>8.9727559923490681</v>
      </c>
      <c r="M30" s="267">
        <f t="shared" si="4"/>
        <v>8.6460892614176448</v>
      </c>
      <c r="N30" s="267">
        <f t="shared" si="4"/>
        <v>5.1826009332544007</v>
      </c>
      <c r="O30" s="267">
        <f t="shared" si="4"/>
        <v>9.2050503526298364</v>
      </c>
      <c r="P30" s="267">
        <f t="shared" si="4"/>
        <v>1.4670880406645601</v>
      </c>
      <c r="Q30" s="267">
        <f t="shared" si="4"/>
        <v>1.7484902725069684</v>
      </c>
      <c r="R30" s="267">
        <f t="shared" si="4"/>
        <v>29.291201854719056</v>
      </c>
      <c r="S30" s="267"/>
      <c r="T30" s="267"/>
      <c r="U30" s="267">
        <f>(U33+(3*U29))</f>
        <v>4.3361548608066203</v>
      </c>
      <c r="V30" s="267">
        <f>(V33+(3*V29))</f>
        <v>2.9972572831024955</v>
      </c>
      <c r="W30" s="267"/>
      <c r="X30" s="267"/>
      <c r="Y30" s="267"/>
      <c r="Z30" s="267"/>
      <c r="AA30" s="267"/>
      <c r="AB30" s="267">
        <f t="shared" ref="AB30:AJ30" si="5">(AB33+(3*AB29))</f>
        <v>9.7779386916396085</v>
      </c>
      <c r="AC30" s="267">
        <f t="shared" si="5"/>
        <v>17.517159008164935</v>
      </c>
      <c r="AD30" s="267">
        <f t="shared" si="5"/>
        <v>10.259938708614065</v>
      </c>
      <c r="AE30" s="267">
        <f t="shared" si="5"/>
        <v>9.5437026051032099</v>
      </c>
      <c r="AF30" s="267">
        <f t="shared" si="5"/>
        <v>6.312790390734853</v>
      </c>
      <c r="AG30" s="267">
        <f t="shared" si="5"/>
        <v>11.851398039578003</v>
      </c>
      <c r="AH30" s="267">
        <f t="shared" si="5"/>
        <v>2.6563951953674265</v>
      </c>
      <c r="AI30" s="267">
        <f t="shared" si="5"/>
        <v>2.3090100814908099</v>
      </c>
      <c r="AJ30" s="267">
        <f t="shared" si="5"/>
        <v>47.363635881308831</v>
      </c>
      <c r="AK30" s="267"/>
      <c r="AL30" s="267"/>
      <c r="AM30" s="267"/>
      <c r="AN30" s="267">
        <f t="shared" ref="AN30:AV30" si="6">(AN33+(3*AN29))</f>
        <v>6.7310462491087204</v>
      </c>
      <c r="AO30" s="267">
        <f t="shared" si="6"/>
        <v>2.3998783044217049</v>
      </c>
      <c r="AP30" s="267">
        <f t="shared" si="6"/>
        <v>3.7166761693518682</v>
      </c>
      <c r="AQ30" s="267">
        <f t="shared" si="6"/>
        <v>0.74087878055905376</v>
      </c>
      <c r="AR30" s="267">
        <f t="shared" si="6"/>
        <v>3.0920708181712255</v>
      </c>
      <c r="AS30" s="267">
        <f t="shared" si="6"/>
        <v>4.2508532205229344</v>
      </c>
      <c r="AT30" s="267">
        <f t="shared" si="6"/>
        <v>1.0511684608216543</v>
      </c>
      <c r="AU30" s="267">
        <f t="shared" si="6"/>
        <v>0</v>
      </c>
      <c r="AV30" s="267">
        <f t="shared" si="6"/>
        <v>4.1954544674263481</v>
      </c>
      <c r="AW30" s="267"/>
      <c r="AX30" s="267">
        <f t="shared" ref="AX30:BF30" si="7">(AX33+(3*AX29))</f>
        <v>6.7104098719632699</v>
      </c>
      <c r="AY30" s="267">
        <f t="shared" si="7"/>
        <v>3.5371299188404439</v>
      </c>
      <c r="AZ30" s="267">
        <f t="shared" si="7"/>
        <v>4.3166247903553998</v>
      </c>
      <c r="BA30" s="267">
        <f t="shared" si="7"/>
        <v>3.1258242436904413</v>
      </c>
      <c r="BB30" s="267">
        <f t="shared" si="7"/>
        <v>3.5371299188404439</v>
      </c>
      <c r="BC30" s="267">
        <f t="shared" si="7"/>
        <v>2.9142366781264677</v>
      </c>
      <c r="BD30" s="267">
        <f t="shared" si="7"/>
        <v>0.74087878055905376</v>
      </c>
      <c r="BE30" s="267">
        <f t="shared" si="7"/>
        <v>0</v>
      </c>
      <c r="BF30" s="267">
        <f t="shared" si="7"/>
        <v>6.6336425342417265</v>
      </c>
      <c r="BG30" s="267"/>
      <c r="BH30" s="267">
        <f t="shared" ref="BH30:BP30" si="8">(BH33+(3*BH29))</f>
        <v>6.136262601863514</v>
      </c>
      <c r="BI30" s="267">
        <f t="shared" si="8"/>
        <v>3.520519933319247</v>
      </c>
      <c r="BJ30" s="267">
        <f t="shared" si="8"/>
        <v>3.8284271247461898</v>
      </c>
      <c r="BK30" s="267">
        <f t="shared" si="8"/>
        <v>2.3090100814908099</v>
      </c>
      <c r="BL30" s="267">
        <f t="shared" si="8"/>
        <v>2.2419835675795996</v>
      </c>
      <c r="BM30" s="267">
        <f t="shared" si="8"/>
        <v>2.6969709946880074</v>
      </c>
      <c r="BN30" s="267">
        <f t="shared" si="8"/>
        <v>1.2817977107401382</v>
      </c>
      <c r="BO30" s="267">
        <f t="shared" si="8"/>
        <v>0.74087878055905376</v>
      </c>
      <c r="BP30" s="267">
        <f t="shared" si="8"/>
        <v>5.4452726833543226</v>
      </c>
      <c r="BQ30" s="267"/>
      <c r="BR30" s="267">
        <f t="shared" ref="BR30:BZ30" si="9">(BR33+(3*BR29))</f>
        <v>7.3439844579241633</v>
      </c>
      <c r="BS30" s="267">
        <f t="shared" si="9"/>
        <v>3.3544195644234112</v>
      </c>
      <c r="BT30" s="267">
        <f t="shared" si="9"/>
        <v>4.5139575930378655</v>
      </c>
      <c r="BU30" s="267">
        <f t="shared" si="9"/>
        <v>3.6929696690434639</v>
      </c>
      <c r="BV30" s="267">
        <f t="shared" si="9"/>
        <v>2.6163925949120821</v>
      </c>
      <c r="BW30" s="267">
        <f t="shared" si="9"/>
        <v>2.6835356515387296</v>
      </c>
      <c r="BX30" s="267">
        <f t="shared" si="9"/>
        <v>1.0511684608216543</v>
      </c>
      <c r="BY30" s="267">
        <f t="shared" si="9"/>
        <v>0</v>
      </c>
      <c r="BZ30" s="267">
        <f t="shared" si="9"/>
        <v>7.8639951570979054</v>
      </c>
      <c r="CA30" s="267"/>
      <c r="CB30" s="267">
        <f t="shared" ref="CB30:CJ30" si="10">(CB33+(3*CB29))</f>
        <v>6.3525839241661419</v>
      </c>
      <c r="CC30" s="267">
        <f t="shared" si="10"/>
        <v>3.3544195644234112</v>
      </c>
      <c r="CD30" s="267">
        <f t="shared" si="10"/>
        <v>3.7754721960023589</v>
      </c>
      <c r="CE30" s="267">
        <f t="shared" si="10"/>
        <v>2.6835356515387296</v>
      </c>
      <c r="CF30" s="267">
        <f t="shared" si="10"/>
        <v>2.160215213742021</v>
      </c>
      <c r="CG30" s="267">
        <f t="shared" si="10"/>
        <v>2.3289043683058188</v>
      </c>
      <c r="CH30" s="267">
        <f t="shared" si="10"/>
        <v>1.2817977107401382</v>
      </c>
      <c r="CI30" s="267">
        <f t="shared" si="10"/>
        <v>0</v>
      </c>
      <c r="CJ30" s="267">
        <f t="shared" si="10"/>
        <v>5.3204304274840428</v>
      </c>
      <c r="CK30" s="267"/>
      <c r="CL30" s="267">
        <f t="shared" ref="CL30:CT30" si="11">(CL33+(3*CL29))</f>
        <v>7.0087603573376329</v>
      </c>
      <c r="CM30" s="267">
        <f t="shared" si="11"/>
        <v>2.4985004585253212</v>
      </c>
      <c r="CN30" s="267">
        <f t="shared" si="11"/>
        <v>5.0644734532892359</v>
      </c>
      <c r="CO30" s="267">
        <f t="shared" si="11"/>
        <v>4.1780781133215843</v>
      </c>
      <c r="CP30" s="267">
        <f t="shared" si="11"/>
        <v>2.3090100814908099</v>
      </c>
      <c r="CQ30" s="267">
        <f t="shared" si="11"/>
        <v>1.6203996798134344</v>
      </c>
      <c r="CR30" s="267">
        <f t="shared" si="11"/>
        <v>0.74087878055905376</v>
      </c>
      <c r="CS30" s="267">
        <f t="shared" si="11"/>
        <v>0</v>
      </c>
      <c r="CT30" s="267">
        <f t="shared" si="11"/>
        <v>5.8121553866391658</v>
      </c>
      <c r="CU30" s="267"/>
      <c r="CV30" s="267">
        <f t="shared" ref="CV30:DD30" si="12">(CV33+(3*CV29))</f>
        <v>5.9320164741118555</v>
      </c>
      <c r="CW30" s="267">
        <f t="shared" si="12"/>
        <v>2.3090100814908099</v>
      </c>
      <c r="CX30" s="267">
        <f t="shared" si="12"/>
        <v>3.8284271247461898</v>
      </c>
      <c r="CY30" s="267">
        <f t="shared" si="12"/>
        <v>4.9970009170506424</v>
      </c>
      <c r="CZ30" s="267">
        <f t="shared" si="12"/>
        <v>2.3090100814908099</v>
      </c>
      <c r="DA30" s="267">
        <f t="shared" si="12"/>
        <v>2.3998783044217049</v>
      </c>
      <c r="DB30" s="267">
        <f t="shared" si="12"/>
        <v>0</v>
      </c>
      <c r="DC30" s="267">
        <f t="shared" si="12"/>
        <v>0</v>
      </c>
      <c r="DD30" s="267">
        <f t="shared" si="12"/>
        <v>6.039454503565195</v>
      </c>
      <c r="DE30" s="267"/>
      <c r="DF30" s="267">
        <f t="shared" ref="DF30:DN30" si="13">(DF33+(3*DF29))</f>
        <v>6.12582424369044</v>
      </c>
      <c r="DG30" s="267">
        <f t="shared" si="13"/>
        <v>3.1236717056319403</v>
      </c>
      <c r="DH30" s="267">
        <f t="shared" si="13"/>
        <v>2.9373205221438812</v>
      </c>
      <c r="DI30" s="267">
        <f t="shared" si="13"/>
        <v>3.4969805450139368</v>
      </c>
      <c r="DJ30" s="267">
        <f t="shared" si="13"/>
        <v>2.9142366781264677</v>
      </c>
      <c r="DK30" s="267">
        <f t="shared" si="13"/>
        <v>3.7044942768503453</v>
      </c>
      <c r="DL30" s="267">
        <f t="shared" si="13"/>
        <v>1.2817977107401382</v>
      </c>
      <c r="DM30" s="267">
        <f t="shared" si="13"/>
        <v>0</v>
      </c>
      <c r="DN30" s="267">
        <f t="shared" si="13"/>
        <v>5.6353367488386743</v>
      </c>
      <c r="DO30" s="267"/>
      <c r="DP30" s="267">
        <f t="shared" ref="DP30:FD30" si="14">(DP33+(3*DP29))</f>
        <v>6.4732304562943099</v>
      </c>
      <c r="DQ30" s="267">
        <f t="shared" si="14"/>
        <v>3.0498888620498636</v>
      </c>
      <c r="DR30" s="267">
        <f t="shared" si="14"/>
        <v>3.5969751505835408</v>
      </c>
      <c r="DS30" s="267">
        <f t="shared" si="14"/>
        <v>3.2407993596268687</v>
      </c>
      <c r="DT30" s="267">
        <f t="shared" si="14"/>
        <v>3.0498888620498636</v>
      </c>
      <c r="DU30" s="267">
        <f t="shared" si="14"/>
        <v>3</v>
      </c>
      <c r="DV30" s="267">
        <f t="shared" si="14"/>
        <v>1.2817977107401382</v>
      </c>
      <c r="DW30" s="267">
        <f t="shared" si="14"/>
        <v>0</v>
      </c>
      <c r="DX30" s="267">
        <f t="shared" si="14"/>
        <v>5.8746410442877623</v>
      </c>
      <c r="DY30" s="267">
        <f t="shared" si="14"/>
        <v>9.0895956306514556</v>
      </c>
      <c r="DZ30" s="267">
        <f t="shared" si="14"/>
        <v>2.4636363116175652</v>
      </c>
      <c r="EA30" s="267">
        <f t="shared" si="14"/>
        <v>1.2817977107401382</v>
      </c>
      <c r="EB30" s="267">
        <f t="shared" si="14"/>
        <v>14.362715251062042</v>
      </c>
      <c r="EC30" s="267">
        <f t="shared" si="14"/>
        <v>5.4924866200044846</v>
      </c>
      <c r="ED30" s="267">
        <f t="shared" si="14"/>
        <v>2.6835356515387296</v>
      </c>
      <c r="EE30" s="267">
        <f t="shared" si="14"/>
        <v>5.2327851898241642</v>
      </c>
      <c r="EF30" s="267">
        <f t="shared" si="14"/>
        <v>1.949012355583891</v>
      </c>
      <c r="EG30" s="267">
        <f t="shared" si="14"/>
        <v>3.9905608152185508</v>
      </c>
      <c r="EH30" s="267">
        <f t="shared" si="14"/>
        <v>4.7997566088434098</v>
      </c>
      <c r="EI30" s="267">
        <f t="shared" si="14"/>
        <v>3.6664638407028409</v>
      </c>
      <c r="EJ30" s="267">
        <f t="shared" si="14"/>
        <v>4.2662077201304305</v>
      </c>
      <c r="EK30" s="267">
        <f t="shared" si="14"/>
        <v>3.2837189805325466</v>
      </c>
      <c r="EL30" s="267">
        <f t="shared" si="14"/>
        <v>5.6148431780746364</v>
      </c>
      <c r="EM30" s="267">
        <f t="shared" si="14"/>
        <v>3.1696355963826259</v>
      </c>
      <c r="EN30" s="267">
        <f t="shared" si="14"/>
        <v>1</v>
      </c>
      <c r="EO30" s="267" t="e">
        <f t="shared" si="14"/>
        <v>#DIV/0!</v>
      </c>
      <c r="EP30" s="267" t="e">
        <f t="shared" si="14"/>
        <v>#DIV/0!</v>
      </c>
      <c r="EQ30" s="267">
        <f t="shared" si="14"/>
        <v>17.967089058843108</v>
      </c>
      <c r="ER30" s="267">
        <f t="shared" si="14"/>
        <v>5.6196799341448314</v>
      </c>
      <c r="ES30" s="267">
        <f t="shared" si="14"/>
        <v>4.3204304274840419</v>
      </c>
      <c r="ET30" s="267">
        <f t="shared" si="14"/>
        <v>6.3660037299986616</v>
      </c>
      <c r="EU30" s="267">
        <f t="shared" si="14"/>
        <v>3.5871034417997287</v>
      </c>
      <c r="EV30" s="267">
        <f t="shared" si="14"/>
        <v>4.3204304274840419</v>
      </c>
      <c r="EW30" s="267">
        <f t="shared" si="14"/>
        <v>5.2725252037270245</v>
      </c>
      <c r="EX30" s="267">
        <f t="shared" si="14"/>
        <v>2.6510787833896252</v>
      </c>
      <c r="EY30" s="267">
        <f t="shared" si="14"/>
        <v>1.7486406616345072</v>
      </c>
      <c r="EZ30" s="267">
        <f t="shared" si="14"/>
        <v>2.2873501751701224</v>
      </c>
      <c r="FA30" s="267">
        <f t="shared" si="14"/>
        <v>5.2426406871192857</v>
      </c>
      <c r="FB30" s="267" t="e">
        <f t="shared" si="14"/>
        <v>#DIV/0!</v>
      </c>
      <c r="FC30" s="267" t="e">
        <f t="shared" si="14"/>
        <v>#DIV/0!</v>
      </c>
      <c r="FD30" s="267">
        <f t="shared" si="14"/>
        <v>13.083332051636873</v>
      </c>
      <c r="FG30" s="266" t="s">
        <v>281</v>
      </c>
    </row>
    <row r="31" spans="1:163" x14ac:dyDescent="0.25">
      <c r="A31" s="269" t="s">
        <v>280</v>
      </c>
      <c r="B31" s="268"/>
      <c r="C31" s="268"/>
      <c r="D31" s="268"/>
      <c r="E31" s="267"/>
      <c r="F31" s="267"/>
      <c r="G31" s="267"/>
      <c r="H31" s="267"/>
      <c r="I31" s="267"/>
      <c r="J31" s="267">
        <f t="shared" ref="J31:R31" si="15">(J33+(2*J29))</f>
        <v>6.0584559516113758</v>
      </c>
      <c r="K31" s="267">
        <f t="shared" si="15"/>
        <v>7.2973043114683325</v>
      </c>
      <c r="L31" s="267">
        <f t="shared" si="15"/>
        <v>6.8590303106888522</v>
      </c>
      <c r="M31" s="267">
        <f t="shared" si="15"/>
        <v>6.4482700339275532</v>
      </c>
      <c r="N31" s="267">
        <f t="shared" si="15"/>
        <v>3.9638392186608291</v>
      </c>
      <c r="O31" s="267">
        <f t="shared" si="15"/>
        <v>7.013893217542698</v>
      </c>
      <c r="P31" s="267">
        <f t="shared" si="15"/>
        <v>1.0482341323728646</v>
      </c>
      <c r="Q31" s="267">
        <f t="shared" si="15"/>
        <v>1.2709233395660491</v>
      </c>
      <c r="R31" s="267">
        <f t="shared" si="15"/>
        <v>24.28185386805832</v>
      </c>
      <c r="S31" s="267"/>
      <c r="T31" s="267"/>
      <c r="U31" s="267">
        <f>(U33+(2*U29))</f>
        <v>3.1539278019412551</v>
      </c>
      <c r="V31" s="267">
        <f>(V33+(2*V29))</f>
        <v>2.1560662589104354</v>
      </c>
      <c r="W31" s="267"/>
      <c r="X31" s="267"/>
      <c r="Y31" s="267"/>
      <c r="Z31" s="267"/>
      <c r="AA31" s="267"/>
      <c r="AB31" s="267">
        <f t="shared" ref="AB31:AJ31" si="16">(AB33+(2*AB29))</f>
        <v>8.3256433382860546</v>
      </c>
      <c r="AC31" s="267">
        <f t="shared" si="16"/>
        <v>13.485123549302941</v>
      </c>
      <c r="AD31" s="267">
        <f t="shared" si="16"/>
        <v>7.8224152794269202</v>
      </c>
      <c r="AE31" s="267">
        <f t="shared" si="16"/>
        <v>7.2572052455074036</v>
      </c>
      <c r="AF31" s="267">
        <f t="shared" si="16"/>
        <v>4.9278251727706035</v>
      </c>
      <c r="AG31" s="267">
        <f t="shared" si="16"/>
        <v>9.2167215000695464</v>
      </c>
      <c r="AH31" s="267">
        <f t="shared" si="16"/>
        <v>1.963912586385302</v>
      </c>
      <c r="AI31" s="267">
        <f t="shared" si="16"/>
        <v>1.6972347911693118</v>
      </c>
      <c r="AJ31" s="267">
        <f t="shared" si="16"/>
        <v>39.452950236662026</v>
      </c>
      <c r="AK31" s="267"/>
      <c r="AL31" s="267"/>
      <c r="AM31" s="267"/>
      <c r="AN31" s="267">
        <f t="shared" ref="AN31:AV31" si="17">(AN33+(2*AN29))</f>
        <v>5.8557852187040593</v>
      </c>
      <c r="AO31" s="267">
        <f t="shared" si="17"/>
        <v>1.7929013257548208</v>
      </c>
      <c r="AP31" s="267">
        <f t="shared" si="17"/>
        <v>2.7584858672872103</v>
      </c>
      <c r="AQ31" s="267">
        <f t="shared" si="17"/>
        <v>0.51146304668849196</v>
      </c>
      <c r="AR31" s="267">
        <f t="shared" si="17"/>
        <v>2.2543630015878344</v>
      </c>
      <c r="AS31" s="267">
        <f t="shared" si="17"/>
        <v>3.2023231996468686</v>
      </c>
      <c r="AT31" s="267">
        <f t="shared" si="17"/>
        <v>0.73586669317934839</v>
      </c>
      <c r="AU31" s="267">
        <f t="shared" si="17"/>
        <v>0</v>
      </c>
      <c r="AV31" s="267">
        <f t="shared" si="17"/>
        <v>3.0952152589859865</v>
      </c>
      <c r="AW31" s="267"/>
      <c r="AX31" s="267">
        <f t="shared" ref="AX31:BF31" si="18">(AX33+(2*AX29))</f>
        <v>5.7192206163965658</v>
      </c>
      <c r="AY31" s="267">
        <f t="shared" si="18"/>
        <v>2.6387883669462608</v>
      </c>
      <c r="AZ31" s="267">
        <f t="shared" si="18"/>
        <v>3.2110831935702668</v>
      </c>
      <c r="BA31" s="267">
        <f t="shared" si="18"/>
        <v>2.2242337063199433</v>
      </c>
      <c r="BB31" s="267">
        <f t="shared" si="18"/>
        <v>2.6387883669462608</v>
      </c>
      <c r="BC31" s="267">
        <f t="shared" si="18"/>
        <v>2.1533507678737855</v>
      </c>
      <c r="BD31" s="267">
        <f t="shared" si="18"/>
        <v>0.51146304668849196</v>
      </c>
      <c r="BE31" s="267">
        <f t="shared" si="18"/>
        <v>0</v>
      </c>
      <c r="BF31" s="267">
        <f t="shared" si="18"/>
        <v>4.8434809877400973</v>
      </c>
      <c r="BG31" s="267"/>
      <c r="BH31" s="267">
        <f t="shared" ref="BH31:BP31" si="19">(BH33+(2*BH29))</f>
        <v>5.3715434889616409</v>
      </c>
      <c r="BI31" s="267">
        <f t="shared" si="19"/>
        <v>2.6452589029145854</v>
      </c>
      <c r="BJ31" s="267">
        <f t="shared" si="19"/>
        <v>2.8856180831641267</v>
      </c>
      <c r="BK31" s="267">
        <f t="shared" si="19"/>
        <v>1.6972347911693118</v>
      </c>
      <c r="BL31" s="267">
        <f t="shared" si="19"/>
        <v>1.6350065889127154</v>
      </c>
      <c r="BM31" s="267">
        <f t="shared" si="19"/>
        <v>2.0435946982130577</v>
      </c>
      <c r="BN31" s="267">
        <f t="shared" si="19"/>
        <v>0.90716338610746039</v>
      </c>
      <c r="BO31" s="267">
        <f t="shared" si="19"/>
        <v>0.51146304668849196</v>
      </c>
      <c r="BP31" s="267">
        <f t="shared" si="19"/>
        <v>4.0687782801309513</v>
      </c>
      <c r="BQ31" s="267"/>
      <c r="BR31" s="267">
        <f t="shared" ref="BR31:BZ31" si="20">(BR33+(2*BR29))</f>
        <v>6.1766913930020735</v>
      </c>
      <c r="BS31" s="267">
        <f t="shared" si="20"/>
        <v>2.4994376043524498</v>
      </c>
      <c r="BT31" s="267">
        <f t="shared" si="20"/>
        <v>3.3952699743059451</v>
      </c>
      <c r="BU31" s="267">
        <f t="shared" si="20"/>
        <v>2.6900499548009056</v>
      </c>
      <c r="BV31" s="267">
        <f t="shared" si="20"/>
        <v>1.9197003264326162</v>
      </c>
      <c r="BW31" s="267">
        <f t="shared" si="20"/>
        <v>1.99955008348196</v>
      </c>
      <c r="BX31" s="267">
        <f t="shared" si="20"/>
        <v>0.73586669317934839</v>
      </c>
      <c r="BY31" s="267">
        <f t="shared" si="20"/>
        <v>0</v>
      </c>
      <c r="BZ31" s="267">
        <f t="shared" si="20"/>
        <v>5.8566985257845685</v>
      </c>
      <c r="CA31" s="267"/>
      <c r="CB31" s="267">
        <f t="shared" ref="CB31:CJ31" si="21">(CB33+(2*CB29))</f>
        <v>5.4806699845318141</v>
      </c>
      <c r="CC31" s="267">
        <f t="shared" si="21"/>
        <v>2.4994376043524498</v>
      </c>
      <c r="CD31" s="267">
        <f t="shared" si="21"/>
        <v>2.9204902359313971</v>
      </c>
      <c r="CE31" s="267">
        <f t="shared" si="21"/>
        <v>1.99955008348196</v>
      </c>
      <c r="CF31" s="267">
        <f t="shared" si="21"/>
        <v>1.5629504933718739</v>
      </c>
      <c r="CG31" s="267">
        <f t="shared" si="21"/>
        <v>1.6578660700986161</v>
      </c>
      <c r="CH31" s="267">
        <f t="shared" si="21"/>
        <v>0.90716338610746039</v>
      </c>
      <c r="CI31" s="267">
        <f t="shared" si="21"/>
        <v>0</v>
      </c>
      <c r="CJ31" s="267">
        <f t="shared" si="21"/>
        <v>4.1259009867437477</v>
      </c>
      <c r="CK31" s="267"/>
      <c r="CL31" s="267">
        <f t="shared" ref="CL31:CT31" si="22">(CL33+(2*CL29))</f>
        <v>5.9005770803303523</v>
      </c>
      <c r="CM31" s="267">
        <f t="shared" si="22"/>
        <v>1.8060178495431967</v>
      </c>
      <c r="CN31" s="267">
        <f t="shared" si="22"/>
        <v>3.8149121267542276</v>
      </c>
      <c r="CO31" s="267">
        <f t="shared" si="22"/>
        <v>3.0309994439687755</v>
      </c>
      <c r="CP31" s="267">
        <f t="shared" si="22"/>
        <v>1.6972347911693118</v>
      </c>
      <c r="CQ31" s="267">
        <f t="shared" si="22"/>
        <v>1.1679857514545702</v>
      </c>
      <c r="CR31" s="267">
        <f t="shared" si="22"/>
        <v>0.51146304668849196</v>
      </c>
      <c r="CS31" s="267">
        <f t="shared" si="22"/>
        <v>0</v>
      </c>
      <c r="CT31" s="267">
        <f t="shared" si="22"/>
        <v>4.3835421875840055</v>
      </c>
      <c r="CU31" s="267"/>
      <c r="CV31" s="267">
        <f t="shared" ref="CV31:DD31" si="23">(CV33+(2*CV29))</f>
        <v>5.1827478248464995</v>
      </c>
      <c r="CW31" s="267">
        <f t="shared" si="23"/>
        <v>1.6972347911693118</v>
      </c>
      <c r="CX31" s="267">
        <f t="shared" si="23"/>
        <v>2.8856180831641267</v>
      </c>
      <c r="CY31" s="267">
        <f t="shared" si="23"/>
        <v>3.6120356990863933</v>
      </c>
      <c r="CZ31" s="267">
        <f t="shared" si="23"/>
        <v>1.6972347911693118</v>
      </c>
      <c r="DA31" s="267">
        <f t="shared" si="23"/>
        <v>1.7929013257548208</v>
      </c>
      <c r="DB31" s="267">
        <f t="shared" si="23"/>
        <v>0</v>
      </c>
      <c r="DC31" s="267">
        <f t="shared" si="23"/>
        <v>0</v>
      </c>
      <c r="DD31" s="267">
        <f t="shared" si="23"/>
        <v>4.5350749322013586</v>
      </c>
      <c r="DE31" s="267"/>
      <c r="DF31" s="267">
        <f t="shared" ref="DF31:DN31" si="24">(DF33+(2*DF29))</f>
        <v>5.2242337063199429</v>
      </c>
      <c r="DG31" s="267">
        <f t="shared" si="24"/>
        <v>2.2929741195441005</v>
      </c>
      <c r="DH31" s="267">
        <f t="shared" si="24"/>
        <v>2.2038277165169733</v>
      </c>
      <c r="DI31" s="267">
        <f t="shared" si="24"/>
        <v>2.5418466791320982</v>
      </c>
      <c r="DJ31" s="267">
        <f t="shared" si="24"/>
        <v>2.1533507678737855</v>
      </c>
      <c r="DK31" s="267">
        <f t="shared" si="24"/>
        <v>2.767908465268651</v>
      </c>
      <c r="DL31" s="267">
        <f t="shared" si="24"/>
        <v>0.90716338610746039</v>
      </c>
      <c r="DM31" s="267">
        <f t="shared" si="24"/>
        <v>0</v>
      </c>
      <c r="DN31" s="267">
        <f t="shared" si="24"/>
        <v>4.160399937822274</v>
      </c>
      <c r="DO31" s="267"/>
      <c r="DP31" s="267">
        <f t="shared" ref="DP31:FD31" si="25">(DP33+(2*DP29))</f>
        <v>5.4558378480558556</v>
      </c>
      <c r="DQ31" s="267">
        <f t="shared" si="25"/>
        <v>2.2086978378578039</v>
      </c>
      <c r="DR31" s="267">
        <f t="shared" si="25"/>
        <v>2.7488606267048166</v>
      </c>
      <c r="DS31" s="267">
        <f t="shared" si="25"/>
        <v>2.3359715029091404</v>
      </c>
      <c r="DT31" s="267">
        <f t="shared" si="25"/>
        <v>2.2086978378578039</v>
      </c>
      <c r="DU31" s="267">
        <f t="shared" si="25"/>
        <v>2.333333333333333</v>
      </c>
      <c r="DV31" s="267">
        <f t="shared" si="25"/>
        <v>0.90716338610746039</v>
      </c>
      <c r="DW31" s="267">
        <f t="shared" si="25"/>
        <v>0</v>
      </c>
      <c r="DX31" s="267">
        <f t="shared" si="25"/>
        <v>4.4076554330339466</v>
      </c>
      <c r="DY31" s="267">
        <f t="shared" si="25"/>
        <v>6.7380929935337184</v>
      </c>
      <c r="DZ31" s="267">
        <f t="shared" si="25"/>
        <v>1.7301435059906576</v>
      </c>
      <c r="EA31" s="267">
        <f t="shared" si="25"/>
        <v>0.90716338610746039</v>
      </c>
      <c r="EB31" s="267">
        <f t="shared" si="25"/>
        <v>11.756430050415631</v>
      </c>
      <c r="EC31" s="267">
        <f t="shared" si="25"/>
        <v>4.1879735361433408</v>
      </c>
      <c r="ED31" s="267">
        <f t="shared" si="25"/>
        <v>1.99955008348196</v>
      </c>
      <c r="EE31" s="267">
        <f t="shared" si="25"/>
        <v>3.8394006528652325</v>
      </c>
      <c r="EF31" s="267">
        <f t="shared" si="25"/>
        <v>1.3870608686348747</v>
      </c>
      <c r="EG31" s="267">
        <f t="shared" si="25"/>
        <v>2.8182686136544723</v>
      </c>
      <c r="EH31" s="267">
        <f t="shared" si="25"/>
        <v>3.5858026515096415</v>
      </c>
      <c r="EI31" s="267">
        <f t="shared" si="25"/>
        <v>2.654835542924701</v>
      </c>
      <c r="EJ31" s="267">
        <f t="shared" si="25"/>
        <v>3.0546647958764277</v>
      </c>
      <c r="EK31" s="267">
        <f t="shared" si="25"/>
        <v>2.3821284431620486</v>
      </c>
      <c r="EL31" s="267">
        <f t="shared" si="25"/>
        <v>4.0140621187164243</v>
      </c>
      <c r="EM31" s="267">
        <f t="shared" si="25"/>
        <v>2.2925775770755967</v>
      </c>
      <c r="EN31" s="267">
        <f t="shared" si="25"/>
        <v>1</v>
      </c>
      <c r="EO31" s="267" t="e">
        <f t="shared" si="25"/>
        <v>#DIV/0!</v>
      </c>
      <c r="EP31" s="267" t="e">
        <f t="shared" si="25"/>
        <v>#DIV/0!</v>
      </c>
      <c r="EQ31" s="267">
        <f t="shared" si="25"/>
        <v>13.96051551291295</v>
      </c>
      <c r="ER31" s="267">
        <f t="shared" si="25"/>
        <v>3.992067324517607</v>
      </c>
      <c r="ES31" s="267">
        <f t="shared" si="25"/>
        <v>3.1259009867437477</v>
      </c>
      <c r="ET31" s="267">
        <f t="shared" si="25"/>
        <v>4.6475112585955989</v>
      </c>
      <c r="EU31" s="267">
        <f t="shared" si="25"/>
        <v>2.5668408910243805</v>
      </c>
      <c r="EV31" s="267">
        <f t="shared" si="25"/>
        <v>3.1259009867437477</v>
      </c>
      <c r="EW31" s="267">
        <f t="shared" si="25"/>
        <v>3.7430869779232796</v>
      </c>
      <c r="EX31" s="267">
        <f t="shared" si="25"/>
        <v>1.8901928731369433</v>
      </c>
      <c r="EY31" s="267">
        <f t="shared" si="25"/>
        <v>1.2699271077563381</v>
      </c>
      <c r="EZ31" s="267">
        <f t="shared" si="25"/>
        <v>1.6360112278911925</v>
      </c>
      <c r="FA31" s="267">
        <f t="shared" si="25"/>
        <v>3.8284271247461903</v>
      </c>
      <c r="FB31" s="267" t="e">
        <f t="shared" si="25"/>
        <v>#DIV/0!</v>
      </c>
      <c r="FC31" s="267" t="e">
        <f t="shared" si="25"/>
        <v>#DIV/0!</v>
      </c>
      <c r="FD31" s="267">
        <f t="shared" si="25"/>
        <v>10.581870490564933</v>
      </c>
      <c r="FG31" s="266" t="s">
        <v>280</v>
      </c>
    </row>
    <row r="32" spans="1:163" x14ac:dyDescent="0.25">
      <c r="A32" s="269" t="s">
        <v>279</v>
      </c>
      <c r="B32" s="268"/>
      <c r="C32" s="268"/>
      <c r="D32" s="268"/>
      <c r="E32" s="267"/>
      <c r="F32" s="267"/>
      <c r="G32" s="267"/>
      <c r="H32" s="267"/>
      <c r="I32" s="267"/>
      <c r="J32" s="267">
        <f t="shared" ref="J32:R32" si="26">(J33+J29)</f>
        <v>4.6081753442267406</v>
      </c>
      <c r="K32" s="267">
        <f t="shared" si="26"/>
        <v>5.2539153136289034</v>
      </c>
      <c r="L32" s="267">
        <f t="shared" si="26"/>
        <v>4.7453046290286363</v>
      </c>
      <c r="M32" s="267">
        <f t="shared" si="26"/>
        <v>4.2504508064374606</v>
      </c>
      <c r="N32" s="267">
        <f t="shared" si="26"/>
        <v>2.7450775040672566</v>
      </c>
      <c r="O32" s="267">
        <f t="shared" si="26"/>
        <v>4.8227360824555596</v>
      </c>
      <c r="P32" s="267">
        <f t="shared" si="26"/>
        <v>0.62938022408116923</v>
      </c>
      <c r="Q32" s="267">
        <f t="shared" si="26"/>
        <v>0.79335640662512974</v>
      </c>
      <c r="R32" s="267">
        <f t="shared" si="26"/>
        <v>19.272505881397581</v>
      </c>
      <c r="S32" s="267"/>
      <c r="T32" s="267"/>
      <c r="U32" s="267">
        <f>(U33+U29)</f>
        <v>1.9717007430758908</v>
      </c>
      <c r="V32" s="267">
        <f>(V33+V29)</f>
        <v>1.3148752347183756</v>
      </c>
      <c r="W32" s="267"/>
      <c r="X32" s="267"/>
      <c r="Y32" s="267"/>
      <c r="Z32" s="267"/>
      <c r="AA32" s="267"/>
      <c r="AB32" s="267">
        <f t="shared" ref="AB32:AJ32" si="27">(AB33+AB29)</f>
        <v>6.8733479849325008</v>
      </c>
      <c r="AC32" s="267">
        <f t="shared" si="27"/>
        <v>9.4530880904409429</v>
      </c>
      <c r="AD32" s="267">
        <f t="shared" si="27"/>
        <v>5.384891850239776</v>
      </c>
      <c r="AE32" s="267">
        <f t="shared" si="27"/>
        <v>4.9707078859115965</v>
      </c>
      <c r="AF32" s="267">
        <f t="shared" si="27"/>
        <v>3.5428599548063548</v>
      </c>
      <c r="AG32" s="267">
        <f t="shared" si="27"/>
        <v>6.5820449605610882</v>
      </c>
      <c r="AH32" s="267">
        <f t="shared" si="27"/>
        <v>1.2714299774031774</v>
      </c>
      <c r="AI32" s="267">
        <f t="shared" si="27"/>
        <v>1.0854595008478138</v>
      </c>
      <c r="AJ32" s="267">
        <f t="shared" si="27"/>
        <v>31.542264592015226</v>
      </c>
      <c r="AK32" s="267"/>
      <c r="AL32" s="267"/>
      <c r="AM32" s="267"/>
      <c r="AN32" s="267">
        <f t="shared" ref="AN32:AV32" si="28">(AN33+AN29)</f>
        <v>4.9805241882993982</v>
      </c>
      <c r="AO32" s="267">
        <f t="shared" si="28"/>
        <v>1.1859243470879366</v>
      </c>
      <c r="AP32" s="267">
        <f t="shared" si="28"/>
        <v>1.8002955652225525</v>
      </c>
      <c r="AQ32" s="267">
        <f t="shared" si="28"/>
        <v>0.28204731281793016</v>
      </c>
      <c r="AR32" s="267">
        <f t="shared" si="28"/>
        <v>1.4166551850044438</v>
      </c>
      <c r="AS32" s="267">
        <f t="shared" si="28"/>
        <v>2.1537931787708029</v>
      </c>
      <c r="AT32" s="267">
        <f t="shared" si="28"/>
        <v>0.42056492553704261</v>
      </c>
      <c r="AU32" s="267">
        <f t="shared" si="28"/>
        <v>0</v>
      </c>
      <c r="AV32" s="267">
        <f t="shared" si="28"/>
        <v>1.9949760505456249</v>
      </c>
      <c r="AW32" s="267"/>
      <c r="AX32" s="267">
        <f t="shared" ref="AX32:BF32" si="29">(AX33+AX29)</f>
        <v>4.7280313608298616</v>
      </c>
      <c r="AY32" s="267">
        <f t="shared" si="29"/>
        <v>1.7404468150520778</v>
      </c>
      <c r="AZ32" s="267">
        <f t="shared" si="29"/>
        <v>2.1055415967851334</v>
      </c>
      <c r="BA32" s="267">
        <f t="shared" si="29"/>
        <v>1.3226431689494453</v>
      </c>
      <c r="BB32" s="267">
        <f t="shared" si="29"/>
        <v>1.7404468150520778</v>
      </c>
      <c r="BC32" s="267">
        <f t="shared" si="29"/>
        <v>1.3924648576211032</v>
      </c>
      <c r="BD32" s="267">
        <f t="shared" si="29"/>
        <v>0.28204731281793016</v>
      </c>
      <c r="BE32" s="267">
        <f t="shared" si="29"/>
        <v>0</v>
      </c>
      <c r="BF32" s="267">
        <f t="shared" si="29"/>
        <v>3.0533194412384699</v>
      </c>
      <c r="BG32" s="267"/>
      <c r="BH32" s="267">
        <f t="shared" ref="BH32:BP32" si="30">(BH33+BH29)</f>
        <v>4.6068243760597678</v>
      </c>
      <c r="BI32" s="267">
        <f t="shared" si="30"/>
        <v>1.7699978725099244</v>
      </c>
      <c r="BJ32" s="267">
        <f t="shared" si="30"/>
        <v>1.9428090415820634</v>
      </c>
      <c r="BK32" s="267">
        <f t="shared" si="30"/>
        <v>1.0854595008478138</v>
      </c>
      <c r="BL32" s="267">
        <f t="shared" si="30"/>
        <v>1.0280296102458313</v>
      </c>
      <c r="BM32" s="267">
        <f t="shared" si="30"/>
        <v>1.3902184017381076</v>
      </c>
      <c r="BN32" s="267">
        <f t="shared" si="30"/>
        <v>0.53252906147478285</v>
      </c>
      <c r="BO32" s="267">
        <f t="shared" si="30"/>
        <v>0.28204731281793016</v>
      </c>
      <c r="BP32" s="267">
        <f t="shared" si="30"/>
        <v>2.692283876907581</v>
      </c>
      <c r="BQ32" s="267"/>
      <c r="BR32" s="267">
        <f t="shared" ref="BR32:BZ32" si="31">(BR33+BR29)</f>
        <v>5.0093983280799836</v>
      </c>
      <c r="BS32" s="267">
        <f t="shared" si="31"/>
        <v>1.6444556442814879</v>
      </c>
      <c r="BT32" s="267">
        <f t="shared" si="31"/>
        <v>2.2765823555740252</v>
      </c>
      <c r="BU32" s="267">
        <f t="shared" si="31"/>
        <v>1.6871302405583477</v>
      </c>
      <c r="BV32" s="267">
        <f t="shared" si="31"/>
        <v>1.2230080579531502</v>
      </c>
      <c r="BW32" s="267">
        <f t="shared" si="31"/>
        <v>1.3155645154251905</v>
      </c>
      <c r="BX32" s="267">
        <f t="shared" si="31"/>
        <v>0.42056492553704261</v>
      </c>
      <c r="BY32" s="267">
        <f t="shared" si="31"/>
        <v>0</v>
      </c>
      <c r="BZ32" s="267">
        <f t="shared" si="31"/>
        <v>3.8494018944712316</v>
      </c>
      <c r="CA32" s="267"/>
      <c r="CB32" s="267">
        <f t="shared" ref="CB32:CJ32" si="32">(CB33+CB29)</f>
        <v>4.6087560448974862</v>
      </c>
      <c r="CC32" s="267">
        <f t="shared" si="32"/>
        <v>1.6444556442814879</v>
      </c>
      <c r="CD32" s="267">
        <f t="shared" si="32"/>
        <v>2.0655082758604353</v>
      </c>
      <c r="CE32" s="267">
        <f t="shared" si="32"/>
        <v>1.3155645154251905</v>
      </c>
      <c r="CF32" s="267">
        <f t="shared" si="32"/>
        <v>0.96568577300172631</v>
      </c>
      <c r="CG32" s="267">
        <f t="shared" si="32"/>
        <v>0.98682777189141324</v>
      </c>
      <c r="CH32" s="267">
        <f t="shared" si="32"/>
        <v>0.53252906147478285</v>
      </c>
      <c r="CI32" s="267">
        <f t="shared" si="32"/>
        <v>0</v>
      </c>
      <c r="CJ32" s="267">
        <f t="shared" si="32"/>
        <v>2.9313715460034526</v>
      </c>
      <c r="CK32" s="267"/>
      <c r="CL32" s="267">
        <f t="shared" ref="CL32:CT32" si="33">(CL33+CL29)</f>
        <v>4.7923938033230709</v>
      </c>
      <c r="CM32" s="267">
        <f t="shared" si="33"/>
        <v>1.1135352405610721</v>
      </c>
      <c r="CN32" s="267">
        <f t="shared" si="33"/>
        <v>2.5653508002192194</v>
      </c>
      <c r="CO32" s="267">
        <f t="shared" si="33"/>
        <v>1.8839207746159667</v>
      </c>
      <c r="CP32" s="267">
        <f t="shared" si="33"/>
        <v>1.0854595008478138</v>
      </c>
      <c r="CQ32" s="267">
        <f t="shared" si="33"/>
        <v>0.71557182309570622</v>
      </c>
      <c r="CR32" s="267">
        <f t="shared" si="33"/>
        <v>0.28204731281793016</v>
      </c>
      <c r="CS32" s="267">
        <f t="shared" si="33"/>
        <v>0</v>
      </c>
      <c r="CT32" s="267">
        <f t="shared" si="33"/>
        <v>2.9549289885288448</v>
      </c>
      <c r="CU32" s="267"/>
      <c r="CV32" s="267">
        <f t="shared" ref="CV32:DD32" si="34">(CV33+CV29)</f>
        <v>4.4334791755811445</v>
      </c>
      <c r="CW32" s="267">
        <f t="shared" si="34"/>
        <v>1.0854595008478138</v>
      </c>
      <c r="CX32" s="267">
        <f t="shared" si="34"/>
        <v>1.9428090415820634</v>
      </c>
      <c r="CY32" s="267">
        <f t="shared" si="34"/>
        <v>2.2270704811221442</v>
      </c>
      <c r="CZ32" s="267">
        <f t="shared" si="34"/>
        <v>1.0854595008478138</v>
      </c>
      <c r="DA32" s="267">
        <f t="shared" si="34"/>
        <v>1.1859243470879366</v>
      </c>
      <c r="DB32" s="267">
        <f t="shared" si="34"/>
        <v>0</v>
      </c>
      <c r="DC32" s="267">
        <f t="shared" si="34"/>
        <v>0</v>
      </c>
      <c r="DD32" s="267">
        <f t="shared" si="34"/>
        <v>3.0306953608375213</v>
      </c>
      <c r="DE32" s="267"/>
      <c r="DF32" s="267">
        <f t="shared" ref="DF32:DN32" si="35">(DF33+DF29)</f>
        <v>4.3226431689494449</v>
      </c>
      <c r="DG32" s="267">
        <f t="shared" si="35"/>
        <v>1.4622765334562606</v>
      </c>
      <c r="DH32" s="267">
        <f t="shared" si="35"/>
        <v>1.4703349108900656</v>
      </c>
      <c r="DI32" s="267">
        <f t="shared" si="35"/>
        <v>1.5867128132502595</v>
      </c>
      <c r="DJ32" s="267">
        <f t="shared" si="35"/>
        <v>1.3924648576211032</v>
      </c>
      <c r="DK32" s="267">
        <f t="shared" si="35"/>
        <v>1.8313226536869571</v>
      </c>
      <c r="DL32" s="267">
        <f t="shared" si="35"/>
        <v>0.53252906147478285</v>
      </c>
      <c r="DM32" s="267">
        <f t="shared" si="35"/>
        <v>0</v>
      </c>
      <c r="DN32" s="267">
        <f t="shared" si="35"/>
        <v>2.6854631268058737</v>
      </c>
      <c r="DO32" s="267"/>
      <c r="DP32" s="267">
        <f t="shared" ref="DP32:FD32" si="36">(DP33+DP29)</f>
        <v>4.4384452398174012</v>
      </c>
      <c r="DQ32" s="267">
        <f t="shared" si="36"/>
        <v>1.367506813665744</v>
      </c>
      <c r="DR32" s="267">
        <f t="shared" si="36"/>
        <v>1.9007461028260926</v>
      </c>
      <c r="DS32" s="267">
        <f t="shared" si="36"/>
        <v>1.4311436461914124</v>
      </c>
      <c r="DT32" s="267">
        <f t="shared" si="36"/>
        <v>1.367506813665744</v>
      </c>
      <c r="DU32" s="267">
        <f t="shared" si="36"/>
        <v>1.6666666666666665</v>
      </c>
      <c r="DV32" s="267">
        <f t="shared" si="36"/>
        <v>0.53252906147478285</v>
      </c>
      <c r="DW32" s="267">
        <f t="shared" si="36"/>
        <v>0</v>
      </c>
      <c r="DX32" s="267">
        <f t="shared" si="36"/>
        <v>2.9406698217801313</v>
      </c>
      <c r="DY32" s="267">
        <f t="shared" si="36"/>
        <v>4.3865903564159821</v>
      </c>
      <c r="DZ32" s="267">
        <f t="shared" si="36"/>
        <v>0.99665070036374992</v>
      </c>
      <c r="EA32" s="267">
        <f t="shared" si="36"/>
        <v>0.53252906147478285</v>
      </c>
      <c r="EB32" s="267">
        <f t="shared" si="36"/>
        <v>9.1501448497692195</v>
      </c>
      <c r="EC32" s="267">
        <f t="shared" si="36"/>
        <v>2.8834604522821969</v>
      </c>
      <c r="ED32" s="267">
        <f t="shared" si="36"/>
        <v>1.3155645154251905</v>
      </c>
      <c r="EE32" s="267">
        <f t="shared" si="36"/>
        <v>2.4460161159063003</v>
      </c>
      <c r="EF32" s="267">
        <f t="shared" si="36"/>
        <v>0.82510938168585835</v>
      </c>
      <c r="EG32" s="267">
        <f t="shared" si="36"/>
        <v>1.6459764120903939</v>
      </c>
      <c r="EH32" s="267">
        <f t="shared" si="36"/>
        <v>2.3718486941758732</v>
      </c>
      <c r="EI32" s="267">
        <f t="shared" si="36"/>
        <v>1.6432072451465609</v>
      </c>
      <c r="EJ32" s="267">
        <f t="shared" si="36"/>
        <v>1.8431218716224242</v>
      </c>
      <c r="EK32" s="267">
        <f t="shared" si="36"/>
        <v>1.4805379057915506</v>
      </c>
      <c r="EL32" s="267">
        <f t="shared" si="36"/>
        <v>2.4132810593582121</v>
      </c>
      <c r="EM32" s="267">
        <f t="shared" si="36"/>
        <v>1.4155195577685675</v>
      </c>
      <c r="EN32" s="267">
        <f t="shared" si="36"/>
        <v>1</v>
      </c>
      <c r="EO32" s="267" t="e">
        <f t="shared" si="36"/>
        <v>#DIV/0!</v>
      </c>
      <c r="EP32" s="267" t="e">
        <f t="shared" si="36"/>
        <v>#DIV/0!</v>
      </c>
      <c r="EQ32" s="267">
        <f t="shared" si="36"/>
        <v>9.9539419669827911</v>
      </c>
      <c r="ER32" s="267">
        <f t="shared" si="36"/>
        <v>2.3644547148903823</v>
      </c>
      <c r="ES32" s="267">
        <f t="shared" si="36"/>
        <v>1.9313715460034526</v>
      </c>
      <c r="ET32" s="267">
        <f t="shared" si="36"/>
        <v>2.9290187871925362</v>
      </c>
      <c r="EU32" s="267">
        <f t="shared" si="36"/>
        <v>1.5465783402490323</v>
      </c>
      <c r="EV32" s="267">
        <f t="shared" si="36"/>
        <v>1.9313715460034526</v>
      </c>
      <c r="EW32" s="267">
        <f t="shared" si="36"/>
        <v>2.2136487521195347</v>
      </c>
      <c r="EX32" s="267">
        <f t="shared" si="36"/>
        <v>1.1293069628842611</v>
      </c>
      <c r="EY32" s="267">
        <f t="shared" si="36"/>
        <v>0.79121355387816905</v>
      </c>
      <c r="EZ32" s="267">
        <f t="shared" si="36"/>
        <v>0.98467228061226297</v>
      </c>
      <c r="FA32" s="267">
        <f t="shared" si="36"/>
        <v>2.4142135623730949</v>
      </c>
      <c r="FB32" s="267" t="e">
        <f t="shared" si="36"/>
        <v>#DIV/0!</v>
      </c>
      <c r="FC32" s="267" t="e">
        <f t="shared" si="36"/>
        <v>#DIV/0!</v>
      </c>
      <c r="FD32" s="267">
        <f t="shared" si="36"/>
        <v>8.0804089294929931</v>
      </c>
      <c r="FG32" s="266" t="s">
        <v>279</v>
      </c>
    </row>
    <row r="33" spans="1:163" x14ac:dyDescent="0.25">
      <c r="A33" s="272" t="s">
        <v>233</v>
      </c>
      <c r="B33" s="271"/>
      <c r="C33" s="271"/>
      <c r="D33" s="271"/>
      <c r="E33" s="41"/>
      <c r="F33" s="271"/>
      <c r="G33" s="271"/>
      <c r="H33" s="271"/>
      <c r="I33" s="271"/>
      <c r="J33" s="41">
        <f>AVERAGE(Table142[S-IP])</f>
        <v>3.1578947368421053</v>
      </c>
      <c r="K33" s="41">
        <f>AVERAGE(Table142[S-H])</f>
        <v>3.2105263157894739</v>
      </c>
      <c r="L33" s="41">
        <f>AVERAGE(Table142[S-R])</f>
        <v>2.6315789473684212</v>
      </c>
      <c r="M33" s="41">
        <f>AVERAGE(Table142[S-ER])</f>
        <v>2.0526315789473686</v>
      </c>
      <c r="N33" s="41">
        <f>AVERAGE(Table142[S-BB])</f>
        <v>1.5263157894736843</v>
      </c>
      <c r="O33" s="41">
        <f>AVERAGE(Table142[S-SO])</f>
        <v>2.6315789473684212</v>
      </c>
      <c r="P33" s="41">
        <f>AVERAGE(Table142[S-HR])</f>
        <v>0.21052631578947367</v>
      </c>
      <c r="Q33" s="41">
        <f>AVERAGE(Table142[S-HBP])</f>
        <v>0.31578947368421051</v>
      </c>
      <c r="R33" s="41">
        <f>AVERAGE(Table142[S-BF])</f>
        <v>14.263157894736842</v>
      </c>
      <c r="S33" s="41"/>
      <c r="T33" s="41"/>
      <c r="U33" s="41">
        <f>AVERAGE(Table142[IRL])</f>
        <v>0.78947368421052633</v>
      </c>
      <c r="V33" s="41">
        <f>AVERAGE(Table142[IRS])</f>
        <v>0.47368421052631576</v>
      </c>
      <c r="W33" s="271"/>
      <c r="X33" s="271"/>
      <c r="Y33" s="271"/>
      <c r="Z33" s="271"/>
      <c r="AA33" s="271"/>
      <c r="AB33" s="41">
        <f>AVERAGE(Table142[B-IP])</f>
        <v>5.4210526315789478</v>
      </c>
      <c r="AC33" s="41">
        <f>AVERAGE(Table142[B-H])</f>
        <v>5.4210526315789478</v>
      </c>
      <c r="AD33" s="41">
        <f>AVERAGE(Table142[B-R])</f>
        <v>2.9473684210526314</v>
      </c>
      <c r="AE33" s="41">
        <f>AVERAGE(Table142[B-ER])</f>
        <v>2.6842105263157894</v>
      </c>
      <c r="AF33" s="41">
        <f>AVERAGE(Table142[B-BB])</f>
        <v>2.1578947368421053</v>
      </c>
      <c r="AG33" s="41">
        <f>AVERAGE(Table142[B-SO])</f>
        <v>3.9473684210526314</v>
      </c>
      <c r="AH33" s="41">
        <f>AVERAGE(Table142[B-HR])</f>
        <v>0.57894736842105265</v>
      </c>
      <c r="AI33" s="41">
        <f>AVERAGE(Table142[B-HBP])</f>
        <v>0.47368421052631576</v>
      </c>
      <c r="AJ33" s="41">
        <f>AVERAGE(Table142[B-BF])</f>
        <v>23.631578947368421</v>
      </c>
      <c r="AK33" s="41"/>
      <c r="AL33" s="41"/>
      <c r="AM33" s="271"/>
      <c r="AN33" s="41">
        <f>AVERAGE(Table142[AB1])</f>
        <v>4.1052631578947372</v>
      </c>
      <c r="AO33" s="41">
        <f>AVERAGE(Table142[R1])</f>
        <v>0.57894736842105265</v>
      </c>
      <c r="AP33" s="41">
        <f>AVERAGE(Table142[H1])</f>
        <v>0.84210526315789469</v>
      </c>
      <c r="AQ33" s="41">
        <f>AVERAGE(Table142[RBI1])</f>
        <v>5.2631578947368418E-2</v>
      </c>
      <c r="AR33" s="41">
        <f>AVERAGE(Table142[BB1])</f>
        <v>0.57894736842105265</v>
      </c>
      <c r="AS33" s="41">
        <f>AVERAGE(Table142[SO1])</f>
        <v>1.1052631578947369</v>
      </c>
      <c r="AT33" s="41">
        <f>AVERAGE(Table142[HBP1])</f>
        <v>0.10526315789473684</v>
      </c>
      <c r="AU33" s="41">
        <f>AVERAGE(Table142[SF1])</f>
        <v>0</v>
      </c>
      <c r="AV33" s="41">
        <f>AVERAGE(Table142[TB1])</f>
        <v>0.89473684210526316</v>
      </c>
      <c r="AW33" s="271"/>
      <c r="AX33" s="41">
        <f>AVERAGE(Table142[AB2])</f>
        <v>3.736842105263158</v>
      </c>
      <c r="AY33" s="41">
        <f>AVERAGE(Table142[R2])</f>
        <v>0.84210526315789469</v>
      </c>
      <c r="AZ33" s="41">
        <f>AVERAGE(Table142[H2])</f>
        <v>1</v>
      </c>
      <c r="BA33" s="41">
        <f>AVERAGE(Table142[RBI2])</f>
        <v>0.42105263157894735</v>
      </c>
      <c r="BB33" s="41">
        <f>AVERAGE(Table142[BB2])</f>
        <v>0.84210526315789469</v>
      </c>
      <c r="BC33" s="41">
        <f>AVERAGE(Table142[SO2])</f>
        <v>0.63157894736842102</v>
      </c>
      <c r="BD33" s="41">
        <f>AVERAGE(Table142[HBP2])</f>
        <v>5.2631578947368418E-2</v>
      </c>
      <c r="BE33" s="41">
        <f>AVERAGE(Table142[SF2])</f>
        <v>0</v>
      </c>
      <c r="BF33" s="41">
        <f>AVERAGE(Table142[TB2])</f>
        <v>1.263157894736842</v>
      </c>
      <c r="BG33" s="271"/>
      <c r="BH33" s="41">
        <f>AVERAGE(Table142[AB3])</f>
        <v>3.8421052631578947</v>
      </c>
      <c r="BI33" s="41">
        <f>AVERAGE(Table142[R3])</f>
        <v>0.89473684210526316</v>
      </c>
      <c r="BJ33" s="41">
        <f>AVERAGE(Table142[H3])</f>
        <v>1</v>
      </c>
      <c r="BK33" s="41">
        <f>AVERAGE(Table142[RBI3])</f>
        <v>0.47368421052631576</v>
      </c>
      <c r="BL33" s="41">
        <f>AVERAGE(Table142[BB3])</f>
        <v>0.42105263157894735</v>
      </c>
      <c r="BM33" s="41">
        <f>AVERAGE(Table142[SO3])</f>
        <v>0.73684210526315785</v>
      </c>
      <c r="BN33" s="41">
        <f>AVERAGE(Table142[HBP3])</f>
        <v>0.15789473684210525</v>
      </c>
      <c r="BO33" s="41">
        <f>AVERAGE(Table142[SF3])</f>
        <v>5.2631578947368418E-2</v>
      </c>
      <c r="BP33" s="41">
        <f>AVERAGE(Table142[TB3])</f>
        <v>1.3157894736842106</v>
      </c>
      <c r="BQ33" s="271"/>
      <c r="BR33" s="41">
        <f>AVERAGE(Table142[AB4])</f>
        <v>3.8421052631578947</v>
      </c>
      <c r="BS33" s="41">
        <f>AVERAGE(Table142[R4])</f>
        <v>0.78947368421052633</v>
      </c>
      <c r="BT33" s="41">
        <f>AVERAGE(Table142[H4])</f>
        <v>1.1578947368421053</v>
      </c>
      <c r="BU33" s="41">
        <f>AVERAGE(Table142[RBI4])</f>
        <v>0.68421052631578949</v>
      </c>
      <c r="BV33" s="41">
        <f>AVERAGE(Table142[BB4])</f>
        <v>0.52631578947368418</v>
      </c>
      <c r="BW33" s="41">
        <f>AVERAGE(Table142[SO4])</f>
        <v>0.63157894736842102</v>
      </c>
      <c r="BX33" s="41">
        <f>AVERAGE(Table142[HBP4])</f>
        <v>0.10526315789473684</v>
      </c>
      <c r="BY33" s="41">
        <f>AVERAGE(Table142[SF4])</f>
        <v>0</v>
      </c>
      <c r="BZ33" s="41">
        <f>AVERAGE(Table142[TB4])</f>
        <v>1.8421052631578947</v>
      </c>
      <c r="CA33" s="271"/>
      <c r="CB33" s="41">
        <f>AVERAGE(Table142[AB5])</f>
        <v>3.736842105263158</v>
      </c>
      <c r="CC33" s="41">
        <f>AVERAGE(Table142[R5])</f>
        <v>0.78947368421052633</v>
      </c>
      <c r="CD33" s="41">
        <f>AVERAGE(Table142[H5])</f>
        <v>1.2105263157894737</v>
      </c>
      <c r="CE33" s="41">
        <f>AVERAGE(Table142[RBI5])</f>
        <v>0.63157894736842102</v>
      </c>
      <c r="CF33" s="41">
        <f>AVERAGE(Table142[BB5])</f>
        <v>0.36842105263157893</v>
      </c>
      <c r="CG33" s="41">
        <f>AVERAGE(Table142[SO5])</f>
        <v>0.31578947368421051</v>
      </c>
      <c r="CH33" s="41">
        <f>AVERAGE(Table142[HBP5])</f>
        <v>0.15789473684210525</v>
      </c>
      <c r="CI33" s="41">
        <f>AVERAGE(Table142[SF5])</f>
        <v>0</v>
      </c>
      <c r="CJ33" s="41">
        <f>AVERAGE(Table142[TB5])</f>
        <v>1.736842105263158</v>
      </c>
      <c r="CK33" s="271"/>
      <c r="CL33" s="41">
        <f>AVERAGE(Table142[AB6])</f>
        <v>3.6842105263157894</v>
      </c>
      <c r="CM33" s="41">
        <f>AVERAGE(Table142[R6])</f>
        <v>0.42105263157894735</v>
      </c>
      <c r="CN33" s="41">
        <f>AVERAGE(Table142[H6])</f>
        <v>1.3157894736842106</v>
      </c>
      <c r="CO33" s="41">
        <f>AVERAGE(Table142[RBI6])</f>
        <v>0.73684210526315785</v>
      </c>
      <c r="CP33" s="41">
        <f>AVERAGE(Table142[BB6])</f>
        <v>0.47368421052631576</v>
      </c>
      <c r="CQ33" s="41">
        <f>AVERAGE(Table142[SO6])</f>
        <v>0.26315789473684209</v>
      </c>
      <c r="CR33" s="41">
        <f>AVERAGE(Table142[HBP6])</f>
        <v>5.2631578947368418E-2</v>
      </c>
      <c r="CS33" s="41">
        <f>AVERAGE(Table142[SF6])</f>
        <v>0</v>
      </c>
      <c r="CT33" s="41">
        <f>AVERAGE(Table142[TB6])</f>
        <v>1.5263157894736843</v>
      </c>
      <c r="CU33" s="271"/>
      <c r="CV33" s="41">
        <f>AVERAGE(Table142[AB7])</f>
        <v>3.6842105263157894</v>
      </c>
      <c r="CW33" s="41">
        <f>AVERAGE(Table142[R7])</f>
        <v>0.47368421052631576</v>
      </c>
      <c r="CX33" s="41">
        <f>AVERAGE(Table142[H7])</f>
        <v>1</v>
      </c>
      <c r="CY33" s="41">
        <f>AVERAGE(Table142[RBI7])</f>
        <v>0.84210526315789469</v>
      </c>
      <c r="CZ33" s="41">
        <f>AVERAGE(Table142[BB7])</f>
        <v>0.47368421052631576</v>
      </c>
      <c r="DA33" s="41">
        <f>AVERAGE(Table142[SO7])</f>
        <v>0.57894736842105265</v>
      </c>
      <c r="DB33" s="41">
        <f>AVERAGE(Table142[HBP7])</f>
        <v>0</v>
      </c>
      <c r="DC33" s="41">
        <f>AVERAGE(Table142[SF7])</f>
        <v>0</v>
      </c>
      <c r="DD33" s="41">
        <f>AVERAGE(Table142[TB7])</f>
        <v>1.5263157894736843</v>
      </c>
      <c r="DE33" s="271"/>
      <c r="DF33" s="41">
        <f>AVERAGE(Table142[AB8])</f>
        <v>3.4210526315789473</v>
      </c>
      <c r="DG33" s="41">
        <f>AVERAGE(Table142[R8])</f>
        <v>0.63157894736842102</v>
      </c>
      <c r="DH33" s="41">
        <f>AVERAGE(Table142[H8])</f>
        <v>0.73684210526315785</v>
      </c>
      <c r="DI33" s="41">
        <f>AVERAGE(Table142[RBI8])</f>
        <v>0.63157894736842102</v>
      </c>
      <c r="DJ33" s="41">
        <f>AVERAGE(Table142[BB8])</f>
        <v>0.63157894736842102</v>
      </c>
      <c r="DK33" s="41">
        <f>AVERAGE(Table142[SO8])</f>
        <v>0.89473684210526316</v>
      </c>
      <c r="DL33" s="41">
        <f>AVERAGE(Table142[HBP8])</f>
        <v>0.15789473684210525</v>
      </c>
      <c r="DM33" s="41">
        <f>AVERAGE(Table142[SF8])</f>
        <v>0</v>
      </c>
      <c r="DN33" s="41">
        <f>AVERAGE(Table142[TB8])</f>
        <v>1.2105263157894737</v>
      </c>
      <c r="DO33" s="271"/>
      <c r="DP33" s="41">
        <f>AVERAGE(Table142[AB9])</f>
        <v>3.4210526315789473</v>
      </c>
      <c r="DQ33" s="41">
        <f>AVERAGE(Table142[R9])</f>
        <v>0.52631578947368418</v>
      </c>
      <c r="DR33" s="41">
        <f>AVERAGE(Table142[H9])</f>
        <v>1.0526315789473684</v>
      </c>
      <c r="DS33" s="41">
        <f>AVERAGE(Table142[RBI9])</f>
        <v>0.52631578947368418</v>
      </c>
      <c r="DT33" s="41">
        <f>AVERAGE(Table142[BB9])</f>
        <v>0.52631578947368418</v>
      </c>
      <c r="DU33" s="41">
        <f>AVERAGE(Table142[SO9])</f>
        <v>1</v>
      </c>
      <c r="DV33" s="41">
        <f>AVERAGE(Table142[HBP9])</f>
        <v>0.15789473684210525</v>
      </c>
      <c r="DW33" s="41">
        <f>AVERAGE(Table142[SF9])</f>
        <v>0</v>
      </c>
      <c r="DX33" s="41">
        <f>AVERAGE(Table142[TB9])</f>
        <v>1.4736842105263157</v>
      </c>
      <c r="DY33" s="41">
        <f>AVERAGE(Table142[IVL])</f>
        <v>2.0350877192982457</v>
      </c>
      <c r="DZ33" s="41">
        <f>AVERAGE(Table142[SVL])</f>
        <v>0.26315789473684209</v>
      </c>
      <c r="EA33" s="41">
        <f>AVERAGE(Table142[CVL])</f>
        <v>0.15789473684210525</v>
      </c>
      <c r="EB33" s="41">
        <f>AVERAGE(Table142[IVR])</f>
        <v>6.5438596491228065</v>
      </c>
      <c r="EC33" s="41">
        <f>AVERAGE(Table142[SVR])</f>
        <v>1.5789473684210527</v>
      </c>
      <c r="ED33" s="41">
        <f>AVERAGE(Table142[CVR])</f>
        <v>0.63157894736842102</v>
      </c>
      <c r="EE33" s="41">
        <f>AVERAGE(Table142[RI1])</f>
        <v>1.0526315789473684</v>
      </c>
      <c r="EF33" s="41">
        <f>AVERAGE(Table142[RI2])</f>
        <v>0.26315789473684209</v>
      </c>
      <c r="EG33" s="41">
        <f>AVERAGE(Table142[RI3])</f>
        <v>0.47368421052631576</v>
      </c>
      <c r="EH33" s="41">
        <f>AVERAGE(Table142[RI4])</f>
        <v>1.1578947368421053</v>
      </c>
      <c r="EI33" s="41">
        <f>AVERAGE(Table142[RI5])</f>
        <v>0.63157894736842102</v>
      </c>
      <c r="EJ33" s="41">
        <f>AVERAGE(Table142[RI6])</f>
        <v>0.63157894736842102</v>
      </c>
      <c r="EK33" s="41">
        <f>AVERAGE(Table142[RI7])</f>
        <v>0.57894736842105265</v>
      </c>
      <c r="EL33" s="41">
        <f>AVERAGE(Table142[RI8])</f>
        <v>0.8125</v>
      </c>
      <c r="EM33" s="41">
        <f>AVERAGE(Table142[RI9])</f>
        <v>0.53846153846153844</v>
      </c>
      <c r="EN33" s="41">
        <f>AVERAGE(Table142[RI10])</f>
        <v>1</v>
      </c>
      <c r="EO33" s="41" t="e">
        <f>AVERAGE(Table142[RI11])</f>
        <v>#DIV/0!</v>
      </c>
      <c r="EP33" s="41" t="e">
        <f>AVERAGE(Table142[RI12])</f>
        <v>#DIV/0!</v>
      </c>
      <c r="EQ33" s="41">
        <f>AVERAGE(Table142[RT])</f>
        <v>5.9473684210526319</v>
      </c>
      <c r="ER33" s="41">
        <f>AVERAGE(Table142[OI1])</f>
        <v>0.73684210526315785</v>
      </c>
      <c r="ES33" s="41">
        <f>AVERAGE(Table142[OI2])</f>
        <v>0.73684210526315785</v>
      </c>
      <c r="ET33" s="41">
        <f>AVERAGE(Table142[OI3])</f>
        <v>1.2105263157894737</v>
      </c>
      <c r="EU33" s="41">
        <f>AVERAGE(Table142[OI4])</f>
        <v>0.52631578947368418</v>
      </c>
      <c r="EV33" s="41">
        <f>AVERAGE(Table142[OI5])</f>
        <v>0.73684210526315785</v>
      </c>
      <c r="EW33" s="41">
        <f>AVERAGE(Table142[OI6])</f>
        <v>0.68421052631578949</v>
      </c>
      <c r="EX33" s="41">
        <f>AVERAGE(Table142[OI7])</f>
        <v>0.36842105263157893</v>
      </c>
      <c r="EY33" s="41">
        <f>AVERAGE(Table142[OI8])</f>
        <v>0.3125</v>
      </c>
      <c r="EZ33" s="41">
        <f>AVERAGE(Table142[OI9])</f>
        <v>0.33333333333333331</v>
      </c>
      <c r="FA33" s="41">
        <f>AVERAGE(Table142[OI10])</f>
        <v>1</v>
      </c>
      <c r="FB33" s="41" t="e">
        <f>AVERAGE(Table142[OI11])</f>
        <v>#DIV/0!</v>
      </c>
      <c r="FC33" s="41" t="e">
        <f>AVERAGE(Table142[OI12])</f>
        <v>#DIV/0!</v>
      </c>
      <c r="FD33" s="41">
        <f>AVERAGE(Table142[OT])</f>
        <v>5.5789473684210522</v>
      </c>
      <c r="FG33" s="270" t="s">
        <v>233</v>
      </c>
    </row>
    <row r="34" spans="1:163" x14ac:dyDescent="0.25">
      <c r="A34" s="269" t="s">
        <v>278</v>
      </c>
      <c r="B34" s="268"/>
      <c r="C34" s="268"/>
      <c r="D34" s="268"/>
      <c r="E34" s="267"/>
      <c r="F34" s="267"/>
      <c r="G34" s="267"/>
      <c r="H34" s="267"/>
      <c r="I34" s="267"/>
      <c r="J34" s="267">
        <f t="shared" ref="J34:R34" si="37">(J33-J29)</f>
        <v>1.70761412945747</v>
      </c>
      <c r="K34" s="267">
        <f t="shared" si="37"/>
        <v>1.1671373179500444</v>
      </c>
      <c r="L34" s="267">
        <f t="shared" si="37"/>
        <v>0.51785326570820578</v>
      </c>
      <c r="M34" s="267">
        <f t="shared" si="37"/>
        <v>-0.14518764854272348</v>
      </c>
      <c r="N34" s="267">
        <f t="shared" si="37"/>
        <v>0.30755407488011199</v>
      </c>
      <c r="O34" s="267">
        <f t="shared" si="37"/>
        <v>0.44042181228128285</v>
      </c>
      <c r="P34" s="267">
        <f t="shared" si="37"/>
        <v>-0.20832759250222183</v>
      </c>
      <c r="Q34" s="267">
        <f t="shared" si="37"/>
        <v>-0.16177745925670878</v>
      </c>
      <c r="R34" s="267">
        <f t="shared" si="37"/>
        <v>9.2538099080761036</v>
      </c>
      <c r="S34" s="267"/>
      <c r="T34" s="267"/>
      <c r="U34" s="267">
        <f>(U33-U29)</f>
        <v>-0.39275337465483817</v>
      </c>
      <c r="V34" s="267">
        <f>(V33-V29)</f>
        <v>-0.36750681366574406</v>
      </c>
      <c r="W34" s="267"/>
      <c r="X34" s="267"/>
      <c r="Y34" s="267"/>
      <c r="Z34" s="267"/>
      <c r="AA34" s="267"/>
      <c r="AB34" s="267">
        <f t="shared" ref="AB34:AJ34" si="38">(AB33-AB29)</f>
        <v>3.9687572782253944</v>
      </c>
      <c r="AC34" s="267">
        <f t="shared" si="38"/>
        <v>1.3890171727169518</v>
      </c>
      <c r="AD34" s="267">
        <f t="shared" si="38"/>
        <v>0.50984499186548682</v>
      </c>
      <c r="AE34" s="267">
        <f t="shared" si="38"/>
        <v>0.39771316671998225</v>
      </c>
      <c r="AF34" s="267">
        <f t="shared" si="38"/>
        <v>0.77292951887785599</v>
      </c>
      <c r="AG34" s="267">
        <f t="shared" si="38"/>
        <v>1.3126918815441742</v>
      </c>
      <c r="AH34" s="267">
        <f t="shared" si="38"/>
        <v>-0.113535240561072</v>
      </c>
      <c r="AI34" s="267">
        <f t="shared" si="38"/>
        <v>-0.13809107979518226</v>
      </c>
      <c r="AJ34" s="267">
        <f t="shared" si="38"/>
        <v>15.720893302721617</v>
      </c>
      <c r="AK34" s="267"/>
      <c r="AL34" s="267"/>
      <c r="AM34" s="267"/>
      <c r="AN34" s="267">
        <f t="shared" ref="AN34:AV34" si="39">(AN33-AN29)</f>
        <v>3.2300021274900761</v>
      </c>
      <c r="AO34" s="267">
        <f t="shared" si="39"/>
        <v>-2.8029610245831393E-2</v>
      </c>
      <c r="AP34" s="267">
        <f t="shared" si="39"/>
        <v>-0.11608503890676314</v>
      </c>
      <c r="AQ34" s="267">
        <f t="shared" si="39"/>
        <v>-0.17678415492319335</v>
      </c>
      <c r="AR34" s="267">
        <f t="shared" si="39"/>
        <v>-0.25876044816233834</v>
      </c>
      <c r="AS34" s="267">
        <f t="shared" si="39"/>
        <v>5.673313701867122E-2</v>
      </c>
      <c r="AT34" s="267">
        <f t="shared" si="39"/>
        <v>-0.21003860974756894</v>
      </c>
      <c r="AU34" s="267">
        <f t="shared" si="39"/>
        <v>0</v>
      </c>
      <c r="AV34" s="267">
        <f t="shared" si="39"/>
        <v>-0.20550236633509844</v>
      </c>
      <c r="AW34" s="267"/>
      <c r="AX34" s="267">
        <f t="shared" ref="AX34:BF34" si="40">(AX33-AX29)</f>
        <v>2.7456528496964543</v>
      </c>
      <c r="AY34" s="267">
        <f t="shared" si="40"/>
        <v>-5.6236288736288387E-2</v>
      </c>
      <c r="AZ34" s="267">
        <f t="shared" si="40"/>
        <v>-0.10554159678513342</v>
      </c>
      <c r="BA34" s="267">
        <f t="shared" si="40"/>
        <v>-0.48053790579155065</v>
      </c>
      <c r="BB34" s="267">
        <f t="shared" si="40"/>
        <v>-5.6236288736288387E-2</v>
      </c>
      <c r="BC34" s="267">
        <f t="shared" si="40"/>
        <v>-0.12930696288426113</v>
      </c>
      <c r="BD34" s="267">
        <f t="shared" si="40"/>
        <v>-0.17678415492319335</v>
      </c>
      <c r="BE34" s="267">
        <f t="shared" si="40"/>
        <v>0</v>
      </c>
      <c r="BF34" s="267">
        <f t="shared" si="40"/>
        <v>-0.52700365176478581</v>
      </c>
      <c r="BG34" s="267"/>
      <c r="BH34" s="267">
        <f t="shared" ref="BH34:BP34" si="41">(BH33-BH29)</f>
        <v>3.0773861502560216</v>
      </c>
      <c r="BI34" s="267">
        <f t="shared" si="41"/>
        <v>1.9475811700601975E-2</v>
      </c>
      <c r="BJ34" s="267">
        <f t="shared" si="41"/>
        <v>5.7190958417936644E-2</v>
      </c>
      <c r="BK34" s="267">
        <f t="shared" si="41"/>
        <v>-0.13809107979518226</v>
      </c>
      <c r="BL34" s="267">
        <f t="shared" si="41"/>
        <v>-0.1859243470879367</v>
      </c>
      <c r="BM34" s="267">
        <f t="shared" si="41"/>
        <v>8.3465808788207974E-2</v>
      </c>
      <c r="BN34" s="267">
        <f t="shared" si="41"/>
        <v>-0.21673958779057234</v>
      </c>
      <c r="BO34" s="267">
        <f t="shared" si="41"/>
        <v>-0.17678415492319335</v>
      </c>
      <c r="BP34" s="267">
        <f t="shared" si="41"/>
        <v>-6.0704929539159957E-2</v>
      </c>
      <c r="BQ34" s="267"/>
      <c r="BR34" s="267">
        <f t="shared" ref="BR34:BZ34" si="42">(BR33-BR29)</f>
        <v>2.6748121982358053</v>
      </c>
      <c r="BS34" s="267">
        <f t="shared" si="42"/>
        <v>-6.5508275860435394E-2</v>
      </c>
      <c r="BT34" s="267">
        <f t="shared" si="42"/>
        <v>3.9207118110185402E-2</v>
      </c>
      <c r="BU34" s="267">
        <f t="shared" si="42"/>
        <v>-0.31870918792676861</v>
      </c>
      <c r="BV34" s="267">
        <f t="shared" si="42"/>
        <v>-0.17037647900578179</v>
      </c>
      <c r="BW34" s="267">
        <f t="shared" si="42"/>
        <v>-5.2406620688348449E-2</v>
      </c>
      <c r="BX34" s="267">
        <f t="shared" si="42"/>
        <v>-0.21003860974756894</v>
      </c>
      <c r="BY34" s="267">
        <f t="shared" si="42"/>
        <v>0</v>
      </c>
      <c r="BZ34" s="267">
        <f t="shared" si="42"/>
        <v>-0.16519136815544222</v>
      </c>
      <c r="CA34" s="267"/>
      <c r="CB34" s="267">
        <f t="shared" ref="CB34:CJ34" si="43">(CB33-CB29)</f>
        <v>2.8649281656288301</v>
      </c>
      <c r="CC34" s="267">
        <f t="shared" si="43"/>
        <v>-6.5508275860435394E-2</v>
      </c>
      <c r="CD34" s="267">
        <f t="shared" si="43"/>
        <v>0.35554435571851195</v>
      </c>
      <c r="CE34" s="267">
        <f t="shared" si="43"/>
        <v>-5.2406620688348449E-2</v>
      </c>
      <c r="CF34" s="267">
        <f t="shared" si="43"/>
        <v>-0.22884366773856851</v>
      </c>
      <c r="CG34" s="267">
        <f t="shared" si="43"/>
        <v>-0.35524882452299222</v>
      </c>
      <c r="CH34" s="267">
        <f t="shared" si="43"/>
        <v>-0.21673958779057234</v>
      </c>
      <c r="CI34" s="267">
        <f t="shared" si="43"/>
        <v>0</v>
      </c>
      <c r="CJ34" s="267">
        <f t="shared" si="43"/>
        <v>0.54231266452286309</v>
      </c>
      <c r="CK34" s="267"/>
      <c r="CL34" s="267">
        <f t="shared" ref="CL34:CT34" si="44">(CL33-CL29)</f>
        <v>2.5760272493085079</v>
      </c>
      <c r="CM34" s="267">
        <f t="shared" si="44"/>
        <v>-0.27142997740317731</v>
      </c>
      <c r="CN34" s="267">
        <f t="shared" si="44"/>
        <v>6.622814714920211E-2</v>
      </c>
      <c r="CO34" s="267">
        <f t="shared" si="44"/>
        <v>-0.41023656408965092</v>
      </c>
      <c r="CP34" s="267">
        <f t="shared" si="44"/>
        <v>-0.13809107979518226</v>
      </c>
      <c r="CQ34" s="267">
        <f t="shared" si="44"/>
        <v>-0.18925603362202198</v>
      </c>
      <c r="CR34" s="267">
        <f t="shared" si="44"/>
        <v>-0.17678415492319335</v>
      </c>
      <c r="CS34" s="267">
        <f t="shared" si="44"/>
        <v>0</v>
      </c>
      <c r="CT34" s="267">
        <f t="shared" si="44"/>
        <v>9.7702590418523805E-2</v>
      </c>
      <c r="CU34" s="267"/>
      <c r="CV34" s="267">
        <f t="shared" ref="CV34:DD34" si="45">(CV33-CV29)</f>
        <v>2.9349418770504343</v>
      </c>
      <c r="CW34" s="267">
        <f t="shared" si="45"/>
        <v>-0.13809107979518226</v>
      </c>
      <c r="CX34" s="267">
        <f t="shared" si="45"/>
        <v>5.7190958417936644E-2</v>
      </c>
      <c r="CY34" s="267">
        <f t="shared" si="45"/>
        <v>-0.54285995480635463</v>
      </c>
      <c r="CZ34" s="267">
        <f t="shared" si="45"/>
        <v>-0.13809107979518226</v>
      </c>
      <c r="DA34" s="267">
        <f t="shared" si="45"/>
        <v>-2.8029610245831393E-2</v>
      </c>
      <c r="DB34" s="267">
        <f t="shared" si="45"/>
        <v>0</v>
      </c>
      <c r="DC34" s="267">
        <f t="shared" si="45"/>
        <v>0</v>
      </c>
      <c r="DD34" s="267">
        <f t="shared" si="45"/>
        <v>2.193621810984725E-2</v>
      </c>
      <c r="DE34" s="267"/>
      <c r="DF34" s="267">
        <f t="shared" ref="DF34:DN34" si="46">(DF33-DF29)</f>
        <v>2.5194620942084498</v>
      </c>
      <c r="DG34" s="267">
        <f t="shared" si="46"/>
        <v>-0.19911863871941871</v>
      </c>
      <c r="DH34" s="267">
        <f t="shared" si="46"/>
        <v>3.3492996362500804E-3</v>
      </c>
      <c r="DI34" s="267">
        <f t="shared" si="46"/>
        <v>-0.32355491851341756</v>
      </c>
      <c r="DJ34" s="267">
        <f t="shared" si="46"/>
        <v>-0.12930696288426113</v>
      </c>
      <c r="DK34" s="267">
        <f t="shared" si="46"/>
        <v>-4.1848969476430797E-2</v>
      </c>
      <c r="DL34" s="267">
        <f t="shared" si="46"/>
        <v>-0.21673958779057234</v>
      </c>
      <c r="DM34" s="267">
        <f t="shared" si="46"/>
        <v>0</v>
      </c>
      <c r="DN34" s="267">
        <f t="shared" si="46"/>
        <v>-0.26441049522692661</v>
      </c>
      <c r="DO34" s="267"/>
      <c r="DP34" s="267">
        <f t="shared" ref="DP34:FD34" si="47">(DP33-DP29)</f>
        <v>2.403660023340493</v>
      </c>
      <c r="DQ34" s="267">
        <f t="shared" si="47"/>
        <v>-0.31487523471837564</v>
      </c>
      <c r="DR34" s="267">
        <f t="shared" si="47"/>
        <v>0.20451705506864415</v>
      </c>
      <c r="DS34" s="267">
        <f t="shared" si="47"/>
        <v>-0.37851206724404396</v>
      </c>
      <c r="DT34" s="267">
        <f t="shared" si="47"/>
        <v>-0.31487523471837564</v>
      </c>
      <c r="DU34" s="267">
        <f t="shared" si="47"/>
        <v>0.33333333333333337</v>
      </c>
      <c r="DV34" s="267">
        <f t="shared" si="47"/>
        <v>-0.21673958779057234</v>
      </c>
      <c r="DW34" s="267">
        <f t="shared" si="47"/>
        <v>0</v>
      </c>
      <c r="DX34" s="267">
        <f t="shared" si="47"/>
        <v>6.6985992725001609E-3</v>
      </c>
      <c r="DY34" s="267">
        <f t="shared" si="47"/>
        <v>-0.3164149178194906</v>
      </c>
      <c r="DZ34" s="267">
        <f t="shared" si="47"/>
        <v>-0.47033491089006568</v>
      </c>
      <c r="EA34" s="267">
        <f t="shared" si="47"/>
        <v>-0.21673958779057234</v>
      </c>
      <c r="EB34" s="267">
        <f t="shared" si="47"/>
        <v>3.9375744484763944</v>
      </c>
      <c r="EC34" s="267">
        <f t="shared" si="47"/>
        <v>0.27443428455990859</v>
      </c>
      <c r="ED34" s="267">
        <f t="shared" si="47"/>
        <v>-5.2406620688348449E-2</v>
      </c>
      <c r="EE34" s="267">
        <f t="shared" si="47"/>
        <v>-0.34075295801156358</v>
      </c>
      <c r="EF34" s="267">
        <f t="shared" si="47"/>
        <v>-0.29879359221217422</v>
      </c>
      <c r="EG34" s="267">
        <f t="shared" si="47"/>
        <v>-0.6986079910377625</v>
      </c>
      <c r="EH34" s="267">
        <f t="shared" si="47"/>
        <v>-5.6059220491662787E-2</v>
      </c>
      <c r="EI34" s="267">
        <f t="shared" si="47"/>
        <v>-0.38004935040971888</v>
      </c>
      <c r="EJ34" s="267">
        <f t="shared" si="47"/>
        <v>-0.57996397688558221</v>
      </c>
      <c r="EK34" s="267">
        <f t="shared" si="47"/>
        <v>-0.32264316894944534</v>
      </c>
      <c r="EL34" s="267">
        <f t="shared" si="47"/>
        <v>-0.78828105935821213</v>
      </c>
      <c r="EM34" s="267">
        <f t="shared" si="47"/>
        <v>-0.33859648084549077</v>
      </c>
      <c r="EN34" s="267">
        <f t="shared" si="47"/>
        <v>1</v>
      </c>
      <c r="EO34" s="267" t="e">
        <f t="shared" si="47"/>
        <v>#DIV/0!</v>
      </c>
      <c r="EP34" s="267" t="e">
        <f t="shared" si="47"/>
        <v>#DIV/0!</v>
      </c>
      <c r="EQ34" s="267">
        <f t="shared" si="47"/>
        <v>1.9407948751224726</v>
      </c>
      <c r="ER34" s="267">
        <f t="shared" si="47"/>
        <v>-0.89077050436406668</v>
      </c>
      <c r="ES34" s="267">
        <f t="shared" si="47"/>
        <v>-0.45768733547713703</v>
      </c>
      <c r="ET34" s="267">
        <f t="shared" si="47"/>
        <v>-0.50796615561358904</v>
      </c>
      <c r="EU34" s="267">
        <f t="shared" si="47"/>
        <v>-0.49394676130166404</v>
      </c>
      <c r="EV34" s="267">
        <f t="shared" si="47"/>
        <v>-0.45768733547713703</v>
      </c>
      <c r="EW34" s="267">
        <f t="shared" si="47"/>
        <v>-0.84522769948795562</v>
      </c>
      <c r="EX34" s="267">
        <f t="shared" si="47"/>
        <v>-0.39246485762110322</v>
      </c>
      <c r="EY34" s="267">
        <f t="shared" si="47"/>
        <v>-0.16621355387816905</v>
      </c>
      <c r="EZ34" s="267">
        <f t="shared" si="47"/>
        <v>-0.31800561394559629</v>
      </c>
      <c r="FA34" s="267">
        <f t="shared" si="47"/>
        <v>-0.41421356237309515</v>
      </c>
      <c r="FB34" s="267" t="e">
        <f t="shared" si="47"/>
        <v>#DIV/0!</v>
      </c>
      <c r="FC34" s="267" t="e">
        <f t="shared" si="47"/>
        <v>#DIV/0!</v>
      </c>
      <c r="FD34" s="267">
        <f t="shared" si="47"/>
        <v>3.0774858073491118</v>
      </c>
      <c r="FG34" s="266" t="s">
        <v>278</v>
      </c>
    </row>
    <row r="35" spans="1:163" x14ac:dyDescent="0.25">
      <c r="A35" s="269" t="s">
        <v>277</v>
      </c>
      <c r="B35" s="268"/>
      <c r="C35" s="268"/>
      <c r="D35" s="268"/>
      <c r="E35" s="267"/>
      <c r="F35" s="267"/>
      <c r="G35" s="267"/>
      <c r="H35" s="267"/>
      <c r="I35" s="267"/>
      <c r="J35" s="267">
        <f t="shared" ref="J35:R35" si="48">(J33-(2*J29))</f>
        <v>0.25733352207283477</v>
      </c>
      <c r="K35" s="267">
        <f t="shared" si="48"/>
        <v>-0.87625167988938513</v>
      </c>
      <c r="L35" s="267">
        <f t="shared" si="48"/>
        <v>-1.5958724159520097</v>
      </c>
      <c r="M35" s="267">
        <f t="shared" si="48"/>
        <v>-2.3430068760328155</v>
      </c>
      <c r="N35" s="267">
        <f t="shared" si="48"/>
        <v>-0.9112076397134603</v>
      </c>
      <c r="O35" s="267">
        <f t="shared" si="48"/>
        <v>-1.7507353228058555</v>
      </c>
      <c r="P35" s="267">
        <f t="shared" si="48"/>
        <v>-0.62718150079391732</v>
      </c>
      <c r="Q35" s="267">
        <f t="shared" si="48"/>
        <v>-0.63934439219762806</v>
      </c>
      <c r="R35" s="267">
        <f t="shared" si="48"/>
        <v>4.2444619214153665</v>
      </c>
      <c r="S35" s="267"/>
      <c r="T35" s="267"/>
      <c r="U35" s="267">
        <f>(U33-(2*U29))</f>
        <v>-1.5749804335202027</v>
      </c>
      <c r="V35" s="267">
        <f>(V33-(2*V29))</f>
        <v>-1.2086978378578039</v>
      </c>
      <c r="W35" s="267"/>
      <c r="X35" s="267"/>
      <c r="Y35" s="267"/>
      <c r="Z35" s="267"/>
      <c r="AA35" s="267"/>
      <c r="AB35" s="267">
        <f t="shared" ref="AB35:AJ35" si="49">(AB33-(2*AB29))</f>
        <v>2.5164619248718409</v>
      </c>
      <c r="AC35" s="267">
        <f t="shared" si="49"/>
        <v>-2.6430182861450442</v>
      </c>
      <c r="AD35" s="267">
        <f t="shared" si="49"/>
        <v>-1.9276784373216578</v>
      </c>
      <c r="AE35" s="267">
        <f t="shared" si="49"/>
        <v>-1.8887841928758249</v>
      </c>
      <c r="AF35" s="267">
        <f t="shared" si="49"/>
        <v>-0.61203569908639333</v>
      </c>
      <c r="AG35" s="267">
        <f t="shared" si="49"/>
        <v>-1.3219846579642831</v>
      </c>
      <c r="AH35" s="267">
        <f t="shared" si="49"/>
        <v>-0.80601784954319666</v>
      </c>
      <c r="AI35" s="267">
        <f t="shared" si="49"/>
        <v>-0.74986637011668034</v>
      </c>
      <c r="AJ35" s="267">
        <f t="shared" si="49"/>
        <v>7.8102076580748143</v>
      </c>
      <c r="AK35" s="267"/>
      <c r="AL35" s="267"/>
      <c r="AM35" s="267"/>
      <c r="AN35" s="267">
        <f t="shared" ref="AN35:AV35" si="50">(AN33-(2*AN29))</f>
        <v>2.354741097085415</v>
      </c>
      <c r="AO35" s="267">
        <f t="shared" si="50"/>
        <v>-0.63500658891271544</v>
      </c>
      <c r="AP35" s="267">
        <f t="shared" si="50"/>
        <v>-1.074275340971421</v>
      </c>
      <c r="AQ35" s="267">
        <f t="shared" si="50"/>
        <v>-0.40619988879375513</v>
      </c>
      <c r="AR35" s="267">
        <f t="shared" si="50"/>
        <v>-1.0964682647457293</v>
      </c>
      <c r="AS35" s="267">
        <f t="shared" si="50"/>
        <v>-0.99179688385739451</v>
      </c>
      <c r="AT35" s="267">
        <f t="shared" si="50"/>
        <v>-0.52534037738987471</v>
      </c>
      <c r="AU35" s="267">
        <f t="shared" si="50"/>
        <v>0</v>
      </c>
      <c r="AV35" s="267">
        <f t="shared" si="50"/>
        <v>-1.3057415747754599</v>
      </c>
      <c r="AW35" s="267"/>
      <c r="AX35" s="267">
        <f t="shared" ref="AX35:BF35" si="51">(AX33-(2*AX29))</f>
        <v>1.7544635941297502</v>
      </c>
      <c r="AY35" s="267">
        <f t="shared" si="51"/>
        <v>-0.95457784063047146</v>
      </c>
      <c r="AZ35" s="267">
        <f t="shared" si="51"/>
        <v>-1.2110831935702668</v>
      </c>
      <c r="BA35" s="267">
        <f t="shared" si="51"/>
        <v>-1.3821284431620486</v>
      </c>
      <c r="BB35" s="267">
        <f t="shared" si="51"/>
        <v>-0.95457784063047146</v>
      </c>
      <c r="BC35" s="267">
        <f t="shared" si="51"/>
        <v>-0.89019287313694329</v>
      </c>
      <c r="BD35" s="267">
        <f t="shared" si="51"/>
        <v>-0.40619988879375513</v>
      </c>
      <c r="BE35" s="267">
        <f t="shared" si="51"/>
        <v>0</v>
      </c>
      <c r="BF35" s="267">
        <f t="shared" si="51"/>
        <v>-2.3171651982664137</v>
      </c>
      <c r="BG35" s="267"/>
      <c r="BH35" s="267">
        <f t="shared" ref="BH35:BP35" si="52">(BH33-(2*BH29))</f>
        <v>2.3126670373541485</v>
      </c>
      <c r="BI35" s="267">
        <f t="shared" si="52"/>
        <v>-0.85578521870405921</v>
      </c>
      <c r="BJ35" s="267">
        <f t="shared" si="52"/>
        <v>-0.88561808316412671</v>
      </c>
      <c r="BK35" s="267">
        <f t="shared" si="52"/>
        <v>-0.74986637011668034</v>
      </c>
      <c r="BL35" s="267">
        <f t="shared" si="52"/>
        <v>-0.79290132575482075</v>
      </c>
      <c r="BM35" s="267">
        <f t="shared" si="52"/>
        <v>-0.56991048768674191</v>
      </c>
      <c r="BN35" s="267">
        <f t="shared" si="52"/>
        <v>-0.59137391242324999</v>
      </c>
      <c r="BO35" s="267">
        <f t="shared" si="52"/>
        <v>-0.40619988879375513</v>
      </c>
      <c r="BP35" s="267">
        <f t="shared" si="52"/>
        <v>-1.4371993327625305</v>
      </c>
      <c r="BQ35" s="267"/>
      <c r="BR35" s="267">
        <f t="shared" ref="BR35:BZ35" si="53">(BR33-(2*BR29))</f>
        <v>1.5075191333137159</v>
      </c>
      <c r="BS35" s="267">
        <f t="shared" si="53"/>
        <v>-0.92049023593139712</v>
      </c>
      <c r="BT35" s="267">
        <f t="shared" si="53"/>
        <v>-1.0794805006217345</v>
      </c>
      <c r="BU35" s="267">
        <f t="shared" si="53"/>
        <v>-1.3216289021693268</v>
      </c>
      <c r="BV35" s="267">
        <f t="shared" si="53"/>
        <v>-0.86706874748524776</v>
      </c>
      <c r="BW35" s="267">
        <f t="shared" si="53"/>
        <v>-0.73639218874511791</v>
      </c>
      <c r="BX35" s="267">
        <f t="shared" si="53"/>
        <v>-0.52534037738987471</v>
      </c>
      <c r="BY35" s="267">
        <f t="shared" si="53"/>
        <v>0</v>
      </c>
      <c r="BZ35" s="267">
        <f t="shared" si="53"/>
        <v>-2.1724879994687791</v>
      </c>
      <c r="CA35" s="267"/>
      <c r="CB35" s="267">
        <f t="shared" ref="CB35:CJ35" si="54">(CB33-(2*CB29))</f>
        <v>1.9930142259945021</v>
      </c>
      <c r="CC35" s="267">
        <f t="shared" si="54"/>
        <v>-0.92049023593139712</v>
      </c>
      <c r="CD35" s="267">
        <f t="shared" si="54"/>
        <v>-0.49943760435244977</v>
      </c>
      <c r="CE35" s="267">
        <f t="shared" si="54"/>
        <v>-0.73639218874511791</v>
      </c>
      <c r="CF35" s="267">
        <f t="shared" si="54"/>
        <v>-0.8261083881087159</v>
      </c>
      <c r="CG35" s="267">
        <f t="shared" si="54"/>
        <v>-1.0262871227301948</v>
      </c>
      <c r="CH35" s="267">
        <f t="shared" si="54"/>
        <v>-0.59137391242324999</v>
      </c>
      <c r="CI35" s="267">
        <f t="shared" si="54"/>
        <v>0</v>
      </c>
      <c r="CJ35" s="267">
        <f t="shared" si="54"/>
        <v>-0.65221677621743179</v>
      </c>
      <c r="CK35" s="267"/>
      <c r="CL35" s="267">
        <f t="shared" ref="CL35:CT35" si="55">(CL33-(2*CL29))</f>
        <v>1.4678439723012269</v>
      </c>
      <c r="CM35" s="267">
        <f t="shared" si="55"/>
        <v>-0.96391258638530197</v>
      </c>
      <c r="CN35" s="267">
        <f t="shared" si="55"/>
        <v>-1.1833331793858064</v>
      </c>
      <c r="CO35" s="267">
        <f t="shared" si="55"/>
        <v>-1.5573152334424596</v>
      </c>
      <c r="CP35" s="267">
        <f t="shared" si="55"/>
        <v>-0.74986637011668034</v>
      </c>
      <c r="CQ35" s="267">
        <f t="shared" si="55"/>
        <v>-0.64166996198088611</v>
      </c>
      <c r="CR35" s="267">
        <f t="shared" si="55"/>
        <v>-0.40619988879375513</v>
      </c>
      <c r="CS35" s="267">
        <f t="shared" si="55"/>
        <v>0</v>
      </c>
      <c r="CT35" s="267">
        <f t="shared" si="55"/>
        <v>-1.3309106086366367</v>
      </c>
      <c r="CU35" s="267"/>
      <c r="CV35" s="267">
        <f t="shared" ref="CV35:DD35" si="56">(CV33-(2*CV29))</f>
        <v>2.1856732277850788</v>
      </c>
      <c r="CW35" s="267">
        <f t="shared" si="56"/>
        <v>-0.74986637011668034</v>
      </c>
      <c r="CX35" s="267">
        <f t="shared" si="56"/>
        <v>-0.88561808316412671</v>
      </c>
      <c r="CY35" s="267">
        <f t="shared" si="56"/>
        <v>-1.9278251727706039</v>
      </c>
      <c r="CZ35" s="267">
        <f t="shared" si="56"/>
        <v>-0.74986637011668034</v>
      </c>
      <c r="DA35" s="267">
        <f t="shared" si="56"/>
        <v>-0.63500658891271544</v>
      </c>
      <c r="DB35" s="267">
        <f t="shared" si="56"/>
        <v>0</v>
      </c>
      <c r="DC35" s="267">
        <f t="shared" si="56"/>
        <v>0</v>
      </c>
      <c r="DD35" s="267">
        <f t="shared" si="56"/>
        <v>-1.4824433532539898</v>
      </c>
      <c r="DE35" s="267"/>
      <c r="DF35" s="267">
        <f t="shared" ref="DF35:DN35" si="57">(DF33-(2*DF29))</f>
        <v>1.6178715568379518</v>
      </c>
      <c r="DG35" s="267">
        <f t="shared" si="57"/>
        <v>-1.0298162248072584</v>
      </c>
      <c r="DH35" s="267">
        <f t="shared" si="57"/>
        <v>-0.73014350599065769</v>
      </c>
      <c r="DI35" s="267">
        <f t="shared" si="57"/>
        <v>-1.2786887843952561</v>
      </c>
      <c r="DJ35" s="267">
        <f t="shared" si="57"/>
        <v>-0.89019287313694329</v>
      </c>
      <c r="DK35" s="267">
        <f t="shared" si="57"/>
        <v>-0.97843478105812476</v>
      </c>
      <c r="DL35" s="267">
        <f t="shared" si="57"/>
        <v>-0.59137391242324999</v>
      </c>
      <c r="DM35" s="267">
        <f t="shared" si="57"/>
        <v>0</v>
      </c>
      <c r="DN35" s="267">
        <f t="shared" si="57"/>
        <v>-1.7393473062433269</v>
      </c>
      <c r="DO35" s="267"/>
      <c r="DP35" s="267">
        <f t="shared" ref="DP35:FD35" si="58">(DP33-(2*DP29))</f>
        <v>1.3862674151020387</v>
      </c>
      <c r="DQ35" s="267">
        <f t="shared" si="58"/>
        <v>-1.1560662589104354</v>
      </c>
      <c r="DR35" s="267">
        <f t="shared" si="58"/>
        <v>-0.64359746881008006</v>
      </c>
      <c r="DS35" s="267">
        <f t="shared" si="58"/>
        <v>-1.2833399239617722</v>
      </c>
      <c r="DT35" s="267">
        <f t="shared" si="58"/>
        <v>-1.1560662589104354</v>
      </c>
      <c r="DU35" s="267">
        <f t="shared" si="58"/>
        <v>-0.33333333333333326</v>
      </c>
      <c r="DV35" s="267">
        <f t="shared" si="58"/>
        <v>-0.59137391242324999</v>
      </c>
      <c r="DW35" s="267">
        <f t="shared" si="58"/>
        <v>0</v>
      </c>
      <c r="DX35" s="267">
        <f t="shared" si="58"/>
        <v>-1.4602870119813154</v>
      </c>
      <c r="DY35" s="267">
        <f t="shared" si="58"/>
        <v>-2.6679175549372269</v>
      </c>
      <c r="DZ35" s="267">
        <f t="shared" si="58"/>
        <v>-1.2038277165169735</v>
      </c>
      <c r="EA35" s="267">
        <f t="shared" si="58"/>
        <v>-0.59137391242324999</v>
      </c>
      <c r="EB35" s="267">
        <f t="shared" si="58"/>
        <v>1.3312892478299823</v>
      </c>
      <c r="EC35" s="267">
        <f t="shared" si="58"/>
        <v>-1.0300787993012355</v>
      </c>
      <c r="ED35" s="267">
        <f t="shared" si="58"/>
        <v>-0.73639218874511791</v>
      </c>
      <c r="EE35" s="267">
        <f t="shared" si="58"/>
        <v>-1.7341374949704955</v>
      </c>
      <c r="EF35" s="267">
        <f t="shared" si="58"/>
        <v>-0.86074507916119058</v>
      </c>
      <c r="EG35" s="267">
        <f t="shared" si="58"/>
        <v>-1.8709001926018407</v>
      </c>
      <c r="EH35" s="267">
        <f t="shared" si="58"/>
        <v>-1.2700131778254309</v>
      </c>
      <c r="EI35" s="267">
        <f t="shared" si="58"/>
        <v>-1.3916776481878588</v>
      </c>
      <c r="EJ35" s="267">
        <f t="shared" si="58"/>
        <v>-1.7915069011395854</v>
      </c>
      <c r="EK35" s="267">
        <f t="shared" si="58"/>
        <v>-1.2242337063199433</v>
      </c>
      <c r="EL35" s="267">
        <f t="shared" si="58"/>
        <v>-2.3890621187164243</v>
      </c>
      <c r="EM35" s="267">
        <f t="shared" si="58"/>
        <v>-1.2156545001525201</v>
      </c>
      <c r="EN35" s="267">
        <f t="shared" si="58"/>
        <v>1</v>
      </c>
      <c r="EO35" s="267" t="e">
        <f t="shared" si="58"/>
        <v>#DIV/0!</v>
      </c>
      <c r="EP35" s="267" t="e">
        <f t="shared" si="58"/>
        <v>#DIV/0!</v>
      </c>
      <c r="EQ35" s="267">
        <f t="shared" si="58"/>
        <v>-2.0657786708076866</v>
      </c>
      <c r="ER35" s="267">
        <f t="shared" si="58"/>
        <v>-2.5183831139912911</v>
      </c>
      <c r="ES35" s="267">
        <f t="shared" si="58"/>
        <v>-1.6522167762174318</v>
      </c>
      <c r="ET35" s="267">
        <f t="shared" si="58"/>
        <v>-2.226458627016652</v>
      </c>
      <c r="EU35" s="267">
        <f t="shared" si="58"/>
        <v>-1.5142093120770124</v>
      </c>
      <c r="EV35" s="267">
        <f t="shared" si="58"/>
        <v>-1.6522167762174318</v>
      </c>
      <c r="EW35" s="267">
        <f t="shared" si="58"/>
        <v>-2.3746659252917008</v>
      </c>
      <c r="EX35" s="267">
        <f t="shared" si="58"/>
        <v>-1.1533507678737853</v>
      </c>
      <c r="EY35" s="267">
        <f t="shared" si="58"/>
        <v>-0.6449271077563381</v>
      </c>
      <c r="EZ35" s="267">
        <f t="shared" si="58"/>
        <v>-0.96934456122452595</v>
      </c>
      <c r="FA35" s="267">
        <f t="shared" si="58"/>
        <v>-1.8284271247461903</v>
      </c>
      <c r="FB35" s="267" t="e">
        <f t="shared" si="58"/>
        <v>#DIV/0!</v>
      </c>
      <c r="FC35" s="267" t="e">
        <f t="shared" si="58"/>
        <v>#DIV/0!</v>
      </c>
      <c r="FD35" s="267">
        <f t="shared" si="58"/>
        <v>0.57602424627717141</v>
      </c>
      <c r="FG35" s="266" t="s">
        <v>277</v>
      </c>
    </row>
    <row r="36" spans="1:163" x14ac:dyDescent="0.25">
      <c r="A36" s="269" t="s">
        <v>276</v>
      </c>
      <c r="B36" s="268"/>
      <c r="C36" s="268"/>
      <c r="D36" s="268"/>
      <c r="E36" s="267"/>
      <c r="F36" s="267"/>
      <c r="G36" s="267"/>
      <c r="H36" s="267"/>
      <c r="I36" s="267"/>
      <c r="J36" s="267">
        <f t="shared" ref="J36:R36" si="59">(J33-(3*J29))</f>
        <v>-1.1929470853118005</v>
      </c>
      <c r="K36" s="267">
        <f t="shared" si="59"/>
        <v>-2.9196406777288151</v>
      </c>
      <c r="L36" s="267">
        <f t="shared" si="59"/>
        <v>-3.7095980976122256</v>
      </c>
      <c r="M36" s="267">
        <f t="shared" si="59"/>
        <v>-4.5408261035229085</v>
      </c>
      <c r="N36" s="267">
        <f t="shared" si="59"/>
        <v>-2.1299693543070326</v>
      </c>
      <c r="O36" s="267">
        <f t="shared" si="59"/>
        <v>-3.9418924578929939</v>
      </c>
      <c r="P36" s="267">
        <f t="shared" si="59"/>
        <v>-1.0460354090856128</v>
      </c>
      <c r="Q36" s="267">
        <f t="shared" si="59"/>
        <v>-1.1169113251385472</v>
      </c>
      <c r="R36" s="267">
        <f t="shared" si="59"/>
        <v>-0.76488606524537062</v>
      </c>
      <c r="S36" s="267"/>
      <c r="T36" s="267"/>
      <c r="U36" s="267">
        <f>(U33-(3*U29))</f>
        <v>-2.7572074923855672</v>
      </c>
      <c r="V36" s="267">
        <f>(V33-(3*V29))</f>
        <v>-2.0498888620498636</v>
      </c>
      <c r="W36" s="267"/>
      <c r="X36" s="267"/>
      <c r="Y36" s="267"/>
      <c r="Z36" s="267"/>
      <c r="AA36" s="267"/>
      <c r="AB36" s="267">
        <f t="shared" ref="AB36:AJ36" si="60">(AB33-(3*AB29))</f>
        <v>1.064166571518288</v>
      </c>
      <c r="AC36" s="267">
        <f t="shared" si="60"/>
        <v>-6.6750537450070402</v>
      </c>
      <c r="AD36" s="267">
        <f t="shared" si="60"/>
        <v>-4.3652018665088015</v>
      </c>
      <c r="AE36" s="267">
        <f t="shared" si="60"/>
        <v>-4.175281552471632</v>
      </c>
      <c r="AF36" s="267">
        <f t="shared" si="60"/>
        <v>-1.9970009170506424</v>
      </c>
      <c r="AG36" s="267">
        <f t="shared" si="60"/>
        <v>-3.9566611974727404</v>
      </c>
      <c r="AH36" s="267">
        <f t="shared" si="60"/>
        <v>-1.4985004585253212</v>
      </c>
      <c r="AI36" s="267">
        <f t="shared" si="60"/>
        <v>-1.3616416604381782</v>
      </c>
      <c r="AJ36" s="267">
        <f t="shared" si="60"/>
        <v>-0.10047798657198825</v>
      </c>
      <c r="AK36" s="267"/>
      <c r="AL36" s="267"/>
      <c r="AM36" s="267"/>
      <c r="AN36" s="267">
        <f t="shared" ref="AN36:AV36" si="61">(AN33-(3*AN29))</f>
        <v>1.4794800666807544</v>
      </c>
      <c r="AO36" s="267">
        <f t="shared" si="61"/>
        <v>-1.2419835675795996</v>
      </c>
      <c r="AP36" s="267">
        <f t="shared" si="61"/>
        <v>-2.0324656430360788</v>
      </c>
      <c r="AQ36" s="267">
        <f t="shared" si="61"/>
        <v>-0.63561562266431682</v>
      </c>
      <c r="AR36" s="267">
        <f t="shared" si="61"/>
        <v>-1.9341760813291202</v>
      </c>
      <c r="AS36" s="267">
        <f t="shared" si="61"/>
        <v>-2.04032690473346</v>
      </c>
      <c r="AT36" s="267">
        <f t="shared" si="61"/>
        <v>-0.84064214503218049</v>
      </c>
      <c r="AU36" s="267">
        <f t="shared" si="61"/>
        <v>0</v>
      </c>
      <c r="AV36" s="267">
        <f t="shared" si="61"/>
        <v>-2.4059807832158215</v>
      </c>
      <c r="AW36" s="267"/>
      <c r="AX36" s="267">
        <f t="shared" ref="AX36:BF36" si="62">(AX33-(3*AX29))</f>
        <v>0.76327433856304649</v>
      </c>
      <c r="AY36" s="267">
        <f t="shared" si="62"/>
        <v>-1.8529193925246545</v>
      </c>
      <c r="AZ36" s="267">
        <f t="shared" si="62"/>
        <v>-2.3166247903554003</v>
      </c>
      <c r="BA36" s="267">
        <f t="shared" si="62"/>
        <v>-2.2837189805325466</v>
      </c>
      <c r="BB36" s="267">
        <f t="shared" si="62"/>
        <v>-1.8529193925246545</v>
      </c>
      <c r="BC36" s="267">
        <f t="shared" si="62"/>
        <v>-1.6510787833896254</v>
      </c>
      <c r="BD36" s="267">
        <f t="shared" si="62"/>
        <v>-0.63561562266431682</v>
      </c>
      <c r="BE36" s="267">
        <f t="shared" si="62"/>
        <v>0</v>
      </c>
      <c r="BF36" s="267">
        <f t="shared" si="62"/>
        <v>-4.1073267447680415</v>
      </c>
      <c r="BG36" s="267"/>
      <c r="BH36" s="267">
        <f t="shared" ref="BH36:BP36" si="63">(BH33-(3*BH29))</f>
        <v>1.5479479244522754</v>
      </c>
      <c r="BI36" s="267">
        <f t="shared" si="63"/>
        <v>-1.7310462491087204</v>
      </c>
      <c r="BJ36" s="267">
        <f t="shared" si="63"/>
        <v>-1.8284271247461898</v>
      </c>
      <c r="BK36" s="267">
        <f t="shared" si="63"/>
        <v>-1.3616416604381782</v>
      </c>
      <c r="BL36" s="267">
        <f t="shared" si="63"/>
        <v>-1.3998783044217049</v>
      </c>
      <c r="BM36" s="267">
        <f t="shared" si="63"/>
        <v>-1.2232867841616919</v>
      </c>
      <c r="BN36" s="267">
        <f t="shared" si="63"/>
        <v>-0.96600823705592753</v>
      </c>
      <c r="BO36" s="267">
        <f t="shared" si="63"/>
        <v>-0.63561562266431682</v>
      </c>
      <c r="BP36" s="267">
        <f t="shared" si="63"/>
        <v>-2.8136937359859013</v>
      </c>
      <c r="BQ36" s="267"/>
      <c r="BR36" s="267">
        <f t="shared" ref="BR36:BZ36" si="64">(BR33-(3*BR29))</f>
        <v>0.3402260683916265</v>
      </c>
      <c r="BS36" s="267">
        <f t="shared" si="64"/>
        <v>-1.7754721960023587</v>
      </c>
      <c r="BT36" s="267">
        <f t="shared" si="64"/>
        <v>-2.1981681193536544</v>
      </c>
      <c r="BU36" s="267">
        <f t="shared" si="64"/>
        <v>-2.3245486164118851</v>
      </c>
      <c r="BV36" s="267">
        <f t="shared" si="64"/>
        <v>-1.563761015964714</v>
      </c>
      <c r="BW36" s="267">
        <f t="shared" si="64"/>
        <v>-1.4203777568018874</v>
      </c>
      <c r="BX36" s="267">
        <f t="shared" si="64"/>
        <v>-0.84064214503218049</v>
      </c>
      <c r="BY36" s="267">
        <f t="shared" si="64"/>
        <v>0</v>
      </c>
      <c r="BZ36" s="267">
        <f t="shared" si="64"/>
        <v>-4.179784630782116</v>
      </c>
      <c r="CA36" s="267"/>
      <c r="CB36" s="267">
        <f t="shared" ref="CB36:CJ36" si="65">(CB33-(3*CB29))</f>
        <v>1.121100286360174</v>
      </c>
      <c r="CC36" s="267">
        <f t="shared" si="65"/>
        <v>-1.7754721960023587</v>
      </c>
      <c r="CD36" s="267">
        <f t="shared" si="65"/>
        <v>-1.3544195644234114</v>
      </c>
      <c r="CE36" s="267">
        <f t="shared" si="65"/>
        <v>-1.4203777568018874</v>
      </c>
      <c r="CF36" s="267">
        <f t="shared" si="65"/>
        <v>-1.4233731084788632</v>
      </c>
      <c r="CG36" s="267">
        <f t="shared" si="65"/>
        <v>-1.6973254209373976</v>
      </c>
      <c r="CH36" s="267">
        <f t="shared" si="65"/>
        <v>-0.96600823705592753</v>
      </c>
      <c r="CI36" s="267">
        <f t="shared" si="65"/>
        <v>0</v>
      </c>
      <c r="CJ36" s="267">
        <f t="shared" si="65"/>
        <v>-1.8467462169577264</v>
      </c>
      <c r="CK36" s="267"/>
      <c r="CL36" s="267">
        <f t="shared" ref="CL36:CT36" si="66">(CL33-(3*CL29))</f>
        <v>0.35966069529394584</v>
      </c>
      <c r="CM36" s="267">
        <f t="shared" si="66"/>
        <v>-1.6563951953674265</v>
      </c>
      <c r="CN36" s="267">
        <f t="shared" si="66"/>
        <v>-2.4328945059208147</v>
      </c>
      <c r="CO36" s="267">
        <f t="shared" si="66"/>
        <v>-2.7043939027952684</v>
      </c>
      <c r="CP36" s="267">
        <f t="shared" si="66"/>
        <v>-1.3616416604381782</v>
      </c>
      <c r="CQ36" s="267">
        <f t="shared" si="66"/>
        <v>-1.0940838903397503</v>
      </c>
      <c r="CR36" s="267">
        <f t="shared" si="66"/>
        <v>-0.63561562266431682</v>
      </c>
      <c r="CS36" s="267">
        <f t="shared" si="66"/>
        <v>0</v>
      </c>
      <c r="CT36" s="267">
        <f t="shared" si="66"/>
        <v>-2.7595238076917976</v>
      </c>
      <c r="CU36" s="267"/>
      <c r="CV36" s="267">
        <f t="shared" ref="CV36:DD36" si="67">(CV33-(3*CV29))</f>
        <v>1.4364045785197233</v>
      </c>
      <c r="CW36" s="267">
        <f t="shared" si="67"/>
        <v>-1.3616416604381782</v>
      </c>
      <c r="CX36" s="267">
        <f t="shared" si="67"/>
        <v>-1.8284271247461898</v>
      </c>
      <c r="CY36" s="267">
        <f t="shared" si="67"/>
        <v>-3.312790390734853</v>
      </c>
      <c r="CZ36" s="267">
        <f t="shared" si="67"/>
        <v>-1.3616416604381782</v>
      </c>
      <c r="DA36" s="267">
        <f t="shared" si="67"/>
        <v>-1.2419835675795996</v>
      </c>
      <c r="DB36" s="267">
        <f t="shared" si="67"/>
        <v>0</v>
      </c>
      <c r="DC36" s="267">
        <f t="shared" si="67"/>
        <v>0</v>
      </c>
      <c r="DD36" s="267">
        <f t="shared" si="67"/>
        <v>-2.9868229246178268</v>
      </c>
      <c r="DE36" s="267"/>
      <c r="DF36" s="267">
        <f t="shared" ref="DF36:DN36" si="68">(DF33-(3*DF29))</f>
        <v>0.71628101946745426</v>
      </c>
      <c r="DG36" s="267">
        <f t="shared" si="68"/>
        <v>-1.860513810895098</v>
      </c>
      <c r="DH36" s="267">
        <f t="shared" si="68"/>
        <v>-1.4636363116175652</v>
      </c>
      <c r="DI36" s="267">
        <f t="shared" si="68"/>
        <v>-2.2338226502770944</v>
      </c>
      <c r="DJ36" s="267">
        <f t="shared" si="68"/>
        <v>-1.6510787833896254</v>
      </c>
      <c r="DK36" s="267">
        <f t="shared" si="68"/>
        <v>-1.9150205926398187</v>
      </c>
      <c r="DL36" s="267">
        <f t="shared" si="68"/>
        <v>-0.96600823705592753</v>
      </c>
      <c r="DM36" s="267">
        <f t="shared" si="68"/>
        <v>0</v>
      </c>
      <c r="DN36" s="267">
        <f t="shared" si="68"/>
        <v>-3.2142841172597274</v>
      </c>
      <c r="DO36" s="267"/>
      <c r="DP36" s="267">
        <f t="shared" ref="DP36:FD36" si="69">(DP33-(3*DP29))</f>
        <v>0.36887480686358431</v>
      </c>
      <c r="DQ36" s="267">
        <f t="shared" si="69"/>
        <v>-1.9972572831024955</v>
      </c>
      <c r="DR36" s="267">
        <f t="shared" si="69"/>
        <v>-1.4917119926888043</v>
      </c>
      <c r="DS36" s="267">
        <f t="shared" si="69"/>
        <v>-2.1881677806795006</v>
      </c>
      <c r="DT36" s="267">
        <f t="shared" si="69"/>
        <v>-1.9972572831024955</v>
      </c>
      <c r="DU36" s="267">
        <f t="shared" si="69"/>
        <v>-1</v>
      </c>
      <c r="DV36" s="267">
        <f t="shared" si="69"/>
        <v>-0.96600823705592753</v>
      </c>
      <c r="DW36" s="267">
        <f t="shared" si="69"/>
        <v>0</v>
      </c>
      <c r="DX36" s="267">
        <f t="shared" si="69"/>
        <v>-2.9272726232351305</v>
      </c>
      <c r="DY36" s="267">
        <f t="shared" si="69"/>
        <v>-5.0194201920549633</v>
      </c>
      <c r="DZ36" s="267">
        <f t="shared" si="69"/>
        <v>-1.9373205221438812</v>
      </c>
      <c r="EA36" s="267">
        <f t="shared" si="69"/>
        <v>-0.96600823705592753</v>
      </c>
      <c r="EB36" s="267">
        <f t="shared" si="69"/>
        <v>-1.2749959528164299</v>
      </c>
      <c r="EC36" s="267">
        <f t="shared" si="69"/>
        <v>-2.3345918831623798</v>
      </c>
      <c r="ED36" s="267">
        <f t="shared" si="69"/>
        <v>-1.4203777568018874</v>
      </c>
      <c r="EE36" s="267">
        <f t="shared" si="69"/>
        <v>-3.1275220319294279</v>
      </c>
      <c r="EF36" s="267">
        <f t="shared" si="69"/>
        <v>-1.4226965661102069</v>
      </c>
      <c r="EG36" s="267">
        <f t="shared" si="69"/>
        <v>-3.0431923941659189</v>
      </c>
      <c r="EH36" s="267">
        <f t="shared" si="69"/>
        <v>-2.4839671351591992</v>
      </c>
      <c r="EI36" s="267">
        <f t="shared" si="69"/>
        <v>-2.4033059459659984</v>
      </c>
      <c r="EJ36" s="267">
        <f t="shared" si="69"/>
        <v>-3.0030498253935889</v>
      </c>
      <c r="EK36" s="267">
        <f t="shared" si="69"/>
        <v>-2.1258242436904413</v>
      </c>
      <c r="EL36" s="267">
        <f t="shared" si="69"/>
        <v>-3.9898431780746364</v>
      </c>
      <c r="EM36" s="267">
        <f t="shared" si="69"/>
        <v>-2.0927125194595493</v>
      </c>
      <c r="EN36" s="267">
        <f t="shared" si="69"/>
        <v>1</v>
      </c>
      <c r="EO36" s="267" t="e">
        <f t="shared" si="69"/>
        <v>#DIV/0!</v>
      </c>
      <c r="EP36" s="267" t="e">
        <f t="shared" si="69"/>
        <v>#DIV/0!</v>
      </c>
      <c r="EQ36" s="267">
        <f t="shared" si="69"/>
        <v>-6.0723522167378459</v>
      </c>
      <c r="ER36" s="267">
        <f t="shared" si="69"/>
        <v>-4.1459957236185163</v>
      </c>
      <c r="ES36" s="267">
        <f t="shared" si="69"/>
        <v>-2.8467462169577264</v>
      </c>
      <c r="ET36" s="267">
        <f t="shared" si="69"/>
        <v>-3.9449510984197147</v>
      </c>
      <c r="EU36" s="267">
        <f t="shared" si="69"/>
        <v>-2.5344718628523606</v>
      </c>
      <c r="EV36" s="267">
        <f t="shared" si="69"/>
        <v>-2.8467462169577264</v>
      </c>
      <c r="EW36" s="267">
        <f t="shared" si="69"/>
        <v>-3.9041041510954457</v>
      </c>
      <c r="EX36" s="267">
        <f t="shared" si="69"/>
        <v>-1.9142366781264675</v>
      </c>
      <c r="EY36" s="267">
        <f t="shared" si="69"/>
        <v>-1.1236406616345072</v>
      </c>
      <c r="EZ36" s="267">
        <f t="shared" si="69"/>
        <v>-1.6206835085034557</v>
      </c>
      <c r="FA36" s="267">
        <f t="shared" si="69"/>
        <v>-3.2426406871192857</v>
      </c>
      <c r="FB36" s="267" t="e">
        <f t="shared" si="69"/>
        <v>#DIV/0!</v>
      </c>
      <c r="FC36" s="267" t="e">
        <f t="shared" si="69"/>
        <v>#DIV/0!</v>
      </c>
      <c r="FD36" s="267">
        <f t="shared" si="69"/>
        <v>-1.9254373147947694</v>
      </c>
      <c r="FG36" s="266" t="s">
        <v>276</v>
      </c>
    </row>
  </sheetData>
  <mergeCells count="19">
    <mergeCell ref="W2:AL2"/>
    <mergeCell ref="EE1:FD1"/>
    <mergeCell ref="F1:AL1"/>
    <mergeCell ref="AM1:DX1"/>
    <mergeCell ref="DY1:ED2"/>
    <mergeCell ref="U2:V2"/>
    <mergeCell ref="ER2:FD2"/>
    <mergeCell ref="DO2:DX2"/>
    <mergeCell ref="DE2:DN2"/>
    <mergeCell ref="F2:T2"/>
    <mergeCell ref="BQ2:BZ2"/>
    <mergeCell ref="BG2:BP2"/>
    <mergeCell ref="AW2:BF2"/>
    <mergeCell ref="AM2:AV2"/>
    <mergeCell ref="EE2:EQ2"/>
    <mergeCell ref="CU2:DD2"/>
    <mergeCell ref="CK2:CT2"/>
    <mergeCell ref="FE1:FF2"/>
    <mergeCell ref="CA2:CJ2"/>
  </mergeCells>
  <conditionalFormatting sqref="FE4:FF23">
    <cfRule type="cellIs" dxfId="195" priority="1" operator="notEqual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5.5703125" style="52" bestFit="1" customWidth="1"/>
    <col min="2" max="2" width="4.28515625" bestFit="1" customWidth="1"/>
    <col min="3" max="3" width="5.28515625" bestFit="1" customWidth="1"/>
    <col min="4" max="4" width="4.140625" bestFit="1" customWidth="1"/>
    <col min="5" max="5" width="7.140625" style="352" bestFit="1" customWidth="1"/>
    <col min="6" max="6" width="5.5703125" style="264" bestFit="1" customWidth="1"/>
    <col min="7" max="7" width="4.5703125" style="264" bestFit="1" customWidth="1"/>
    <col min="8" max="8" width="5.5703125" style="264" bestFit="1" customWidth="1"/>
    <col min="9" max="9" width="5.7109375" style="264" bestFit="1" customWidth="1"/>
    <col min="10" max="11" width="5.85546875" style="264" bestFit="1" customWidth="1"/>
    <col min="12" max="12" width="7.7109375" bestFit="1" customWidth="1"/>
    <col min="13" max="13" width="1.42578125" customWidth="1"/>
    <col min="14" max="14" width="5.5703125" bestFit="1" customWidth="1"/>
    <col min="15" max="15" width="14.7109375" bestFit="1" customWidth="1"/>
    <col min="16" max="16" width="5.7109375" bestFit="1" customWidth="1"/>
    <col min="17" max="17" width="4.42578125" bestFit="1" customWidth="1"/>
    <col min="18" max="18" width="6.140625" bestFit="1" customWidth="1"/>
    <col min="19" max="19" width="7.28515625" bestFit="1" customWidth="1"/>
    <col min="20" max="20" width="7" bestFit="1" customWidth="1"/>
    <col min="21" max="21" width="6.5703125" bestFit="1" customWidth="1"/>
    <col min="22" max="22" width="7.140625" bestFit="1" customWidth="1"/>
    <col min="23" max="23" width="1.42578125" customWidth="1"/>
    <col min="24" max="24" width="11.140625" bestFit="1" customWidth="1"/>
    <col min="25" max="25" width="7.140625" style="352" bestFit="1" customWidth="1"/>
    <col min="26" max="26" width="5.42578125" bestFit="1" customWidth="1"/>
    <col min="27" max="27" width="6.7109375" bestFit="1" customWidth="1"/>
    <col min="28" max="28" width="5.5703125" bestFit="1" customWidth="1"/>
    <col min="29" max="29" width="7.28515625" bestFit="1" customWidth="1"/>
    <col min="30" max="30" width="8.5703125" bestFit="1" customWidth="1"/>
    <col min="31" max="31" width="1.42578125" customWidth="1"/>
    <col min="32" max="32" width="6.28515625" bestFit="1" customWidth="1"/>
    <col min="33" max="33" width="4.7109375" bestFit="1" customWidth="1"/>
    <col min="34" max="34" width="6.5703125" bestFit="1" customWidth="1"/>
  </cols>
  <sheetData>
    <row r="1" spans="1:36" s="407" customFormat="1" x14ac:dyDescent="0.25">
      <c r="B1" s="435" t="s">
        <v>217</v>
      </c>
      <c r="C1" s="436"/>
      <c r="D1" s="436"/>
      <c r="E1" s="436"/>
      <c r="F1" s="436"/>
      <c r="G1" s="436"/>
      <c r="H1" s="436"/>
      <c r="I1" s="436"/>
      <c r="J1" s="436"/>
      <c r="K1" s="436"/>
      <c r="L1" s="437"/>
      <c r="N1" s="434" t="s">
        <v>195</v>
      </c>
      <c r="O1" s="434"/>
      <c r="P1" s="434"/>
      <c r="Q1" s="434"/>
      <c r="R1" s="434"/>
      <c r="S1" s="434"/>
      <c r="T1" s="434"/>
      <c r="U1" s="434"/>
      <c r="V1" s="434"/>
      <c r="X1" s="434" t="s">
        <v>226</v>
      </c>
      <c r="Y1" s="434"/>
      <c r="Z1" s="434"/>
      <c r="AA1" s="434"/>
      <c r="AB1" s="434"/>
      <c r="AC1" s="434"/>
      <c r="AD1" s="434"/>
      <c r="AF1" s="434" t="s">
        <v>240</v>
      </c>
      <c r="AG1" s="434"/>
      <c r="AH1" s="434"/>
      <c r="AI1" s="434"/>
      <c r="AJ1" s="434"/>
    </row>
    <row r="2" spans="1:36" x14ac:dyDescent="0.25">
      <c r="A2" s="433" t="s">
        <v>293</v>
      </c>
      <c r="B2" s="16" t="s">
        <v>198</v>
      </c>
      <c r="C2" s="17" t="s">
        <v>129</v>
      </c>
      <c r="D2" s="17" t="s">
        <v>131</v>
      </c>
      <c r="E2" s="349" t="s">
        <v>199</v>
      </c>
      <c r="F2" s="30" t="s">
        <v>19</v>
      </c>
      <c r="G2" s="30" t="s">
        <v>188</v>
      </c>
      <c r="H2" s="30" t="s">
        <v>200</v>
      </c>
      <c r="I2" s="30" t="s">
        <v>201</v>
      </c>
      <c r="J2" s="30" t="s">
        <v>202</v>
      </c>
      <c r="K2" s="30" t="s">
        <v>203</v>
      </c>
      <c r="L2" s="18" t="s">
        <v>204</v>
      </c>
      <c r="N2" s="16" t="s">
        <v>197</v>
      </c>
      <c r="O2" s="17" t="s">
        <v>196</v>
      </c>
      <c r="P2" s="17" t="s">
        <v>187</v>
      </c>
      <c r="Q2" s="17" t="s">
        <v>188</v>
      </c>
      <c r="R2" s="17" t="s">
        <v>189</v>
      </c>
      <c r="S2" s="17" t="s">
        <v>190</v>
      </c>
      <c r="T2" s="17" t="s">
        <v>191</v>
      </c>
      <c r="U2" s="17" t="s">
        <v>192</v>
      </c>
      <c r="V2" s="18" t="s">
        <v>193</v>
      </c>
      <c r="X2" s="16" t="s">
        <v>379</v>
      </c>
      <c r="Y2" s="349" t="s">
        <v>220</v>
      </c>
      <c r="Z2" s="17" t="s">
        <v>221</v>
      </c>
      <c r="AA2" s="17" t="s">
        <v>222</v>
      </c>
      <c r="AB2" s="17" t="s">
        <v>223</v>
      </c>
      <c r="AC2" s="17" t="s">
        <v>224</v>
      </c>
      <c r="AD2" s="18" t="s">
        <v>225</v>
      </c>
      <c r="AF2" s="28" t="s">
        <v>126</v>
      </c>
      <c r="AG2" s="29" t="s">
        <v>234</v>
      </c>
      <c r="AH2" s="30" t="s">
        <v>235</v>
      </c>
      <c r="AI2" s="30" t="s">
        <v>236</v>
      </c>
      <c r="AJ2" s="31" t="s">
        <v>237</v>
      </c>
    </row>
    <row r="3" spans="1:36" x14ac:dyDescent="0.25">
      <c r="A3" s="433"/>
      <c r="B3" s="13" t="s">
        <v>205</v>
      </c>
      <c r="C3" s="8">
        <f>SUMIF(Table1[PS],"=1",Table1[S-W])</f>
        <v>12</v>
      </c>
      <c r="D3" s="8">
        <f>SUMIF(Table1[PS],"=1",Table1[S-L])</f>
        <v>17</v>
      </c>
      <c r="E3" s="350">
        <f>SUMIF(Table1[PS],"=1",Table1[S-IP])</f>
        <v>215</v>
      </c>
      <c r="F3" s="12">
        <f>SUMIF(Table1[PS],"=1",Table1[S-H])</f>
        <v>263</v>
      </c>
      <c r="G3" s="12">
        <f>SUMIF(Table1[PS],"=1",Table1[S-R])</f>
        <v>136</v>
      </c>
      <c r="H3" s="12">
        <f>SUMIF(Table1[PS],"=1",Table1[S-ER])</f>
        <v>124</v>
      </c>
      <c r="I3" s="12">
        <f>SUMIF(Table1[PS],"=1",Table1[S-BB])</f>
        <v>50</v>
      </c>
      <c r="J3" s="12">
        <f>SUMIF(Table1[PS],"=1",Table1[S-SO])</f>
        <v>201</v>
      </c>
      <c r="K3" s="12">
        <f>SUMIF(Table1[PS],"=1",Table1[S-HR])</f>
        <v>36</v>
      </c>
      <c r="L3" s="19">
        <f t="shared" ref="L3:L17" si="0">((H3/E3)*9)</f>
        <v>5.1906976744186046</v>
      </c>
      <c r="N3" s="13">
        <v>1</v>
      </c>
      <c r="O3" s="9" t="str">
        <f>INDEX(Table1[Starter1],MODE(MATCH(Table1[Starter1],Table1[Starter1],0)))</f>
        <v>Bartlett, J</v>
      </c>
      <c r="P3" s="7">
        <f>COUNTIF(Table1[Starter1], INDEX(Table1[Starter1],MODE(MATCH(Table1[Starter1],Table1[Starter1],0))))</f>
        <v>47</v>
      </c>
      <c r="Q3" s="10">
        <f>SUBTOTAL(109,Table1[R1])</f>
        <v>109</v>
      </c>
      <c r="R3" s="7">
        <f>SUBTOTAL(109,Table1[RBI1])</f>
        <v>64</v>
      </c>
      <c r="S3" s="11">
        <f>((SUM(Table1[H1]))/(SUM(Table1[AB1])))</f>
        <v>0.25370919881305637</v>
      </c>
      <c r="T3" s="11">
        <f>((SUM(Table1[H1],Table1[BB1],Table1[HBP1]))/(SUM(Table1[AB1],Table1[BB1],Table1[HBP1],Table1[SF1])))</f>
        <v>0.35331632653061223</v>
      </c>
      <c r="U3" s="11">
        <f>((SUM(Table1[TB1]))/(SUM(Table1[AB1])))</f>
        <v>0.38130563798219586</v>
      </c>
      <c r="V3" s="22">
        <f>(SUM((1.8*(T3)),U3)/4)</f>
        <v>0.25431875643432444</v>
      </c>
      <c r="X3" s="13" t="s">
        <v>218</v>
      </c>
      <c r="Y3" s="350">
        <f>SUM(Table1[IVL])</f>
        <v>488.00000000000017</v>
      </c>
      <c r="Z3" s="8">
        <f>SUM(Table1[SVL])</f>
        <v>39</v>
      </c>
      <c r="AA3" s="8">
        <f>SUM(Table1[SVL],Table1[CVL])</f>
        <v>51</v>
      </c>
      <c r="AB3" s="11">
        <f>(Z3/AA3)</f>
        <v>0.76470588235294112</v>
      </c>
      <c r="AC3" s="11">
        <f>((Z3/Y3)*9)</f>
        <v>0.71926229508196704</v>
      </c>
      <c r="AD3" s="22">
        <f>((AA3/Y3)*9)</f>
        <v>0.94057377049180291</v>
      </c>
      <c r="AF3" s="26" t="s">
        <v>238</v>
      </c>
      <c r="AG3" s="8">
        <f>COUNTIF(Table1[Loc],"=H")</f>
        <v>84</v>
      </c>
      <c r="AH3" s="12">
        <f>AVERAGEIF(Table1[Loc],"=H",Table1[Att])</f>
        <v>23548.880952380954</v>
      </c>
      <c r="AI3" s="12">
        <f>SUMIF(Table1[Loc],"=H",Table1[Att])</f>
        <v>1978106</v>
      </c>
      <c r="AJ3" s="27">
        <f>AH3*81</f>
        <v>1907459.3571428573</v>
      </c>
    </row>
    <row r="4" spans="1:36" x14ac:dyDescent="0.25">
      <c r="A4" s="433"/>
      <c r="B4" s="13" t="s">
        <v>206</v>
      </c>
      <c r="C4" s="8">
        <f>SUMIF(Table1[PS],"=1",Table1[B-W])</f>
        <v>4</v>
      </c>
      <c r="D4" s="8">
        <f>SUMIF(Table1[PS],"=1",Table1[B-L])</f>
        <v>2</v>
      </c>
      <c r="E4" s="350">
        <f>SUMIF(Table1[PS],"=1",Table1[B-IP])</f>
        <v>91.666666666666671</v>
      </c>
      <c r="F4" s="12">
        <f>SUMIF(Table1[PS],"=1",Table1[B-H])</f>
        <v>87</v>
      </c>
      <c r="G4" s="12">
        <f>SUMIF(Table1[PS],"=1",Table1[B-R])</f>
        <v>52</v>
      </c>
      <c r="H4" s="12">
        <f>SUMIF(Table1[PS],"=1",Table1[B-ER])</f>
        <v>51</v>
      </c>
      <c r="I4" s="12">
        <f>SUMIF(Table1[PS],"=1",Table1[B-BB])</f>
        <v>32</v>
      </c>
      <c r="J4" s="12">
        <f>SUMIF(Table1[PS],"=1",Table1[B-SO])</f>
        <v>68</v>
      </c>
      <c r="K4" s="12">
        <f>SUMIF(Table1[PS],"=1",Table1[B-HR])</f>
        <v>17</v>
      </c>
      <c r="L4" s="19">
        <f t="shared" si="0"/>
        <v>5.0072727272727269</v>
      </c>
      <c r="N4" s="13">
        <v>2</v>
      </c>
      <c r="O4" s="9" t="str">
        <f>INDEX(Table1[Starter2],MODE(MATCH(Table1[Starter2],Table1[Starter2],0)))</f>
        <v>Crawford, C</v>
      </c>
      <c r="P4" s="7">
        <f>COUNTIF(Table1[Starter2], INDEX(Table1[Starter2],MODE(MATCH(Table1[Starter2],Table1[Starter2],0))))</f>
        <v>100</v>
      </c>
      <c r="Q4" s="7">
        <f>SUBTOTAL(109,Table1[R2])</f>
        <v>124</v>
      </c>
      <c r="R4" s="7">
        <f>SUBTOTAL(109,Table1[RBI2])</f>
        <v>86</v>
      </c>
      <c r="S4" s="11">
        <f>((SUM(Table1[H2]))/(SUM(Table1[AB2])))</f>
        <v>0.26253687315634217</v>
      </c>
      <c r="T4" s="11">
        <f>((SUM(Table1[H2],Table1[BB2],Table1[HBP2]))/(SUM(Table1[AB2],Table1[BB2],Table1[HBP2],Table1[SF2])))</f>
        <v>0.33027522935779818</v>
      </c>
      <c r="U4" s="11">
        <f>((SUM(Table1[TB2]))/(SUM(Table1[AB2])))</f>
        <v>0.41297935103244837</v>
      </c>
      <c r="V4" s="22">
        <f t="shared" ref="V4:V12" si="1">(SUM((1.8*(T4)),U4)/4)</f>
        <v>0.25186869096912129</v>
      </c>
      <c r="X4" s="13" t="s">
        <v>219</v>
      </c>
      <c r="Y4" s="350">
        <f>SUM(Table1[IVR])</f>
        <v>996.33333333333371</v>
      </c>
      <c r="Z4" s="8">
        <f>SUM(Table1[SVR])</f>
        <v>137</v>
      </c>
      <c r="AA4" s="8">
        <f>SUM(Table1[SVR],Table1[CVR])</f>
        <v>171</v>
      </c>
      <c r="AB4" s="11">
        <f>(Z4/AA4)</f>
        <v>0.80116959064327486</v>
      </c>
      <c r="AC4" s="11">
        <f t="shared" ref="AC4:AC5" si="2">((Z4/Y4)*9)</f>
        <v>1.2375376380060217</v>
      </c>
      <c r="AD4" s="22">
        <f>((AA4/Y4)*9)</f>
        <v>1.5446637671462022</v>
      </c>
      <c r="AF4" s="26" t="s">
        <v>239</v>
      </c>
      <c r="AG4" s="8">
        <f>COUNTIF(Table1[Loc],"=A")</f>
        <v>83</v>
      </c>
      <c r="AH4" s="12">
        <f>AVERAGEIF(Table1[Loc],"=A",Table1[Att])</f>
        <v>27748.963855421687</v>
      </c>
      <c r="AI4" s="12">
        <f>SUMIF(Table1[Loc],"=A",Table1[Att])</f>
        <v>2303164</v>
      </c>
      <c r="AJ4" s="27">
        <f>AH4*81</f>
        <v>2247666.0722891567</v>
      </c>
    </row>
    <row r="5" spans="1:36" x14ac:dyDescent="0.25">
      <c r="A5" s="433"/>
      <c r="B5" s="13" t="s">
        <v>207</v>
      </c>
      <c r="C5" s="8">
        <f>SUMIF(Table1[PS],"=2",Table1[S-W])</f>
        <v>17</v>
      </c>
      <c r="D5" s="8">
        <f>SUMIF(Table1[PS],"=2",Table1[S-L])</f>
        <v>9</v>
      </c>
      <c r="E5" s="350">
        <f>SUMIF(Table1[PS],"=2",Table1[S-IP])</f>
        <v>203.66666666666671</v>
      </c>
      <c r="F5" s="12">
        <f>SUMIF(Table1[PS],"=2",Table1[S-H])</f>
        <v>191</v>
      </c>
      <c r="G5" s="12">
        <f>SUMIF(Table1[PS],"=2",Table1[S-R])</f>
        <v>93</v>
      </c>
      <c r="H5" s="12">
        <f>SUMIF(Table1[PS],"=2",Table1[S-ER])</f>
        <v>91</v>
      </c>
      <c r="I5" s="12">
        <f>SUMIF(Table1[PS],"=2",Table1[S-BB])</f>
        <v>74</v>
      </c>
      <c r="J5" s="12">
        <f>SUMIF(Table1[PS],"=2",Table1[S-SO])</f>
        <v>148</v>
      </c>
      <c r="K5" s="12">
        <f>SUMIF(Table1[PS],"=2",Table1[S-HR])</f>
        <v>25</v>
      </c>
      <c r="L5" s="19">
        <f t="shared" si="0"/>
        <v>4.0212765957446805</v>
      </c>
      <c r="N5" s="13">
        <v>3</v>
      </c>
      <c r="O5" s="9" t="str">
        <f>INDEX(Table1[Starter3],MODE(MATCH(Table1[Starter3],Table1[Starter3],0)))</f>
        <v>Longoria, E</v>
      </c>
      <c r="P5" s="7">
        <f>COUNTIF(Table1[Starter3], INDEX(Table1[Starter3],MODE(MATCH(Table1[Starter3],Table1[Starter3],0))))</f>
        <v>67</v>
      </c>
      <c r="Q5" s="7">
        <f>SUBTOTAL(109,Table1[R3])</f>
        <v>92</v>
      </c>
      <c r="R5" s="7">
        <f>SUBTOTAL(109,Table1[RBI3])</f>
        <v>100</v>
      </c>
      <c r="S5" s="11">
        <f>((SUM(Table1[H3]))/(SUM(Table1[AB3])))</f>
        <v>0.28376327769347498</v>
      </c>
      <c r="T5" s="11">
        <f>((SUM(Table1[H3],Table1[BB3],Table1[HBP3]))/(SUM(Table1[AB3],Table1[BB3],Table1[HBP3],Table1[SF3])))</f>
        <v>0.36133333333333334</v>
      </c>
      <c r="U5" s="11">
        <f>((SUM(Table1[TB3]))/(SUM(Table1[AB3])))</f>
        <v>0.4597875569044006</v>
      </c>
      <c r="V5" s="22">
        <f t="shared" si="1"/>
        <v>0.27754688922610016</v>
      </c>
      <c r="X5" s="14" t="s">
        <v>194</v>
      </c>
      <c r="Y5" s="351">
        <f>SUM(Table1[IVL],Table1[IVR])</f>
        <v>1484.3333333333328</v>
      </c>
      <c r="Z5" s="20">
        <f>SUM(Table1[SVL],Table1[SVR])</f>
        <v>176</v>
      </c>
      <c r="AA5" s="20">
        <f>SUM(Table1[SVL],Table1[CVL],Table1[SVR],Table1[CVR])</f>
        <v>222</v>
      </c>
      <c r="AB5" s="24">
        <f>(Z5/AA5)</f>
        <v>0.7927927927927928</v>
      </c>
      <c r="AC5" s="24">
        <f t="shared" si="2"/>
        <v>1.0671457444419497</v>
      </c>
      <c r="AD5" s="25">
        <f>((AA5/Y5)*9)</f>
        <v>1.3460588367392774</v>
      </c>
      <c r="AF5" s="32" t="s">
        <v>34</v>
      </c>
      <c r="AG5" s="20">
        <f>COUNT(Table1[Date])</f>
        <v>167</v>
      </c>
      <c r="AH5" s="33">
        <f>AVERAGE(Table1[Att])</f>
        <v>25636.347305389223</v>
      </c>
      <c r="AI5" s="33">
        <f>SUM(Table1[Att])</f>
        <v>4281270</v>
      </c>
      <c r="AJ5" s="34">
        <f>AH5*162</f>
        <v>4153088.2634730539</v>
      </c>
    </row>
    <row r="6" spans="1:36" x14ac:dyDescent="0.25">
      <c r="A6" s="433"/>
      <c r="B6" s="13" t="s">
        <v>208</v>
      </c>
      <c r="C6" s="8">
        <f>SUMIF(Table1[PS],"=2",Table1[B-W])</f>
        <v>4</v>
      </c>
      <c r="D6" s="8">
        <f>SUMIF(Table1[PS],"=2",Table1[B-L])</f>
        <v>4</v>
      </c>
      <c r="E6" s="350">
        <f>SUMIF(Table1[PS],"=2",Table1[B-IP])</f>
        <v>98.000000000000014</v>
      </c>
      <c r="F6" s="12">
        <f>SUMIF(Table1[PS],"=2",Table1[B-H])</f>
        <v>74</v>
      </c>
      <c r="G6" s="12">
        <f>SUMIF(Table1[PS],"=2",Table1[B-R])</f>
        <v>29</v>
      </c>
      <c r="H6" s="12">
        <f>SUMIF(Table1[PS],"=2",Table1[B-ER])</f>
        <v>26</v>
      </c>
      <c r="I6" s="12">
        <f>SUMIF(Table1[PS],"=2",Table1[B-BB])</f>
        <v>28</v>
      </c>
      <c r="J6" s="12">
        <f>SUMIF(Table1[PS],"=2",Table1[B-SO])</f>
        <v>94</v>
      </c>
      <c r="K6" s="12">
        <f>SUMIF(Table1[PS],"=2",Table1[B-HR])</f>
        <v>9</v>
      </c>
      <c r="L6" s="19">
        <f t="shared" si="0"/>
        <v>2.3877551020408161</v>
      </c>
      <c r="N6" s="13">
        <v>4</v>
      </c>
      <c r="O6" s="9" t="str">
        <f>INDEX(Table1[Starter4],MODE(MATCH(Table1[Starter4],Table1[Starter4],0)))</f>
        <v>Longoria, E</v>
      </c>
      <c r="P6" s="7">
        <f>COUNTIF(Table1[Starter4], INDEX(Table1[Starter4],MODE(MATCH(Table1[Starter4],Table1[Starter4],0))))</f>
        <v>89</v>
      </c>
      <c r="Q6" s="7">
        <f>SUBTOTAL(109,Table1[R4])</f>
        <v>87</v>
      </c>
      <c r="R6" s="7">
        <f>SUBTOTAL(109,Table1[RBI4])</f>
        <v>117</v>
      </c>
      <c r="S6" s="11">
        <f>((SUM(Table1[H4]))/(SUM(Table1[AB4])))</f>
        <v>0.25908372827804105</v>
      </c>
      <c r="T6" s="11">
        <f>((SUM(Table1[H4],Table1[BB4],Table1[HBP4]))/(SUM(Table1[AB4],Table1[BB4],Table1[HBP4],Table1[SF4])))</f>
        <v>0.34510869565217389</v>
      </c>
      <c r="U6" s="11">
        <f>((SUM(Table1[TB4]))/(SUM(Table1[AB4])))</f>
        <v>0.45339652448657186</v>
      </c>
      <c r="V6" s="22">
        <f t="shared" si="1"/>
        <v>0.26864804416512122</v>
      </c>
    </row>
    <row r="7" spans="1:36" x14ac:dyDescent="0.25">
      <c r="A7" s="433"/>
      <c r="B7" s="13" t="s">
        <v>209</v>
      </c>
      <c r="C7" s="8">
        <f>SUMIF(Table1[PS],"=3",Table1[S-W])</f>
        <v>13</v>
      </c>
      <c r="D7" s="8">
        <f>SUMIF(Table1[PS],"=3",Table1[S-L])</f>
        <v>6</v>
      </c>
      <c r="E7" s="350">
        <f>SUMIF(Table1[PS],"=3",Table1[S-IP])</f>
        <v>201.66666666666669</v>
      </c>
      <c r="F7" s="12">
        <f>SUMIF(Table1[PS],"=3",Table1[S-H])</f>
        <v>175</v>
      </c>
      <c r="G7" s="12">
        <f>SUMIF(Table1[PS],"=3",Table1[S-R])</f>
        <v>90</v>
      </c>
      <c r="H7" s="12">
        <f>SUMIF(Table1[PS],"=3",Table1[S-ER])</f>
        <v>88</v>
      </c>
      <c r="I7" s="12">
        <f>SUMIF(Table1[PS],"=3",Table1[S-BB])</f>
        <v>71</v>
      </c>
      <c r="J7" s="12">
        <f>SUMIF(Table1[PS],"=3",Table1[S-SO])</f>
        <v>167</v>
      </c>
      <c r="K7" s="12">
        <f>SUMIF(Table1[PS],"=3",Table1[S-HR])</f>
        <v>23</v>
      </c>
      <c r="L7" s="19">
        <f t="shared" si="0"/>
        <v>3.9272727272727272</v>
      </c>
      <c r="N7" s="13">
        <v>5</v>
      </c>
      <c r="O7" s="9" t="str">
        <f>INDEX(Table1[Starter5],MODE(MATCH(Table1[Starter5],Table1[Starter5],0)))</f>
        <v>Peña, C</v>
      </c>
      <c r="P7" s="7">
        <f>COUNTIF(Table1[Starter5], INDEX(Table1[Starter5],MODE(MATCH(Table1[Starter5],Table1[Starter5],0))))</f>
        <v>65</v>
      </c>
      <c r="Q7" s="7">
        <f>SUBTOTAL(109,Table1[R5])</f>
        <v>80</v>
      </c>
      <c r="R7" s="7">
        <f>SUBTOTAL(109,Table1[RBI5])</f>
        <v>106</v>
      </c>
      <c r="S7" s="11">
        <f>((SUM(Table1[H5]))/(SUM(Table1[AB5])))</f>
        <v>0.22042139384116693</v>
      </c>
      <c r="T7" s="11">
        <f>((SUM(Table1[H5],Table1[BB5],Table1[HBP5]))/(SUM(Table1[AB5],Table1[BB5],Table1[HBP5],Table1[SF5])))</f>
        <v>0.32217573221757323</v>
      </c>
      <c r="U7" s="11">
        <f>((SUM(Table1[TB5]))/(SUM(Table1[AB5])))</f>
        <v>0.39384116693679094</v>
      </c>
      <c r="V7" s="22">
        <f t="shared" si="1"/>
        <v>0.24343937123210568</v>
      </c>
    </row>
    <row r="8" spans="1:36" x14ac:dyDescent="0.25">
      <c r="A8" s="433"/>
      <c r="B8" s="13" t="s">
        <v>214</v>
      </c>
      <c r="C8" s="8">
        <f>SUMIF(Table1[PS],"=3",Table1[B-W])</f>
        <v>9</v>
      </c>
      <c r="D8" s="8">
        <f>SUMIF(Table1[PS],"=3",Table1[B-L])</f>
        <v>5</v>
      </c>
      <c r="E8" s="350">
        <f>SUMIF(Table1[PS],"=3",Table1[B-IP])</f>
        <v>102.33333333333333</v>
      </c>
      <c r="F8" s="12">
        <f>SUMIF(Table1[PS],"=3",Table1[B-H])</f>
        <v>80</v>
      </c>
      <c r="G8" s="12">
        <f>SUMIF(Table1[PS],"=3",Table1[B-R])</f>
        <v>46</v>
      </c>
      <c r="H8" s="12">
        <f>SUMIF(Table1[PS],"=3",Table1[B-ER])</f>
        <v>41</v>
      </c>
      <c r="I8" s="12">
        <f>SUMIF(Table1[PS],"=3",Table1[B-BB])</f>
        <v>42</v>
      </c>
      <c r="J8" s="12">
        <f>SUMIF(Table1[PS],"=3",Table1[B-SO])</f>
        <v>94</v>
      </c>
      <c r="K8" s="12">
        <f>SUMIF(Table1[PS],"=3",Table1[B-HR])</f>
        <v>11</v>
      </c>
      <c r="L8" s="19">
        <f t="shared" si="0"/>
        <v>3.6058631921824107</v>
      </c>
      <c r="N8" s="13">
        <v>6</v>
      </c>
      <c r="O8" s="9" t="str">
        <f>INDEX(Table1[Starter6],MODE(MATCH(Table1[Starter6],Table1[Starter6],0)))</f>
        <v>Upton, B</v>
      </c>
      <c r="P8" s="7">
        <f>COUNTIF(Table1[Starter6], INDEX(Table1[Starter6],MODE(MATCH(Table1[Starter6],Table1[Starter6],0))))</f>
        <v>52</v>
      </c>
      <c r="Q8" s="7">
        <f>SUBTOTAL(109,Table1[R6])</f>
        <v>75</v>
      </c>
      <c r="R8" s="7">
        <f>SUBTOTAL(109,Table1[RBI6])</f>
        <v>75</v>
      </c>
      <c r="S8" s="11">
        <f>((SUM(Table1[H6]))/(SUM(Table1[AB6])))</f>
        <v>0.22203947368421054</v>
      </c>
      <c r="T8" s="11">
        <f>((SUM(Table1[H6],Table1[BB6],Table1[HBP6]))/(SUM(Table1[AB6],Table1[BB6],Table1[HBP6],Table1[SF6])))</f>
        <v>0.32005689900426743</v>
      </c>
      <c r="U8" s="11">
        <f>((SUM(Table1[TB6]))/(SUM(Table1[AB6])))</f>
        <v>0.37171052631578949</v>
      </c>
      <c r="V8" s="22">
        <f t="shared" si="1"/>
        <v>0.23695323613086772</v>
      </c>
    </row>
    <row r="9" spans="1:36" x14ac:dyDescent="0.25">
      <c r="A9" s="433"/>
      <c r="B9" s="13" t="s">
        <v>210</v>
      </c>
      <c r="C9" s="8">
        <f>SUMIF(Table1[PS],"=4",Table1[S-W])</f>
        <v>20</v>
      </c>
      <c r="D9" s="8">
        <f>SUMIF(Table1[PS],"=4",Table1[S-L])</f>
        <v>7</v>
      </c>
      <c r="E9" s="350">
        <f>SUMIF(Table1[PS],"=4",Table1[S-IP])</f>
        <v>212.66666666666669</v>
      </c>
      <c r="F9" s="12">
        <f>SUMIF(Table1[PS],"=4",Table1[S-H])</f>
        <v>180</v>
      </c>
      <c r="G9" s="12">
        <f>SUMIF(Table1[PS],"=4",Table1[S-R])</f>
        <v>73</v>
      </c>
      <c r="H9" s="12">
        <f>SUMIF(Table1[PS],"=4",Table1[S-ER])</f>
        <v>65</v>
      </c>
      <c r="I9" s="12">
        <f>SUMIF(Table1[PS],"=4",Table1[S-BB])</f>
        <v>71</v>
      </c>
      <c r="J9" s="12">
        <f>SUMIF(Table1[PS],"=4",Table1[S-SO])</f>
        <v>175</v>
      </c>
      <c r="K9" s="12">
        <f>SUMIF(Table1[PS],"=4",Table1[S-HR])</f>
        <v>17</v>
      </c>
      <c r="L9" s="19">
        <f t="shared" si="0"/>
        <v>2.7507836990595611</v>
      </c>
      <c r="N9" s="13">
        <v>7</v>
      </c>
      <c r="O9" s="9" t="str">
        <f>INDEX(Table1[Starter7],MODE(MATCH(Table1[Starter7],Table1[Starter7],0)))</f>
        <v>Upton, B</v>
      </c>
      <c r="P9" s="7">
        <f>COUNTIF(Table1[Starter7], INDEX(Table1[Starter7],MODE(MATCH(Table1[Starter7],Table1[Starter7],0))))</f>
        <v>26</v>
      </c>
      <c r="Q9" s="7">
        <f>SUBTOTAL(109,Table1[R7])</f>
        <v>81</v>
      </c>
      <c r="R9" s="7">
        <f>SUBTOTAL(109,Table1[RBI7])</f>
        <v>77</v>
      </c>
      <c r="S9" s="11">
        <f>((SUM(Table1[H7]))/(SUM(Table1[AB7])))</f>
        <v>0.22448979591836735</v>
      </c>
      <c r="T9" s="11">
        <f>((SUM(Table1[H7],Table1[BB7],Table1[HBP7]))/(SUM(Table1[AB7],Table1[BB7],Table1[HBP7],Table1[SF7])))</f>
        <v>0.31602373887240354</v>
      </c>
      <c r="U9" s="11">
        <f>((SUM(Table1[TB7]))/(SUM(Table1[AB7])))</f>
        <v>0.38775510204081631</v>
      </c>
      <c r="V9" s="22">
        <f t="shared" si="1"/>
        <v>0.23914945800278567</v>
      </c>
    </row>
    <row r="10" spans="1:36" x14ac:dyDescent="0.25">
      <c r="A10" s="433"/>
      <c r="B10" s="13" t="s">
        <v>215</v>
      </c>
      <c r="C10" s="8">
        <f>SUMIF(Table1[PS],"=4",Table1[B-W])</f>
        <v>3</v>
      </c>
      <c r="D10" s="8">
        <f>SUMIF(Table1[PS],"=4",Table1[B-L])</f>
        <v>2</v>
      </c>
      <c r="E10" s="350">
        <f>SUMIF(Table1[PS],"=4",Table1[B-IP])</f>
        <v>76.333333333333329</v>
      </c>
      <c r="F10" s="12">
        <f>SUMIF(Table1[PS],"=4",Table1[B-H])</f>
        <v>58</v>
      </c>
      <c r="G10" s="12">
        <f>SUMIF(Table1[PS],"=4",Table1[B-R])</f>
        <v>19</v>
      </c>
      <c r="H10" s="12">
        <f>SUMIF(Table1[PS],"=4",Table1[B-ER])</f>
        <v>18</v>
      </c>
      <c r="I10" s="12">
        <f>SUMIF(Table1[PS],"=4",Table1[B-BB])</f>
        <v>17</v>
      </c>
      <c r="J10" s="12">
        <f>SUMIF(Table1[PS],"=4",Table1[B-SO])</f>
        <v>53</v>
      </c>
      <c r="K10" s="12">
        <f>SUMIF(Table1[PS],"=4",Table1[B-HR])</f>
        <v>5</v>
      </c>
      <c r="L10" s="19">
        <f t="shared" si="0"/>
        <v>2.1222707423580789</v>
      </c>
      <c r="N10" s="13">
        <v>8</v>
      </c>
      <c r="O10" s="9" t="str">
        <f>INDEX(Table1[Starter8],MODE(MATCH(Table1[Starter8],Table1[Starter8],0)))</f>
        <v>Brignac, R</v>
      </c>
      <c r="P10" s="7">
        <f>COUNTIF(Table1[Starter8], INDEX(Table1[Starter8],MODE(MATCH(Table1[Starter8],Table1[Starter8],0))))</f>
        <v>32</v>
      </c>
      <c r="Q10" s="7">
        <f>SUBTOTAL(109,Table1[R8])</f>
        <v>86</v>
      </c>
      <c r="R10" s="7">
        <f>SUBTOTAL(109,Table1[RBI8])</f>
        <v>77</v>
      </c>
      <c r="S10" s="11">
        <f>((SUM(Table1[H8]))/(SUM(Table1[AB8])))</f>
        <v>0.24570446735395188</v>
      </c>
      <c r="T10" s="11">
        <f>((SUM(Table1[H8],Table1[BB8],Table1[HBP8]))/(SUM(Table1[AB8],Table1[BB8],Table1[HBP8],Table1[SF8])))</f>
        <v>0.32153846153846155</v>
      </c>
      <c r="U10" s="11">
        <f>((SUM(Table1[TB8]))/(SUM(Table1[AB8])))</f>
        <v>0.38316151202749144</v>
      </c>
      <c r="V10" s="22">
        <f t="shared" si="1"/>
        <v>0.24048268569918058</v>
      </c>
    </row>
    <row r="11" spans="1:36" x14ac:dyDescent="0.25">
      <c r="A11" s="433"/>
      <c r="B11" s="13" t="s">
        <v>211</v>
      </c>
      <c r="C11" s="8">
        <f>SUMIF(Table1[PS],"=5",Table1[S-W])</f>
        <v>11</v>
      </c>
      <c r="D11" s="8">
        <f>SUMIF(Table1[PS],"=5",Table1[S-L])</f>
        <v>14</v>
      </c>
      <c r="E11" s="350">
        <f>SUMIF(Table1[PS],"=5",Table1[S-IP])</f>
        <v>185.33333333333329</v>
      </c>
      <c r="F11" s="12">
        <f>SUMIF(Table1[PS],"=5",Table1[S-H])</f>
        <v>180</v>
      </c>
      <c r="G11" s="12">
        <f>SUMIF(Table1[PS],"=5",Table1[S-R])</f>
        <v>91</v>
      </c>
      <c r="H11" s="12">
        <f>SUMIF(Table1[PS],"=5",Table1[S-ER])</f>
        <v>87</v>
      </c>
      <c r="I11" s="12">
        <f>SUMIF(Table1[PS],"=5",Table1[S-BB])</f>
        <v>65</v>
      </c>
      <c r="J11" s="12">
        <f>SUMIF(Table1[PS],"=5",Table1[S-SO])</f>
        <v>126</v>
      </c>
      <c r="K11" s="12">
        <f>SUMIF(Table1[PS],"=5",Table1[S-HR])</f>
        <v>32</v>
      </c>
      <c r="L11" s="19">
        <f t="shared" si="0"/>
        <v>4.2248201438848936</v>
      </c>
      <c r="N11" s="13">
        <v>9</v>
      </c>
      <c r="O11" s="9" t="str">
        <f>INDEX(Table1[Starter9],MODE(MATCH(Table1[Starter9],Table1[Starter9],0)))</f>
        <v>Bartlett, J</v>
      </c>
      <c r="P11" s="7">
        <f>COUNTIF(Table1[Starter9], INDEX(Table1[Starter9],MODE(MATCH(Table1[Starter9],Table1[Starter9],0))))</f>
        <v>46</v>
      </c>
      <c r="Q11" s="7">
        <f>SUBTOTAL(109,Table1[R9])</f>
        <v>81</v>
      </c>
      <c r="R11" s="7">
        <f>SUBTOTAL(109,Table1[RBI9])</f>
        <v>79</v>
      </c>
      <c r="S11" s="11">
        <f>((SUM(Table1[H9]))/(SUM(Table1[AB9])))</f>
        <v>0.23426573426573427</v>
      </c>
      <c r="T11" s="11">
        <f>((SUM(Table1[H9],Table1[BB9],Table1[HBP9]))/(SUM(Table1[AB9],Table1[BB9],Table1[HBP9],Table1[SF9])))</f>
        <v>0.30236220472440944</v>
      </c>
      <c r="U11" s="11">
        <f>((SUM(Table1[TB9]))/(SUM(Table1[AB9])))</f>
        <v>0.3548951048951049</v>
      </c>
      <c r="V11" s="22">
        <f t="shared" si="1"/>
        <v>0.22478676834976047</v>
      </c>
    </row>
    <row r="12" spans="1:36" x14ac:dyDescent="0.25">
      <c r="A12" s="433"/>
      <c r="B12" s="13" t="s">
        <v>216</v>
      </c>
      <c r="C12" s="8">
        <f>SUMIF(Table1[PS],"=5",Table1[B-W])</f>
        <v>3</v>
      </c>
      <c r="D12" s="8">
        <f>SUMIF(Table1[PS],"=5",Table1[B-L])</f>
        <v>3</v>
      </c>
      <c r="E12" s="350">
        <f>SUMIF(Table1[PS],"=5",Table1[B-IP])</f>
        <v>93.999999999999972</v>
      </c>
      <c r="F12" s="12">
        <f>SUMIF(Table1[PS],"=5",Table1[B-H])</f>
        <v>92</v>
      </c>
      <c r="G12" s="12">
        <f>SUMIF(Table1[PS],"=5",Table1[B-R])</f>
        <v>39</v>
      </c>
      <c r="H12" s="12">
        <f>SUMIF(Table1[PS],"=5",Table1[B-ER])</f>
        <v>38</v>
      </c>
      <c r="I12" s="12">
        <f>SUMIF(Table1[PS],"=5",Table1[B-BB])</f>
        <v>30</v>
      </c>
      <c r="J12" s="12">
        <f>SUMIF(Table1[PS],"=5",Table1[B-SO])</f>
        <v>76</v>
      </c>
      <c r="K12" s="12">
        <f>SUMIF(Table1[PS],"=5",Table1[B-HR])</f>
        <v>9</v>
      </c>
      <c r="L12" s="19">
        <f t="shared" si="0"/>
        <v>3.6382978723404267</v>
      </c>
      <c r="N12" s="3" t="s">
        <v>194</v>
      </c>
      <c r="O12" s="23"/>
      <c r="P12" s="15">
        <f>SUBTOTAL(103,Table1[Date])</f>
        <v>167</v>
      </c>
      <c r="Q12" s="15">
        <f>SUM(Table1[R1],Table1[R2],Table1[R3],Table1[R4],Table1[R5],Table1[R6],Table1[R7],Table1[R8],Table1[R9])</f>
        <v>815</v>
      </c>
      <c r="R12" s="15">
        <f>SUM(Table1[RBI1],Table1[RBI2],Table1[RBI3],Table1[RBI4],Table1[RBI5],Table1[RBI6],Table1[RBI7],Table1[RBI8],Table1[RBI9])</f>
        <v>781</v>
      </c>
      <c r="S12" s="24">
        <f>((SUM(Table1[H1],Table1[H2],Table1[H3],Table1[H4],Table1[H5],Table1[H6],Table1[H7],Table1[H8],Table1[H9]))/(SUM(Table1[AB1],Table1[AB2],Table1[AB3],Table1[AB4],Table1[AB5],Table1[AB6],Table1[AB7],Table1[AB8],Table1[AB9])))</f>
        <v>0.24594546426661915</v>
      </c>
      <c r="T12" s="24">
        <f>((SUM(Table1[H1],Table1[BB1],Table1[HBP1],Table1[H2],Table1[BB2],Table1[HBP2],Table1[H3],Table1[BB3],Table1[HBP3],Table1[H4],Table1[BB4],Table1[HBP4],Table1[H5],Table1[BB5],Table1[HBP5],Table1[H6],Table1[BB6],Table1[HBP6],Table1[H7],Table1[BB7],Table1[HBP7],Table1[H8],Table1[BB8],Table1[HBP8],Table1[H9],Table1[BB9],Table1[HBP9]))/(SUM(Table1[AB1],Table1[BB1],Table1[HBP1],Table1[SF1],Table1[AB2],Table1[BB2],Table1[HBP2],Table1[SF2],Table1[AB3],Table1[BB3],Table1[HBP3],Table1[SF3],Table1[AB4],Table1[BB4],Table1[HBP4],Table1[SF4],Table1[AB5],Table1[BB5],Table1[HBP5],Table1[SF5],Table1[AB6],Table1[BB6],Table1[HBP6],Table1[SF6],Table1[AB7],Table1[BB7],Table1[HBP7],Table1[SF7],Table1[AB8],Table1[BB8],Table1[HBP8],Table1[SF8],Table1[AB9],Table1[BB9],Table1[HBP9],Table1[SF9])))</f>
        <v>0.33125389893948848</v>
      </c>
      <c r="U12" s="24">
        <f>((SUM(Table1[TB1],Table1[TB2],Table1[TB3],Table1[TB4],Table1[TB5],Table1[TB6],Table1[TB7],Table1[TB8],Table1[TB9]))/(SUM(Table1[AB1],Table1[AB2],Table1[AB3],Table1[AB4],Table1[AB5],Table1[AB6],Table1[AB7],Table1[AB8],Table1[AB9])))</f>
        <v>0.40099803956513991</v>
      </c>
      <c r="V12" s="25">
        <f t="shared" si="1"/>
        <v>0.24931376441405478</v>
      </c>
    </row>
    <row r="13" spans="1:36" x14ac:dyDescent="0.25">
      <c r="A13" s="433"/>
      <c r="B13" s="13" t="s">
        <v>528</v>
      </c>
      <c r="C13" s="8">
        <f>SUMIF(Table1[PS],"=S",Table1[S-W])</f>
        <v>1</v>
      </c>
      <c r="D13" s="8">
        <f>SUMIF(Table1[PS],"=S",Table1[S-L])</f>
        <v>0</v>
      </c>
      <c r="E13" s="350">
        <f>SUMIF(Table1[PS],"=S",Table1[S-IP])</f>
        <v>9.3333333333333339</v>
      </c>
      <c r="F13" s="12">
        <f>SUMIF(Table1[PS],"=S",Table1[S-H])</f>
        <v>8</v>
      </c>
      <c r="G13" s="12">
        <f>SUMIF(Table1[PS],"=S",Table1[S-R])</f>
        <v>2</v>
      </c>
      <c r="H13" s="12">
        <f>SUMIF(Table1[PS],"=S",Table1[S-ER])</f>
        <v>2</v>
      </c>
      <c r="I13" s="12">
        <f>SUMIF(Table1[PS],"=S",Table1[S-BB])</f>
        <v>2</v>
      </c>
      <c r="J13" s="12">
        <f>SUMIF(Table1[PS],"=S",Table1[S-SO])</f>
        <v>7</v>
      </c>
      <c r="K13" s="12">
        <f>SUMIF(Table1[PS],"=S",Table1[S-HR])</f>
        <v>1</v>
      </c>
      <c r="L13" s="19">
        <f>((H13/E13)*9)</f>
        <v>1.9285714285714284</v>
      </c>
      <c r="N13" s="169"/>
      <c r="O13" s="169"/>
      <c r="P13" s="170"/>
      <c r="Q13" s="170"/>
      <c r="R13" s="170"/>
      <c r="S13" s="171"/>
      <c r="T13" s="171"/>
      <c r="U13" s="171"/>
      <c r="V13" s="171"/>
    </row>
    <row r="14" spans="1:36" x14ac:dyDescent="0.25">
      <c r="A14" s="433"/>
      <c r="B14" s="13" t="s">
        <v>20</v>
      </c>
      <c r="C14" s="8">
        <f>SUMIF(Table1[PS],"=S",Table1[B-W])</f>
        <v>1</v>
      </c>
      <c r="D14" s="8">
        <f>SUMIF(Table1[PS],"=S",Table1[B-L])</f>
        <v>0</v>
      </c>
      <c r="E14" s="350">
        <f>SUMIF(Table1[PS],"=S",Table1[B-IP])</f>
        <v>8.6666666666666679</v>
      </c>
      <c r="F14" s="12">
        <f>SUMIF(Table1[PS],"=S",Table1[B-H])</f>
        <v>4</v>
      </c>
      <c r="G14" s="12">
        <f>SUMIF(Table1[PS],"=S",Table1[B-R])</f>
        <v>0</v>
      </c>
      <c r="H14" s="12">
        <f>SUMIF(Table1[PS],"=S",Table1[B-ER])</f>
        <v>0</v>
      </c>
      <c r="I14" s="12">
        <f>SUMIF(Table1[PS],"=S",Table1[B-BB])</f>
        <v>3</v>
      </c>
      <c r="J14" s="12">
        <f>SUMIF(Table1[PS],"=S",Table1[B-SO])</f>
        <v>8</v>
      </c>
      <c r="K14" s="12">
        <f>SUMIF(Table1[PS],"=S",Table1[B-HR])</f>
        <v>0</v>
      </c>
      <c r="L14" s="19">
        <f>((H14/E14)*9)</f>
        <v>0</v>
      </c>
      <c r="N14" s="169"/>
      <c r="O14" s="169"/>
      <c r="P14" s="170"/>
      <c r="Q14" s="170"/>
      <c r="R14" s="170"/>
      <c r="S14" s="171"/>
      <c r="T14" s="171"/>
      <c r="U14" s="171"/>
      <c r="V14" s="171"/>
    </row>
    <row r="15" spans="1:36" x14ac:dyDescent="0.25">
      <c r="A15" s="433"/>
      <c r="B15" s="13" t="s">
        <v>212</v>
      </c>
      <c r="C15" s="8">
        <f>SUM(Table1[S-W])</f>
        <v>74</v>
      </c>
      <c r="D15" s="8">
        <f>SUM(Table1[S-L])</f>
        <v>53</v>
      </c>
      <c r="E15" s="350">
        <f>SUM(Table1[S-IP])</f>
        <v>1027.666666666667</v>
      </c>
      <c r="F15" s="12">
        <f>SUM(Table1[S-H])</f>
        <v>997</v>
      </c>
      <c r="G15" s="12">
        <f>SUM(Table1[S-R])</f>
        <v>485</v>
      </c>
      <c r="H15" s="12">
        <f>SUM(Table1[S-ER])</f>
        <v>457</v>
      </c>
      <c r="I15" s="12">
        <f>SUM(Table1[S-BB])</f>
        <v>333</v>
      </c>
      <c r="J15" s="12">
        <f>SUM(Table1[S-SO])</f>
        <v>824</v>
      </c>
      <c r="K15" s="12">
        <f>SUM(Table1[S-HR])</f>
        <v>134</v>
      </c>
      <c r="L15" s="19">
        <f t="shared" si="0"/>
        <v>4.0022705157314293</v>
      </c>
    </row>
    <row r="16" spans="1:36" x14ac:dyDescent="0.25">
      <c r="A16" s="433"/>
      <c r="B16" s="13" t="s">
        <v>213</v>
      </c>
      <c r="C16" s="8">
        <f>SUM(Table1[B-W])</f>
        <v>24</v>
      </c>
      <c r="D16" s="8">
        <f>SUM(Table1[B-L])</f>
        <v>16</v>
      </c>
      <c r="E16" s="350">
        <f>SUM(Table1[B-IP])</f>
        <v>471.00000000000006</v>
      </c>
      <c r="F16" s="12">
        <f>SUM(Table1[B-H])</f>
        <v>395</v>
      </c>
      <c r="G16" s="12">
        <f>SUM(Table1[B-R])</f>
        <v>185</v>
      </c>
      <c r="H16" s="12">
        <f>SUM(Table1[B-ER])</f>
        <v>174</v>
      </c>
      <c r="I16" s="12">
        <f>SUM(Table1[B-BB])</f>
        <v>152</v>
      </c>
      <c r="J16" s="12">
        <f>SUM(Table1[B-SO])</f>
        <v>393</v>
      </c>
      <c r="K16" s="12">
        <f>SUM(Table1[B-HR])</f>
        <v>51</v>
      </c>
      <c r="L16" s="19">
        <f t="shared" si="0"/>
        <v>3.3248407643312099</v>
      </c>
    </row>
    <row r="17" spans="1:36" x14ac:dyDescent="0.25">
      <c r="A17" s="433"/>
      <c r="B17" s="14" t="s">
        <v>194</v>
      </c>
      <c r="C17" s="20">
        <f>SUM(Table1[S-W],Table1[B-W])</f>
        <v>98</v>
      </c>
      <c r="D17" s="20">
        <f>SUM(Table1[S-L],Table1[B-L])</f>
        <v>69</v>
      </c>
      <c r="E17" s="351">
        <f>SUM(Table1[S-IP],Table1[B-IP])</f>
        <v>1498.6666666666683</v>
      </c>
      <c r="F17" s="33">
        <f>SUM(Table1[S-H],Table1[B-H])</f>
        <v>1392</v>
      </c>
      <c r="G17" s="33">
        <f>SUM(Table1[S-R],Table1[B-R])</f>
        <v>670</v>
      </c>
      <c r="H17" s="33">
        <f>SUM(Table1[S-ER],Table1[B-ER])</f>
        <v>631</v>
      </c>
      <c r="I17" s="33">
        <f>SUM(Table1[S-BB],Table1[B-BB])</f>
        <v>485</v>
      </c>
      <c r="J17" s="33">
        <f>SUM(Table1[S-SO],Table1[B-SO])</f>
        <v>1217</v>
      </c>
      <c r="K17" s="33">
        <f>SUM(Table1[S-HR],Table1[B-HR])</f>
        <v>185</v>
      </c>
      <c r="L17" s="21">
        <f t="shared" si="0"/>
        <v>3.7893683274021313</v>
      </c>
    </row>
    <row r="18" spans="1:36" s="52" customFormat="1" x14ac:dyDescent="0.25">
      <c r="C18" s="112"/>
      <c r="D18" s="112"/>
      <c r="E18" s="353"/>
      <c r="F18" s="49"/>
      <c r="G18" s="49"/>
      <c r="H18" s="49"/>
      <c r="I18" s="49"/>
      <c r="J18" s="49"/>
      <c r="K18" s="49"/>
      <c r="L18" s="113"/>
      <c r="Y18" s="353"/>
    </row>
    <row r="19" spans="1:36" x14ac:dyDescent="0.25">
      <c r="A19" s="433" t="s">
        <v>362</v>
      </c>
      <c r="B19" s="16" t="s">
        <v>198</v>
      </c>
      <c r="C19" s="17" t="s">
        <v>129</v>
      </c>
      <c r="D19" s="17" t="s">
        <v>131</v>
      </c>
      <c r="E19" s="349" t="s">
        <v>199</v>
      </c>
      <c r="F19" s="30" t="s">
        <v>19</v>
      </c>
      <c r="G19" s="30" t="s">
        <v>188</v>
      </c>
      <c r="H19" s="30" t="s">
        <v>200</v>
      </c>
      <c r="I19" s="30" t="s">
        <v>201</v>
      </c>
      <c r="J19" s="30" t="s">
        <v>202</v>
      </c>
      <c r="K19" s="30" t="s">
        <v>203</v>
      </c>
      <c r="L19" s="18" t="s">
        <v>204</v>
      </c>
      <c r="N19" s="16" t="s">
        <v>197</v>
      </c>
      <c r="O19" s="17" t="s">
        <v>196</v>
      </c>
      <c r="P19" s="17" t="s">
        <v>187</v>
      </c>
      <c r="Q19" s="17" t="s">
        <v>188</v>
      </c>
      <c r="R19" s="17" t="s">
        <v>189</v>
      </c>
      <c r="S19" s="17" t="s">
        <v>190</v>
      </c>
      <c r="T19" s="17" t="s">
        <v>191</v>
      </c>
      <c r="U19" s="17" t="s">
        <v>192</v>
      </c>
      <c r="V19" s="18" t="s">
        <v>193</v>
      </c>
      <c r="X19" s="16" t="s">
        <v>379</v>
      </c>
      <c r="Y19" s="349" t="s">
        <v>220</v>
      </c>
      <c r="Z19" s="17" t="s">
        <v>221</v>
      </c>
      <c r="AA19" s="17" t="s">
        <v>222</v>
      </c>
      <c r="AB19" s="17" t="s">
        <v>223</v>
      </c>
      <c r="AC19" s="17" t="s">
        <v>224</v>
      </c>
      <c r="AD19" s="18" t="s">
        <v>225</v>
      </c>
      <c r="AF19" s="28" t="s">
        <v>126</v>
      </c>
      <c r="AG19" s="29" t="s">
        <v>234</v>
      </c>
      <c r="AH19" s="30" t="s">
        <v>235</v>
      </c>
      <c r="AI19" s="30" t="s">
        <v>236</v>
      </c>
      <c r="AJ19" s="31" t="s">
        <v>237</v>
      </c>
    </row>
    <row r="20" spans="1:36" x14ac:dyDescent="0.25">
      <c r="A20" s="433"/>
      <c r="B20" s="13" t="s">
        <v>205</v>
      </c>
      <c r="C20" s="8">
        <f>SUMIF(Table122[PS],"=1",Table122[S-W])</f>
        <v>14</v>
      </c>
      <c r="D20" s="8">
        <f>SUMIF(Table122[PS],"=1",Table122[S-L])</f>
        <v>6</v>
      </c>
      <c r="E20" s="350">
        <f>SUMIF(Table122[PS],"=1",Table122[S-IP])</f>
        <v>155.33333333333334</v>
      </c>
      <c r="F20" s="12">
        <f>SUMIF(Table122[PS],"=1",Table122[S-H])</f>
        <v>148</v>
      </c>
      <c r="G20" s="12">
        <f>SUMIF(Table122[PS],"=1",Table122[S-R])</f>
        <v>56</v>
      </c>
      <c r="H20" s="12">
        <f>SUMIF(Table122[PS],"=1",Table122[S-ER])</f>
        <v>50</v>
      </c>
      <c r="I20" s="12">
        <f>SUMIF(Table122[PS],"=1",Table122[S-BB])</f>
        <v>53</v>
      </c>
      <c r="J20" s="12">
        <f>SUMIF(Table122[PS],"=1",Table122[S-SO])</f>
        <v>147</v>
      </c>
      <c r="K20" s="12">
        <f>SUMIF(Table122[PS],"=1",Table122[S-HR])</f>
        <v>9</v>
      </c>
      <c r="L20" s="19">
        <f t="shared" ref="L20:L34" si="3">((H20/E20)*9)</f>
        <v>2.8969957081545061</v>
      </c>
      <c r="N20" s="13">
        <v>1</v>
      </c>
      <c r="O20" s="9" t="str">
        <f>INDEX(Table122[Starter1],MODE(MATCH(Table122[Starter1],Table122[Starter1],0)))</f>
        <v>Jennings, D</v>
      </c>
      <c r="P20" s="7">
        <f>COUNTIF(Table122[Starter1], INDEX(Table122[Starter1],MODE(MATCH(Table122[Starter1],Table122[Starter1],0))))</f>
        <v>80</v>
      </c>
      <c r="Q20" s="10">
        <f>SUBTOTAL(109,Table122[R1])</f>
        <v>107</v>
      </c>
      <c r="R20" s="7">
        <f>SUBTOTAL(109,Table122[RBI1])</f>
        <v>47</v>
      </c>
      <c r="S20" s="11">
        <f>((SUM(Table122[H1]))/(SUM(Table122[AB1])))</f>
        <v>0.25950413223140495</v>
      </c>
      <c r="T20" s="11">
        <f>((SUM(Table122[H1],Table122[BB1],Table122[HBP1]))/(SUM(Table122[AB1],Table122[BB1],Table122[HBP1],Table122[SF1])))</f>
        <v>0.33726067746686306</v>
      </c>
      <c r="U20" s="11">
        <f>((SUM(Table122[TB1]))/(SUM(Table122[AB1])))</f>
        <v>0.35206611570247937</v>
      </c>
      <c r="V20" s="22">
        <f t="shared" ref="V20:V29" si="4">(SUM((1.8*(T20)),U20)/4)</f>
        <v>0.23978383378570822</v>
      </c>
      <c r="X20" s="13" t="s">
        <v>218</v>
      </c>
      <c r="Y20" s="350">
        <f>SUM(Table122[IVL])</f>
        <v>322.99999999999994</v>
      </c>
      <c r="Z20" s="8">
        <f>SUM(Table122[SVL])</f>
        <v>31</v>
      </c>
      <c r="AA20" s="8">
        <f>SUM(Table122[SVL],Table122[CVL])</f>
        <v>42</v>
      </c>
      <c r="AB20" s="11">
        <f>(Z20/AA20)</f>
        <v>0.73809523809523814</v>
      </c>
      <c r="AC20" s="11">
        <f>((Z20/Y20)*9)</f>
        <v>0.86377708978328183</v>
      </c>
      <c r="AD20" s="22">
        <f>((AA20/Y20)*9)</f>
        <v>1.170278637770898</v>
      </c>
      <c r="AF20" s="26" t="s">
        <v>238</v>
      </c>
      <c r="AG20" s="8">
        <f>COUNTIF(Table122[Loc],"=H")</f>
        <v>72</v>
      </c>
      <c r="AH20" s="12">
        <f>AVERAGEIF(Table122[Loc],"=H",Table122[Att])</f>
        <v>7043.2816901408451</v>
      </c>
      <c r="AI20" s="12">
        <f>SUMIF(Table122[Loc],"=H",Table122[Att])</f>
        <v>500073</v>
      </c>
      <c r="AJ20" s="27">
        <f>AH20*72</f>
        <v>507116.28169014084</v>
      </c>
    </row>
    <row r="21" spans="1:36" x14ac:dyDescent="0.25">
      <c r="A21" s="433"/>
      <c r="B21" s="13" t="s">
        <v>206</v>
      </c>
      <c r="C21" s="8">
        <f>SUMIF(Table122[PS],"=1",Table122[B-W])</f>
        <v>7</v>
      </c>
      <c r="D21" s="8">
        <f>SUMIF(Table122[PS],"=1",Table122[B-L])</f>
        <v>2</v>
      </c>
      <c r="E21" s="350">
        <f>SUMIF(Table122[PS],"=1",Table122[B-IP])</f>
        <v>104.33333333333334</v>
      </c>
      <c r="F21" s="12">
        <f>SUMIF(Table122[PS],"=1",Table122[B-H])</f>
        <v>99</v>
      </c>
      <c r="G21" s="12">
        <f>SUMIF(Table122[PS],"=1",Table122[B-R])</f>
        <v>34</v>
      </c>
      <c r="H21" s="12">
        <f>SUMIF(Table122[PS],"=1",Table122[B-ER])</f>
        <v>28</v>
      </c>
      <c r="I21" s="12">
        <f>SUMIF(Table122[PS],"=1",Table122[B-BB])</f>
        <v>32</v>
      </c>
      <c r="J21" s="12">
        <f>SUMIF(Table122[PS],"=1",Table122[B-SO])</f>
        <v>94</v>
      </c>
      <c r="K21" s="12">
        <f>SUMIF(Table122[PS],"=1",Table122[B-HR])</f>
        <v>8</v>
      </c>
      <c r="L21" s="19">
        <f t="shared" si="3"/>
        <v>2.4153354632587858</v>
      </c>
      <c r="N21" s="13">
        <v>2</v>
      </c>
      <c r="O21" s="9" t="str">
        <f>INDEX(Table122[Starter2],MODE(MATCH(Table122[Starter2],Table122[Starter2],0)))</f>
        <v>Johnson, E</v>
      </c>
      <c r="P21" s="7">
        <f>COUNTIF(Table122[Starter2], INDEX(Table122[Starter2],MODE(MATCH(Table122[Starter2],Table122[Starter2],0))))</f>
        <v>70</v>
      </c>
      <c r="Q21" s="7">
        <f>SUBTOTAL(109,Table122[R2])</f>
        <v>102</v>
      </c>
      <c r="R21" s="7">
        <f>SUBTOTAL(109,Table122[RBI2])</f>
        <v>70</v>
      </c>
      <c r="S21" s="11">
        <f>((SUM(Table122[H2]))/(SUM(Table122[AB2])))</f>
        <v>0.30360205831903947</v>
      </c>
      <c r="T21" s="11">
        <f>((SUM(Table122[H2],Table122[BB2],Table122[HBP2]))/(SUM(Table122[AB2],Table122[BB2],Table122[HBP2],Table122[SF2])))</f>
        <v>0.37019969278033793</v>
      </c>
      <c r="U21" s="11">
        <f>((SUM(Table122[TB2]))/(SUM(Table122[AB2])))</f>
        <v>0.451114922813036</v>
      </c>
      <c r="V21" s="22">
        <f t="shared" si="4"/>
        <v>0.27936859245441104</v>
      </c>
      <c r="X21" s="13" t="s">
        <v>219</v>
      </c>
      <c r="Y21" s="350">
        <f>SUM(Table122[IVR])</f>
        <v>927.3333333333336</v>
      </c>
      <c r="Z21" s="8">
        <f>SUM(Table122[SVR])</f>
        <v>119</v>
      </c>
      <c r="AA21" s="8">
        <f>SUM(Table122[SVR],Table122[CVR])</f>
        <v>145</v>
      </c>
      <c r="AB21" s="11">
        <f>(Z21/AA21)</f>
        <v>0.82068965517241377</v>
      </c>
      <c r="AC21" s="11">
        <f>((Z21/Y21)*9)</f>
        <v>1.1549245147375984</v>
      </c>
      <c r="AD21" s="22">
        <f>((AA21/Y21)*9)</f>
        <v>1.4072609633357294</v>
      </c>
      <c r="AF21" s="26" t="s">
        <v>239</v>
      </c>
      <c r="AG21" s="8">
        <f>COUNTIF(Table122[Loc],"=A")</f>
        <v>71</v>
      </c>
      <c r="AH21" s="12">
        <f>AVERAGEIF(Table122[Loc],"=A",Table122[Att])</f>
        <v>6123.2</v>
      </c>
      <c r="AI21" s="12">
        <f>SUMIF(Table122[Loc],"=A",Table122[Att])</f>
        <v>428624</v>
      </c>
      <c r="AJ21" s="27">
        <f>AH21*72</f>
        <v>440870.39999999997</v>
      </c>
    </row>
    <row r="22" spans="1:36" x14ac:dyDescent="0.25">
      <c r="A22" s="433"/>
      <c r="B22" s="13" t="s">
        <v>207</v>
      </c>
      <c r="C22" s="8">
        <f>SUMIF(Table122[PS],"=2",Table122[S-W])</f>
        <v>12</v>
      </c>
      <c r="D22" s="8">
        <f>SUMIF(Table122[PS],"=2",Table122[S-L])</f>
        <v>8</v>
      </c>
      <c r="E22" s="350">
        <f>SUMIF(Table122[PS],"=2",Table122[S-IP])</f>
        <v>172.33333333333337</v>
      </c>
      <c r="F22" s="12">
        <f>SUMIF(Table122[PS],"=2",Table122[S-H])</f>
        <v>160</v>
      </c>
      <c r="G22" s="12">
        <f>SUMIF(Table122[PS],"=2",Table122[S-R])</f>
        <v>84</v>
      </c>
      <c r="H22" s="12">
        <f>SUMIF(Table122[PS],"=2",Table122[S-ER])</f>
        <v>78</v>
      </c>
      <c r="I22" s="12">
        <f>SUMIF(Table122[PS],"=2",Table122[S-BB])</f>
        <v>45</v>
      </c>
      <c r="J22" s="12">
        <f>SUMIF(Table122[PS],"=2",Table122[S-SO])</f>
        <v>107</v>
      </c>
      <c r="K22" s="12">
        <f>SUMIF(Table122[PS],"=2",Table122[S-HR])</f>
        <v>18</v>
      </c>
      <c r="L22" s="19">
        <f t="shared" si="3"/>
        <v>4.0735009671179876</v>
      </c>
      <c r="N22" s="13">
        <v>3</v>
      </c>
      <c r="O22" s="9" t="str">
        <f>INDEX(Table122[Starter3],MODE(MATCH(Table122[Starter3],Table122[Starter3],0)))</f>
        <v>Ruggiano, J</v>
      </c>
      <c r="P22" s="7">
        <f>COUNTIF(Table122[Starter3], INDEX(Table122[Starter3],MODE(MATCH(Table122[Starter3],Table122[Starter3],0))))</f>
        <v>92</v>
      </c>
      <c r="Q22" s="7">
        <f>SUBTOTAL(109,Table122[R3])</f>
        <v>100</v>
      </c>
      <c r="R22" s="7">
        <f>SUBTOTAL(109,Table122[RBI3])</f>
        <v>96</v>
      </c>
      <c r="S22" s="11">
        <f>((SUM(Table122[H3]))/(SUM(Table122[AB3])))</f>
        <v>0.28970331588132636</v>
      </c>
      <c r="T22" s="11">
        <f>((SUM(Table122[H3],Table122[BB3],Table122[HBP3]))/(SUM(Table122[AB3],Table122[BB3],Table122[HBP3],Table122[SF3])))</f>
        <v>0.37423312883435583</v>
      </c>
      <c r="U22" s="11">
        <f>((SUM(Table122[TB3]))/(SUM(Table122[AB3])))</f>
        <v>0.48167539267015708</v>
      </c>
      <c r="V22" s="22">
        <f t="shared" si="4"/>
        <v>0.28882375614299938</v>
      </c>
      <c r="X22" s="14" t="s">
        <v>194</v>
      </c>
      <c r="Y22" s="351">
        <f>SUM(Table122[IVL],Table122[IVR])</f>
        <v>1250.3333333333333</v>
      </c>
      <c r="Z22" s="20">
        <f>SUM(Table122[SVL],Table122[SVR])</f>
        <v>150</v>
      </c>
      <c r="AA22" s="20">
        <f>SUM(Table122[SVL],Table122[CVL],Table122[SVR],Table122[CVR])</f>
        <v>187</v>
      </c>
      <c r="AB22" s="24">
        <f>(Z22/AA22)</f>
        <v>0.80213903743315507</v>
      </c>
      <c r="AC22" s="24">
        <f>((Z22/Y22)*9)</f>
        <v>1.0797120767795256</v>
      </c>
      <c r="AD22" s="25">
        <f>((AA22/Y22)*9)</f>
        <v>1.3460410557184752</v>
      </c>
      <c r="AF22" s="32" t="s">
        <v>34</v>
      </c>
      <c r="AG22" s="20">
        <f>COUNT(Table122[Date])</f>
        <v>143</v>
      </c>
      <c r="AH22" s="33">
        <f>AVERAGE(Table122[Att])</f>
        <v>6586.5035460992904</v>
      </c>
      <c r="AI22" s="33">
        <f>SUM(Table122[Att])</f>
        <v>928697</v>
      </c>
      <c r="AJ22" s="34">
        <f>AH22*144</f>
        <v>948456.51063829777</v>
      </c>
    </row>
    <row r="23" spans="1:36" x14ac:dyDescent="0.25">
      <c r="A23" s="433"/>
      <c r="B23" s="13" t="s">
        <v>208</v>
      </c>
      <c r="C23" s="8">
        <f>SUMIF(Table122[PS],"=2",Table122[B-W])</f>
        <v>8</v>
      </c>
      <c r="D23" s="8">
        <f>SUMIF(Table122[PS],"=2",Table122[B-L])</f>
        <v>2</v>
      </c>
      <c r="E23" s="350">
        <f>SUMIF(Table122[PS],"=2",Table122[B-IP])</f>
        <v>94.333333333333343</v>
      </c>
      <c r="F23" s="12">
        <f>SUMIF(Table122[PS],"=2",Table122[B-H])</f>
        <v>82</v>
      </c>
      <c r="G23" s="12">
        <f>SUMIF(Table122[PS],"=2",Table122[B-R])</f>
        <v>30</v>
      </c>
      <c r="H23" s="12">
        <f>SUMIF(Table122[PS],"=2",Table122[B-ER])</f>
        <v>30</v>
      </c>
      <c r="I23" s="12">
        <f>SUMIF(Table122[PS],"=2",Table122[B-BB])</f>
        <v>31</v>
      </c>
      <c r="J23" s="12">
        <f>SUMIF(Table122[PS],"=2",Table122[B-SO])</f>
        <v>95</v>
      </c>
      <c r="K23" s="12">
        <f>SUMIF(Table122[PS],"=2",Table122[B-HR])</f>
        <v>4</v>
      </c>
      <c r="L23" s="19">
        <f t="shared" si="3"/>
        <v>2.862190812720848</v>
      </c>
      <c r="N23" s="13">
        <v>4</v>
      </c>
      <c r="O23" s="9" t="str">
        <f>INDEX(Table122[Starter4],MODE(MATCH(Table122[Starter4],Table122[Starter4],0)))</f>
        <v>Johnson, D</v>
      </c>
      <c r="P23" s="7">
        <f>COUNTIF(Table122[Starter4], INDEX(Table122[Starter4],MODE(MATCH(Table122[Starter4],Table122[Starter4],0))))</f>
        <v>70</v>
      </c>
      <c r="Q23" s="7">
        <f>SUBTOTAL(109,Table122[R4])</f>
        <v>91</v>
      </c>
      <c r="R23" s="7">
        <f>SUBTOTAL(109,Table122[RBI4])</f>
        <v>131</v>
      </c>
      <c r="S23" s="11">
        <f>((SUM(Table122[H4]))/(SUM(Table122[AB4])))</f>
        <v>0.29904761904761906</v>
      </c>
      <c r="T23" s="11">
        <f>((SUM(Table122[H4],Table122[BB4],Table122[HBP4]))/(SUM(Table122[AB4],Table122[BB4],Table122[HBP4],Table122[SF4])))</f>
        <v>0.40723270440251574</v>
      </c>
      <c r="U23" s="11">
        <f>((SUM(Table122[TB4]))/(SUM(Table122[AB4])))</f>
        <v>0.55428571428571427</v>
      </c>
      <c r="V23" s="22">
        <f t="shared" si="4"/>
        <v>0.32182614555256062</v>
      </c>
    </row>
    <row r="24" spans="1:36" x14ac:dyDescent="0.25">
      <c r="A24" s="433"/>
      <c r="B24" s="13" t="s">
        <v>209</v>
      </c>
      <c r="C24" s="8">
        <f>SUMIF(Table122[PS],"=3",Table122[S-W])</f>
        <v>8</v>
      </c>
      <c r="D24" s="8">
        <f>SUMIF(Table122[PS],"=3",Table122[S-L])</f>
        <v>10</v>
      </c>
      <c r="E24" s="350">
        <f>SUMIF(Table122[PS],"=3",Table122[S-IP])</f>
        <v>140.66666666666666</v>
      </c>
      <c r="F24" s="12">
        <f>SUMIF(Table122[PS],"=3",Table122[S-H])</f>
        <v>151</v>
      </c>
      <c r="G24" s="12">
        <f>SUMIF(Table122[PS],"=3",Table122[S-R])</f>
        <v>86</v>
      </c>
      <c r="H24" s="12">
        <f>SUMIF(Table122[PS],"=3",Table122[S-ER])</f>
        <v>80</v>
      </c>
      <c r="I24" s="12">
        <f>SUMIF(Table122[PS],"=3",Table122[S-BB])</f>
        <v>61</v>
      </c>
      <c r="J24" s="12">
        <f>SUMIF(Table122[PS],"=3",Table122[S-SO])</f>
        <v>87</v>
      </c>
      <c r="K24" s="12">
        <f>SUMIF(Table122[PS],"=3",Table122[S-HR])</f>
        <v>20</v>
      </c>
      <c r="L24" s="19">
        <f t="shared" si="3"/>
        <v>5.1184834123222744</v>
      </c>
      <c r="N24" s="13">
        <v>5</v>
      </c>
      <c r="O24" s="9" t="str">
        <f>INDEX(Table122[Starter5],MODE(MATCH(Table122[Starter5],Table122[Starter5],0)))</f>
        <v>Dillon, J</v>
      </c>
      <c r="P24" s="7">
        <f>COUNTIF(Table122[Starter5], INDEX(Table122[Starter5],MODE(MATCH(Table122[Starter5],Table122[Starter5],0))))</f>
        <v>52</v>
      </c>
      <c r="Q24" s="7">
        <f>SUBTOTAL(109,Table122[R5])</f>
        <v>94</v>
      </c>
      <c r="R24" s="7">
        <f>SUBTOTAL(109,Table122[RBI5])</f>
        <v>80</v>
      </c>
      <c r="S24" s="11">
        <f>((SUM(Table122[H5]))/(SUM(Table122[AB5])))</f>
        <v>0.28856624319419238</v>
      </c>
      <c r="T24" s="11">
        <f>((SUM(Table122[H5],Table122[BB5],Table122[HBP5]))/(SUM(Table122[AB5],Table122[BB5],Table122[HBP5],Table122[SF5])))</f>
        <v>0.36057692307692307</v>
      </c>
      <c r="U24" s="11">
        <f>((SUM(Table122[TB5]))/(SUM(Table122[AB5])))</f>
        <v>0.4573502722323049</v>
      </c>
      <c r="V24" s="22">
        <f t="shared" si="4"/>
        <v>0.27659718344269163</v>
      </c>
    </row>
    <row r="25" spans="1:36" x14ac:dyDescent="0.25">
      <c r="A25" s="433"/>
      <c r="B25" s="13" t="s">
        <v>214</v>
      </c>
      <c r="C25" s="8">
        <f>SUMIF(Table122[PS],"=3",Table122[B-W])</f>
        <v>3</v>
      </c>
      <c r="D25" s="8">
        <f>SUMIF(Table122[PS],"=3",Table122[B-L])</f>
        <v>6</v>
      </c>
      <c r="E25" s="350">
        <f>SUMIF(Table122[PS],"=3",Table122[B-IP])</f>
        <v>98.666666666666657</v>
      </c>
      <c r="F25" s="12">
        <f>SUMIF(Table122[PS],"=3",Table122[B-H])</f>
        <v>100</v>
      </c>
      <c r="G25" s="12">
        <f>SUMIF(Table122[PS],"=3",Table122[B-R])</f>
        <v>49</v>
      </c>
      <c r="H25" s="12">
        <f>SUMIF(Table122[PS],"=3",Table122[B-ER])</f>
        <v>44</v>
      </c>
      <c r="I25" s="12">
        <f>SUMIF(Table122[PS],"=3",Table122[B-BB])</f>
        <v>43</v>
      </c>
      <c r="J25" s="12">
        <f>SUMIF(Table122[PS],"=3",Table122[B-SO])</f>
        <v>85</v>
      </c>
      <c r="K25" s="12">
        <f>SUMIF(Table122[PS],"=3",Table122[B-HR])</f>
        <v>5</v>
      </c>
      <c r="L25" s="19">
        <f t="shared" si="3"/>
        <v>4.013513513513514</v>
      </c>
      <c r="N25" s="13">
        <v>6</v>
      </c>
      <c r="O25" s="9" t="str">
        <f>INDEX(Table122[Starter6],MODE(MATCH(Table122[Starter6],Table122[Starter6],0)))</f>
        <v>Richard, C</v>
      </c>
      <c r="P25" s="7">
        <f>COUNTIF(Table122[Starter6], INDEX(Table122[Starter6],MODE(MATCH(Table122[Starter6],Table122[Starter6],0))))</f>
        <v>55</v>
      </c>
      <c r="Q25" s="7">
        <f>SUBTOTAL(109,Table122[R6])</f>
        <v>67</v>
      </c>
      <c r="R25" s="7">
        <f>SUBTOTAL(109,Table122[RBI6])</f>
        <v>74</v>
      </c>
      <c r="S25" s="11">
        <f>((SUM(Table122[H6]))/(SUM(Table122[AB6])))</f>
        <v>0.26851851851851855</v>
      </c>
      <c r="T25" s="11">
        <f>((SUM(Table122[H6],Table122[BB6],Table122[HBP6]))/(SUM(Table122[AB6],Table122[BB6],Table122[HBP6],Table122[SF6])))</f>
        <v>0.34323432343234322</v>
      </c>
      <c r="U25" s="11">
        <f>((SUM(Table122[TB6]))/(SUM(Table122[AB6])))</f>
        <v>0.4148148148148148</v>
      </c>
      <c r="V25" s="22">
        <f t="shared" si="4"/>
        <v>0.25815914924825817</v>
      </c>
    </row>
    <row r="26" spans="1:36" x14ac:dyDescent="0.25">
      <c r="A26" s="433"/>
      <c r="B26" s="13" t="s">
        <v>210</v>
      </c>
      <c r="C26" s="8">
        <f>SUMIF(Table122[PS],"=4",Table122[S-W])</f>
        <v>12</v>
      </c>
      <c r="D26" s="8">
        <f>SUMIF(Table122[PS],"=4",Table122[S-L])</f>
        <v>6</v>
      </c>
      <c r="E26" s="350">
        <f>SUMIF(Table122[PS],"=4",Table122[S-IP])</f>
        <v>147.66666666666666</v>
      </c>
      <c r="F26" s="12">
        <f>SUMIF(Table122[PS],"=4",Table122[S-H])</f>
        <v>154</v>
      </c>
      <c r="G26" s="12">
        <f>SUMIF(Table122[PS],"=4",Table122[S-R])</f>
        <v>71</v>
      </c>
      <c r="H26" s="12">
        <f>SUMIF(Table122[PS],"=4",Table122[S-ER])</f>
        <v>63</v>
      </c>
      <c r="I26" s="12">
        <f>SUMIF(Table122[PS],"=4",Table122[S-BB])</f>
        <v>46</v>
      </c>
      <c r="J26" s="12">
        <f>SUMIF(Table122[PS],"=4",Table122[S-SO])</f>
        <v>87</v>
      </c>
      <c r="K26" s="12">
        <f>SUMIF(Table122[PS],"=4",Table122[S-HR])</f>
        <v>13</v>
      </c>
      <c r="L26" s="19">
        <f t="shared" si="3"/>
        <v>3.8397291196388266</v>
      </c>
      <c r="N26" s="13">
        <v>7</v>
      </c>
      <c r="O26" s="9" t="str">
        <f>INDEX(Table122[Starter7],MODE(MATCH(Table122[Starter7],Table122[Starter7],0)))</f>
        <v>Chavez, An</v>
      </c>
      <c r="P26" s="7">
        <f>COUNTIF(Table122[Starter7], INDEX(Table122[Starter7],MODE(MATCH(Table122[Starter7],Table122[Starter7],0))))</f>
        <v>51</v>
      </c>
      <c r="Q26" s="7">
        <f>SUBTOTAL(109,Table122[R7])</f>
        <v>74</v>
      </c>
      <c r="R26" s="7">
        <f>SUBTOTAL(109,Table122[RBI7])</f>
        <v>80</v>
      </c>
      <c r="S26" s="11">
        <f>((SUM(Table122[H7]))/(SUM(Table122[AB7])))</f>
        <v>0.2673076923076923</v>
      </c>
      <c r="T26" s="11">
        <f>((SUM(Table122[H7],Table122[BB7],Table122[HBP7]))/(SUM(Table122[AB7],Table122[BB7],Table122[HBP7],Table122[SF7])))</f>
        <v>0.34241908006814309</v>
      </c>
      <c r="U26" s="11">
        <f>((SUM(Table122[TB7]))/(SUM(Table122[AB7])))</f>
        <v>0.41153846153846152</v>
      </c>
      <c r="V26" s="22">
        <f t="shared" si="4"/>
        <v>0.25697320141527979</v>
      </c>
    </row>
    <row r="27" spans="1:36" x14ac:dyDescent="0.25">
      <c r="A27" s="433"/>
      <c r="B27" s="13" t="s">
        <v>215</v>
      </c>
      <c r="C27" s="8">
        <f>SUMIF(Table122[PS],"=4",Table122[B-W])</f>
        <v>8</v>
      </c>
      <c r="D27" s="8">
        <f>SUMIF(Table122[PS],"=4",Table122[B-L])</f>
        <v>1</v>
      </c>
      <c r="E27" s="350">
        <f>SUMIF(Table122[PS],"=4",Table122[B-IP])</f>
        <v>95.333333333333329</v>
      </c>
      <c r="F27" s="12">
        <f>SUMIF(Table122[PS],"=4",Table122[B-H])</f>
        <v>74</v>
      </c>
      <c r="G27" s="12">
        <f>SUMIF(Table122[PS],"=4",Table122[B-R])</f>
        <v>19</v>
      </c>
      <c r="H27" s="12">
        <f>SUMIF(Table122[PS],"=4",Table122[B-ER])</f>
        <v>15</v>
      </c>
      <c r="I27" s="12">
        <f>SUMIF(Table122[PS],"=4",Table122[B-BB])</f>
        <v>34</v>
      </c>
      <c r="J27" s="12">
        <f>SUMIF(Table122[PS],"=4",Table122[B-SO])</f>
        <v>107</v>
      </c>
      <c r="K27" s="12">
        <f>SUMIF(Table122[PS],"=4",Table122[B-HR])</f>
        <v>5</v>
      </c>
      <c r="L27" s="19">
        <f t="shared" si="3"/>
        <v>1.416083916083916</v>
      </c>
      <c r="N27" s="13">
        <v>8</v>
      </c>
      <c r="O27" s="9" t="str">
        <f>INDEX(Table122[Starter8],MODE(MATCH(Table122[Starter8],Table122[Starter8],0)))</f>
        <v>Chavez, An</v>
      </c>
      <c r="P27" s="7">
        <f>COUNTIF(Table122[Starter8], INDEX(Table122[Starter8],MODE(MATCH(Table122[Starter8],Table122[Starter8],0))))</f>
        <v>38</v>
      </c>
      <c r="Q27" s="7">
        <f>SUBTOTAL(109,Table122[R8])</f>
        <v>64</v>
      </c>
      <c r="R27" s="7">
        <f>SUBTOTAL(109,Table122[RBI8])</f>
        <v>76</v>
      </c>
      <c r="S27" s="11">
        <f>((SUM(Table122[H8]))/(SUM(Table122[AB8])))</f>
        <v>0.26162790697674421</v>
      </c>
      <c r="T27" s="11">
        <f>((SUM(Table122[H8],Table122[BB8],Table122[HBP8]))/(SUM(Table122[AB8],Table122[BB8],Table122[HBP8],Table122[SF8])))</f>
        <v>0.32984293193717279</v>
      </c>
      <c r="U27" s="11">
        <f>((SUM(Table122[TB8]))/(SUM(Table122[AB8])))</f>
        <v>0.42441860465116277</v>
      </c>
      <c r="V27" s="22">
        <f t="shared" si="4"/>
        <v>0.25453397053451843</v>
      </c>
    </row>
    <row r="28" spans="1:36" x14ac:dyDescent="0.25">
      <c r="A28" s="433"/>
      <c r="B28" s="13" t="s">
        <v>211</v>
      </c>
      <c r="C28" s="8">
        <f>SUMIF(Table122[PS],"=5",Table122[S-W])</f>
        <v>8</v>
      </c>
      <c r="D28" s="8">
        <f>SUMIF(Table122[PS],"=5",Table122[S-L])</f>
        <v>6</v>
      </c>
      <c r="E28" s="350">
        <f>SUMIF(Table122[PS],"=5",Table122[S-IP])</f>
        <v>136.33333333333334</v>
      </c>
      <c r="F28" s="12">
        <f>SUMIF(Table122[PS],"=5",Table122[S-H])</f>
        <v>138</v>
      </c>
      <c r="G28" s="12">
        <f>SUMIF(Table122[PS],"=5",Table122[S-R])</f>
        <v>75</v>
      </c>
      <c r="H28" s="12">
        <f>SUMIF(Table122[PS],"=5",Table122[S-ER])</f>
        <v>63</v>
      </c>
      <c r="I28" s="12">
        <f>SUMIF(Table122[PS],"=5",Table122[S-BB])</f>
        <v>52</v>
      </c>
      <c r="J28" s="12">
        <f>SUMIF(Table122[PS],"=5",Table122[S-SO])</f>
        <v>126</v>
      </c>
      <c r="K28" s="12">
        <f>SUMIF(Table122[PS],"=5",Table122[S-HR])</f>
        <v>11</v>
      </c>
      <c r="L28" s="19">
        <f t="shared" si="3"/>
        <v>4.1589242053789732</v>
      </c>
      <c r="N28" s="13">
        <v>9</v>
      </c>
      <c r="O28" s="9" t="str">
        <f>INDEX(Table122[Starter9],MODE(MATCH(Table122[Starter9],Table122[Starter9],0)))</f>
        <v>Perez, F</v>
      </c>
      <c r="P28" s="7">
        <f>COUNTIF(Table122[Starter9], INDEX(Table122[Starter9],MODE(MATCH(Table122[Starter9],Table122[Starter9],0))))</f>
        <v>60</v>
      </c>
      <c r="Q28" s="7">
        <f>SUBTOTAL(109,Table122[R9])</f>
        <v>58</v>
      </c>
      <c r="R28" s="7">
        <f>SUBTOTAL(109,Table122[RBI9])</f>
        <v>45</v>
      </c>
      <c r="S28" s="11">
        <f>((SUM(Table122[H9]))/(SUM(Table122[AB9])))</f>
        <v>0.25196850393700787</v>
      </c>
      <c r="T28" s="11">
        <f>((SUM(Table122[H9],Table122[BB9],Table122[HBP9]))/(SUM(Table122[AB9],Table122[BB9],Table122[HBP9],Table122[SF9])))</f>
        <v>0.30418943533697634</v>
      </c>
      <c r="U28" s="11">
        <f>((SUM(Table122[TB9]))/(SUM(Table122[AB9])))</f>
        <v>0.32874015748031499</v>
      </c>
      <c r="V28" s="22">
        <f t="shared" si="4"/>
        <v>0.21907028527171812</v>
      </c>
    </row>
    <row r="29" spans="1:36" x14ac:dyDescent="0.25">
      <c r="A29" s="433"/>
      <c r="B29" s="13" t="s">
        <v>216</v>
      </c>
      <c r="C29" s="8">
        <f>SUMIF(Table122[PS],"=5",Table122[B-W])</f>
        <v>7</v>
      </c>
      <c r="D29" s="8">
        <f>SUMIF(Table122[PS],"=5",Table122[B-L])</f>
        <v>7</v>
      </c>
      <c r="E29" s="350">
        <f>SUMIF(Table122[PS],"=5",Table122[B-IP])</f>
        <v>109</v>
      </c>
      <c r="F29" s="12">
        <f>SUMIF(Table122[PS],"=5",Table122[B-H])</f>
        <v>89</v>
      </c>
      <c r="G29" s="12">
        <f>SUMIF(Table122[PS],"=5",Table122[B-R])</f>
        <v>48</v>
      </c>
      <c r="H29" s="12">
        <f>SUMIF(Table122[PS],"=5",Table122[B-ER])</f>
        <v>43</v>
      </c>
      <c r="I29" s="12">
        <f>SUMIF(Table122[PS],"=5",Table122[B-BB])</f>
        <v>42</v>
      </c>
      <c r="J29" s="12">
        <f>SUMIF(Table122[PS],"=5",Table122[B-SO])</f>
        <v>102</v>
      </c>
      <c r="K29" s="12">
        <f>SUMIF(Table122[PS],"=5",Table122[B-HR])</f>
        <v>10</v>
      </c>
      <c r="L29" s="19">
        <f t="shared" si="3"/>
        <v>3.5504587155963305</v>
      </c>
      <c r="N29" s="40" t="s">
        <v>194</v>
      </c>
      <c r="O29" s="23"/>
      <c r="P29" s="15">
        <f>SUBTOTAL(103,Table122[Date])</f>
        <v>143</v>
      </c>
      <c r="Q29" s="15">
        <f>SUM(Table122[R1],Table122[R2],Table122[R3],Table122[R4],Table122[R5],Table122[R6],Table122[R7],Table122[R8],Table122[R9])</f>
        <v>757</v>
      </c>
      <c r="R29" s="15">
        <f>SUM(Table122[RBI1],Table122[RBI2],Table122[RBI3],Table122[RBI4],Table122[RBI5],Table122[RBI6],Table122[RBI7],Table122[RBI8],Table122[RBI9])</f>
        <v>699</v>
      </c>
      <c r="S29" s="24">
        <f>((SUM(Table122[H1],Table122[H2],Table122[H3],Table122[H4],Table122[H5],Table122[H6],Table122[H7],Table122[H8],Table122[H9]))/(SUM(Table122[AB1],Table122[AB2],Table122[AB3],Table122[AB4],Table122[AB5],Table122[AB6],Table122[AB7],Table122[AB8],Table122[AB9])))</f>
        <v>0.27697622434464542</v>
      </c>
      <c r="T29" s="24">
        <f>((SUM(Table122[H1],Table122[BB1],Table122[HBP1],Table122[H2],Table122[BB2],Table122[HBP2],Table122[H3],Table122[BB3],Table122[HBP3],Table122[H4],Table122[BB4],Table122[HBP4],Table122[H5],Table122[BB5],Table122[HBP5],Table122[H6],Table122[BB6],Table122[HBP6],Table122[H7],Table122[BB7],Table122[HBP7],Table122[H8],Table122[BB8],Table122[HBP8],Table122[H9],Table122[BB9],Table122[HBP9]))/(SUM(Table122[AB1],Table122[BB1],Table122[HBP1],Table122[SF1],Table122[AB2],Table122[BB2],Table122[HBP2],Table122[SF2],Table122[AB3],Table122[BB3],Table122[HBP3],Table122[SF3],Table122[AB4],Table122[BB4],Table122[HBP4],Table122[SF4],Table122[AB5],Table122[BB5],Table122[HBP5],Table122[SF5],Table122[AB6],Table122[BB6],Table122[HBP6],Table122[SF6],Table122[AB7],Table122[BB7],Table122[HBP7],Table122[SF7],Table122[AB8],Table122[BB8],Table122[HBP8],Table122[SF8],Table122[AB9],Table122[BB9],Table122[HBP9],Table122[SF9])))</f>
        <v>0.35324815547957533</v>
      </c>
      <c r="U29" s="24">
        <f>((SUM(Table122[TB1],Table122[TB2],Table122[TB3],Table122[TB4],Table122[TB5],Table122[TB6],Table122[TB7],Table122[TB8],Table122[TB9]))/(SUM(Table122[AB1],Table122[AB2],Table122[AB3],Table122[AB4],Table122[AB5],Table122[AB6],Table122[AB7],Table122[AB8],Table122[AB9])))</f>
        <v>0.43060353586669375</v>
      </c>
      <c r="V29" s="25">
        <f t="shared" si="4"/>
        <v>0.26661255393248234</v>
      </c>
    </row>
    <row r="30" spans="1:36" x14ac:dyDescent="0.25">
      <c r="A30" s="433"/>
      <c r="B30" s="13" t="s">
        <v>528</v>
      </c>
      <c r="C30" s="8">
        <f>SUMIF(Table122[PS],"=S",Table122[S-W])</f>
        <v>0</v>
      </c>
      <c r="D30" s="8">
        <f>SUMIF(Table122[PS],"=S",Table122[S-L])</f>
        <v>1</v>
      </c>
      <c r="E30" s="350">
        <f>SUMIF(Table122[PS],"=S",Table122[S-IP])</f>
        <v>6</v>
      </c>
      <c r="F30" s="12">
        <f>SUMIF(Table122[PS],"=S",Table122[S-H])</f>
        <v>14</v>
      </c>
      <c r="G30" s="12">
        <f>SUMIF(Table122[PS],"=S",Table122[S-R])</f>
        <v>8</v>
      </c>
      <c r="H30" s="12">
        <f>SUMIF(Table122[PS],"=S",Table122[S-ER])</f>
        <v>8</v>
      </c>
      <c r="I30" s="12">
        <f>SUMIF(Table122[PS],"=S",Table122[S-BB])</f>
        <v>2</v>
      </c>
      <c r="J30" s="12">
        <f>SUMIF(Table122[PS],"=S",Table122[S-SO])</f>
        <v>6</v>
      </c>
      <c r="K30" s="12">
        <f>SUMIF(Table122[PS],"=S",Table122[S-HR])</f>
        <v>0</v>
      </c>
      <c r="L30" s="19">
        <f>((H30/E30)*9)</f>
        <v>12</v>
      </c>
      <c r="N30" s="169"/>
      <c r="O30" s="169"/>
      <c r="P30" s="170"/>
      <c r="Q30" s="170"/>
      <c r="R30" s="170"/>
      <c r="S30" s="171"/>
      <c r="T30" s="171"/>
      <c r="U30" s="171"/>
      <c r="V30" s="171"/>
    </row>
    <row r="31" spans="1:36" x14ac:dyDescent="0.25">
      <c r="A31" s="433"/>
      <c r="B31" s="13" t="s">
        <v>20</v>
      </c>
      <c r="C31" s="8">
        <f>SUMIF(Table122[PS],"=S",Table122[B-W])</f>
        <v>1</v>
      </c>
      <c r="D31" s="8">
        <f>SUMIF(Table122[PS],"=S",Table122[B-L])</f>
        <v>0</v>
      </c>
      <c r="E31" s="350">
        <f>SUMIF(Table122[PS],"=S",Table122[B-IP])</f>
        <v>9</v>
      </c>
      <c r="F31" s="12">
        <f>SUMIF(Table122[PS],"=S",Table122[B-H])</f>
        <v>7</v>
      </c>
      <c r="G31" s="12">
        <f>SUMIF(Table122[PS],"=S",Table122[B-R])</f>
        <v>2</v>
      </c>
      <c r="H31" s="12">
        <f>SUMIF(Table122[PS],"=S",Table122[B-ER])</f>
        <v>2</v>
      </c>
      <c r="I31" s="12">
        <f>SUMIF(Table122[PS],"=S",Table122[B-BB])</f>
        <v>4</v>
      </c>
      <c r="J31" s="12">
        <f>SUMIF(Table122[PS],"=S",Table122[B-SO])</f>
        <v>8</v>
      </c>
      <c r="K31" s="12">
        <f>SUMIF(Table122[PS],"=S",Table122[B-HR])</f>
        <v>1</v>
      </c>
      <c r="L31" s="19">
        <f>((H31/E31)*9)</f>
        <v>2</v>
      </c>
      <c r="N31" s="169"/>
      <c r="O31" s="169"/>
      <c r="P31" s="170"/>
      <c r="Q31" s="170"/>
      <c r="R31" s="170"/>
      <c r="S31" s="171"/>
      <c r="T31" s="171"/>
      <c r="U31" s="171"/>
      <c r="V31" s="171"/>
    </row>
    <row r="32" spans="1:36" x14ac:dyDescent="0.25">
      <c r="A32" s="433"/>
      <c r="B32" s="13" t="s">
        <v>212</v>
      </c>
      <c r="C32" s="8">
        <f>SUM(Table122[S-W])</f>
        <v>54</v>
      </c>
      <c r="D32" s="8">
        <f>SUM(Table122[S-L])</f>
        <v>37</v>
      </c>
      <c r="E32" s="350">
        <f>SUM(Table122[S-IP])</f>
        <v>758.33333333333326</v>
      </c>
      <c r="F32" s="12">
        <f>SUM(Table122[S-H])</f>
        <v>765</v>
      </c>
      <c r="G32" s="12">
        <f>SUM(Table122[S-R])</f>
        <v>380</v>
      </c>
      <c r="H32" s="12">
        <f>SUM(Table122[S-ER])</f>
        <v>342</v>
      </c>
      <c r="I32" s="12">
        <f>SUM(Table122[S-BB])</f>
        <v>259</v>
      </c>
      <c r="J32" s="12">
        <f>SUM(Table122[S-SO])</f>
        <v>560</v>
      </c>
      <c r="K32" s="12">
        <f>SUM(Table122[S-HR])</f>
        <v>71</v>
      </c>
      <c r="L32" s="19">
        <f t="shared" si="3"/>
        <v>4.0589010989010994</v>
      </c>
    </row>
    <row r="33" spans="1:36" x14ac:dyDescent="0.25">
      <c r="A33" s="433"/>
      <c r="B33" s="13" t="s">
        <v>213</v>
      </c>
      <c r="C33" s="8">
        <f>SUM(Table122[B-W])</f>
        <v>34</v>
      </c>
      <c r="D33" s="8">
        <f>SUM(Table122[B-L])</f>
        <v>18</v>
      </c>
      <c r="E33" s="350">
        <f>SUM(Table122[B-IP])</f>
        <v>510.66666666666669</v>
      </c>
      <c r="F33" s="12">
        <f>SUM(Table122[B-H])</f>
        <v>451</v>
      </c>
      <c r="G33" s="12">
        <f>SUM(Table122[B-R])</f>
        <v>182</v>
      </c>
      <c r="H33" s="12">
        <f>SUM(Table122[B-ER])</f>
        <v>162</v>
      </c>
      <c r="I33" s="12">
        <f>SUM(Table122[B-BB])</f>
        <v>186</v>
      </c>
      <c r="J33" s="12">
        <f>SUM(Table122[B-SO])</f>
        <v>491</v>
      </c>
      <c r="K33" s="12">
        <f>SUM(Table122[B-HR])</f>
        <v>33</v>
      </c>
      <c r="L33" s="19">
        <f t="shared" si="3"/>
        <v>2.8550913838120104</v>
      </c>
    </row>
    <row r="34" spans="1:36" x14ac:dyDescent="0.25">
      <c r="A34" s="433"/>
      <c r="B34" s="14" t="s">
        <v>194</v>
      </c>
      <c r="C34" s="20">
        <f>SUM(Table122[S-W],Table122[B-W])</f>
        <v>88</v>
      </c>
      <c r="D34" s="20">
        <f>SUM(Table122[S-L],Table122[B-L])</f>
        <v>55</v>
      </c>
      <c r="E34" s="351">
        <f>SUM(Table122[S-IP],Table122[B-IP])</f>
        <v>1269</v>
      </c>
      <c r="F34" s="33">
        <f>SUM(Table122[S-H],Table122[B-H])</f>
        <v>1216</v>
      </c>
      <c r="G34" s="33">
        <f>SUM(Table122[S-R],Table122[B-R])</f>
        <v>562</v>
      </c>
      <c r="H34" s="33">
        <f>SUM(Table122[S-ER],Table122[B-ER])</f>
        <v>504</v>
      </c>
      <c r="I34" s="33">
        <f>SUM(Table122[S-BB],Table122[B-BB])</f>
        <v>445</v>
      </c>
      <c r="J34" s="33">
        <f>SUM(Table122[S-SO],Table122[B-SO])</f>
        <v>1051</v>
      </c>
      <c r="K34" s="33">
        <f>SUM(Table122[S-HR],Table122[B-HR])</f>
        <v>104</v>
      </c>
      <c r="L34" s="21">
        <f t="shared" si="3"/>
        <v>3.5744680851063833</v>
      </c>
    </row>
    <row r="35" spans="1:36" s="52" customFormat="1" x14ac:dyDescent="0.25">
      <c r="B35" s="114"/>
      <c r="C35" s="115"/>
      <c r="D35" s="115"/>
      <c r="E35" s="354"/>
      <c r="F35" s="405"/>
      <c r="G35" s="405"/>
      <c r="H35" s="405"/>
      <c r="I35" s="405"/>
      <c r="J35" s="405"/>
      <c r="K35" s="405"/>
      <c r="L35" s="116"/>
      <c r="Y35" s="353"/>
    </row>
    <row r="36" spans="1:36" x14ac:dyDescent="0.25">
      <c r="A36" s="433" t="s">
        <v>374</v>
      </c>
      <c r="B36" s="16" t="s">
        <v>198</v>
      </c>
      <c r="C36" s="17" t="s">
        <v>129</v>
      </c>
      <c r="D36" s="17" t="s">
        <v>131</v>
      </c>
      <c r="E36" s="349" t="s">
        <v>199</v>
      </c>
      <c r="F36" s="30" t="s">
        <v>19</v>
      </c>
      <c r="G36" s="30" t="s">
        <v>188</v>
      </c>
      <c r="H36" s="30" t="s">
        <v>200</v>
      </c>
      <c r="I36" s="30" t="s">
        <v>201</v>
      </c>
      <c r="J36" s="30" t="s">
        <v>202</v>
      </c>
      <c r="K36" s="30" t="s">
        <v>203</v>
      </c>
      <c r="L36" s="18" t="s">
        <v>204</v>
      </c>
      <c r="N36" s="16" t="s">
        <v>197</v>
      </c>
      <c r="O36" s="17" t="s">
        <v>196</v>
      </c>
      <c r="P36" s="17" t="s">
        <v>187</v>
      </c>
      <c r="Q36" s="17" t="s">
        <v>188</v>
      </c>
      <c r="R36" s="17" t="s">
        <v>189</v>
      </c>
      <c r="S36" s="17" t="s">
        <v>190</v>
      </c>
      <c r="T36" s="17" t="s">
        <v>191</v>
      </c>
      <c r="U36" s="17" t="s">
        <v>192</v>
      </c>
      <c r="V36" s="18" t="s">
        <v>193</v>
      </c>
      <c r="X36" s="16" t="s">
        <v>379</v>
      </c>
      <c r="Y36" s="349" t="s">
        <v>220</v>
      </c>
      <c r="Z36" s="17" t="s">
        <v>221</v>
      </c>
      <c r="AA36" s="17" t="s">
        <v>222</v>
      </c>
      <c r="AB36" s="17" t="s">
        <v>223</v>
      </c>
      <c r="AC36" s="17" t="s">
        <v>224</v>
      </c>
      <c r="AD36" s="18" t="s">
        <v>225</v>
      </c>
      <c r="AF36" s="28" t="s">
        <v>126</v>
      </c>
      <c r="AG36" s="29" t="s">
        <v>234</v>
      </c>
      <c r="AH36" s="30" t="s">
        <v>235</v>
      </c>
      <c r="AI36" s="30" t="s">
        <v>236</v>
      </c>
      <c r="AJ36" s="31" t="s">
        <v>237</v>
      </c>
    </row>
    <row r="37" spans="1:36" x14ac:dyDescent="0.25">
      <c r="A37" s="433"/>
      <c r="B37" s="13" t="s">
        <v>205</v>
      </c>
      <c r="C37" s="8">
        <f>SUMIF(Table127[PS],"=1",Table127[S-W])</f>
        <v>11</v>
      </c>
      <c r="D37" s="8">
        <f>SUMIF(Table127[PS],"=1",Table127[S-L])</f>
        <v>6</v>
      </c>
      <c r="E37" s="350">
        <f>SUMIF(Table127[PS],"=1",Table127[S-IP])</f>
        <v>144</v>
      </c>
      <c r="F37" s="12">
        <f>SUMIF(Table127[PS],"=1",Table127[S-H])</f>
        <v>134</v>
      </c>
      <c r="G37" s="12">
        <f>SUMIF(Table127[PS],"=1",Table127[S-R])</f>
        <v>59</v>
      </c>
      <c r="H37" s="12">
        <f>SUMIF(Table127[PS],"=1",Table127[S-ER])</f>
        <v>47</v>
      </c>
      <c r="I37" s="12">
        <f>SUMIF(Table127[PS],"=1",Table127[S-BB])</f>
        <v>61</v>
      </c>
      <c r="J37" s="12">
        <f>SUMIF(Table127[PS],"=1",Table127[S-SO])</f>
        <v>165</v>
      </c>
      <c r="K37" s="12">
        <f>SUMIF(Table127[PS],"=1",Table127[S-HR])</f>
        <v>8</v>
      </c>
      <c r="L37" s="19">
        <f t="shared" ref="L37:L51" si="5">((H37/E37)*9)</f>
        <v>2.9375</v>
      </c>
      <c r="N37" s="13">
        <v>1</v>
      </c>
      <c r="O37" s="9" t="str">
        <f>INDEX(Table127[Starter1],MODE(MATCH(Table127[Starter1],Table127[Starter1],0)))</f>
        <v>Salem, E</v>
      </c>
      <c r="P37" s="7">
        <f>COUNTIF(Table127[Starter1], INDEX(Table127[Starter1],MODE(MATCH(Table127[Starter1],Table127[Starter1],0))))</f>
        <v>110</v>
      </c>
      <c r="Q37" s="10">
        <f>SUBTOTAL(109,Table127[R1])</f>
        <v>71</v>
      </c>
      <c r="R37" s="7">
        <f>SUBTOTAL(109,Table127[RBI1])</f>
        <v>39</v>
      </c>
      <c r="S37" s="11">
        <f>((SUM(Table127[H1]))/(SUM(Table127[AB1])))</f>
        <v>0.23529411764705882</v>
      </c>
      <c r="T37" s="11">
        <f>((SUM(Table127[H1],Table127[BB1],Table127[HBP1]))/(SUM(Table127[AB1],Table127[BB1],Table127[HBP1],Table127[SF1])))</f>
        <v>0.31962025316455694</v>
      </c>
      <c r="U37" s="11">
        <f>((SUM(Table127[TB1]))/(SUM(Table127[AB1])))</f>
        <v>0.30659536541889482</v>
      </c>
      <c r="V37" s="22">
        <f t="shared" ref="V37:V46" si="6">(SUM((1.8*(T37)),U37)/4)</f>
        <v>0.22047795527877434</v>
      </c>
      <c r="X37" s="13" t="s">
        <v>218</v>
      </c>
      <c r="Y37" s="350">
        <f>SUM(Table127[IVL])</f>
        <v>340.33333333333337</v>
      </c>
      <c r="Z37" s="8">
        <f>SUM(Table127[SVL])</f>
        <v>24</v>
      </c>
      <c r="AA37" s="8">
        <f>SUM(Table127[SVL],Table127[CVL])</f>
        <v>37</v>
      </c>
      <c r="AB37" s="11">
        <f>(Z37/AA37)</f>
        <v>0.64864864864864868</v>
      </c>
      <c r="AC37" s="11">
        <f>((Z37/Y37)*9)</f>
        <v>0.63467189030362381</v>
      </c>
      <c r="AD37" s="22">
        <f>((AA37/Y37)*9)</f>
        <v>0.97845249755142005</v>
      </c>
      <c r="AF37" s="26" t="s">
        <v>238</v>
      </c>
      <c r="AG37" s="8">
        <f>COUNTIF(Table127[Loc],"=H")</f>
        <v>69</v>
      </c>
      <c r="AH37" s="12">
        <f>AVERAGEIF(Table127[Loc],"=H",Table127[Att])</f>
        <v>4027.4626865671644</v>
      </c>
      <c r="AI37" s="12">
        <f>SUMIF(Table127[Loc],"=H",Table127[Att])</f>
        <v>269840</v>
      </c>
      <c r="AJ37" s="27">
        <f>AH37*70</f>
        <v>281922.38805970148</v>
      </c>
    </row>
    <row r="38" spans="1:36" x14ac:dyDescent="0.25">
      <c r="A38" s="433"/>
      <c r="B38" s="13" t="s">
        <v>206</v>
      </c>
      <c r="C38" s="8">
        <f>SUMIF(Table127[PS],"=1",Table127[B-W])</f>
        <v>8</v>
      </c>
      <c r="D38" s="8">
        <f>SUMIF(Table127[PS],"=1",Table127[B-L])</f>
        <v>3</v>
      </c>
      <c r="E38" s="350">
        <f>SUMIF(Table127[PS],"=1",Table127[B-IP])</f>
        <v>108.66666666666667</v>
      </c>
      <c r="F38" s="12">
        <f>SUMIF(Table127[PS],"=1",Table127[B-H])</f>
        <v>96</v>
      </c>
      <c r="G38" s="12">
        <f>SUMIF(Table127[PS],"=1",Table127[B-R])</f>
        <v>39</v>
      </c>
      <c r="H38" s="12">
        <f>SUMIF(Table127[PS],"=1",Table127[B-ER])</f>
        <v>35</v>
      </c>
      <c r="I38" s="12">
        <f>SUMIF(Table127[PS],"=1",Table127[B-BB])</f>
        <v>35</v>
      </c>
      <c r="J38" s="12">
        <f>SUMIF(Table127[PS],"=1",Table127[B-SO])</f>
        <v>83</v>
      </c>
      <c r="K38" s="12">
        <f>SUMIF(Table127[PS],"=1",Table127[B-HR])</f>
        <v>7</v>
      </c>
      <c r="L38" s="19">
        <f t="shared" si="5"/>
        <v>2.8987730061349692</v>
      </c>
      <c r="N38" s="13">
        <v>2</v>
      </c>
      <c r="O38" s="9" t="str">
        <f>INDEX(Table127[Starter2],MODE(MATCH(Table127[Starter2],Table127[Starter2],0)))</f>
        <v>Eldridge, R</v>
      </c>
      <c r="P38" s="7">
        <f>COUNTIF(Table127[Starter2], INDEX(Table127[Starter2],MODE(MATCH(Table127[Starter2],Table127[Starter2],0))))</f>
        <v>47</v>
      </c>
      <c r="Q38" s="7">
        <f>SUBTOTAL(109,Table127[R2])</f>
        <v>66</v>
      </c>
      <c r="R38" s="7">
        <f>SUBTOTAL(109,Table127[RBI2])</f>
        <v>42</v>
      </c>
      <c r="S38" s="11">
        <f>((SUM(Table127[H2]))/(SUM(Table127[AB2])))</f>
        <v>0.25137614678899084</v>
      </c>
      <c r="T38" s="11">
        <f>((SUM(Table127[H2],Table127[BB2],Table127[HBP2]))/(SUM(Table127[AB2],Table127[BB2],Table127[HBP2],Table127[SF2])))</f>
        <v>0.32901134521880065</v>
      </c>
      <c r="U38" s="11">
        <f>((SUM(Table127[TB2]))/(SUM(Table127[AB2])))</f>
        <v>0.34128440366972479</v>
      </c>
      <c r="V38" s="22">
        <f t="shared" si="6"/>
        <v>0.23337620626589151</v>
      </c>
      <c r="X38" s="13" t="s">
        <v>219</v>
      </c>
      <c r="Y38" s="350">
        <f>SUM(Table127[IVR])</f>
        <v>876.66666666666686</v>
      </c>
      <c r="Z38" s="8">
        <f>SUM(Table127[SVR])</f>
        <v>61</v>
      </c>
      <c r="AA38" s="8">
        <f>SUM(Table127[SVR],Table127[CVR])</f>
        <v>88</v>
      </c>
      <c r="AB38" s="11">
        <f>(Z38/AA38)</f>
        <v>0.69318181818181823</v>
      </c>
      <c r="AC38" s="11">
        <f>((Z38/Y38)*9)</f>
        <v>0.62623574144486671</v>
      </c>
      <c r="AD38" s="22">
        <f>((AA38/Y38)*9)</f>
        <v>0.90342205323193892</v>
      </c>
      <c r="AF38" s="26" t="s">
        <v>239</v>
      </c>
      <c r="AG38" s="8">
        <f>COUNTIF(Table127[Loc],"=A")</f>
        <v>69</v>
      </c>
      <c r="AH38" s="12">
        <f>AVERAGEIF(Table127[Loc],"=A",Table127[Att])</f>
        <v>3025.318181818182</v>
      </c>
      <c r="AI38" s="12">
        <f>SUMIF(Table127[Loc],"=A",Table127[Att])</f>
        <v>199671</v>
      </c>
      <c r="AJ38" s="27">
        <f>AH38*70</f>
        <v>211772.27272727274</v>
      </c>
    </row>
    <row r="39" spans="1:36" x14ac:dyDescent="0.25">
      <c r="A39" s="433"/>
      <c r="B39" s="13" t="s">
        <v>207</v>
      </c>
      <c r="C39" s="8">
        <f>SUMIF(Table127[PS],"=2",Table127[S-W])</f>
        <v>3</v>
      </c>
      <c r="D39" s="8">
        <f>SUMIF(Table127[PS],"=2",Table127[S-L])</f>
        <v>12</v>
      </c>
      <c r="E39" s="350">
        <f>SUMIF(Table127[PS],"=2",Table127[S-IP])</f>
        <v>124.33333333333333</v>
      </c>
      <c r="F39" s="12">
        <f>SUMIF(Table127[PS],"=2",Table127[S-H])</f>
        <v>155</v>
      </c>
      <c r="G39" s="12">
        <f>SUMIF(Table127[PS],"=2",Table127[S-R])</f>
        <v>88</v>
      </c>
      <c r="H39" s="12">
        <f>SUMIF(Table127[PS],"=2",Table127[S-ER])</f>
        <v>77</v>
      </c>
      <c r="I39" s="12">
        <f>SUMIF(Table127[PS],"=2",Table127[S-BB])</f>
        <v>55</v>
      </c>
      <c r="J39" s="12">
        <f>SUMIF(Table127[PS],"=2",Table127[S-SO])</f>
        <v>83</v>
      </c>
      <c r="K39" s="12">
        <f>SUMIF(Table127[PS],"=2",Table127[S-HR])</f>
        <v>12</v>
      </c>
      <c r="L39" s="19">
        <f t="shared" si="5"/>
        <v>5.5737265415549597</v>
      </c>
      <c r="N39" s="13">
        <v>3</v>
      </c>
      <c r="O39" s="9" t="str">
        <f>INDEX(Table127[Starter3],MODE(MATCH(Table127[Starter3],Table127[Starter3],0)))</f>
        <v>Ashley, N</v>
      </c>
      <c r="P39" s="7">
        <f>COUNTIF(Table127[Starter3], INDEX(Table127[Starter3],MODE(MATCH(Table127[Starter3],Table127[Starter3],0))))</f>
        <v>52</v>
      </c>
      <c r="Q39" s="7">
        <f>SUBTOTAL(109,Table127[R3])</f>
        <v>66</v>
      </c>
      <c r="R39" s="7">
        <f>SUBTOTAL(109,Table127[RBI3])</f>
        <v>58</v>
      </c>
      <c r="S39" s="11">
        <f>((SUM(Table127[H3]))/(SUM(Table127[AB3])))</f>
        <v>0.24299065420560748</v>
      </c>
      <c r="T39" s="11">
        <f>((SUM(Table127[H3],Table127[BB3],Table127[HBP3]))/(SUM(Table127[AB3],Table127[BB3],Table127[HBP3],Table127[SF3])))</f>
        <v>0.33115823817292006</v>
      </c>
      <c r="U39" s="11">
        <f>((SUM(Table127[TB3]))/(SUM(Table127[AB3])))</f>
        <v>0.34392523364485983</v>
      </c>
      <c r="V39" s="22">
        <f t="shared" si="6"/>
        <v>0.23500251558902899</v>
      </c>
      <c r="X39" s="14" t="s">
        <v>194</v>
      </c>
      <c r="Y39" s="351">
        <f>SUM(Table127[IVL],Table127[IVR])</f>
        <v>1217.0000000000002</v>
      </c>
      <c r="Z39" s="20">
        <f>SUM(Table127[SVL],Table127[SVR])</f>
        <v>85</v>
      </c>
      <c r="AA39" s="20">
        <f>SUM(Table127[SVL],Table127[CVL],Table127[SVR],Table127[CVR])</f>
        <v>125</v>
      </c>
      <c r="AB39" s="24">
        <f>(Z39/AA39)</f>
        <v>0.68</v>
      </c>
      <c r="AC39" s="24">
        <f>((Z39/Y39)*9)</f>
        <v>0.62859490550534092</v>
      </c>
      <c r="AD39" s="25">
        <f>((AA39/Y39)*9)</f>
        <v>0.9244042728019719</v>
      </c>
      <c r="AF39" s="32" t="s">
        <v>34</v>
      </c>
      <c r="AG39" s="20">
        <f>COUNT(Table127[Date])</f>
        <v>138</v>
      </c>
      <c r="AH39" s="33">
        <f>AVERAGE(Table127[Att])</f>
        <v>3530.1578947368421</v>
      </c>
      <c r="AI39" s="33">
        <f>SUM(Table127[Att])</f>
        <v>469511</v>
      </c>
      <c r="AJ39" s="34">
        <f>AH39*140</f>
        <v>494222.10526315786</v>
      </c>
    </row>
    <row r="40" spans="1:36" x14ac:dyDescent="0.25">
      <c r="A40" s="433"/>
      <c r="B40" s="13" t="s">
        <v>208</v>
      </c>
      <c r="C40" s="8">
        <f>SUMIF(Table127[PS],"=2",Table127[B-W])</f>
        <v>7</v>
      </c>
      <c r="D40" s="8">
        <f>SUMIF(Table127[PS],"=2",Table127[B-L])</f>
        <v>6</v>
      </c>
      <c r="E40" s="350">
        <f>SUMIF(Table127[PS],"=2",Table127[B-IP])</f>
        <v>119.66666666666667</v>
      </c>
      <c r="F40" s="12">
        <f>SUMIF(Table127[PS],"=2",Table127[B-H])</f>
        <v>128</v>
      </c>
      <c r="G40" s="12">
        <f>SUMIF(Table127[PS],"=2",Table127[B-R])</f>
        <v>62</v>
      </c>
      <c r="H40" s="12">
        <f>SUMIF(Table127[PS],"=2",Table127[B-ER])</f>
        <v>52</v>
      </c>
      <c r="I40" s="12">
        <f>SUMIF(Table127[PS],"=2",Table127[B-BB])</f>
        <v>47</v>
      </c>
      <c r="J40" s="12">
        <f>SUMIF(Table127[PS],"=2",Table127[B-SO])</f>
        <v>101</v>
      </c>
      <c r="K40" s="12">
        <f>SUMIF(Table127[PS],"=2",Table127[B-HR])</f>
        <v>10</v>
      </c>
      <c r="L40" s="19">
        <f t="shared" si="5"/>
        <v>3.9108635097493036</v>
      </c>
      <c r="N40" s="13">
        <v>4</v>
      </c>
      <c r="O40" s="9" t="str">
        <f>INDEX(Table127[Starter4],MODE(MATCH(Table127[Starter4],Table127[Starter4],0)))</f>
        <v>Wrigley, H</v>
      </c>
      <c r="P40" s="7">
        <f>COUNTIF(Table127[Starter4], INDEX(Table127[Starter4],MODE(MATCH(Table127[Starter4],Table127[Starter4],0))))</f>
        <v>43</v>
      </c>
      <c r="Q40" s="7">
        <f>SUBTOTAL(109,Table127[R4])</f>
        <v>67</v>
      </c>
      <c r="R40" s="7">
        <f>SUBTOTAL(109,Table127[RBI4])</f>
        <v>82</v>
      </c>
      <c r="S40" s="11">
        <f>((SUM(Table127[H4]))/(SUM(Table127[AB4])))</f>
        <v>0.23782771535580524</v>
      </c>
      <c r="T40" s="11">
        <f>((SUM(Table127[H4],Table127[BB4],Table127[HBP4]))/(SUM(Table127[AB4],Table127[BB4],Table127[HBP4],Table127[SF4])))</f>
        <v>0.30833333333333335</v>
      </c>
      <c r="U40" s="11">
        <f>((SUM(Table127[TB4]))/(SUM(Table127[AB4])))</f>
        <v>0.38014981273408238</v>
      </c>
      <c r="V40" s="22">
        <f t="shared" si="6"/>
        <v>0.23378745318352062</v>
      </c>
    </row>
    <row r="41" spans="1:36" x14ac:dyDescent="0.25">
      <c r="A41" s="433"/>
      <c r="B41" s="13" t="s">
        <v>209</v>
      </c>
      <c r="C41" s="8">
        <f>SUMIF(Table127[PS],"=3",Table127[S-W])</f>
        <v>7</v>
      </c>
      <c r="D41" s="8">
        <f>SUMIF(Table127[PS],"=3",Table127[S-L])</f>
        <v>8</v>
      </c>
      <c r="E41" s="350">
        <f>SUMIF(Table127[PS],"=3",Table127[S-IP])</f>
        <v>139</v>
      </c>
      <c r="F41" s="12">
        <f>SUMIF(Table127[PS],"=3",Table127[S-H])</f>
        <v>121</v>
      </c>
      <c r="G41" s="12">
        <f>SUMIF(Table127[PS],"=3",Table127[S-R])</f>
        <v>67</v>
      </c>
      <c r="H41" s="12">
        <f>SUMIF(Table127[PS],"=3",Table127[S-ER])</f>
        <v>58</v>
      </c>
      <c r="I41" s="12">
        <f>SUMIF(Table127[PS],"=3",Table127[S-BB])</f>
        <v>48</v>
      </c>
      <c r="J41" s="12">
        <f>SUMIF(Table127[PS],"=3",Table127[S-SO])</f>
        <v>103</v>
      </c>
      <c r="K41" s="12">
        <f>SUMIF(Table127[PS],"=3",Table127[S-HR])</f>
        <v>10</v>
      </c>
      <c r="L41" s="19">
        <f t="shared" si="5"/>
        <v>3.7553956834532376</v>
      </c>
      <c r="N41" s="13">
        <v>5</v>
      </c>
      <c r="O41" s="9" t="str">
        <f>INDEX(Table127[Starter5],MODE(MATCH(Table127[Starter5],Table127[Starter5],0)))</f>
        <v>Anderson, L</v>
      </c>
      <c r="P41" s="7">
        <f>COUNTIF(Table127[Starter5], INDEX(Table127[Starter5],MODE(MATCH(Table127[Starter5],Table127[Starter5],0))))</f>
        <v>31</v>
      </c>
      <c r="Q41" s="7">
        <f>SUBTOTAL(109,Table127[R5])</f>
        <v>70</v>
      </c>
      <c r="R41" s="7">
        <f>SUBTOTAL(109,Table127[RBI5])</f>
        <v>66</v>
      </c>
      <c r="S41" s="11">
        <f>((SUM(Table127[H5]))/(SUM(Table127[AB5])))</f>
        <v>0.23643410852713179</v>
      </c>
      <c r="T41" s="11">
        <f>((SUM(Table127[H5],Table127[BB5],Table127[HBP5]))/(SUM(Table127[AB5],Table127[BB5],Table127[HBP5],Table127[SF5])))</f>
        <v>0.31260794473229708</v>
      </c>
      <c r="U41" s="11">
        <f>((SUM(Table127[TB5]))/(SUM(Table127[AB5])))</f>
        <v>0.36821705426356588</v>
      </c>
      <c r="V41" s="22">
        <f t="shared" si="6"/>
        <v>0.23272783869542515</v>
      </c>
    </row>
    <row r="42" spans="1:36" x14ac:dyDescent="0.25">
      <c r="A42" s="433"/>
      <c r="B42" s="13" t="s">
        <v>214</v>
      </c>
      <c r="C42" s="8">
        <f>SUMIF(Table127[PS],"=3",Table127[B-W])</f>
        <v>8</v>
      </c>
      <c r="D42" s="8">
        <f>SUMIF(Table127[PS],"=3",Table127[B-L])</f>
        <v>4</v>
      </c>
      <c r="E42" s="350">
        <f>SUMIF(Table127[PS],"=3",Table127[B-IP])</f>
        <v>106.99999999999999</v>
      </c>
      <c r="F42" s="12">
        <f>SUMIF(Table127[PS],"=3",Table127[B-H])</f>
        <v>117</v>
      </c>
      <c r="G42" s="12">
        <f>SUMIF(Table127[PS],"=3",Table127[B-R])</f>
        <v>59</v>
      </c>
      <c r="H42" s="12">
        <f>SUMIF(Table127[PS],"=3",Table127[B-ER])</f>
        <v>53</v>
      </c>
      <c r="I42" s="12">
        <f>SUMIF(Table127[PS],"=3",Table127[B-BB])</f>
        <v>40</v>
      </c>
      <c r="J42" s="12">
        <f>SUMIF(Table127[PS],"=3",Table127[B-SO])</f>
        <v>90</v>
      </c>
      <c r="K42" s="12">
        <f>SUMIF(Table127[PS],"=3",Table127[B-HR])</f>
        <v>11</v>
      </c>
      <c r="L42" s="19">
        <f t="shared" si="5"/>
        <v>4.4579439252336455</v>
      </c>
      <c r="N42" s="13">
        <v>6</v>
      </c>
      <c r="O42" s="9" t="str">
        <f>INDEX(Table127[Starter6],MODE(MATCH(Table127[Starter6],Table127[Starter6],0)))</f>
        <v>Fields, M</v>
      </c>
      <c r="P42" s="7">
        <f>COUNTIF(Table127[Starter6], INDEX(Table127[Starter6],MODE(MATCH(Table127[Starter6],Table127[Starter6],0))))</f>
        <v>32</v>
      </c>
      <c r="Q42" s="7">
        <f>SUBTOTAL(109,Table127[R6])</f>
        <v>75</v>
      </c>
      <c r="R42" s="7">
        <f>SUBTOTAL(109,Table127[RBI6])</f>
        <v>68</v>
      </c>
      <c r="S42" s="11">
        <f>((SUM(Table127[H6]))/(SUM(Table127[AB6])))</f>
        <v>0.26760563380281688</v>
      </c>
      <c r="T42" s="11">
        <f>((SUM(Table127[H6],Table127[BB6],Table127[HBP6]))/(SUM(Table127[AB6],Table127[BB6],Table127[HBP6],Table127[SF6])))</f>
        <v>0.34697508896797152</v>
      </c>
      <c r="U42" s="11">
        <f>((SUM(Table127[TB6]))/(SUM(Table127[AB6])))</f>
        <v>0.4024144869215292</v>
      </c>
      <c r="V42" s="22">
        <f t="shared" si="6"/>
        <v>0.25674241176596951</v>
      </c>
    </row>
    <row r="43" spans="1:36" x14ac:dyDescent="0.25">
      <c r="A43" s="433"/>
      <c r="B43" s="13" t="s">
        <v>210</v>
      </c>
      <c r="C43" s="8">
        <f>SUMIF(Table127[PS],"=4",Table127[S-W])</f>
        <v>5</v>
      </c>
      <c r="D43" s="8">
        <f>SUMIF(Table127[PS],"=4",Table127[S-L])</f>
        <v>8</v>
      </c>
      <c r="E43" s="350">
        <f>SUMIF(Table127[PS],"=4",Table127[S-IP])</f>
        <v>128.33333333333334</v>
      </c>
      <c r="F43" s="12">
        <f>SUMIF(Table127[PS],"=4",Table127[S-H])</f>
        <v>119</v>
      </c>
      <c r="G43" s="12">
        <f>SUMIF(Table127[PS],"=4",Table127[S-R])</f>
        <v>56</v>
      </c>
      <c r="H43" s="12">
        <f>SUMIF(Table127[PS],"=4",Table127[S-ER])</f>
        <v>48</v>
      </c>
      <c r="I43" s="12">
        <f>SUMIF(Table127[PS],"=4",Table127[S-BB])</f>
        <v>54</v>
      </c>
      <c r="J43" s="12">
        <f>SUMIF(Table127[PS],"=4",Table127[S-SO])</f>
        <v>117</v>
      </c>
      <c r="K43" s="12">
        <f>SUMIF(Table127[PS],"=4",Table127[S-HR])</f>
        <v>6</v>
      </c>
      <c r="L43" s="19">
        <f t="shared" si="5"/>
        <v>3.366233766233766</v>
      </c>
      <c r="N43" s="13">
        <v>7</v>
      </c>
      <c r="O43" s="9" t="str">
        <f>INDEX(Table127[Starter7],MODE(MATCH(Table127[Starter7],Table127[Starter7],0)))</f>
        <v>Matulia, J</v>
      </c>
      <c r="P43" s="7">
        <f>COUNTIF(Table127[Starter7], INDEX(Table127[Starter7],MODE(MATCH(Table127[Starter7],Table127[Starter7],0))))</f>
        <v>37</v>
      </c>
      <c r="Q43" s="7">
        <f>SUBTOTAL(109,Table127[R7])</f>
        <v>56</v>
      </c>
      <c r="R43" s="7">
        <f>SUBTOTAL(109,Table127[RBI7])</f>
        <v>58</v>
      </c>
      <c r="S43" s="11">
        <f>((SUM(Table127[H7]))/(SUM(Table127[AB7])))</f>
        <v>0.21560574948665298</v>
      </c>
      <c r="T43" s="11">
        <f>((SUM(Table127[H7],Table127[BB7],Table127[HBP7]))/(SUM(Table127[AB7],Table127[BB7],Table127[HBP7],Table127[SF7])))</f>
        <v>0.29508196721311475</v>
      </c>
      <c r="U43" s="11">
        <f>((SUM(Table127[TB7]))/(SUM(Table127[AB7])))</f>
        <v>0.35523613963039014</v>
      </c>
      <c r="V43" s="22">
        <f t="shared" si="6"/>
        <v>0.22159592015349919</v>
      </c>
    </row>
    <row r="44" spans="1:36" x14ac:dyDescent="0.25">
      <c r="A44" s="433"/>
      <c r="B44" s="13" t="s">
        <v>215</v>
      </c>
      <c r="C44" s="8">
        <f>SUMIF(Table127[PS],"=4",Table127[B-W])</f>
        <v>8</v>
      </c>
      <c r="D44" s="8">
        <f>SUMIF(Table127[PS],"=4",Table127[B-L])</f>
        <v>4</v>
      </c>
      <c r="E44" s="350">
        <f>SUMIF(Table127[PS],"=4",Table127[B-IP])</f>
        <v>92.999999999999986</v>
      </c>
      <c r="F44" s="12">
        <f>SUMIF(Table127[PS],"=4",Table127[B-H])</f>
        <v>93</v>
      </c>
      <c r="G44" s="12">
        <f>SUMIF(Table127[PS],"=4",Table127[B-R])</f>
        <v>41</v>
      </c>
      <c r="H44" s="12">
        <f>SUMIF(Table127[PS],"=4",Table127[B-ER])</f>
        <v>37</v>
      </c>
      <c r="I44" s="12">
        <f>SUMIF(Table127[PS],"=4",Table127[B-BB])</f>
        <v>37</v>
      </c>
      <c r="J44" s="12">
        <f>SUMIF(Table127[PS],"=4",Table127[B-SO])</f>
        <v>81</v>
      </c>
      <c r="K44" s="12">
        <f>SUMIF(Table127[PS],"=4",Table127[B-HR])</f>
        <v>8</v>
      </c>
      <c r="L44" s="19">
        <f t="shared" si="5"/>
        <v>3.580645161290323</v>
      </c>
      <c r="N44" s="13">
        <v>8</v>
      </c>
      <c r="O44" s="9" t="str">
        <f>INDEX(Table127[Starter8],MODE(MATCH(Table127[Starter8],Table127[Starter8],0)))</f>
        <v>Albernaz, C</v>
      </c>
      <c r="P44" s="7">
        <f>COUNTIF(Table127[Starter8], INDEX(Table127[Starter8],MODE(MATCH(Table127[Starter8],Table127[Starter8],0))))</f>
        <v>28</v>
      </c>
      <c r="Q44" s="7">
        <f>SUBTOTAL(109,Table127[R8])</f>
        <v>58</v>
      </c>
      <c r="R44" s="7">
        <f>SUBTOTAL(109,Table127[RBI8])</f>
        <v>58</v>
      </c>
      <c r="S44" s="11">
        <f>((SUM(Table127[H8]))/(SUM(Table127[AB8])))</f>
        <v>0.28541226215644822</v>
      </c>
      <c r="T44" s="11">
        <f>((SUM(Table127[H8],Table127[BB8],Table127[HBP8]))/(SUM(Table127[AB8],Table127[BB8],Table127[HBP8],Table127[SF8])))</f>
        <v>0.34923664122137404</v>
      </c>
      <c r="U44" s="11">
        <f>((SUM(Table127[TB8]))/(SUM(Table127[AB8])))</f>
        <v>0.39323467230443976</v>
      </c>
      <c r="V44" s="22">
        <f t="shared" si="6"/>
        <v>0.25546515662572827</v>
      </c>
    </row>
    <row r="45" spans="1:36" x14ac:dyDescent="0.25">
      <c r="A45" s="433"/>
      <c r="B45" s="13" t="s">
        <v>211</v>
      </c>
      <c r="C45" s="8">
        <f>SUMIF(Table127[PS],"=5",Table127[S-W])</f>
        <v>7</v>
      </c>
      <c r="D45" s="8">
        <f>SUMIF(Table127[PS],"=5",Table127[S-L])</f>
        <v>6</v>
      </c>
      <c r="E45" s="350">
        <f>SUMIF(Table127[PS],"=5",Table127[S-IP])</f>
        <v>137.33333333333331</v>
      </c>
      <c r="F45" s="12">
        <f>SUMIF(Table127[PS],"=5",Table127[S-H])</f>
        <v>138</v>
      </c>
      <c r="G45" s="12">
        <f>SUMIF(Table127[PS],"=5",Table127[S-R])</f>
        <v>60</v>
      </c>
      <c r="H45" s="12">
        <f>SUMIF(Table127[PS],"=5",Table127[S-ER])</f>
        <v>50</v>
      </c>
      <c r="I45" s="12">
        <f>SUMIF(Table127[PS],"=5",Table127[S-BB])</f>
        <v>50</v>
      </c>
      <c r="J45" s="12">
        <f>SUMIF(Table127[PS],"=5",Table127[S-SO])</f>
        <v>123</v>
      </c>
      <c r="K45" s="12">
        <f>SUMIF(Table127[PS],"=5",Table127[S-HR])</f>
        <v>8</v>
      </c>
      <c r="L45" s="19">
        <f t="shared" si="5"/>
        <v>3.2766990291262141</v>
      </c>
      <c r="N45" s="13">
        <v>9</v>
      </c>
      <c r="O45" s="9" t="str">
        <f>INDEX(Table127[Starter9],MODE(MATCH(Table127[Starter9],Table127[Starter9],0)))</f>
        <v>Matulia, J</v>
      </c>
      <c r="P45" s="7">
        <f>COUNTIF(Table127[Starter9], INDEX(Table127[Starter9],MODE(MATCH(Table127[Starter9],Table127[Starter9],0))))</f>
        <v>41</v>
      </c>
      <c r="Q45" s="7">
        <f>SUBTOTAL(109,Table127[R9])</f>
        <v>56</v>
      </c>
      <c r="R45" s="7">
        <f>SUBTOTAL(109,Table127[RBI9])</f>
        <v>58</v>
      </c>
      <c r="S45" s="11">
        <f>((SUM(Table127[H9]))/(SUM(Table127[AB9])))</f>
        <v>0.2673913043478261</v>
      </c>
      <c r="T45" s="11">
        <f>((SUM(Table127[H9],Table127[BB9],Table127[HBP9]))/(SUM(Table127[AB9],Table127[BB9],Table127[HBP9],Table127[SF9])))</f>
        <v>0.33268101761252444</v>
      </c>
      <c r="U45" s="11">
        <f>((SUM(Table127[TB9]))/(SUM(Table127[AB9])))</f>
        <v>0.38260869565217392</v>
      </c>
      <c r="V45" s="22">
        <f t="shared" si="6"/>
        <v>0.24535863183867948</v>
      </c>
    </row>
    <row r="46" spans="1:36" x14ac:dyDescent="0.25">
      <c r="A46" s="433"/>
      <c r="B46" s="13" t="s">
        <v>216</v>
      </c>
      <c r="C46" s="8">
        <f>SUMIF(Table127[PS],"=5",Table127[B-W])</f>
        <v>7</v>
      </c>
      <c r="D46" s="8">
        <f>SUMIF(Table127[PS],"=5",Table127[B-L])</f>
        <v>5</v>
      </c>
      <c r="E46" s="350">
        <f>SUMIF(Table127[PS],"=5",Table127[B-IP])</f>
        <v>80.666666666666671</v>
      </c>
      <c r="F46" s="12">
        <f>SUMIF(Table127[PS],"=5",Table127[B-H])</f>
        <v>72</v>
      </c>
      <c r="G46" s="12">
        <f>SUMIF(Table127[PS],"=5",Table127[B-R])</f>
        <v>34</v>
      </c>
      <c r="H46" s="12">
        <f>SUMIF(Table127[PS],"=5",Table127[B-ER])</f>
        <v>33</v>
      </c>
      <c r="I46" s="12">
        <f>SUMIF(Table127[PS],"=5",Table127[B-BB])</f>
        <v>37</v>
      </c>
      <c r="J46" s="12">
        <f>SUMIF(Table127[PS],"=5",Table127[B-SO])</f>
        <v>71</v>
      </c>
      <c r="K46" s="12">
        <f>SUMIF(Table127[PS],"=5",Table127[B-HR])</f>
        <v>5</v>
      </c>
      <c r="L46" s="19">
        <f t="shared" si="5"/>
        <v>3.6818181818181817</v>
      </c>
      <c r="N46" s="40" t="s">
        <v>194</v>
      </c>
      <c r="O46" s="23"/>
      <c r="P46" s="15">
        <f>SUBTOTAL(103,Table127[Date])</f>
        <v>138</v>
      </c>
      <c r="Q46" s="15">
        <f>SUM(Table127[R1],Table127[R2],Table127[R3],Table127[R4],Table127[R5],Table127[R6],Table127[R7],Table127[R8],Table127[R9])</f>
        <v>585</v>
      </c>
      <c r="R46" s="15">
        <f>SUM(Table127[RBI1],Table127[RBI2],Table127[RBI3],Table127[RBI4],Table127[RBI5],Table127[RBI6],Table127[RBI7],Table127[RBI8],Table127[RBI9])</f>
        <v>529</v>
      </c>
      <c r="S46" s="24">
        <f>((SUM(Table127[H1],Table127[H2],Table127[H3],Table127[H4],Table127[H5],Table127[H6],Table127[H7],Table127[H8],Table127[H9]))/(SUM(Table127[AB1],Table127[AB2],Table127[AB3],Table127[AB4],Table127[AB5],Table127[AB6],Table127[AB7],Table127[AB8],Table127[AB9])))</f>
        <v>0.2482638888888889</v>
      </c>
      <c r="T46" s="24">
        <f>((SUM(Table127[H1],Table127[BB1],Table127[HBP1],Table127[H2],Table127[BB2],Table127[HBP2],Table127[H3],Table127[BB3],Table127[HBP3],Table127[H4],Table127[BB4],Table127[HBP4],Table127[H5],Table127[BB5],Table127[HBP5],Table127[H6],Table127[BB6],Table127[HBP6],Table127[H7],Table127[BB7],Table127[HBP7],Table127[H8],Table127[BB8],Table127[HBP8],Table127[H9],Table127[BB9],Table127[HBP9]))/(SUM(Table127[AB1],Table127[BB1],Table127[HBP1],Table127[SF1],Table127[AB2],Table127[BB2],Table127[HBP2],Table127[SF2],Table127[AB3],Table127[BB3],Table127[HBP3],Table127[SF3],Table127[AB4],Table127[BB4],Table127[HBP4],Table127[SF4],Table127[AB5],Table127[BB5],Table127[HBP5],Table127[SF5],Table127[AB6],Table127[BB6],Table127[HBP6],Table127[SF6],Table127[AB7],Table127[BB7],Table127[HBP7],Table127[SF7],Table127[AB8],Table127[BB8],Table127[HBP8],Table127[SF8],Table127[AB9],Table127[BB9],Table127[HBP9],Table127[SF9])))</f>
        <v>0.32465779834200886</v>
      </c>
      <c r="U46" s="24">
        <f>((SUM(Table127[TB1],Table127[TB2],Table127[TB3],Table127[TB4],Table127[TB5],Table127[TB6],Table127[TB7],Table127[TB8],Table127[TB9]))/(SUM(Table127[AB1],Table127[AB2],Table127[AB3],Table127[AB4],Table127[AB5],Table127[AB6],Table127[AB7],Table127[AB8],Table127[AB9])))</f>
        <v>0.36241319444444442</v>
      </c>
      <c r="V46" s="25">
        <f t="shared" si="6"/>
        <v>0.23669930786501509</v>
      </c>
    </row>
    <row r="47" spans="1:36" x14ac:dyDescent="0.25">
      <c r="A47" s="433"/>
      <c r="B47" s="13" t="s">
        <v>528</v>
      </c>
      <c r="C47" s="8">
        <f>SUMIF(Table127[PS],"=S",Table127[S-W])</f>
        <v>1</v>
      </c>
      <c r="D47" s="8">
        <f>SUMIF(Table127[PS],"=S",Table127[S-L])</f>
        <v>3</v>
      </c>
      <c r="E47" s="350">
        <f>SUMIF(Table127[PS],"=S",Table127[S-IP])</f>
        <v>22.666666666666668</v>
      </c>
      <c r="F47" s="12">
        <f>SUMIF(Table127[PS],"=S",Table127[S-H])</f>
        <v>27</v>
      </c>
      <c r="G47" s="12">
        <f>SUMIF(Table127[PS],"=S",Table127[S-R])</f>
        <v>18</v>
      </c>
      <c r="H47" s="12">
        <f>SUMIF(Table127[PS],"=S",Table127[S-ER])</f>
        <v>14</v>
      </c>
      <c r="I47" s="12">
        <f>SUMIF(Table127[PS],"=S",Table127[S-BB])</f>
        <v>7</v>
      </c>
      <c r="J47" s="12">
        <f>SUMIF(Table127[PS],"=S",Table127[S-SO])</f>
        <v>14</v>
      </c>
      <c r="K47" s="12">
        <f>SUMIF(Table127[PS],"=S",Table127[S-HR])</f>
        <v>1</v>
      </c>
      <c r="L47" s="19">
        <f>((H47/E47)*9)</f>
        <v>5.5588235294117636</v>
      </c>
      <c r="N47" s="169"/>
      <c r="O47" s="169"/>
      <c r="P47" s="170"/>
      <c r="Q47" s="170"/>
      <c r="R47" s="170"/>
      <c r="S47" s="171"/>
      <c r="T47" s="171"/>
      <c r="U47" s="171"/>
      <c r="V47" s="171"/>
    </row>
    <row r="48" spans="1:36" x14ac:dyDescent="0.25">
      <c r="A48" s="433"/>
      <c r="B48" s="13" t="s">
        <v>20</v>
      </c>
      <c r="C48" s="8">
        <f>SUMIF(Table127[PS],"=S",Table127[B-W])</f>
        <v>0</v>
      </c>
      <c r="D48" s="8">
        <f>SUMIF(Table127[PS],"=S",Table127[B-L])</f>
        <v>1</v>
      </c>
      <c r="E48" s="350">
        <f>SUMIF(Table127[PS],"=S",Table127[B-IP])</f>
        <v>16.333333333333332</v>
      </c>
      <c r="F48" s="12">
        <f>SUMIF(Table127[PS],"=S",Table127[B-H])</f>
        <v>26</v>
      </c>
      <c r="G48" s="12">
        <f>SUMIF(Table127[PS],"=S",Table127[B-R])</f>
        <v>17</v>
      </c>
      <c r="H48" s="12">
        <f>SUMIF(Table127[PS],"=S",Table127[B-ER])</f>
        <v>17</v>
      </c>
      <c r="I48" s="12">
        <f>SUMIF(Table127[PS],"=S",Table127[B-BB])</f>
        <v>7</v>
      </c>
      <c r="J48" s="12">
        <f>SUMIF(Table127[PS],"=S",Table127[B-SO])</f>
        <v>14</v>
      </c>
      <c r="K48" s="12">
        <f>SUMIF(Table127[PS],"=S",Table127[B-HR])</f>
        <v>3</v>
      </c>
      <c r="L48" s="19">
        <f>((H48/E48)*9)</f>
        <v>9.3673469387755102</v>
      </c>
      <c r="N48" s="169"/>
      <c r="O48" s="169"/>
      <c r="P48" s="170"/>
      <c r="Q48" s="170"/>
      <c r="R48" s="170"/>
      <c r="S48" s="171"/>
      <c r="T48" s="171"/>
      <c r="U48" s="171"/>
      <c r="V48" s="171"/>
    </row>
    <row r="49" spans="1:36" x14ac:dyDescent="0.25">
      <c r="A49" s="433"/>
      <c r="B49" s="13" t="s">
        <v>212</v>
      </c>
      <c r="C49" s="8">
        <f>SUM(Table127[S-W])</f>
        <v>34</v>
      </c>
      <c r="D49" s="8">
        <f>SUM(Table127[S-L])</f>
        <v>43</v>
      </c>
      <c r="E49" s="350">
        <f>SUM(Table127[S-IP])</f>
        <v>695.66666666666663</v>
      </c>
      <c r="F49" s="12">
        <f>SUM(Table127[S-H])</f>
        <v>694</v>
      </c>
      <c r="G49" s="12">
        <f>SUM(Table127[S-R])</f>
        <v>348</v>
      </c>
      <c r="H49" s="12">
        <f>SUM(Table127[S-ER])</f>
        <v>294</v>
      </c>
      <c r="I49" s="12">
        <f>SUM(Table127[S-BB])</f>
        <v>275</v>
      </c>
      <c r="J49" s="12">
        <f>SUM(Table127[S-SO])</f>
        <v>605</v>
      </c>
      <c r="K49" s="12">
        <f>SUM(Table127[S-HR])</f>
        <v>45</v>
      </c>
      <c r="L49" s="19">
        <f t="shared" si="5"/>
        <v>3.8035457594633448</v>
      </c>
    </row>
    <row r="50" spans="1:36" x14ac:dyDescent="0.25">
      <c r="A50" s="433"/>
      <c r="B50" s="13" t="s">
        <v>213</v>
      </c>
      <c r="C50" s="8">
        <f>SUM(Table127[B-W])</f>
        <v>38</v>
      </c>
      <c r="D50" s="8">
        <f>SUM(Table127[B-L])</f>
        <v>23</v>
      </c>
      <c r="E50" s="350">
        <f>SUM(Table127[B-IP])</f>
        <v>525.33333333333337</v>
      </c>
      <c r="F50" s="12">
        <f>SUM(Table127[B-H])</f>
        <v>532</v>
      </c>
      <c r="G50" s="12">
        <f>SUM(Table127[B-R])</f>
        <v>252</v>
      </c>
      <c r="H50" s="12">
        <f>SUM(Table127[B-ER])</f>
        <v>227</v>
      </c>
      <c r="I50" s="12">
        <f>SUM(Table127[B-BB])</f>
        <v>203</v>
      </c>
      <c r="J50" s="12">
        <f>SUM(Table127[B-SO])</f>
        <v>440</v>
      </c>
      <c r="K50" s="12">
        <f>SUM(Table127[B-HR])</f>
        <v>44</v>
      </c>
      <c r="L50" s="19">
        <f t="shared" si="5"/>
        <v>3.8889593908629441</v>
      </c>
    </row>
    <row r="51" spans="1:36" x14ac:dyDescent="0.25">
      <c r="A51" s="433"/>
      <c r="B51" s="14" t="s">
        <v>194</v>
      </c>
      <c r="C51" s="20">
        <f>SUM(Table127[S-W],Table127[B-W])</f>
        <v>72</v>
      </c>
      <c r="D51" s="20">
        <f>SUM(Table127[S-L],Table127[B-L])</f>
        <v>66</v>
      </c>
      <c r="E51" s="351">
        <f>SUM(Table127[S-IP],Table127[B-IP])</f>
        <v>1220.9999999999998</v>
      </c>
      <c r="F51" s="33">
        <f>SUM(Table127[S-H],Table127[B-H])</f>
        <v>1226</v>
      </c>
      <c r="G51" s="33">
        <f>SUM(Table127[S-R],Table127[B-R])</f>
        <v>600</v>
      </c>
      <c r="H51" s="33">
        <f>SUM(Table127[S-ER],Table127[B-ER])</f>
        <v>521</v>
      </c>
      <c r="I51" s="33">
        <f>SUM(Table127[S-BB],Table127[B-BB])</f>
        <v>478</v>
      </c>
      <c r="J51" s="33">
        <f>SUM(Table127[S-SO],Table127[B-SO])</f>
        <v>1045</v>
      </c>
      <c r="K51" s="33">
        <f>SUM(Table127[S-HR],Table127[B-HR])</f>
        <v>89</v>
      </c>
      <c r="L51" s="21">
        <f t="shared" si="5"/>
        <v>3.8402948402948409</v>
      </c>
    </row>
    <row r="52" spans="1:36" s="52" customFormat="1" x14ac:dyDescent="0.25">
      <c r="C52" s="112"/>
      <c r="D52" s="112"/>
      <c r="E52" s="353"/>
      <c r="F52" s="49"/>
      <c r="G52" s="49"/>
      <c r="H52" s="49"/>
      <c r="I52" s="49"/>
      <c r="J52" s="49"/>
      <c r="K52" s="49"/>
      <c r="L52" s="113"/>
      <c r="Y52" s="353"/>
    </row>
    <row r="53" spans="1:36" x14ac:dyDescent="0.25">
      <c r="A53" s="433" t="s">
        <v>517</v>
      </c>
      <c r="B53" s="16" t="s">
        <v>198</v>
      </c>
      <c r="C53" s="17" t="s">
        <v>129</v>
      </c>
      <c r="D53" s="17" t="s">
        <v>131</v>
      </c>
      <c r="E53" s="349" t="s">
        <v>199</v>
      </c>
      <c r="F53" s="30" t="s">
        <v>19</v>
      </c>
      <c r="G53" s="30" t="s">
        <v>188</v>
      </c>
      <c r="H53" s="30" t="s">
        <v>200</v>
      </c>
      <c r="I53" s="30" t="s">
        <v>201</v>
      </c>
      <c r="J53" s="30" t="s">
        <v>202</v>
      </c>
      <c r="K53" s="30" t="s">
        <v>203</v>
      </c>
      <c r="L53" s="18" t="s">
        <v>204</v>
      </c>
      <c r="N53" s="16" t="s">
        <v>197</v>
      </c>
      <c r="O53" s="17" t="s">
        <v>196</v>
      </c>
      <c r="P53" s="17" t="s">
        <v>187</v>
      </c>
      <c r="Q53" s="17" t="s">
        <v>188</v>
      </c>
      <c r="R53" s="17" t="s">
        <v>189</v>
      </c>
      <c r="S53" s="17" t="s">
        <v>190</v>
      </c>
      <c r="T53" s="17" t="s">
        <v>191</v>
      </c>
      <c r="U53" s="17" t="s">
        <v>192</v>
      </c>
      <c r="V53" s="18" t="s">
        <v>193</v>
      </c>
      <c r="X53" s="16" t="s">
        <v>379</v>
      </c>
      <c r="Y53" s="349" t="s">
        <v>220</v>
      </c>
      <c r="Z53" s="17" t="s">
        <v>221</v>
      </c>
      <c r="AA53" s="17" t="s">
        <v>222</v>
      </c>
      <c r="AB53" s="17" t="s">
        <v>223</v>
      </c>
      <c r="AC53" s="17" t="s">
        <v>224</v>
      </c>
      <c r="AD53" s="18" t="s">
        <v>225</v>
      </c>
      <c r="AF53" s="28" t="s">
        <v>126</v>
      </c>
      <c r="AG53" s="29" t="s">
        <v>234</v>
      </c>
      <c r="AH53" s="30" t="s">
        <v>235</v>
      </c>
      <c r="AI53" s="30" t="s">
        <v>236</v>
      </c>
      <c r="AJ53" s="31" t="s">
        <v>237</v>
      </c>
    </row>
    <row r="54" spans="1:36" x14ac:dyDescent="0.25">
      <c r="A54" s="433"/>
      <c r="B54" s="13" t="s">
        <v>205</v>
      </c>
      <c r="C54" s="8">
        <f>SUMIF(Table12732[PS],"=1",Table12732[S-W])</f>
        <v>8</v>
      </c>
      <c r="D54" s="8">
        <f>SUMIF(Table12732[PS],"=1",Table12732[S-L])</f>
        <v>12</v>
      </c>
      <c r="E54" s="350">
        <f>SUMIF(Table12732[PS],"=1",Table12732[S-IP])</f>
        <v>136.33333333333334</v>
      </c>
      <c r="F54" s="12">
        <f>SUMIF(Table12732[PS],"=1",Table12732[S-H])</f>
        <v>143</v>
      </c>
      <c r="G54" s="12">
        <f>SUMIF(Table12732[PS],"=1",Table12732[S-R])</f>
        <v>73</v>
      </c>
      <c r="H54" s="12">
        <f>SUMIF(Table12732[PS],"=1",Table12732[S-ER])</f>
        <v>70</v>
      </c>
      <c r="I54" s="12">
        <f>SUMIF(Table12732[PS],"=1",Table12732[S-BB])</f>
        <v>55</v>
      </c>
      <c r="J54" s="12">
        <f>SUMIF(Table12732[PS],"=1",Table12732[S-SO])</f>
        <v>146</v>
      </c>
      <c r="K54" s="12">
        <f>SUMIF(Table12732[PS],"=1",Table12732[S-HR])</f>
        <v>7</v>
      </c>
      <c r="L54" s="19">
        <f t="shared" ref="L54:L68" si="7">((H54/E54)*9)</f>
        <v>4.6210268948655253</v>
      </c>
      <c r="N54" s="13">
        <v>1</v>
      </c>
      <c r="O54" s="9" t="str">
        <f>INDEX(Table12732[Starter1],MODE(MATCH(Table12732[Starter1],Table12732[Starter1],0)))</f>
        <v>Velasquez, I</v>
      </c>
      <c r="P54" s="7">
        <f>COUNTIF(Table12732[Starter1], INDEX(Table12732[Starter1],MODE(MATCH(Table12732[Starter1],Table12732[Starter1],0))))</f>
        <v>68</v>
      </c>
      <c r="Q54" s="10">
        <f>SUBTOTAL(109,Table12732[R1])</f>
        <v>76</v>
      </c>
      <c r="R54" s="7">
        <f>SUBTOTAL(109,Table12732[RBI1])</f>
        <v>50</v>
      </c>
      <c r="S54" s="11">
        <f>((SUM(Table12732[H1]))/(SUM(Table12732[AB1])))</f>
        <v>0.28723404255319152</v>
      </c>
      <c r="T54" s="11">
        <f>((SUM(Table12732[H1],Table12732[BB1],Table12732[HBP1]))/(SUM(Table12732[AB1],Table12732[BB1],Table12732[HBP1],Table12732[SF1])))</f>
        <v>0.35714285714285715</v>
      </c>
      <c r="U54" s="11">
        <f>((SUM(Table12732[TB1]))/(SUM(Table12732[AB1])))</f>
        <v>0.37588652482269502</v>
      </c>
      <c r="V54" s="22">
        <f t="shared" ref="V54:V63" si="8">(SUM((1.8*(T54)),U54)/4)</f>
        <v>0.25468591691995945</v>
      </c>
      <c r="X54" s="13" t="s">
        <v>218</v>
      </c>
      <c r="Y54" s="350">
        <f>SUM(Table12732[IVL])</f>
        <v>267.99999999999994</v>
      </c>
      <c r="Z54" s="8">
        <f>SUM(Table12732[SVL])</f>
        <v>37</v>
      </c>
      <c r="AA54" s="8">
        <f>SUM(Table12732[SVL],Table12732[CVL])</f>
        <v>48</v>
      </c>
      <c r="AB54" s="11">
        <f>(Z54/AA54)</f>
        <v>0.77083333333333337</v>
      </c>
      <c r="AC54" s="11">
        <f>((Z54/Y54)*9)</f>
        <v>1.2425373134328361</v>
      </c>
      <c r="AD54" s="22">
        <f>((AA54/Y54)*9)</f>
        <v>1.6119402985074631</v>
      </c>
      <c r="AF54" s="26" t="s">
        <v>238</v>
      </c>
      <c r="AG54" s="8">
        <f>COUNTIF(Table12732[Loc],"=H")</f>
        <v>67</v>
      </c>
      <c r="AH54" s="12">
        <f>AVERAGEIF(Table12732[Loc],"=H",Table12732[Att])</f>
        <v>2679.375</v>
      </c>
      <c r="AI54" s="12">
        <f>SUMIF(Table12732[Loc],"=H",Table12732[Att])</f>
        <v>171480</v>
      </c>
      <c r="AJ54" s="27">
        <f>AH54*70</f>
        <v>187556.25</v>
      </c>
    </row>
    <row r="55" spans="1:36" x14ac:dyDescent="0.25">
      <c r="A55" s="433"/>
      <c r="B55" s="13" t="s">
        <v>206</v>
      </c>
      <c r="C55" s="8">
        <f>SUMIF(Table12732[PS],"=1",Table12732[B-W])</f>
        <v>5</v>
      </c>
      <c r="D55" s="8">
        <f>SUMIF(Table12732[PS],"=1",Table12732[B-L])</f>
        <v>1</v>
      </c>
      <c r="E55" s="350">
        <f>SUMIF(Table12732[PS],"=1",Table12732[B-IP])</f>
        <v>89.666666666666657</v>
      </c>
      <c r="F55" s="12">
        <f>SUMIF(Table12732[PS],"=1",Table12732[B-H])</f>
        <v>79</v>
      </c>
      <c r="G55" s="12">
        <f>SUMIF(Table12732[PS],"=1",Table12732[B-R])</f>
        <v>31</v>
      </c>
      <c r="H55" s="12">
        <f>SUMIF(Table12732[PS],"=1",Table12732[B-ER])</f>
        <v>28</v>
      </c>
      <c r="I55" s="12">
        <f>SUMIF(Table12732[PS],"=1",Table12732[B-BB])</f>
        <v>28</v>
      </c>
      <c r="J55" s="12">
        <f>SUMIF(Table12732[PS],"=1",Table12732[B-SO])</f>
        <v>103</v>
      </c>
      <c r="K55" s="12">
        <f>SUMIF(Table12732[PS],"=1",Table12732[B-HR])</f>
        <v>8</v>
      </c>
      <c r="L55" s="19">
        <f t="shared" si="7"/>
        <v>2.8104089219330857</v>
      </c>
      <c r="N55" s="13">
        <v>2</v>
      </c>
      <c r="O55" s="9" t="str">
        <f>INDEX(Table12732[Starter2],MODE(MATCH(Table12732[Starter2],Table12732[Starter2],0)))</f>
        <v>Beckham, T</v>
      </c>
      <c r="P55" s="7">
        <f>COUNTIF(Table12732[Starter2], INDEX(Table12732[Starter2],MODE(MATCH(Table12732[Starter2],Table12732[Starter2],0))))</f>
        <v>117</v>
      </c>
      <c r="Q55" s="7">
        <f>SUBTOTAL(109,Table12732[R2])</f>
        <v>74</v>
      </c>
      <c r="R55" s="7">
        <f>SUBTOTAL(109,Table12732[RBI2])</f>
        <v>60</v>
      </c>
      <c r="S55" s="11">
        <f>((SUM(Table12732[H2]))/(SUM(Table12732[AB2])))</f>
        <v>0.2574626865671642</v>
      </c>
      <c r="T55" s="11">
        <f>((SUM(Table12732[H2],Table12732[BB2],Table12732[HBP2]))/(SUM(Table12732[AB2],Table12732[BB2],Table12732[HBP2],Table12732[SF2])))</f>
        <v>0.34369885433715219</v>
      </c>
      <c r="U55" s="11">
        <f>((SUM(Table12732[TB2]))/(SUM(Table12732[AB2])))</f>
        <v>0.35261194029850745</v>
      </c>
      <c r="V55" s="22">
        <f t="shared" si="8"/>
        <v>0.24281746952634536</v>
      </c>
      <c r="X55" s="13" t="s">
        <v>219</v>
      </c>
      <c r="Y55" s="350">
        <f>SUM(Table12732[IVR])</f>
        <v>944</v>
      </c>
      <c r="Z55" s="8">
        <f>SUM(Table12732[SVR])</f>
        <v>80</v>
      </c>
      <c r="AA55" s="8">
        <f>SUM(Table12732[SVR],Table12732[CVR])</f>
        <v>117</v>
      </c>
      <c r="AB55" s="11">
        <f>(Z55/AA55)</f>
        <v>0.68376068376068377</v>
      </c>
      <c r="AC55" s="11">
        <f>((Z55/Y55)*9)</f>
        <v>0.76271186440677963</v>
      </c>
      <c r="AD55" s="22">
        <f>((AA55/Y55)*9)</f>
        <v>1.1154661016949152</v>
      </c>
      <c r="AF55" s="26" t="s">
        <v>239</v>
      </c>
      <c r="AG55" s="8">
        <f>COUNTIF(Table12732[Loc],"=A")</f>
        <v>72</v>
      </c>
      <c r="AH55" s="12">
        <f>AVERAGEIF(Table12732[Loc],"=A",Table12732[Att])</f>
        <v>1154.5384615384614</v>
      </c>
      <c r="AI55" s="12">
        <f>SUMIF(Table12732[Loc],"=A",Table12732[Att])</f>
        <v>75045</v>
      </c>
      <c r="AJ55" s="27">
        <f>AH55*70</f>
        <v>80817.692307692298</v>
      </c>
    </row>
    <row r="56" spans="1:36" x14ac:dyDescent="0.25">
      <c r="A56" s="433"/>
      <c r="B56" s="13" t="s">
        <v>207</v>
      </c>
      <c r="C56" s="8">
        <f>SUMIF(Table12732[PS],"=2",Table12732[S-W])</f>
        <v>11</v>
      </c>
      <c r="D56" s="8">
        <f>SUMIF(Table12732[PS],"=2",Table12732[S-L])</f>
        <v>6</v>
      </c>
      <c r="E56" s="350">
        <f>SUMIF(Table12732[PS],"=2",Table12732[S-IP])</f>
        <v>151.66666666666666</v>
      </c>
      <c r="F56" s="12">
        <f>SUMIF(Table12732[PS],"=2",Table12732[S-H])</f>
        <v>111</v>
      </c>
      <c r="G56" s="12">
        <f>SUMIF(Table12732[PS],"=2",Table12732[S-R])</f>
        <v>50</v>
      </c>
      <c r="H56" s="12">
        <f>SUMIF(Table12732[PS],"=2",Table12732[S-ER])</f>
        <v>44</v>
      </c>
      <c r="I56" s="12">
        <f>SUMIF(Table12732[PS],"=2",Table12732[S-BB])</f>
        <v>45</v>
      </c>
      <c r="J56" s="12">
        <f>SUMIF(Table12732[PS],"=2",Table12732[S-SO])</f>
        <v>143</v>
      </c>
      <c r="K56" s="12">
        <f>SUMIF(Table12732[PS],"=2",Table12732[S-HR])</f>
        <v>4</v>
      </c>
      <c r="L56" s="19">
        <f t="shared" si="7"/>
        <v>2.610989010989011</v>
      </c>
      <c r="N56" s="13">
        <v>3</v>
      </c>
      <c r="O56" s="9" t="str">
        <f>INDEX(Table12732[Starter3],MODE(MATCH(Table12732[Starter3],Table12732[Starter3],0)))</f>
        <v>Vogt, S</v>
      </c>
      <c r="P56" s="7">
        <f>COUNTIF(Table12732[Starter3], INDEX(Table12732[Starter3],MODE(MATCH(Table12732[Starter3],Table12732[Starter3],0))))</f>
        <v>57</v>
      </c>
      <c r="Q56" s="7">
        <f>SUBTOTAL(109,Table12732[R3])</f>
        <v>59</v>
      </c>
      <c r="R56" s="7">
        <f>SUBTOTAL(109,Table12732[RBI3])</f>
        <v>63</v>
      </c>
      <c r="S56" s="11">
        <f>((SUM(Table12732[H3]))/(SUM(Table12732[AB3])))</f>
        <v>0.28518518518518521</v>
      </c>
      <c r="T56" s="11">
        <f>((SUM(Table12732[H3],Table12732[BB3],Table12732[HBP3]))/(SUM(Table12732[AB3],Table12732[BB3],Table12732[HBP3],Table12732[SF3])))</f>
        <v>0.34883720930232559</v>
      </c>
      <c r="U56" s="11">
        <f>((SUM(Table12732[TB3]))/(SUM(Table12732[AB3])))</f>
        <v>0.40555555555555556</v>
      </c>
      <c r="V56" s="22">
        <f t="shared" si="8"/>
        <v>0.25836563307493543</v>
      </c>
      <c r="X56" s="14" t="s">
        <v>194</v>
      </c>
      <c r="Y56" s="351">
        <f>SUM(Table12732[IVL],Table12732[IVR])</f>
        <v>1211.9999999999998</v>
      </c>
      <c r="Z56" s="20">
        <f>SUM(Table12732[SVL],Table12732[SVR])</f>
        <v>117</v>
      </c>
      <c r="AA56" s="20">
        <f>SUM(Table12732[SVL],Table12732[CVL],Table12732[SVR],Table12732[CVR])</f>
        <v>165</v>
      </c>
      <c r="AB56" s="24">
        <f>(Z56/AA56)</f>
        <v>0.70909090909090911</v>
      </c>
      <c r="AC56" s="24">
        <f>((Z56/Y56)*9)</f>
        <v>0.86881188118811892</v>
      </c>
      <c r="AD56" s="25">
        <f>((AA56/Y56)*9)</f>
        <v>1.2252475247524757</v>
      </c>
      <c r="AF56" s="32" t="s">
        <v>34</v>
      </c>
      <c r="AG56" s="20">
        <f>COUNT(Table12732[Date])</f>
        <v>139</v>
      </c>
      <c r="AH56" s="33">
        <f>AVERAGE(Table12732[Att])</f>
        <v>1911.046511627907</v>
      </c>
      <c r="AI56" s="33">
        <f>SUM(Table12732[Att])</f>
        <v>246525</v>
      </c>
      <c r="AJ56" s="34">
        <f>AH56*140</f>
        <v>267546.51162790699</v>
      </c>
    </row>
    <row r="57" spans="1:36" x14ac:dyDescent="0.25">
      <c r="A57" s="433"/>
      <c r="B57" s="13" t="s">
        <v>208</v>
      </c>
      <c r="C57" s="8">
        <f>SUMIF(Table12732[PS],"=2",Table12732[B-W])</f>
        <v>8</v>
      </c>
      <c r="D57" s="8">
        <f>SUMIF(Table12732[PS],"=2",Table12732[B-L])</f>
        <v>1</v>
      </c>
      <c r="E57" s="350">
        <f>SUMIF(Table12732[PS],"=2",Table12732[B-IP])</f>
        <v>95.333333333333329</v>
      </c>
      <c r="F57" s="12">
        <f>SUMIF(Table12732[PS],"=2",Table12732[B-H])</f>
        <v>69</v>
      </c>
      <c r="G57" s="12">
        <f>SUMIF(Table12732[PS],"=2",Table12732[B-R])</f>
        <v>19</v>
      </c>
      <c r="H57" s="12">
        <f>SUMIF(Table12732[PS],"=2",Table12732[B-ER])</f>
        <v>18</v>
      </c>
      <c r="I57" s="12">
        <f>SUMIF(Table12732[PS],"=2",Table12732[B-BB])</f>
        <v>26</v>
      </c>
      <c r="J57" s="12">
        <f>SUMIF(Table12732[PS],"=2",Table12732[B-SO])</f>
        <v>111</v>
      </c>
      <c r="K57" s="12">
        <f>SUMIF(Table12732[PS],"=2",Table12732[B-HR])</f>
        <v>6</v>
      </c>
      <c r="L57" s="19">
        <f t="shared" si="7"/>
        <v>1.6993006993006994</v>
      </c>
      <c r="N57" s="13">
        <v>4</v>
      </c>
      <c r="O57" s="9" t="str">
        <f>INDEX(Table12732[Starter4],MODE(MATCH(Table12732[Starter4],Table12732[Starter4],0)))</f>
        <v>Wrigley, H</v>
      </c>
      <c r="P57" s="7">
        <f>COUNTIF(Table12732[Starter4], INDEX(Table12732[Starter4],MODE(MATCH(Table12732[Starter4],Table12732[Starter4],0))))</f>
        <v>57</v>
      </c>
      <c r="Q57" s="7">
        <f>SUBTOTAL(109,Table12732[R4])</f>
        <v>68</v>
      </c>
      <c r="R57" s="7">
        <f>SUBTOTAL(109,Table12732[RBI4])</f>
        <v>73</v>
      </c>
      <c r="S57" s="11">
        <f>((SUM(Table12732[H4]))/(SUM(Table12732[AB4])))</f>
        <v>0.26806083650190116</v>
      </c>
      <c r="T57" s="11">
        <f>((SUM(Table12732[H4],Table12732[BB4],Table12732[HBP4]))/(SUM(Table12732[AB4],Table12732[BB4],Table12732[HBP4],Table12732[SF4])))</f>
        <v>0.34175084175084175</v>
      </c>
      <c r="U57" s="11">
        <f>((SUM(Table12732[TB4]))/(SUM(Table12732[AB4])))</f>
        <v>0.4049429657794677</v>
      </c>
      <c r="V57" s="22">
        <f t="shared" si="8"/>
        <v>0.25502362023274572</v>
      </c>
    </row>
    <row r="58" spans="1:36" x14ac:dyDescent="0.25">
      <c r="A58" s="433"/>
      <c r="B58" s="13" t="s">
        <v>209</v>
      </c>
      <c r="C58" s="8">
        <f>SUMIF(Table12732[PS],"=3",Table12732[S-W])</f>
        <v>9</v>
      </c>
      <c r="D58" s="8">
        <f>SUMIF(Table12732[PS],"=3",Table12732[S-L])</f>
        <v>8</v>
      </c>
      <c r="E58" s="350">
        <f>SUMIF(Table12732[PS],"=3",Table12732[S-IP])</f>
        <v>140.00000000000003</v>
      </c>
      <c r="F58" s="12">
        <f>SUMIF(Table12732[PS],"=3",Table12732[S-H])</f>
        <v>150</v>
      </c>
      <c r="G58" s="12">
        <f>SUMIF(Table12732[PS],"=3",Table12732[S-R])</f>
        <v>72</v>
      </c>
      <c r="H58" s="12">
        <f>SUMIF(Table12732[PS],"=3",Table12732[S-ER])</f>
        <v>59</v>
      </c>
      <c r="I58" s="12">
        <f>SUMIF(Table12732[PS],"=3",Table12732[S-BB])</f>
        <v>45</v>
      </c>
      <c r="J58" s="12">
        <f>SUMIF(Table12732[PS],"=3",Table12732[S-SO])</f>
        <v>118</v>
      </c>
      <c r="K58" s="12">
        <f>SUMIF(Table12732[PS],"=3",Table12732[S-HR])</f>
        <v>7</v>
      </c>
      <c r="L58" s="19">
        <f t="shared" si="7"/>
        <v>3.7928571428571418</v>
      </c>
      <c r="N58" s="13">
        <v>5</v>
      </c>
      <c r="O58" s="9" t="str">
        <f>INDEX(Table12732[Starter5],MODE(MATCH(Table12732[Starter5],Table12732[Starter5],0)))</f>
        <v>Vogt, S</v>
      </c>
      <c r="P58" s="7">
        <f>COUNTIF(Table12732[Starter5], INDEX(Table12732[Starter5],MODE(MATCH(Table12732[Starter5],Table12732[Starter5],0))))</f>
        <v>29</v>
      </c>
      <c r="Q58" s="7">
        <f>SUBTOTAL(109,Table12732[R5])</f>
        <v>70</v>
      </c>
      <c r="R58" s="7">
        <f>SUBTOTAL(109,Table12732[RBI5])</f>
        <v>61</v>
      </c>
      <c r="S58" s="11">
        <f>((SUM(Table12732[H5]))/(SUM(Table12732[AB5])))</f>
        <v>0.2583170254403131</v>
      </c>
      <c r="T58" s="11">
        <f>((SUM(Table12732[H5],Table12732[BB5],Table12732[HBP5]))/(SUM(Table12732[AB5],Table12732[BB5],Table12732[HBP5],Table12732[SF5])))</f>
        <v>0.33562822719449226</v>
      </c>
      <c r="U58" s="11">
        <f>((SUM(Table12732[TB5]))/(SUM(Table12732[AB5])))</f>
        <v>0.39921722113502933</v>
      </c>
      <c r="V58" s="22">
        <f t="shared" si="8"/>
        <v>0.25083700752127885</v>
      </c>
    </row>
    <row r="59" spans="1:36" x14ac:dyDescent="0.25">
      <c r="A59" s="433"/>
      <c r="B59" s="13" t="s">
        <v>214</v>
      </c>
      <c r="C59" s="8">
        <f>SUMIF(Table12732[PS],"=3",Table12732[B-W])</f>
        <v>6</v>
      </c>
      <c r="D59" s="8">
        <f>SUMIF(Table12732[PS],"=3",Table12732[B-L])</f>
        <v>4</v>
      </c>
      <c r="E59" s="350">
        <f>SUMIF(Table12732[PS],"=3",Table12732[B-IP])</f>
        <v>95.000000000000014</v>
      </c>
      <c r="F59" s="12">
        <f>SUMIF(Table12732[PS],"=3",Table12732[B-H])</f>
        <v>70</v>
      </c>
      <c r="G59" s="12">
        <f>SUMIF(Table12732[PS],"=3",Table12732[B-R])</f>
        <v>37</v>
      </c>
      <c r="H59" s="12">
        <f>SUMIF(Table12732[PS],"=3",Table12732[B-ER])</f>
        <v>29</v>
      </c>
      <c r="I59" s="12">
        <f>SUMIF(Table12732[PS],"=3",Table12732[B-BB])</f>
        <v>34</v>
      </c>
      <c r="J59" s="12">
        <f>SUMIF(Table12732[PS],"=3",Table12732[B-SO])</f>
        <v>106</v>
      </c>
      <c r="K59" s="12">
        <f>SUMIF(Table12732[PS],"=3",Table12732[B-HR])</f>
        <v>3</v>
      </c>
      <c r="L59" s="19">
        <f t="shared" si="7"/>
        <v>2.7473684210526312</v>
      </c>
      <c r="N59" s="13">
        <v>6</v>
      </c>
      <c r="O59" s="9" t="str">
        <f>INDEX(Table12732[Starter6],MODE(MATCH(Table12732[Starter6],Table12732[Starter6],0)))</f>
        <v>Jefferies, J</v>
      </c>
      <c r="P59" s="7">
        <f>COUNTIF(Table12732[Starter6], INDEX(Table12732[Starter6],MODE(MATCH(Table12732[Starter6],Table12732[Starter6],0))))</f>
        <v>39</v>
      </c>
      <c r="Q59" s="7">
        <f>SUBTOTAL(109,Table12732[R6])</f>
        <v>54</v>
      </c>
      <c r="R59" s="7">
        <f>SUBTOTAL(109,Table12732[RBI6])</f>
        <v>49</v>
      </c>
      <c r="S59" s="11">
        <f>((SUM(Table12732[H6]))/(SUM(Table12732[AB6])))</f>
        <v>0.26550387596899228</v>
      </c>
      <c r="T59" s="11">
        <f>((SUM(Table12732[H6],Table12732[BB6],Table12732[HBP6]))/(SUM(Table12732[AB6],Table12732[BB6],Table12732[HBP6],Table12732[SF6])))</f>
        <v>0.32627865961199293</v>
      </c>
      <c r="U59" s="11">
        <f>((SUM(Table12732[TB6]))/(SUM(Table12732[AB6])))</f>
        <v>0.35852713178294576</v>
      </c>
      <c r="V59" s="22">
        <f t="shared" si="8"/>
        <v>0.23645717977113329</v>
      </c>
    </row>
    <row r="60" spans="1:36" x14ac:dyDescent="0.25">
      <c r="A60" s="433"/>
      <c r="B60" s="13" t="s">
        <v>210</v>
      </c>
      <c r="C60" s="8">
        <f>SUMIF(Table12732[PS],"=4",Table12732[S-W])</f>
        <v>12</v>
      </c>
      <c r="D60" s="8">
        <f>SUMIF(Table12732[PS],"=4",Table12732[S-L])</f>
        <v>11</v>
      </c>
      <c r="E60" s="350">
        <f>SUMIF(Table12732[PS],"=4",Table12732[S-IP])</f>
        <v>147.66666666666666</v>
      </c>
      <c r="F60" s="12">
        <f>SUMIF(Table12732[PS],"=4",Table12732[S-H])</f>
        <v>180</v>
      </c>
      <c r="G60" s="12">
        <f>SUMIF(Table12732[PS],"=4",Table12732[S-R])</f>
        <v>87</v>
      </c>
      <c r="H60" s="12">
        <f>SUMIF(Table12732[PS],"=4",Table12732[S-ER])</f>
        <v>73</v>
      </c>
      <c r="I60" s="12">
        <f>SUMIF(Table12732[PS],"=4",Table12732[S-BB])</f>
        <v>42</v>
      </c>
      <c r="J60" s="12">
        <f>SUMIF(Table12732[PS],"=4",Table12732[S-SO])</f>
        <v>120</v>
      </c>
      <c r="K60" s="12">
        <f>SUMIF(Table12732[PS],"=4",Table12732[S-HR])</f>
        <v>7</v>
      </c>
      <c r="L60" s="19">
        <f t="shared" si="7"/>
        <v>4.4492099322799099</v>
      </c>
      <c r="N60" s="13">
        <v>7</v>
      </c>
      <c r="O60" s="9" t="str">
        <f>INDEX(Table12732[Starter7],MODE(MATCH(Table12732[Starter7],Table12732[Starter7],0)))</f>
        <v>Sheridan, M</v>
      </c>
      <c r="P60" s="7">
        <f>COUNTIF(Table12732[Starter7], INDEX(Table12732[Starter7],MODE(MATCH(Table12732[Starter7],Table12732[Starter7],0))))</f>
        <v>49</v>
      </c>
      <c r="Q60" s="7">
        <f>SUBTOTAL(109,Table12732[R7])</f>
        <v>46</v>
      </c>
      <c r="R60" s="7">
        <f>SUBTOTAL(109,Table12732[RBI7])</f>
        <v>59</v>
      </c>
      <c r="S60" s="11">
        <f>((SUM(Table12732[H7]))/(SUM(Table12732[AB7])))</f>
        <v>0.25051334702258726</v>
      </c>
      <c r="T60" s="11">
        <f>((SUM(Table12732[H7],Table12732[BB7],Table12732[HBP7]))/(SUM(Table12732[AB7],Table12732[BB7],Table12732[HBP7],Table12732[SF7])))</f>
        <v>0.32234432234432236</v>
      </c>
      <c r="U60" s="11">
        <f>((SUM(Table12732[TB7]))/(SUM(Table12732[AB7])))</f>
        <v>0.32032854209445583</v>
      </c>
      <c r="V60" s="22">
        <f t="shared" si="8"/>
        <v>0.22513708057855902</v>
      </c>
    </row>
    <row r="61" spans="1:36" x14ac:dyDescent="0.25">
      <c r="A61" s="433"/>
      <c r="B61" s="13" t="s">
        <v>215</v>
      </c>
      <c r="C61" s="8">
        <f>SUMIF(Table12732[PS],"=4",Table12732[B-W])</f>
        <v>1</v>
      </c>
      <c r="D61" s="8">
        <f>SUMIF(Table12732[PS],"=4",Table12732[B-L])</f>
        <v>2</v>
      </c>
      <c r="E61" s="350">
        <f>SUMIF(Table12732[PS],"=4",Table12732[B-IP])</f>
        <v>74.333333333333329</v>
      </c>
      <c r="F61" s="12">
        <f>SUMIF(Table12732[PS],"=4",Table12732[B-H])</f>
        <v>54</v>
      </c>
      <c r="G61" s="12">
        <f>SUMIF(Table12732[PS],"=4",Table12732[B-R])</f>
        <v>27</v>
      </c>
      <c r="H61" s="12">
        <f>SUMIF(Table12732[PS],"=4",Table12732[B-ER])</f>
        <v>16</v>
      </c>
      <c r="I61" s="12">
        <f>SUMIF(Table12732[PS],"=4",Table12732[B-BB])</f>
        <v>23</v>
      </c>
      <c r="J61" s="12">
        <f>SUMIF(Table12732[PS],"=4",Table12732[B-SO])</f>
        <v>76</v>
      </c>
      <c r="K61" s="12">
        <f>SUMIF(Table12732[PS],"=4",Table12732[B-HR])</f>
        <v>5</v>
      </c>
      <c r="L61" s="19">
        <f t="shared" si="7"/>
        <v>1.9372197309417041</v>
      </c>
      <c r="N61" s="13">
        <v>8</v>
      </c>
      <c r="O61" s="9" t="str">
        <f>INDEX(Table12732[Starter8],MODE(MATCH(Table12732[Starter8],Table12732[Starter8],0)))</f>
        <v>Fronk, R</v>
      </c>
      <c r="P61" s="7">
        <f>COUNTIF(Table12732[Starter8], INDEX(Table12732[Starter8],MODE(MATCH(Table12732[Starter8],Table12732[Starter8],0))))</f>
        <v>36</v>
      </c>
      <c r="Q61" s="7">
        <f>SUBTOTAL(109,Table12732[R8])</f>
        <v>54</v>
      </c>
      <c r="R61" s="7">
        <f>SUBTOTAL(109,Table12732[RBI8])</f>
        <v>50</v>
      </c>
      <c r="S61" s="11">
        <f>((SUM(Table12732[H8]))/(SUM(Table12732[AB8])))</f>
        <v>0.24017467248908297</v>
      </c>
      <c r="T61" s="11">
        <f>((SUM(Table12732[H8],Table12732[BB8],Table12732[HBP8]))/(SUM(Table12732[AB8],Table12732[BB8],Table12732[HBP8],Table12732[SF8])))</f>
        <v>0.33333333333333331</v>
      </c>
      <c r="U61" s="11">
        <f>((SUM(Table12732[TB8]))/(SUM(Table12732[AB8])))</f>
        <v>0.37336244541484714</v>
      </c>
      <c r="V61" s="22">
        <f t="shared" si="8"/>
        <v>0.24334061135371177</v>
      </c>
    </row>
    <row r="62" spans="1:36" x14ac:dyDescent="0.25">
      <c r="A62" s="433"/>
      <c r="B62" s="13" t="s">
        <v>211</v>
      </c>
      <c r="C62" s="8">
        <f>SUMIF(Table12732[PS],"=5",Table12732[S-W])</f>
        <v>8</v>
      </c>
      <c r="D62" s="8">
        <f>SUMIF(Table12732[PS],"=5",Table12732[S-L])</f>
        <v>6</v>
      </c>
      <c r="E62" s="350">
        <f>SUMIF(Table12732[PS],"=5",Table12732[S-IP])</f>
        <v>146.66666666666669</v>
      </c>
      <c r="F62" s="12">
        <f>SUMIF(Table12732[PS],"=5",Table12732[S-H])</f>
        <v>125</v>
      </c>
      <c r="G62" s="12">
        <f>SUMIF(Table12732[PS],"=5",Table12732[S-R])</f>
        <v>62</v>
      </c>
      <c r="H62" s="12">
        <f>SUMIF(Table12732[PS],"=5",Table12732[S-ER])</f>
        <v>45</v>
      </c>
      <c r="I62" s="12">
        <f>SUMIF(Table12732[PS],"=5",Table12732[S-BB])</f>
        <v>38</v>
      </c>
      <c r="J62" s="12">
        <f>SUMIF(Table12732[PS],"=5",Table12732[S-SO])</f>
        <v>134</v>
      </c>
      <c r="K62" s="12">
        <f>SUMIF(Table12732[PS],"=5",Table12732[S-HR])</f>
        <v>6</v>
      </c>
      <c r="L62" s="19">
        <f t="shared" si="7"/>
        <v>2.7613636363636358</v>
      </c>
      <c r="N62" s="13">
        <v>9</v>
      </c>
      <c r="O62" s="9" t="str">
        <f>INDEX(Table12732[Starter9],MODE(MATCH(Table12732[Starter9],Table12732[Starter9],0)))</f>
        <v>Hall, M</v>
      </c>
      <c r="P62" s="7">
        <f>COUNTIF(Table12732[Starter9], INDEX(Table12732[Starter9],MODE(MATCH(Table12732[Starter9],Table12732[Starter9],0))))</f>
        <v>71</v>
      </c>
      <c r="Q62" s="7">
        <f>SUBTOTAL(109,Table12732[R9])</f>
        <v>57</v>
      </c>
      <c r="R62" s="7">
        <f>SUBTOTAL(109,Table12732[RBI9])</f>
        <v>37</v>
      </c>
      <c r="S62" s="11">
        <f>((SUM(Table12732[H9]))/(SUM(Table12732[AB9])))</f>
        <v>0.19957081545064378</v>
      </c>
      <c r="T62" s="11">
        <f>((SUM(Table12732[H9],Table12732[BB9],Table12732[HBP9]))/(SUM(Table12732[AB9],Table12732[BB9],Table12732[HBP9],Table12732[SF9])))</f>
        <v>0.2608695652173913</v>
      </c>
      <c r="U62" s="11">
        <f>((SUM(Table12732[TB9]))/(SUM(Table12732[AB9])))</f>
        <v>0.27896995708154504</v>
      </c>
      <c r="V62" s="22">
        <f t="shared" si="8"/>
        <v>0.18713379361821236</v>
      </c>
    </row>
    <row r="63" spans="1:36" x14ac:dyDescent="0.25">
      <c r="A63" s="433"/>
      <c r="B63" s="13" t="s">
        <v>216</v>
      </c>
      <c r="C63" s="8">
        <f>SUMIF(Table12732[PS],"=5",Table12732[B-W])</f>
        <v>7</v>
      </c>
      <c r="D63" s="8">
        <f>SUMIF(Table12732[PS],"=5",Table12732[B-L])</f>
        <v>5</v>
      </c>
      <c r="E63" s="350">
        <f>SUMIF(Table12732[PS],"=5",Table12732[B-IP])</f>
        <v>87</v>
      </c>
      <c r="F63" s="12">
        <f>SUMIF(Table12732[PS],"=5",Table12732[B-H])</f>
        <v>72</v>
      </c>
      <c r="G63" s="12">
        <f>SUMIF(Table12732[PS],"=5",Table12732[B-R])</f>
        <v>25</v>
      </c>
      <c r="H63" s="12">
        <f>SUMIF(Table12732[PS],"=5",Table12732[B-ER])</f>
        <v>24</v>
      </c>
      <c r="I63" s="12">
        <f>SUMIF(Table12732[PS],"=5",Table12732[B-BB])</f>
        <v>35</v>
      </c>
      <c r="J63" s="12">
        <f>SUMIF(Table12732[PS],"=5",Table12732[B-SO])</f>
        <v>93</v>
      </c>
      <c r="K63" s="12">
        <f>SUMIF(Table12732[PS],"=5",Table12732[B-HR])</f>
        <v>2</v>
      </c>
      <c r="L63" s="19">
        <f t="shared" si="7"/>
        <v>2.4827586206896552</v>
      </c>
      <c r="N63" s="40" t="s">
        <v>194</v>
      </c>
      <c r="O63" s="23"/>
      <c r="P63" s="15">
        <f>SUBTOTAL(103,Table12732[Date])</f>
        <v>139</v>
      </c>
      <c r="Q63" s="15">
        <f>SUM(Table12732[R1],Table12732[R2],Table12732[R3],Table12732[R4],Table12732[R5],Table12732[R6],Table12732[R7],Table12732[R8],Table12732[R9])</f>
        <v>558</v>
      </c>
      <c r="R63" s="15">
        <f>SUM(Table12732[RBI1],Table12732[RBI2],Table12732[RBI3],Table12732[RBI4],Table12732[RBI5],Table12732[RBI6],Table12732[RBI7],Table12732[RBI8],Table12732[RBI9])</f>
        <v>502</v>
      </c>
      <c r="S63" s="24">
        <f>((SUM(Table12732[H1],Table12732[H2],Table12732[H3],Table12732[H4],Table12732[H5],Table12732[H6],Table12732[H7],Table12732[H8],Table12732[H9]))/(SUM(Table12732[AB1],Table12732[AB2],Table12732[AB3],Table12732[AB4],Table12732[AB5],Table12732[AB6],Table12732[AB7],Table12732[AB8],Table12732[AB9])))</f>
        <v>0.25825369244135532</v>
      </c>
      <c r="T63" s="24">
        <f>((SUM(Table12732[H1],Table12732[BB1],Table12732[HBP1],Table12732[H2],Table12732[BB2],Table12732[HBP2],Table12732[H3],Table12732[BB3],Table12732[HBP3],Table12732[H4],Table12732[BB4],Table12732[HBP4],Table12732[H5],Table12732[BB5],Table12732[HBP5],Table12732[H6],Table12732[BB6],Table12732[HBP6],Table12732[H7],Table12732[BB7],Table12732[HBP7],Table12732[H8],Table12732[BB8],Table12732[HBP8],Table12732[H9],Table12732[BB9],Table12732[HBP9]))/(SUM(Table12732[AB1],Table12732[BB1],Table12732[HBP1],Table12732[SF1],Table12732[AB2],Table12732[BB2],Table12732[HBP2],Table12732[SF2],Table12732[AB3],Table12732[BB3],Table12732[HBP3],Table12732[SF3],Table12732[AB4],Table12732[BB4],Table12732[HBP4],Table12732[SF4],Table12732[AB5],Table12732[BB5],Table12732[HBP5],Table12732[SF5],Table12732[AB6],Table12732[BB6],Table12732[HBP6],Table12732[SF6],Table12732[AB7],Table12732[BB7],Table12732[HBP7],Table12732[SF7],Table12732[AB8],Table12732[BB8],Table12732[HBP8],Table12732[SF8],Table12732[AB9],Table12732[BB9],Table12732[HBP9],Table12732[SF9])))</f>
        <v>0.33146284829721362</v>
      </c>
      <c r="U63" s="24">
        <f>((SUM(Table12732[TB1],Table12732[TB2],Table12732[TB3],Table12732[TB4],Table12732[TB5],Table12732[TB6],Table12732[TB7],Table12732[TB8],Table12732[TB9]))/(SUM(Table12732[AB1],Table12732[AB2],Table12732[AB3],Table12732[AB4],Table12732[AB5],Table12732[AB6],Table12732[AB7],Table12732[AB8],Table12732[AB9])))</f>
        <v>0.36468288444830582</v>
      </c>
      <c r="V63" s="25">
        <f t="shared" si="8"/>
        <v>0.24032900284582259</v>
      </c>
    </row>
    <row r="64" spans="1:36" x14ac:dyDescent="0.25">
      <c r="A64" s="433"/>
      <c r="B64" s="13" t="s">
        <v>528</v>
      </c>
      <c r="C64" s="8">
        <f>SUMIF(Table12732[PS],"=S",Table12732[S-W])</f>
        <v>3</v>
      </c>
      <c r="D64" s="8">
        <f>SUMIF(Table12732[PS],"=S",Table12732[S-L])</f>
        <v>2</v>
      </c>
      <c r="E64" s="350">
        <f>SUMIF(Table12732[PS],"=S",Table12732[S-IP])</f>
        <v>31</v>
      </c>
      <c r="F64" s="12">
        <f>SUMIF(Table12732[PS],"=S",Table12732[S-H])</f>
        <v>20</v>
      </c>
      <c r="G64" s="12">
        <f>SUMIF(Table12732[PS],"=S",Table12732[S-R])</f>
        <v>7</v>
      </c>
      <c r="H64" s="12">
        <f>SUMIF(Table12732[PS],"=S",Table12732[S-ER])</f>
        <v>6</v>
      </c>
      <c r="I64" s="12">
        <f>SUMIF(Table12732[PS],"=S",Table12732[S-BB])</f>
        <v>11</v>
      </c>
      <c r="J64" s="12">
        <f>SUMIF(Table12732[PS],"=S",Table12732[S-SO])</f>
        <v>15</v>
      </c>
      <c r="K64" s="12">
        <f>SUMIF(Table12732[PS],"=S",Table12732[S-HR])</f>
        <v>1</v>
      </c>
      <c r="L64" s="19">
        <f>((H64/E64)*9)</f>
        <v>1.7419354838709677</v>
      </c>
      <c r="N64" s="169"/>
      <c r="O64" s="169"/>
      <c r="P64" s="170"/>
      <c r="Q64" s="170"/>
      <c r="R64" s="170"/>
      <c r="S64" s="171"/>
      <c r="T64" s="171"/>
      <c r="U64" s="171"/>
      <c r="V64" s="171"/>
    </row>
    <row r="65" spans="1:36" x14ac:dyDescent="0.25">
      <c r="A65" s="433"/>
      <c r="B65" s="13" t="s">
        <v>20</v>
      </c>
      <c r="C65" s="8">
        <f>SUMIF(Table12732[PS],"=S",Table12732[B-W])</f>
        <v>1</v>
      </c>
      <c r="D65" s="8">
        <f>SUMIF(Table12732[PS],"=S",Table12732[B-L])</f>
        <v>0</v>
      </c>
      <c r="E65" s="350">
        <f>SUMIF(Table12732[PS],"=S",Table12732[B-IP])</f>
        <v>17</v>
      </c>
      <c r="F65" s="12">
        <f>SUMIF(Table12732[PS],"=S",Table12732[B-H])</f>
        <v>9</v>
      </c>
      <c r="G65" s="12">
        <f>SUMIF(Table12732[PS],"=S",Table12732[B-R])</f>
        <v>3</v>
      </c>
      <c r="H65" s="12">
        <f>SUMIF(Table12732[PS],"=S",Table12732[B-ER])</f>
        <v>3</v>
      </c>
      <c r="I65" s="12">
        <f>SUMIF(Table12732[PS],"=S",Table12732[B-BB])</f>
        <v>6</v>
      </c>
      <c r="J65" s="12">
        <f>SUMIF(Table12732[PS],"=S",Table12732[B-SO])</f>
        <v>11</v>
      </c>
      <c r="K65" s="12">
        <f>SUMIF(Table12732[PS],"=S",Table12732[B-HR])</f>
        <v>0</v>
      </c>
      <c r="L65" s="19">
        <f>((H65/E65)*9)</f>
        <v>1.5882352941176472</v>
      </c>
      <c r="N65" s="169"/>
      <c r="O65" s="169"/>
      <c r="P65" s="170"/>
      <c r="Q65" s="170"/>
      <c r="R65" s="170"/>
      <c r="S65" s="171"/>
      <c r="T65" s="171"/>
      <c r="U65" s="171"/>
      <c r="V65" s="171"/>
    </row>
    <row r="66" spans="1:36" x14ac:dyDescent="0.25">
      <c r="A66" s="433"/>
      <c r="B66" s="13" t="s">
        <v>212</v>
      </c>
      <c r="C66" s="8">
        <f>SUM(Table12732[S-W])</f>
        <v>51</v>
      </c>
      <c r="D66" s="8">
        <f>SUM(Table12732[S-L])</f>
        <v>46</v>
      </c>
      <c r="E66" s="350">
        <f>SUM(Table12732[S-IP])</f>
        <v>759.33333333333337</v>
      </c>
      <c r="F66" s="12">
        <f>SUM(Table12732[S-H])</f>
        <v>734</v>
      </c>
      <c r="G66" s="12">
        <f>SUM(Table12732[S-R])</f>
        <v>353</v>
      </c>
      <c r="H66" s="12">
        <f>SUM(Table12732[S-ER])</f>
        <v>298</v>
      </c>
      <c r="I66" s="12">
        <f>SUM(Table12732[S-BB])</f>
        <v>237</v>
      </c>
      <c r="J66" s="12">
        <f>SUM(Table12732[S-SO])</f>
        <v>682</v>
      </c>
      <c r="K66" s="12">
        <f>SUM(Table12732[S-HR])</f>
        <v>32</v>
      </c>
      <c r="L66" s="19">
        <f t="shared" si="7"/>
        <v>3.5320456540825282</v>
      </c>
    </row>
    <row r="67" spans="1:36" x14ac:dyDescent="0.25">
      <c r="A67" s="433"/>
      <c r="B67" s="13" t="s">
        <v>213</v>
      </c>
      <c r="C67" s="8">
        <f>SUM(Table12732[B-W])</f>
        <v>28</v>
      </c>
      <c r="D67" s="8">
        <f>SUM(Table12732[B-L])</f>
        <v>13</v>
      </c>
      <c r="E67" s="350">
        <f>SUM(Table12732[B-IP])</f>
        <v>459.33333333333326</v>
      </c>
      <c r="F67" s="12">
        <f>SUM(Table12732[B-H])</f>
        <v>355</v>
      </c>
      <c r="G67" s="12">
        <f>SUM(Table12732[B-R])</f>
        <v>142</v>
      </c>
      <c r="H67" s="12">
        <f>SUM(Table12732[B-ER])</f>
        <v>118</v>
      </c>
      <c r="I67" s="12">
        <f>SUM(Table12732[B-BB])</f>
        <v>152</v>
      </c>
      <c r="J67" s="12">
        <f>SUM(Table12732[B-SO])</f>
        <v>502</v>
      </c>
      <c r="K67" s="12">
        <f>SUM(Table12732[B-HR])</f>
        <v>24</v>
      </c>
      <c r="L67" s="19">
        <f t="shared" si="7"/>
        <v>2.3120464441219162</v>
      </c>
    </row>
    <row r="68" spans="1:36" x14ac:dyDescent="0.25">
      <c r="A68" s="433"/>
      <c r="B68" s="14" t="s">
        <v>194</v>
      </c>
      <c r="C68" s="20">
        <f>SUM(Table12732[S-W],Table12732[B-W])</f>
        <v>79</v>
      </c>
      <c r="D68" s="20">
        <f>SUM(Table12732[S-L],Table12732[B-L])</f>
        <v>59</v>
      </c>
      <c r="E68" s="351">
        <f>SUM(Table12732[S-IP],Table12732[B-IP])</f>
        <v>1218.6666666666665</v>
      </c>
      <c r="F68" s="33">
        <f>SUM(Table12732[S-H],Table12732[B-H])</f>
        <v>1089</v>
      </c>
      <c r="G68" s="33">
        <f>SUM(Table12732[S-R],Table12732[B-R])</f>
        <v>495</v>
      </c>
      <c r="H68" s="33">
        <f>SUM(Table12732[S-ER],Table12732[B-ER])</f>
        <v>416</v>
      </c>
      <c r="I68" s="33">
        <f>SUM(Table12732[S-BB],Table127[B-BB])</f>
        <v>440</v>
      </c>
      <c r="J68" s="33">
        <f>SUM(Table12732[S-SO],Table12732[B-SO])</f>
        <v>1184</v>
      </c>
      <c r="K68" s="33">
        <f>SUM(Table12732[S-HR],Table12732[B-HR])</f>
        <v>56</v>
      </c>
      <c r="L68" s="21">
        <f t="shared" si="7"/>
        <v>3.0722100656455149</v>
      </c>
    </row>
    <row r="69" spans="1:36" s="52" customFormat="1" x14ac:dyDescent="0.25">
      <c r="C69" s="112"/>
      <c r="D69" s="112"/>
      <c r="E69" s="353"/>
      <c r="F69" s="49"/>
      <c r="G69" s="49"/>
      <c r="H69" s="49"/>
      <c r="I69" s="49"/>
      <c r="J69" s="49"/>
      <c r="K69" s="49"/>
      <c r="L69" s="113"/>
      <c r="Y69" s="353"/>
    </row>
    <row r="70" spans="1:36" x14ac:dyDescent="0.25">
      <c r="A70" s="433" t="s">
        <v>553</v>
      </c>
      <c r="B70" s="16" t="s">
        <v>198</v>
      </c>
      <c r="C70" s="17" t="s">
        <v>129</v>
      </c>
      <c r="D70" s="17" t="s">
        <v>131</v>
      </c>
      <c r="E70" s="349" t="s">
        <v>199</v>
      </c>
      <c r="F70" s="30" t="s">
        <v>19</v>
      </c>
      <c r="G70" s="30" t="s">
        <v>188</v>
      </c>
      <c r="H70" s="30" t="s">
        <v>200</v>
      </c>
      <c r="I70" s="30" t="s">
        <v>201</v>
      </c>
      <c r="J70" s="30" t="s">
        <v>202</v>
      </c>
      <c r="K70" s="30" t="s">
        <v>203</v>
      </c>
      <c r="L70" s="18" t="s">
        <v>204</v>
      </c>
      <c r="N70" s="16" t="s">
        <v>197</v>
      </c>
      <c r="O70" s="17" t="s">
        <v>196</v>
      </c>
      <c r="P70" s="17" t="s">
        <v>187</v>
      </c>
      <c r="Q70" s="17" t="s">
        <v>188</v>
      </c>
      <c r="R70" s="17" t="s">
        <v>189</v>
      </c>
      <c r="S70" s="17" t="s">
        <v>190</v>
      </c>
      <c r="T70" s="17" t="s">
        <v>191</v>
      </c>
      <c r="U70" s="17" t="s">
        <v>192</v>
      </c>
      <c r="V70" s="18" t="s">
        <v>193</v>
      </c>
      <c r="X70" s="16" t="s">
        <v>379</v>
      </c>
      <c r="Y70" s="349" t="s">
        <v>220</v>
      </c>
      <c r="Z70" s="17" t="s">
        <v>221</v>
      </c>
      <c r="AA70" s="17" t="s">
        <v>222</v>
      </c>
      <c r="AB70" s="17" t="s">
        <v>223</v>
      </c>
      <c r="AC70" s="17" t="s">
        <v>224</v>
      </c>
      <c r="AD70" s="18" t="s">
        <v>225</v>
      </c>
      <c r="AF70" s="28" t="s">
        <v>126</v>
      </c>
      <c r="AG70" s="29" t="s">
        <v>234</v>
      </c>
      <c r="AH70" s="30" t="s">
        <v>235</v>
      </c>
      <c r="AI70" s="30" t="s">
        <v>236</v>
      </c>
      <c r="AJ70" s="31" t="s">
        <v>237</v>
      </c>
    </row>
    <row r="71" spans="1:36" x14ac:dyDescent="0.25">
      <c r="A71" s="433"/>
      <c r="B71" s="13" t="s">
        <v>205</v>
      </c>
      <c r="C71" s="8">
        <f>SUMIF(Table137[PS],"=1",Table137[S-W])</f>
        <v>9</v>
      </c>
      <c r="D71" s="8">
        <f>SUMIF(Table137[PS],"=1",Table137[S-L])</f>
        <v>9</v>
      </c>
      <c r="E71" s="350">
        <f>SUMIF(Table137[PS],"=1",Table137[S-IP])</f>
        <v>151.00000000000003</v>
      </c>
      <c r="F71" s="12">
        <f>SUMIF(Table137[PS],"=1",Table137[S-H])</f>
        <v>127</v>
      </c>
      <c r="G71" s="12">
        <f>SUMIF(Table137[PS],"=1",Table137[S-R])</f>
        <v>73</v>
      </c>
      <c r="H71" s="12">
        <f>SUMIF(Table137[PS],"=1",Table137[S-ER])</f>
        <v>61</v>
      </c>
      <c r="I71" s="12">
        <f>SUMIF(Table137[PS],"=1",Table137[S-BB])</f>
        <v>52</v>
      </c>
      <c r="J71" s="12">
        <f>SUMIF(Table137[PS],"=1",Table137[S-SO])</f>
        <v>151</v>
      </c>
      <c r="K71" s="12">
        <f>SUMIF(Table137[PS],"=1",Table137[S-HR])</f>
        <v>18</v>
      </c>
      <c r="L71" s="19">
        <f t="shared" ref="L71:L80" si="9">((H71/E71)*9)</f>
        <v>3.6357615894039728</v>
      </c>
      <c r="N71" s="13">
        <v>1</v>
      </c>
      <c r="O71" s="172" t="str">
        <f>INDEX(Table137[Starter1],MODE(MATCH(Table137[Starter1],Table137[Starter1],0)))</f>
        <v>Murrill, C</v>
      </c>
      <c r="P71" s="7">
        <f>COUNTIF(Table137[Starter1], INDEX(Table137[Starter1],MODE(MATCH(Table137[Starter1],Table137[Starter1],0))))</f>
        <v>61</v>
      </c>
      <c r="Q71" s="10">
        <f>SUBTOTAL(109,Table137[R1])</f>
        <v>91</v>
      </c>
      <c r="R71" s="7">
        <f>SUBTOTAL(109,Table137[RBI1])</f>
        <v>64</v>
      </c>
      <c r="S71" s="11">
        <f>((SUM(Table137[H1]))/(SUM(Table137[AB1])))</f>
        <v>0.2574430823117338</v>
      </c>
      <c r="T71" s="11">
        <f>((SUM(Table137[H1],Table137[BB1],Table137[HBP1]))/(SUM(Table137[AB1],Table137[BB1],Table137[HBP1],Table137[SF1])))</f>
        <v>0.33281493001555212</v>
      </c>
      <c r="U71" s="11">
        <f>((SUM(Table137[TB1]))/(SUM(Table137[AB1])))</f>
        <v>0.36777583187390545</v>
      </c>
      <c r="V71" s="22">
        <f t="shared" ref="V71:V80" si="10">(SUM((1.8*(T71)),U71)/4)</f>
        <v>0.24171067647547484</v>
      </c>
      <c r="X71" s="13" t="s">
        <v>218</v>
      </c>
      <c r="Y71" s="350">
        <f>SUM(Table137[IVL])</f>
        <v>325.33333333333326</v>
      </c>
      <c r="Z71" s="8">
        <f>SUM(Table137[SVL])</f>
        <v>70</v>
      </c>
      <c r="AA71" s="8">
        <f>SUM(Table137[SVL],Table137[CVL])</f>
        <v>90</v>
      </c>
      <c r="AB71" s="11">
        <f>(Z71/AA71)</f>
        <v>0.77777777777777779</v>
      </c>
      <c r="AC71" s="11">
        <f>((Z71/Y71)*9)</f>
        <v>1.9364754098360659</v>
      </c>
      <c r="AD71" s="22">
        <f>((AA71/Y71)*9)</f>
        <v>2.4897540983606561</v>
      </c>
      <c r="AF71" s="26" t="s">
        <v>238</v>
      </c>
      <c r="AG71" s="8">
        <f>COUNTIF(Table137[Loc],"=H")</f>
        <v>68</v>
      </c>
      <c r="AH71" s="12">
        <f>AVERAGEIF(Table137[Loc],"=H",Table137[Att])</f>
        <v>3514.9701492537315</v>
      </c>
      <c r="AI71" s="12">
        <f>SUMIF(Table137[Loc],"=H",Table137[Att])</f>
        <v>235503</v>
      </c>
      <c r="AJ71" s="27">
        <f>AH71*70</f>
        <v>246047.91044776121</v>
      </c>
    </row>
    <row r="72" spans="1:36" x14ac:dyDescent="0.25">
      <c r="A72" s="433"/>
      <c r="B72" s="13" t="s">
        <v>206</v>
      </c>
      <c r="C72" s="8">
        <f>SUMIF(Table137[PS],"=1",Table137[B-W])</f>
        <v>4</v>
      </c>
      <c r="D72" s="8">
        <f>SUMIF(Table137[PS],"=1",Table137[B-L])</f>
        <v>5</v>
      </c>
      <c r="E72" s="350">
        <f>SUMIF(Table137[PS],"=1",Table137[B-IP])</f>
        <v>82.000000000000014</v>
      </c>
      <c r="F72" s="12">
        <f>SUMIF(Table137[PS],"=1",Table137[B-H])</f>
        <v>61</v>
      </c>
      <c r="G72" s="12">
        <f>SUMIF(Table137[PS],"=1",Table137[B-R])</f>
        <v>37</v>
      </c>
      <c r="H72" s="12">
        <f>SUMIF(Table137[PS],"=1",Table137[B-ER])</f>
        <v>33</v>
      </c>
      <c r="I72" s="12">
        <f>SUMIF(Table137[PS],"=1",Table137[B-BB])</f>
        <v>47</v>
      </c>
      <c r="J72" s="12">
        <f>SUMIF(Table137[PS],"=1",Table137[B-SO])</f>
        <v>107</v>
      </c>
      <c r="K72" s="12">
        <f>SUMIF(Table137[PS],"=1",Table137[B-HR])</f>
        <v>10</v>
      </c>
      <c r="L72" s="19">
        <f t="shared" si="9"/>
        <v>3.6219512195121943</v>
      </c>
      <c r="N72" s="13">
        <v>2</v>
      </c>
      <c r="O72" s="172" t="str">
        <f>INDEX(Table137[Starter2],MODE(MATCH(Table137[Starter2],Table137[Starter2],0)))</f>
        <v>Bortnick, T</v>
      </c>
      <c r="P72" s="7">
        <f>COUNTIF(Table137[Starter2], INDEX(Table137[Starter2],MODE(MATCH(Table137[Starter2],Table137[Starter2],0))))</f>
        <v>64</v>
      </c>
      <c r="Q72" s="7">
        <f>SUBTOTAL(109,Table137[R2])</f>
        <v>83</v>
      </c>
      <c r="R72" s="7">
        <f>SUBTOTAL(109,Table137[RBI2])</f>
        <v>52</v>
      </c>
      <c r="S72" s="11">
        <f>((SUM(Table137[H2]))/(SUM(Table137[AB2])))</f>
        <v>0.25806451612903225</v>
      </c>
      <c r="T72" s="11">
        <f>((SUM(Table137[H2],Table137[BB2],Table137[HBP2]))/(SUM(Table137[AB2],Table137[BB2],Table137[HBP2],Table137[SF2])))</f>
        <v>0.3664</v>
      </c>
      <c r="U72" s="11">
        <f>((SUM(Table137[TB2]))/(SUM(Table137[AB2])))</f>
        <v>0.34914611005692597</v>
      </c>
      <c r="V72" s="22">
        <f t="shared" si="10"/>
        <v>0.25216652751423152</v>
      </c>
      <c r="X72" s="13" t="s">
        <v>219</v>
      </c>
      <c r="Y72" s="350">
        <f>SUM(Table137[IVR])</f>
        <v>899.33333333333314</v>
      </c>
      <c r="Z72" s="8">
        <f>SUM(Table137[SVR])</f>
        <v>180</v>
      </c>
      <c r="AA72" s="8">
        <f>SUM(Table137[SVR],Table137[CVR])</f>
        <v>237</v>
      </c>
      <c r="AB72" s="11">
        <f>(Z72/AA72)</f>
        <v>0.759493670886076</v>
      </c>
      <c r="AC72" s="11">
        <f>((Z72/Y72)*9)</f>
        <v>1.8013343217197928</v>
      </c>
      <c r="AD72" s="22">
        <f>((AA72/Y72)*9)</f>
        <v>2.3717568569310608</v>
      </c>
      <c r="AF72" s="26" t="s">
        <v>239</v>
      </c>
      <c r="AG72" s="8">
        <f>COUNTIF(Table137[Loc],"=A")</f>
        <v>71</v>
      </c>
      <c r="AH72" s="12">
        <f>AVERAGEIF(Table137[Loc],"=A",Table137[Att])</f>
        <v>4693.3235294117649</v>
      </c>
      <c r="AI72" s="12">
        <f>SUMIF(Table137[Loc],"=A",Table137[Att])</f>
        <v>319146</v>
      </c>
      <c r="AJ72" s="27">
        <f>AH72*70</f>
        <v>328532.64705882355</v>
      </c>
    </row>
    <row r="73" spans="1:36" x14ac:dyDescent="0.25">
      <c r="A73" s="433"/>
      <c r="B73" s="13" t="s">
        <v>207</v>
      </c>
      <c r="C73" s="8">
        <f>SUMIF(Table137[PS],"=2",Table137[S-W])</f>
        <v>6</v>
      </c>
      <c r="D73" s="8">
        <f>SUMIF(Table137[PS],"=2",Table137[S-L])</f>
        <v>12</v>
      </c>
      <c r="E73" s="350">
        <f>SUMIF(Table137[PS],"=2",Table137[S-IP])</f>
        <v>130</v>
      </c>
      <c r="F73" s="12">
        <f>SUMIF(Table137[PS],"=2",Table137[S-H])</f>
        <v>132</v>
      </c>
      <c r="G73" s="12">
        <f>SUMIF(Table137[PS],"=2",Table137[S-R])</f>
        <v>74</v>
      </c>
      <c r="H73" s="12">
        <f>SUMIF(Table137[PS],"=2",Table137[S-ER])</f>
        <v>65</v>
      </c>
      <c r="I73" s="12">
        <f>SUMIF(Table137[PS],"=2",Table137[S-BB])</f>
        <v>41</v>
      </c>
      <c r="J73" s="12">
        <f>SUMIF(Table137[PS],"=2",Table137[S-SO])</f>
        <v>108</v>
      </c>
      <c r="K73" s="12">
        <f>SUMIF(Table137[PS],"=2",Table137[S-HR])</f>
        <v>13</v>
      </c>
      <c r="L73" s="19">
        <f t="shared" si="9"/>
        <v>4.5</v>
      </c>
      <c r="N73" s="13">
        <v>3</v>
      </c>
      <c r="O73" s="172" t="str">
        <f>INDEX(Table137[Starter3],MODE(MATCH(Table137[Starter3],Table137[Starter3],0)))</f>
        <v>Nommensen, B</v>
      </c>
      <c r="P73" s="7">
        <f>COUNTIF(Table137[Starter3], INDEX(Table137[Starter3],MODE(MATCH(Table137[Starter3],Table137[Starter3],0))))</f>
        <v>69</v>
      </c>
      <c r="Q73" s="7">
        <f>SUBTOTAL(109,Table137[R3])</f>
        <v>82</v>
      </c>
      <c r="R73" s="7">
        <f>SUBTOTAL(109,Table137[RBI3])</f>
        <v>79</v>
      </c>
      <c r="S73" s="11">
        <f>((SUM(Table137[H3]))/(SUM(Table137[AB3])))</f>
        <v>0.28433268858800775</v>
      </c>
      <c r="T73" s="11">
        <f>((SUM(Table137[H3],Table137[BB3],Table137[HBP3]))/(SUM(Table137[AB3],Table137[BB3],Table137[HBP3],Table137[SF3])))</f>
        <v>0.3888888888888889</v>
      </c>
      <c r="U73" s="11">
        <f>((SUM(Table137[TB3]))/(SUM(Table137[AB3])))</f>
        <v>0.44100580270793038</v>
      </c>
      <c r="V73" s="22">
        <f t="shared" si="10"/>
        <v>0.2852514506769826</v>
      </c>
      <c r="X73" s="14" t="s">
        <v>194</v>
      </c>
      <c r="Y73" s="351">
        <f>SUM(Table137[IVL],Table137[IVR])</f>
        <v>1224.6666666666667</v>
      </c>
      <c r="Z73" s="20">
        <f>SUM(Table137[SVL],Table137[SVR])</f>
        <v>250</v>
      </c>
      <c r="AA73" s="20">
        <f>SUM(Table137[SVL],Table137[CVL],Table137[SVR],Table137[CVR])</f>
        <v>327</v>
      </c>
      <c r="AB73" s="24">
        <f>(Z73/AA73)</f>
        <v>0.76452599388379205</v>
      </c>
      <c r="AC73" s="24">
        <f>((Z73/Y73)*9)</f>
        <v>1.8372346216657593</v>
      </c>
      <c r="AD73" s="25">
        <f>((AA73/Y73)*9)</f>
        <v>2.403102885138813</v>
      </c>
      <c r="AF73" s="32" t="s">
        <v>34</v>
      </c>
      <c r="AG73" s="20">
        <f>COUNT(Table137[Date])</f>
        <v>139</v>
      </c>
      <c r="AH73" s="33">
        <f>AVERAGE(Table137[Att])</f>
        <v>4108.5111111111109</v>
      </c>
      <c r="AI73" s="33">
        <f>SUM(Table137[Att])</f>
        <v>554649</v>
      </c>
      <c r="AJ73" s="34">
        <f>AH73*140</f>
        <v>575191.5555555555</v>
      </c>
    </row>
    <row r="74" spans="1:36" x14ac:dyDescent="0.25">
      <c r="A74" s="433"/>
      <c r="B74" s="13" t="s">
        <v>208</v>
      </c>
      <c r="C74" s="8">
        <f>SUMIF(Table137[PS],"=2",Table137[B-W])</f>
        <v>4</v>
      </c>
      <c r="D74" s="8">
        <f>SUMIF(Table137[PS],"=2",Table137[B-L])</f>
        <v>5</v>
      </c>
      <c r="E74" s="350">
        <f>SUMIF(Table137[PS],"=2",Table137[B-IP])</f>
        <v>103.66666666666667</v>
      </c>
      <c r="F74" s="12">
        <f>SUMIF(Table137[PS],"=2",Table137[B-H])</f>
        <v>81</v>
      </c>
      <c r="G74" s="12">
        <f>SUMIF(Table137[PS],"=2",Table137[B-R])</f>
        <v>47</v>
      </c>
      <c r="H74" s="12">
        <f>SUMIF(Table137[PS],"=2",Table137[B-ER])</f>
        <v>39</v>
      </c>
      <c r="I74" s="12">
        <f>SUMIF(Table137[PS],"=2",Table137[B-BB])</f>
        <v>45</v>
      </c>
      <c r="J74" s="12">
        <f>SUMIF(Table137[PS],"=2",Table137[B-SO])</f>
        <v>95</v>
      </c>
      <c r="K74" s="12">
        <f>SUMIF(Table137[PS],"=2",Table137[B-HR])</f>
        <v>8</v>
      </c>
      <c r="L74" s="19">
        <f t="shared" si="9"/>
        <v>3.385852090032154</v>
      </c>
      <c r="N74" s="13">
        <v>4</v>
      </c>
      <c r="O74" s="172" t="str">
        <f>INDEX(Table137[Starter4],MODE(MATCH(Table137[Starter4],Table137[Starter4],0)))</f>
        <v>Wiegand, R</v>
      </c>
      <c r="P74" s="7">
        <f>COUNTIF(Table137[Starter4], INDEX(Table137[Starter4],MODE(MATCH(Table137[Starter4],Table137[Starter4],0))))</f>
        <v>69</v>
      </c>
      <c r="Q74" s="7">
        <f>SUBTOTAL(109,Table137[R4])</f>
        <v>59</v>
      </c>
      <c r="R74" s="7">
        <f>SUBTOTAL(109,Table137[RBI4])</f>
        <v>80</v>
      </c>
      <c r="S74" s="11">
        <f>((SUM(Table137[H4]))/(SUM(Table137[AB4])))</f>
        <v>0.23416506717850288</v>
      </c>
      <c r="T74" s="11">
        <f>((SUM(Table137[H4],Table137[BB4],Table137[HBP4]))/(SUM(Table137[AB4],Table137[BB4],Table137[HBP4],Table137[SF4])))</f>
        <v>0.31764705882352939</v>
      </c>
      <c r="U74" s="11">
        <f>((SUM(Table137[TB4]))/(SUM(Table137[AB4])))</f>
        <v>0.32629558541266795</v>
      </c>
      <c r="V74" s="22">
        <f t="shared" si="10"/>
        <v>0.22451507282375521</v>
      </c>
    </row>
    <row r="75" spans="1:36" x14ac:dyDescent="0.25">
      <c r="A75" s="433"/>
      <c r="B75" s="13" t="s">
        <v>209</v>
      </c>
      <c r="C75" s="8">
        <f>SUMIF(Table137[PS],"=3",Table137[S-W])</f>
        <v>3</v>
      </c>
      <c r="D75" s="8">
        <f>SUMIF(Table137[PS],"=3",Table137[S-L])</f>
        <v>11</v>
      </c>
      <c r="E75" s="350">
        <f>SUMIF(Table137[PS],"=3",Table137[S-IP])</f>
        <v>125.66666666666667</v>
      </c>
      <c r="F75" s="12">
        <f>SUMIF(Table137[PS],"=3",Table137[S-H])</f>
        <v>132</v>
      </c>
      <c r="G75" s="12">
        <f>SUMIF(Table137[PS],"=3",Table137[S-R])</f>
        <v>73</v>
      </c>
      <c r="H75" s="12">
        <f>SUMIF(Table137[PS],"=3",Table137[S-ER])</f>
        <v>54</v>
      </c>
      <c r="I75" s="12">
        <f>SUMIF(Table137[PS],"=3",Table137[S-BB])</f>
        <v>46</v>
      </c>
      <c r="J75" s="12">
        <f>SUMIF(Table137[PS],"=3",Table137[S-SO])</f>
        <v>100</v>
      </c>
      <c r="K75" s="12">
        <f>SUMIF(Table137[PS],"=3",Table137[S-HR])</f>
        <v>11</v>
      </c>
      <c r="L75" s="19">
        <f t="shared" si="9"/>
        <v>3.8673740053050398</v>
      </c>
      <c r="N75" s="13">
        <v>5</v>
      </c>
      <c r="O75" s="172" t="str">
        <f>INDEX(Table137[Starter5],MODE(MATCH(Table137[Starter5],Table137[Starter5],0)))</f>
        <v>Thomas, M</v>
      </c>
      <c r="P75" s="7">
        <f>COUNTIF(Table137[Starter5], INDEX(Table137[Starter5],MODE(MATCH(Table137[Starter5],Table137[Starter5],0))))</f>
        <v>37</v>
      </c>
      <c r="Q75" s="7">
        <f>SUBTOTAL(109,Table137[R5])</f>
        <v>65</v>
      </c>
      <c r="R75" s="7">
        <f>SUBTOTAL(109,Table137[RBI5])</f>
        <v>68</v>
      </c>
      <c r="S75" s="11">
        <f>((SUM(Table137[H5]))/(SUM(Table137[AB5])))</f>
        <v>0.26045627376425856</v>
      </c>
      <c r="T75" s="11">
        <f>((SUM(Table137[H5],Table137[BB5],Table137[HBP5]))/(SUM(Table137[AB5],Table137[BB5],Table137[HBP5],Table137[SF5])))</f>
        <v>0.31944444444444442</v>
      </c>
      <c r="U75" s="11">
        <f>((SUM(Table137[TB5]))/(SUM(Table137[AB5])))</f>
        <v>0.39353612167300378</v>
      </c>
      <c r="V75" s="22">
        <f t="shared" si="10"/>
        <v>0.24213403041825093</v>
      </c>
    </row>
    <row r="76" spans="1:36" x14ac:dyDescent="0.25">
      <c r="A76" s="433"/>
      <c r="B76" s="13" t="s">
        <v>214</v>
      </c>
      <c r="C76" s="8">
        <f>SUMIF(Table137[PS],"=3",Table137[B-W])</f>
        <v>7</v>
      </c>
      <c r="D76" s="8">
        <f>SUMIF(Table137[PS],"=3",Table137[B-L])</f>
        <v>6</v>
      </c>
      <c r="E76" s="350">
        <f>SUMIF(Table137[PS],"=3",Table137[B-IP])</f>
        <v>112.33333333333333</v>
      </c>
      <c r="F76" s="12">
        <f>SUMIF(Table137[PS],"=3",Table137[B-H])</f>
        <v>110</v>
      </c>
      <c r="G76" s="12">
        <f>SUMIF(Table137[PS],"=3",Table137[B-R])</f>
        <v>69</v>
      </c>
      <c r="H76" s="12">
        <f>SUMIF(Table137[PS],"=3",Table137[B-ER])</f>
        <v>54</v>
      </c>
      <c r="I76" s="12">
        <f>SUMIF(Table137[PS],"=3",Table137[B-BB])</f>
        <v>50</v>
      </c>
      <c r="J76" s="12">
        <f>SUMIF(Table137[PS],"=3",Table137[B-SO])</f>
        <v>118</v>
      </c>
      <c r="K76" s="12">
        <f>SUMIF(Table137[PS],"=3",Table137[B-HR])</f>
        <v>11</v>
      </c>
      <c r="L76" s="19">
        <f t="shared" si="9"/>
        <v>4.3264094955489618</v>
      </c>
      <c r="N76" s="13">
        <v>6</v>
      </c>
      <c r="O76" s="172" t="str">
        <f>INDEX(Table137[Starter6],MODE(MATCH(Table137[Starter6],Table137[Starter6],0)))</f>
        <v>Cohen, G</v>
      </c>
      <c r="P76" s="7">
        <f>COUNTIF(Table137[Starter6], INDEX(Table137[Starter6],MODE(MATCH(Table137[Starter6],Table137[Starter6],0))))</f>
        <v>22</v>
      </c>
      <c r="Q76" s="7">
        <f>SUBTOTAL(109,Table137[R6])</f>
        <v>53</v>
      </c>
      <c r="R76" s="7">
        <f>SUBTOTAL(109,Table137[RBI6])</f>
        <v>51</v>
      </c>
      <c r="S76" s="11">
        <f>((SUM(Table137[H6]))/(SUM(Table137[AB6])))</f>
        <v>0.263671875</v>
      </c>
      <c r="T76" s="11">
        <f>((SUM(Table137[H6],Table137[BB6],Table137[HBP6]))/(SUM(Table137[AB6],Table137[BB6],Table137[HBP6],Table137[SF6])))</f>
        <v>0.32442067736185382</v>
      </c>
      <c r="U76" s="11">
        <f>((SUM(Table137[TB6]))/(SUM(Table137[AB6])))</f>
        <v>0.345703125</v>
      </c>
      <c r="V76" s="22">
        <f t="shared" si="10"/>
        <v>0.23241508606283423</v>
      </c>
    </row>
    <row r="77" spans="1:36" x14ac:dyDescent="0.25">
      <c r="A77" s="433"/>
      <c r="B77" s="13" t="s">
        <v>210</v>
      </c>
      <c r="C77" s="8">
        <f>SUMIF(Table137[PS],"=4",Table137[S-W])</f>
        <v>7</v>
      </c>
      <c r="D77" s="8">
        <f>SUMIF(Table137[PS],"=4",Table137[S-L])</f>
        <v>13</v>
      </c>
      <c r="E77" s="350">
        <f>SUMIF(Table137[PS],"=4",Table137[S-IP])</f>
        <v>136.33333333333331</v>
      </c>
      <c r="F77" s="12">
        <f>SUMIF(Table137[PS],"=4",Table137[S-H])</f>
        <v>151</v>
      </c>
      <c r="G77" s="12">
        <f>SUMIF(Table137[PS],"=4",Table137[S-R])</f>
        <v>99</v>
      </c>
      <c r="H77" s="12">
        <f>SUMIF(Table137[PS],"=4",Table137[S-ER])</f>
        <v>81</v>
      </c>
      <c r="I77" s="12">
        <f>SUMIF(Table137[PS],"=4",Table137[S-BB])</f>
        <v>57</v>
      </c>
      <c r="J77" s="12">
        <f>SUMIF(Table137[PS],"=4",Table137[S-SO])</f>
        <v>108</v>
      </c>
      <c r="K77" s="12">
        <f>SUMIF(Table137[PS],"=4",Table137[S-HR])</f>
        <v>19</v>
      </c>
      <c r="L77" s="19">
        <f t="shared" si="9"/>
        <v>5.3471882640586808</v>
      </c>
      <c r="N77" s="13">
        <v>7</v>
      </c>
      <c r="O77" s="172" t="str">
        <f>INDEX(Table137[Starter7],MODE(MATCH(Table137[Starter7],Table137[Starter7],0)))</f>
        <v>Cedeno, J</v>
      </c>
      <c r="P77" s="7">
        <f>COUNTIF(Table137[Starter7], INDEX(Table137[Starter7],MODE(MATCH(Table137[Starter7],Table137[Starter7],0))))</f>
        <v>47</v>
      </c>
      <c r="Q77" s="7">
        <f>SUBTOTAL(109,Table137[R7])</f>
        <v>55</v>
      </c>
      <c r="R77" s="7">
        <f>SUBTOTAL(109,Table137[RBI7])</f>
        <v>60</v>
      </c>
      <c r="S77" s="11">
        <f>((SUM(Table137[H7]))/(SUM(Table137[AB7])))</f>
        <v>0.25748502994011974</v>
      </c>
      <c r="T77" s="11">
        <f>((SUM(Table137[H7],Table137[BB7],Table137[HBP7]))/(SUM(Table137[AB7],Table137[BB7],Table137[HBP7],Table137[SF7])))</f>
        <v>0.31215970961887479</v>
      </c>
      <c r="U77" s="11">
        <f>((SUM(Table137[TB7]))/(SUM(Table137[AB7])))</f>
        <v>0.33732534930139718</v>
      </c>
      <c r="V77" s="22">
        <f t="shared" si="10"/>
        <v>0.22480320665384296</v>
      </c>
    </row>
    <row r="78" spans="1:36" x14ac:dyDescent="0.25">
      <c r="A78" s="433"/>
      <c r="B78" s="13" t="s">
        <v>215</v>
      </c>
      <c r="C78" s="8">
        <f>SUMIF(Table137[PS],"=4",Table137[B-W])</f>
        <v>3</v>
      </c>
      <c r="D78" s="8">
        <f>SUMIF(Table137[PS],"=4",Table137[B-L])</f>
        <v>4</v>
      </c>
      <c r="E78" s="350">
        <f>SUMIF(Table137[PS],"=4",Table137[B-IP])</f>
        <v>101.66666666666666</v>
      </c>
      <c r="F78" s="12">
        <f>SUMIF(Table137[PS],"=4",Table137[B-H])</f>
        <v>94</v>
      </c>
      <c r="G78" s="12">
        <f>SUMIF(Table137[PS],"=4",Table137[B-R])</f>
        <v>66</v>
      </c>
      <c r="H78" s="12">
        <f>SUMIF(Table137[PS],"=4",Table137[B-ER])</f>
        <v>51</v>
      </c>
      <c r="I78" s="12">
        <f>SUMIF(Table137[PS],"=4",Table137[B-BB])</f>
        <v>54</v>
      </c>
      <c r="J78" s="12">
        <f>SUMIF(Table137[PS],"=4",Table137[B-SO])</f>
        <v>92</v>
      </c>
      <c r="K78" s="12">
        <f>SUMIF(Table137[PS],"=4",Table137[B-HR])</f>
        <v>3</v>
      </c>
      <c r="L78" s="19">
        <f t="shared" si="9"/>
        <v>4.5147540983606564</v>
      </c>
      <c r="N78" s="13">
        <v>8</v>
      </c>
      <c r="O78" s="172" t="str">
        <f>INDEX(Table137[Starter8],MODE(MATCH(Table137[Starter8],Table137[Starter8],0)))</f>
        <v>Estrada, R</v>
      </c>
      <c r="P78" s="7">
        <f>COUNTIF(Table137[Starter8], INDEX(Table137[Starter8],MODE(MATCH(Table137[Starter8],Table137[Starter8],0))))</f>
        <v>49</v>
      </c>
      <c r="Q78" s="7">
        <f>SUBTOTAL(109,Table137[R8])</f>
        <v>58</v>
      </c>
      <c r="R78" s="7">
        <f>SUBTOTAL(109,Table137[RBI8])</f>
        <v>39</v>
      </c>
      <c r="S78" s="11">
        <f>((SUM(Table137[H8]))/(SUM(Table137[AB8])))</f>
        <v>0.23417721518987342</v>
      </c>
      <c r="T78" s="11">
        <f>((SUM(Table137[H8],Table137[BB8],Table137[HBP8]))/(SUM(Table137[AB8],Table137[BB8],Table137[HBP8],Table137[SF8])))</f>
        <v>0.31203007518796994</v>
      </c>
      <c r="U78" s="11">
        <f>((SUM(Table137[TB8]))/(SUM(Table137[AB8])))</f>
        <v>0.29324894514767935</v>
      </c>
      <c r="V78" s="22">
        <f t="shared" si="10"/>
        <v>0.21372577012150629</v>
      </c>
    </row>
    <row r="79" spans="1:36" x14ac:dyDescent="0.25">
      <c r="A79" s="433"/>
      <c r="B79" s="13" t="s">
        <v>211</v>
      </c>
      <c r="C79" s="8">
        <f>SUMIF(Table137[PS],"=5",Table137[S-W])</f>
        <v>6</v>
      </c>
      <c r="D79" s="8">
        <f>SUMIF(Table137[PS],"=5",Table137[S-L])</f>
        <v>7</v>
      </c>
      <c r="E79" s="350">
        <f>SUMIF(Table137[PS],"=5",Table137[S-IP])</f>
        <v>128.33333333333334</v>
      </c>
      <c r="F79" s="12">
        <f>SUMIF(Table137[PS],"=5",Table137[S-H])</f>
        <v>125</v>
      </c>
      <c r="G79" s="12">
        <f>SUMIF(Table137[PS],"=5",Table137[S-R])</f>
        <v>70</v>
      </c>
      <c r="H79" s="12">
        <f>SUMIF(Table137[PS],"=5",Table137[S-ER])</f>
        <v>63</v>
      </c>
      <c r="I79" s="12">
        <f>SUMIF(Table137[PS],"=5",Table137[S-BB])</f>
        <v>53</v>
      </c>
      <c r="J79" s="12">
        <f>SUMIF(Table137[PS],"=5",Table137[S-SO])</f>
        <v>100</v>
      </c>
      <c r="K79" s="12">
        <f>SUMIF(Table137[PS],"=5",Table137[S-HR])</f>
        <v>12</v>
      </c>
      <c r="L79" s="19">
        <f t="shared" si="9"/>
        <v>4.418181818181818</v>
      </c>
      <c r="N79" s="13">
        <v>9</v>
      </c>
      <c r="O79" s="172" t="str">
        <f>INDEX(Table137[Starter9],MODE(MATCH(Table137[Starter9],Table137[Starter9],0)))</f>
        <v>Morrison, T</v>
      </c>
      <c r="P79" s="7">
        <f>COUNTIF(Table137[Starter9], INDEX(Table137[Starter9],MODE(MATCH(Table137[Starter9],Table137[Starter9],0))))</f>
        <v>74</v>
      </c>
      <c r="Q79" s="7">
        <f>SUBTOTAL(109,Table137[R9])</f>
        <v>61</v>
      </c>
      <c r="R79" s="7">
        <f>SUBTOTAL(109,Table137[RBI9])</f>
        <v>52</v>
      </c>
      <c r="S79" s="11">
        <f>((SUM(Table137[H9]))/(SUM(Table137[AB9])))</f>
        <v>0.23194748358862144</v>
      </c>
      <c r="T79" s="11">
        <f>((SUM(Table137[H9],Table137[BB9],Table137[HBP9]))/(SUM(Table137[AB9],Table137[BB9],Table137[HBP9],Table137[SF9])))</f>
        <v>0.31976744186046513</v>
      </c>
      <c r="U79" s="11">
        <f>((SUM(Table137[TB9]))/(SUM(Table137[AB9])))</f>
        <v>0.37417943107221008</v>
      </c>
      <c r="V79" s="22">
        <f t="shared" si="10"/>
        <v>0.23744020660526183</v>
      </c>
    </row>
    <row r="80" spans="1:36" x14ac:dyDescent="0.25">
      <c r="A80" s="433"/>
      <c r="B80" s="13" t="s">
        <v>216</v>
      </c>
      <c r="C80" s="8">
        <f>SUMIF(Table137[PS],"=5",Table137[B-W])</f>
        <v>9</v>
      </c>
      <c r="D80" s="8">
        <f>SUMIF(Table137[PS],"=5",Table137[B-L])</f>
        <v>5</v>
      </c>
      <c r="E80" s="350">
        <f>SUMIF(Table137[PS],"=5",Table137[B-IP])</f>
        <v>110</v>
      </c>
      <c r="F80" s="12">
        <f>SUMIF(Table137[PS],"=5",Table137[B-H])</f>
        <v>105</v>
      </c>
      <c r="G80" s="12">
        <f>SUMIF(Table137[PS],"=5",Table137[B-R])</f>
        <v>73</v>
      </c>
      <c r="H80" s="12">
        <f>SUMIF(Table137[PS],"=5",Table137[B-ER])</f>
        <v>56</v>
      </c>
      <c r="I80" s="12">
        <f>SUMIF(Table137[PS],"=5",Table137[B-BB])</f>
        <v>55</v>
      </c>
      <c r="J80" s="12">
        <f>SUMIF(Table137[PS],"=5",Table137[B-SO])</f>
        <v>119</v>
      </c>
      <c r="K80" s="12">
        <f>SUMIF(Table137[PS],"=5",Table137[B-HR])</f>
        <v>8</v>
      </c>
      <c r="L80" s="19">
        <f t="shared" si="9"/>
        <v>4.5818181818181811</v>
      </c>
      <c r="N80" s="40" t="s">
        <v>194</v>
      </c>
      <c r="O80" s="23"/>
      <c r="P80" s="15">
        <f>SUBTOTAL(103,Table137[Date])</f>
        <v>139</v>
      </c>
      <c r="Q80" s="15">
        <f>SUM(Table137[R1],Table137[R2],Table137[R3],Table137[R4],Table137[R5],Table137[R6],Table137[R7],Table137[R8],Table137[R9])</f>
        <v>607</v>
      </c>
      <c r="R80" s="15">
        <f>SUM(Table137[RBI1],Table137[RBI2],Table137[RBI3],Table137[RBI4],Table137[RBI5],Table137[RBI6],Table137[RBI7],Table137[RBI8],Table137[RBI9])</f>
        <v>545</v>
      </c>
      <c r="S80" s="24">
        <f>((SUM(Table137[H1],Table137[H2],Table137[H3],Table137[H4],Table137[H5],Table137[H6],Table137[H7],Table137[H8],Table137[H9]))/(SUM(Table137[AB1],Table137[AB2],Table137[AB3],Table137[AB4],Table137[AB5],Table137[AB6],Table137[AB7],Table137[AB8],Table137[AB9])))</f>
        <v>0.25401650021710814</v>
      </c>
      <c r="T80" s="24">
        <f>((SUM(Table137[H1],Table137[BB1],Table137[HBP1],Table137[H2],Table137[BB2],Table137[HBP2],Table137[H3],Table137[BB3],Table137[HBP3],Table137[H4],Table137[BB4],Table137[HBP4],Table137[H5],Table137[BB5],Table137[HBP5],Table137[H6],Table137[BB6],Table137[HBP6],Table137[H7],Table137[BB7],Table137[HBP7],Table137[H8],Table137[BB8],Table137[HBP8],Table137[H9],Table137[BB9],Table137[HBP9]))/(SUM(Table137[AB1],Table137[BB1],Table137[HBP1],Table137[SF1],Table137[AB2],Table137[BB2],Table137[HBP2],Table137[SF2],Table137[AB3],Table137[BB3],Table137[HBP3],Table137[SF3],Table137[AB4],Table137[BB4],Table137[HBP4],Table137[SF4],Table137[AB5],Table137[BB5],Table137[HBP5],Table137[SF5],Table137[AB6],Table137[BB6],Table137[HBP6],Table137[SF6],Table137[AB7],Table137[BB7],Table137[HBP7],Table137[SF7],Table137[AB8],Table137[BB8],Table137[HBP8],Table137[SF8],Table137[AB9],Table137[BB9],Table137[HBP9],Table137[SF9])))</f>
        <v>0.33371713682594512</v>
      </c>
      <c r="U80" s="24">
        <f>((SUM(Table137[TB1],Table137[TB2],Table137[TB3],Table137[TB4],Table137[TB5],Table137[TB6],Table137[TB7],Table137[TB8],Table137[TB9]))/(SUM(Table137[AB1],Table137[AB2],Table137[AB3],Table137[AB4],Table137[AB5],Table137[AB6],Table137[AB7],Table137[AB8],Table137[AB9])))</f>
        <v>0.35931393834129394</v>
      </c>
      <c r="V80" s="25">
        <f t="shared" si="10"/>
        <v>0.24000119615699878</v>
      </c>
    </row>
    <row r="81" spans="1:36" x14ac:dyDescent="0.25">
      <c r="A81" s="433"/>
      <c r="B81" s="13" t="s">
        <v>528</v>
      </c>
      <c r="C81" s="8">
        <f>SUMIF(Table137[PS],"=S",Table137[S-W])</f>
        <v>1</v>
      </c>
      <c r="D81" s="8">
        <f>SUMIF(Table137[PS],"=S",Table137[S-L])</f>
        <v>1</v>
      </c>
      <c r="E81" s="350">
        <f>SUMIF(Table137[PS],"=S",Table137[S-IP])</f>
        <v>17.333333333333336</v>
      </c>
      <c r="F81" s="12">
        <f>SUMIF(Table137[PS],"=S",Table137[S-H])</f>
        <v>12</v>
      </c>
      <c r="G81" s="12">
        <f>SUMIF(Table137[PS],"=S",Table137[S-R])</f>
        <v>6</v>
      </c>
      <c r="H81" s="12">
        <f>SUMIF(Table137[PS],"=S",Table137[S-ER])</f>
        <v>6</v>
      </c>
      <c r="I81" s="12">
        <f>SUMIF(Table137[PS],"=S",Table137[S-BB])</f>
        <v>7</v>
      </c>
      <c r="J81" s="12">
        <f>SUMIF(Table137[PS],"=S",Table137[S-SO])</f>
        <v>22</v>
      </c>
      <c r="K81" s="12">
        <f>SUMIF(Table137[PS],"=S",Table137[S-HR])</f>
        <v>2</v>
      </c>
      <c r="L81" s="19">
        <f>((H81/E81)*9)</f>
        <v>3.115384615384615</v>
      </c>
      <c r="N81" s="169"/>
      <c r="O81" s="169"/>
      <c r="P81" s="170"/>
      <c r="Q81" s="170"/>
      <c r="R81" s="170"/>
      <c r="S81" s="171"/>
      <c r="T81" s="171"/>
      <c r="U81" s="171"/>
      <c r="V81" s="171"/>
    </row>
    <row r="82" spans="1:36" x14ac:dyDescent="0.25">
      <c r="A82" s="433"/>
      <c r="B82" s="13" t="s">
        <v>20</v>
      </c>
      <c r="C82" s="8">
        <f>SUMIF(Table137[PS],"=S",Table137[B-W])</f>
        <v>2</v>
      </c>
      <c r="D82" s="8">
        <f>SUMIF(Table137[PS],"=S",Table137[B-L])</f>
        <v>0</v>
      </c>
      <c r="E82" s="350">
        <f>SUMIF(Table137[PS],"=S",Table137[B-IP])</f>
        <v>15.666666666666666</v>
      </c>
      <c r="F82" s="12">
        <f>SUMIF(Table137[PS],"=S",Table137[B-H])</f>
        <v>9</v>
      </c>
      <c r="G82" s="12">
        <f>SUMIF(Table137[PS],"=S",Table137[B-R])</f>
        <v>5</v>
      </c>
      <c r="H82" s="12">
        <f>SUMIF(Table137[PS],"=S",Table137[B-ER])</f>
        <v>4</v>
      </c>
      <c r="I82" s="12">
        <f>SUMIF(Table137[PS],"=S",Table137[B-BB])</f>
        <v>5</v>
      </c>
      <c r="J82" s="12">
        <f>SUMIF(Table137[PS],"=S",Table137[B-SO])</f>
        <v>13</v>
      </c>
      <c r="K82" s="12">
        <f>SUMIF(Table137[PS],"=S",Table137[B-HR])</f>
        <v>1</v>
      </c>
      <c r="L82" s="19">
        <f>((H82/E82)*9)</f>
        <v>2.2978723404255321</v>
      </c>
      <c r="N82" s="169"/>
      <c r="O82" s="169"/>
      <c r="P82" s="170"/>
      <c r="Q82" s="170"/>
      <c r="R82" s="170"/>
      <c r="S82" s="171"/>
      <c r="T82" s="171"/>
      <c r="U82" s="171"/>
      <c r="V82" s="171"/>
    </row>
    <row r="83" spans="1:36" x14ac:dyDescent="0.25">
      <c r="A83" s="433"/>
      <c r="B83" s="13" t="s">
        <v>212</v>
      </c>
      <c r="C83" s="8">
        <f>SUM(Table137[S-W])</f>
        <v>32</v>
      </c>
      <c r="D83" s="8">
        <f>SUM(Table137[S-L])</f>
        <v>53</v>
      </c>
      <c r="E83" s="350">
        <f>SUM(Table137[S-IP])</f>
        <v>688.66666666666663</v>
      </c>
      <c r="F83" s="12">
        <f>SUM(Table137[S-H])</f>
        <v>679</v>
      </c>
      <c r="G83" s="12">
        <f>SUM(Table137[S-R])</f>
        <v>395</v>
      </c>
      <c r="H83" s="12">
        <f>SUM(Table137[S-ER])</f>
        <v>330</v>
      </c>
      <c r="I83" s="12">
        <f>SUM(Table137[S-BB])</f>
        <v>256</v>
      </c>
      <c r="J83" s="12">
        <f>SUM(Table137[S-SO])</f>
        <v>589</v>
      </c>
      <c r="K83" s="12">
        <f>SUM(Table137[S-HR])</f>
        <v>75</v>
      </c>
      <c r="L83" s="19">
        <f t="shared" ref="L83:L85" si="11">((H83/E83)*9)</f>
        <v>4.3126815101645697</v>
      </c>
    </row>
    <row r="84" spans="1:36" x14ac:dyDescent="0.25">
      <c r="A84" s="433"/>
      <c r="B84" s="13" t="s">
        <v>213</v>
      </c>
      <c r="C84" s="8">
        <f>SUM(Table137[B-W])</f>
        <v>29</v>
      </c>
      <c r="D84" s="8">
        <f>SUM(Table137[B-L])</f>
        <v>25</v>
      </c>
      <c r="E84" s="350">
        <f>SUM(Table137[B-IP])</f>
        <v>525.33333333333337</v>
      </c>
      <c r="F84" s="12">
        <f>SUM(Table137[B-H])</f>
        <v>460</v>
      </c>
      <c r="G84" s="12">
        <f>SUM(Table137[B-R])</f>
        <v>297</v>
      </c>
      <c r="H84" s="12">
        <f>SUM(Table137[B-ER])</f>
        <v>237</v>
      </c>
      <c r="I84" s="12">
        <f>SUM(Table137[B-BB])</f>
        <v>256</v>
      </c>
      <c r="J84" s="12">
        <f>SUM(Table137[B-SO])</f>
        <v>544</v>
      </c>
      <c r="K84" s="12">
        <f>SUM(Table137[B-HR])</f>
        <v>41</v>
      </c>
      <c r="L84" s="19">
        <f t="shared" si="11"/>
        <v>4.0602791878172582</v>
      </c>
    </row>
    <row r="85" spans="1:36" x14ac:dyDescent="0.25">
      <c r="A85" s="433"/>
      <c r="B85" s="14" t="s">
        <v>194</v>
      </c>
      <c r="C85" s="20">
        <f>SUM(Table137[S-W],Table137[B-W])</f>
        <v>61</v>
      </c>
      <c r="D85" s="20">
        <f>SUM(Table137[S-L],Table137[B-L])</f>
        <v>78</v>
      </c>
      <c r="E85" s="351">
        <f>SUM(Table137[S-IP],Table137[B-IP])</f>
        <v>1213.9999999999998</v>
      </c>
      <c r="F85" s="33">
        <f>SUM(Table137[S-H],Table137[B-H])</f>
        <v>1139</v>
      </c>
      <c r="G85" s="33">
        <f>SUM(Table137[S-R],Table137[B-R])</f>
        <v>692</v>
      </c>
      <c r="H85" s="33">
        <f>SUM(Table137[S-ER],Table137[B-ER])</f>
        <v>567</v>
      </c>
      <c r="I85" s="33">
        <f>SUM(Table137[S-BB],Table137[B-BB])</f>
        <v>512</v>
      </c>
      <c r="J85" s="33">
        <f>SUM(Table137[S-SO],Table137[B-SO])</f>
        <v>1133</v>
      </c>
      <c r="K85" s="33">
        <f>SUM(Table137[S-HR],Table137[B-HR])</f>
        <v>116</v>
      </c>
      <c r="L85" s="21">
        <f t="shared" si="11"/>
        <v>4.2034596375617799</v>
      </c>
    </row>
    <row r="86" spans="1:36" x14ac:dyDescent="0.25">
      <c r="A86" s="257"/>
      <c r="B86" s="254"/>
      <c r="C86" s="255"/>
      <c r="D86" s="255"/>
      <c r="E86" s="355"/>
      <c r="F86" s="406"/>
      <c r="G86" s="406"/>
      <c r="H86" s="406"/>
      <c r="I86" s="406"/>
      <c r="J86" s="406"/>
      <c r="K86" s="406"/>
      <c r="L86" s="256"/>
    </row>
    <row r="87" spans="1:36" x14ac:dyDescent="0.25">
      <c r="A87" s="433" t="s">
        <v>294</v>
      </c>
      <c r="B87" s="16" t="s">
        <v>198</v>
      </c>
      <c r="C87" s="17" t="s">
        <v>129</v>
      </c>
      <c r="D87" s="17" t="s">
        <v>131</v>
      </c>
      <c r="E87" s="349" t="s">
        <v>199</v>
      </c>
      <c r="F87" s="30" t="s">
        <v>19</v>
      </c>
      <c r="G87" s="30" t="s">
        <v>188</v>
      </c>
      <c r="H87" s="30" t="s">
        <v>200</v>
      </c>
      <c r="I87" s="30" t="s">
        <v>201</v>
      </c>
      <c r="J87" s="30" t="s">
        <v>202</v>
      </c>
      <c r="K87" s="30" t="s">
        <v>203</v>
      </c>
      <c r="L87" s="18" t="s">
        <v>204</v>
      </c>
      <c r="N87" s="16" t="s">
        <v>197</v>
      </c>
      <c r="O87" s="17" t="s">
        <v>196</v>
      </c>
      <c r="P87" s="17" t="s">
        <v>187</v>
      </c>
      <c r="Q87" s="17" t="s">
        <v>188</v>
      </c>
      <c r="R87" s="17" t="s">
        <v>189</v>
      </c>
      <c r="S87" s="17" t="s">
        <v>190</v>
      </c>
      <c r="T87" s="17" t="s">
        <v>191</v>
      </c>
      <c r="U87" s="17" t="s">
        <v>192</v>
      </c>
      <c r="V87" s="18" t="s">
        <v>193</v>
      </c>
      <c r="X87" s="16" t="s">
        <v>379</v>
      </c>
      <c r="Y87" s="349" t="s">
        <v>220</v>
      </c>
      <c r="Z87" s="17" t="s">
        <v>221</v>
      </c>
      <c r="AA87" s="17" t="s">
        <v>222</v>
      </c>
      <c r="AB87" s="17" t="s">
        <v>223</v>
      </c>
      <c r="AC87" s="17" t="s">
        <v>224</v>
      </c>
      <c r="AD87" s="18" t="s">
        <v>225</v>
      </c>
      <c r="AF87" s="28" t="s">
        <v>126</v>
      </c>
      <c r="AG87" s="29" t="s">
        <v>234</v>
      </c>
      <c r="AH87" s="30" t="s">
        <v>235</v>
      </c>
      <c r="AI87" s="30" t="s">
        <v>236</v>
      </c>
      <c r="AJ87" s="31" t="s">
        <v>237</v>
      </c>
    </row>
    <row r="88" spans="1:36" x14ac:dyDescent="0.25">
      <c r="A88" s="433"/>
      <c r="B88" s="13" t="s">
        <v>205</v>
      </c>
      <c r="C88" s="8">
        <f>SUMIF(Table13[PS],"=1",Table13[S-W])</f>
        <v>2</v>
      </c>
      <c r="D88" s="8">
        <f>SUMIF(Table13[PS],"=1",Table13[S-L])</f>
        <v>4</v>
      </c>
      <c r="E88" s="350">
        <f>SUMIF(Table13[PS],"=1",Table13[S-IP])</f>
        <v>58.666666666666671</v>
      </c>
      <c r="F88" s="12">
        <f>SUMIF(Table13[PS],"=1",Table13[S-H])</f>
        <v>67</v>
      </c>
      <c r="G88" s="12">
        <f>SUMIF(Table13[PS],"=1",Table13[S-R])</f>
        <v>33</v>
      </c>
      <c r="H88" s="12">
        <f>SUMIF(Table13[PS],"=1",Table13[S-ER])</f>
        <v>32</v>
      </c>
      <c r="I88" s="12">
        <f>SUMIF(Table13[PS],"=1",Table13[S-BB])</f>
        <v>13</v>
      </c>
      <c r="J88" s="12">
        <f>SUMIF(Table13[PS],"=1",Table13[S-SO])</f>
        <v>42</v>
      </c>
      <c r="K88" s="12">
        <f>SUMIF(Table13[PS],"=1",Table13[S-HR])</f>
        <v>7</v>
      </c>
      <c r="L88" s="19">
        <f t="shared" ref="L88:L102" si="12">((H88/E88)*9)</f>
        <v>4.9090909090909083</v>
      </c>
      <c r="N88" s="13">
        <v>1</v>
      </c>
      <c r="O88" s="9" t="str">
        <f>INDEX(Table13[Starter1],MODE(MATCH(Table13[Starter1],Table13[Starter1],0)))</f>
        <v>Price, R</v>
      </c>
      <c r="P88" s="7">
        <f>COUNTIF(Table13[Starter1], INDEX(Table13[Starter1],MODE(MATCH(Table13[Starter1],Table13[Starter1],0))))</f>
        <v>43</v>
      </c>
      <c r="Q88" s="10">
        <f>SUBTOTAL(109,Table13[R1])</f>
        <v>40</v>
      </c>
      <c r="R88" s="7">
        <f>SUBTOTAL(109,Table13[RBI1])</f>
        <v>28</v>
      </c>
      <c r="S88" s="11">
        <f>((SUM(Table13[H1]))/(SUM(Table13[AB1])))</f>
        <v>0.26521739130434785</v>
      </c>
      <c r="T88" s="11">
        <f>((SUM(Table13[H1],Table13[BB1],Table13[HBP1]))/(SUM(Table13[AB1],Table13[BB1],Table13[HBP1],Table13[SF1])))</f>
        <v>0.3951048951048951</v>
      </c>
      <c r="U88" s="11">
        <f>((SUM(Table13[TB1]))/(SUM(Table13[AB1])))</f>
        <v>0.36956521739130432</v>
      </c>
      <c r="V88" s="22">
        <f t="shared" ref="V88:V97" si="13">(SUM((1.8*(T88)),U88)/4)</f>
        <v>0.27018850714502884</v>
      </c>
      <c r="X88" s="13" t="s">
        <v>218</v>
      </c>
      <c r="Y88" s="350">
        <f>SUM(Table13[IVL])</f>
        <v>148.66666666666669</v>
      </c>
      <c r="Z88" s="8">
        <f>SUM(Table13[SVL])</f>
        <v>14</v>
      </c>
      <c r="AA88" s="8">
        <f>SUM(Table13[SVL],Table13[CVL])</f>
        <v>19</v>
      </c>
      <c r="AB88" s="11">
        <f>(Z88/AA88)</f>
        <v>0.73684210526315785</v>
      </c>
      <c r="AC88" s="11">
        <f>((Z88/Y88)*9)</f>
        <v>0.84753363228699552</v>
      </c>
      <c r="AD88" s="22">
        <f>((AA88/Y88)*9)</f>
        <v>1.1502242152466366</v>
      </c>
      <c r="AF88" s="26" t="s">
        <v>238</v>
      </c>
      <c r="AG88" s="8">
        <f>COUNTIF(Table13[Loc],"=H")</f>
        <v>27</v>
      </c>
      <c r="AH88" s="12">
        <f>AVERAGEIF(Table13[Loc],"=H",Table13[Att])</f>
        <v>4404.1481481481478</v>
      </c>
      <c r="AI88" s="12">
        <f>SUMIF(Table13[Loc],"=H",Table13[Att])</f>
        <v>118912</v>
      </c>
      <c r="AJ88" s="27">
        <f>AH88*34</f>
        <v>149741.03703703702</v>
      </c>
    </row>
    <row r="89" spans="1:36" x14ac:dyDescent="0.25">
      <c r="A89" s="433"/>
      <c r="B89" s="13" t="s">
        <v>206</v>
      </c>
      <c r="C89" s="8">
        <f>SUMIF(Table13[PS],"=1",Table13[B-W])</f>
        <v>4</v>
      </c>
      <c r="D89" s="8">
        <f>SUMIF(Table13[PS],"=1",Table13[B-L])</f>
        <v>3</v>
      </c>
      <c r="E89" s="350">
        <f>SUMIF(Table13[PS],"=1",Table13[B-IP])</f>
        <v>56.333333333333329</v>
      </c>
      <c r="F89" s="12">
        <f>SUMIF(Table13[PS],"=1",Table13[B-H])</f>
        <v>47</v>
      </c>
      <c r="G89" s="12">
        <f>SUMIF(Table13[PS],"=1",Table13[B-R])</f>
        <v>23</v>
      </c>
      <c r="H89" s="12">
        <f>SUMIF(Table13[PS],"=1",Table13[B-ER])</f>
        <v>20</v>
      </c>
      <c r="I89" s="12">
        <f>SUMIF(Table13[PS],"=1",Table13[B-BB])</f>
        <v>18</v>
      </c>
      <c r="J89" s="12">
        <f>SUMIF(Table13[PS],"=1",Table13[B-SO])</f>
        <v>50</v>
      </c>
      <c r="K89" s="12">
        <f>SUMIF(Table13[PS],"=1",Table13[B-HR])</f>
        <v>1</v>
      </c>
      <c r="L89" s="19">
        <f t="shared" si="12"/>
        <v>3.1952662721893494</v>
      </c>
      <c r="N89" s="13">
        <v>2</v>
      </c>
      <c r="O89" s="9" t="str">
        <f>INDEX(Table13[Starter2],MODE(MATCH(Table13[Starter2],Table13[Starter2],0)))</f>
        <v>Dietrich, D</v>
      </c>
      <c r="P89" s="7">
        <f>COUNTIF(Table13[Starter2], INDEX(Table13[Starter2],MODE(MATCH(Table13[Starter2],Table13[Starter2],0))))</f>
        <v>21</v>
      </c>
      <c r="Q89" s="7">
        <f>SUBTOTAL(109,Table13[R2])</f>
        <v>43</v>
      </c>
      <c r="R89" s="7">
        <f>SUBTOTAL(109,Table13[RBI2])</f>
        <v>36</v>
      </c>
      <c r="S89" s="11">
        <f>((SUM(Table13[H2]))/(SUM(Table13[AB2])))</f>
        <v>0.28685258964143429</v>
      </c>
      <c r="T89" s="11">
        <f>((SUM(Table13[H2],Table13[BB2],Table13[HBP2]))/(SUM(Table13[AB2],Table13[BB2],Table13[HBP2],Table13[SF2])))</f>
        <v>0.33935018050541516</v>
      </c>
      <c r="U89" s="11">
        <f>((SUM(Table13[TB2]))/(SUM(Table13[AB2])))</f>
        <v>0.41434262948207173</v>
      </c>
      <c r="V89" s="22">
        <f t="shared" si="13"/>
        <v>0.25629323859795478</v>
      </c>
      <c r="X89" s="13" t="s">
        <v>219</v>
      </c>
      <c r="Y89" s="350">
        <f>SUM(Table13[IVR])</f>
        <v>396.33333333333331</v>
      </c>
      <c r="Z89" s="8">
        <f>SUM(Table13[SVR])</f>
        <v>69</v>
      </c>
      <c r="AA89" s="8">
        <f>SUM(Table13[SVR],Table13[CVR])</f>
        <v>85</v>
      </c>
      <c r="AB89" s="11">
        <f>(Z89/AA89)</f>
        <v>0.81176470588235294</v>
      </c>
      <c r="AC89" s="11">
        <f>((Z89/Y89)*9)</f>
        <v>1.5668629100084106</v>
      </c>
      <c r="AD89" s="22">
        <f>((AA89/Y89)*9)</f>
        <v>1.9301934398654332</v>
      </c>
      <c r="AF89" s="26" t="s">
        <v>239</v>
      </c>
      <c r="AG89" s="8">
        <f>COUNTIF(Table13[Loc],"=A")</f>
        <v>34</v>
      </c>
      <c r="AH89" s="12">
        <f>AVERAGEIF(Table13[Loc],"=A",Table13[Att])</f>
        <v>4436.272727272727</v>
      </c>
      <c r="AI89" s="12">
        <f>SUMIF(Table13[Loc],"=A",Table13[Att])</f>
        <v>146397</v>
      </c>
      <c r="AJ89" s="27">
        <f>AH89*34</f>
        <v>150833.27272727271</v>
      </c>
    </row>
    <row r="90" spans="1:36" x14ac:dyDescent="0.25">
      <c r="A90" s="433"/>
      <c r="B90" s="13" t="s">
        <v>207</v>
      </c>
      <c r="C90" s="8">
        <f>SUMIF(Table13[PS],"=2",Table13[S-W])</f>
        <v>3</v>
      </c>
      <c r="D90" s="8">
        <f>SUMIF(Table13[PS],"=2",Table13[S-L])</f>
        <v>3</v>
      </c>
      <c r="E90" s="350">
        <f>SUMIF(Table13[PS],"=2",Table13[S-IP])</f>
        <v>48.999999999999993</v>
      </c>
      <c r="F90" s="12">
        <f>SUMIF(Table13[PS],"=2",Table13[S-H])</f>
        <v>44</v>
      </c>
      <c r="G90" s="12">
        <f>SUMIF(Table13[PS],"=2",Table13[S-R])</f>
        <v>28</v>
      </c>
      <c r="H90" s="12">
        <f>SUMIF(Table13[PS],"=2",Table13[S-ER])</f>
        <v>24</v>
      </c>
      <c r="I90" s="12">
        <f>SUMIF(Table13[PS],"=2",Table13[S-BB])</f>
        <v>21</v>
      </c>
      <c r="J90" s="12">
        <f>SUMIF(Table13[PS],"=2",Table13[S-SO])</f>
        <v>35</v>
      </c>
      <c r="K90" s="12">
        <f>SUMIF(Table13[PS],"=2",Table13[S-HR])</f>
        <v>2</v>
      </c>
      <c r="L90" s="19">
        <f t="shared" si="12"/>
        <v>4.4081632653061229</v>
      </c>
      <c r="N90" s="13">
        <v>3</v>
      </c>
      <c r="O90" s="9" t="str">
        <f>INDEX(Table13[Starter3],MODE(MATCH(Table13[Starter3],Table13[Starter3],0)))</f>
        <v>Tinoco, S</v>
      </c>
      <c r="P90" s="7">
        <f>COUNTIF(Table13[Starter3], INDEX(Table13[Starter3],MODE(MATCH(Table13[Starter3],Table13[Starter3],0))))</f>
        <v>20</v>
      </c>
      <c r="Q90" s="7">
        <f>SUBTOTAL(109,Table13[R3])</f>
        <v>37</v>
      </c>
      <c r="R90" s="7">
        <f>SUBTOTAL(109,Table13[RBI3])</f>
        <v>35</v>
      </c>
      <c r="S90" s="11">
        <f>((SUM(Table13[H3]))/(SUM(Table13[AB3])))</f>
        <v>0.3168724279835391</v>
      </c>
      <c r="T90" s="11">
        <f>((SUM(Table13[H3],Table13[BB3],Table13[HBP3]))/(SUM(Table13[AB3],Table13[BB3],Table13[HBP3],Table13[SF3])))</f>
        <v>0.3890909090909091</v>
      </c>
      <c r="U90" s="11">
        <f>((SUM(Table13[TB3]))/(SUM(Table13[AB3])))</f>
        <v>0.44444444444444442</v>
      </c>
      <c r="V90" s="22">
        <f t="shared" si="13"/>
        <v>0.28620202020202024</v>
      </c>
      <c r="X90" s="14" t="s">
        <v>194</v>
      </c>
      <c r="Y90" s="351">
        <f>SUM(Table13[IVL],Table13[IVR])</f>
        <v>545.00000000000023</v>
      </c>
      <c r="Z90" s="20">
        <f>SUM(Table13[SVL],Table13[SVR])</f>
        <v>83</v>
      </c>
      <c r="AA90" s="20">
        <f>SUM(Table13[SVL],Table13[CVL],Table13[SVR],Table13[CVR])</f>
        <v>104</v>
      </c>
      <c r="AB90" s="24">
        <f>(Z90/AA90)</f>
        <v>0.79807692307692313</v>
      </c>
      <c r="AC90" s="24">
        <f>((Z90/Y90)*9)</f>
        <v>1.3706422018348616</v>
      </c>
      <c r="AD90" s="25">
        <f>((AA90/Y90)*9)</f>
        <v>1.7174311926605499</v>
      </c>
      <c r="AF90" s="32" t="s">
        <v>34</v>
      </c>
      <c r="AG90" s="20">
        <f>COUNT(Table13[Date])</f>
        <v>61</v>
      </c>
      <c r="AH90" s="33">
        <f>AVERAGE(Table13[Att])</f>
        <v>4421.8166666666666</v>
      </c>
      <c r="AI90" s="33">
        <f>SUM(Table13[Att])</f>
        <v>265309</v>
      </c>
      <c r="AJ90" s="34">
        <f>AH90*68</f>
        <v>300683.53333333333</v>
      </c>
    </row>
    <row r="91" spans="1:36" x14ac:dyDescent="0.25">
      <c r="A91" s="433"/>
      <c r="B91" s="13" t="s">
        <v>208</v>
      </c>
      <c r="C91" s="8">
        <f>SUMIF(Table13[PS],"=2",Table13[B-W])</f>
        <v>2</v>
      </c>
      <c r="D91" s="8">
        <f>SUMIF(Table13[PS],"=2",Table13[B-L])</f>
        <v>4</v>
      </c>
      <c r="E91" s="350">
        <f>SUMIF(Table13[PS],"=2",Table13[B-IP])</f>
        <v>56.666666666666664</v>
      </c>
      <c r="F91" s="12">
        <f>SUMIF(Table13[PS],"=2",Table13[B-H])</f>
        <v>62</v>
      </c>
      <c r="G91" s="12">
        <f>SUMIF(Table13[PS],"=2",Table13[B-R])</f>
        <v>46</v>
      </c>
      <c r="H91" s="12">
        <f>SUMIF(Table13[PS],"=2",Table13[B-ER])</f>
        <v>37</v>
      </c>
      <c r="I91" s="12">
        <f>SUMIF(Table13[PS],"=2",Table13[B-BB])</f>
        <v>24</v>
      </c>
      <c r="J91" s="12">
        <f>SUMIF(Table13[PS],"=2",Table13[B-SO])</f>
        <v>60</v>
      </c>
      <c r="K91" s="12">
        <f>SUMIF(Table13[PS],"=2",Table13[B-HR])</f>
        <v>4</v>
      </c>
      <c r="L91" s="19">
        <f t="shared" si="12"/>
        <v>5.8764705882352946</v>
      </c>
      <c r="N91" s="13">
        <v>4</v>
      </c>
      <c r="O91" s="9" t="str">
        <f>INDEX(Table13[Starter4],MODE(MATCH(Table13[Starter4],Table13[Starter4],0)))</f>
        <v>Schwaner, N</v>
      </c>
      <c r="P91" s="7">
        <f>COUNTIF(Table13[Starter4], INDEX(Table13[Starter4],MODE(MATCH(Table13[Starter4],Table13[Starter4],0))))</f>
        <v>28</v>
      </c>
      <c r="Q91" s="7">
        <f>SUBTOTAL(109,Table13[R4])</f>
        <v>38</v>
      </c>
      <c r="R91" s="7">
        <f>SUBTOTAL(109,Table13[RBI4])</f>
        <v>39</v>
      </c>
      <c r="S91" s="11">
        <f>((SUM(Table13[H4]))/(SUM(Table13[AB4])))</f>
        <v>0.27459016393442626</v>
      </c>
      <c r="T91" s="11">
        <f>((SUM(Table13[H4],Table13[BB4],Table13[HBP4]))/(SUM(Table13[AB4],Table13[BB4],Table13[HBP4],Table13[SF4])))</f>
        <v>0.33455882352941174</v>
      </c>
      <c r="U91" s="11">
        <f>((SUM(Table13[TB4]))/(SUM(Table13[AB4])))</f>
        <v>0.38934426229508196</v>
      </c>
      <c r="V91" s="22">
        <f t="shared" si="13"/>
        <v>0.24788753616200576</v>
      </c>
    </row>
    <row r="92" spans="1:36" x14ac:dyDescent="0.25">
      <c r="A92" s="433"/>
      <c r="B92" s="13" t="s">
        <v>209</v>
      </c>
      <c r="C92" s="8">
        <f>SUMIF(Table13[PS],"=3",Table13[S-W])</f>
        <v>3</v>
      </c>
      <c r="D92" s="8">
        <f>SUMIF(Table13[PS],"=3",Table13[S-L])</f>
        <v>2</v>
      </c>
      <c r="E92" s="350">
        <f>SUMIF(Table13[PS],"=3",Table13[S-IP])</f>
        <v>61.666666666666664</v>
      </c>
      <c r="F92" s="12">
        <f>SUMIF(Table13[PS],"=3",Table13[S-H])</f>
        <v>55</v>
      </c>
      <c r="G92" s="12">
        <f>SUMIF(Table13[PS],"=3",Table13[S-R])</f>
        <v>24</v>
      </c>
      <c r="H92" s="12">
        <f>SUMIF(Table13[PS],"=3",Table13[S-ER])</f>
        <v>17</v>
      </c>
      <c r="I92" s="12">
        <f>SUMIF(Table13[PS],"=3",Table13[S-BB])</f>
        <v>13</v>
      </c>
      <c r="J92" s="12">
        <f>SUMIF(Table13[PS],"=3",Table13[S-SO])</f>
        <v>53</v>
      </c>
      <c r="K92" s="12">
        <f>SUMIF(Table13[PS],"=3",Table13[S-HR])</f>
        <v>4</v>
      </c>
      <c r="L92" s="19">
        <f t="shared" si="12"/>
        <v>2.4810810810810811</v>
      </c>
      <c r="N92" s="13">
        <v>5</v>
      </c>
      <c r="O92" s="9" t="str">
        <f>INDEX(Table13[Starter5],MODE(MATCH(Table13[Starter5],Table13[Starter5],0)))</f>
        <v>Wunderlich, P</v>
      </c>
      <c r="P92" s="7">
        <f>COUNTIF(Table13[Starter5], INDEX(Table13[Starter5],MODE(MATCH(Table13[Starter5],Table13[Starter5],0))))</f>
        <v>18</v>
      </c>
      <c r="Q92" s="7">
        <f>SUBTOTAL(109,Table13[R5])</f>
        <v>26</v>
      </c>
      <c r="R92" s="7">
        <f>SUBTOTAL(109,Table13[RBI5])</f>
        <v>34</v>
      </c>
      <c r="S92" s="11">
        <f>((SUM(Table13[H5]))/(SUM(Table13[AB5])))</f>
        <v>0.25523012552301255</v>
      </c>
      <c r="T92" s="11">
        <f>((SUM(Table13[H5],Table13[BB5],Table13[HBP5]))/(SUM(Table13[AB5],Table13[BB5],Table13[HBP5],Table13[SF5])))</f>
        <v>0.31558935361216728</v>
      </c>
      <c r="U92" s="11">
        <f>((SUM(Table13[TB5]))/(SUM(Table13[AB5])))</f>
        <v>0.35146443514644349</v>
      </c>
      <c r="V92" s="22">
        <f t="shared" si="13"/>
        <v>0.22988131791208616</v>
      </c>
    </row>
    <row r="93" spans="1:36" x14ac:dyDescent="0.25">
      <c r="A93" s="433"/>
      <c r="B93" s="13" t="s">
        <v>214</v>
      </c>
      <c r="C93" s="8">
        <f>SUMIF(Table13[PS],"=3",Table13[B-W])</f>
        <v>5</v>
      </c>
      <c r="D93" s="8">
        <f>SUMIF(Table13[PS],"=3",Table13[B-L])</f>
        <v>2</v>
      </c>
      <c r="E93" s="350">
        <f>SUMIF(Table13[PS],"=3",Table13[B-IP])</f>
        <v>49.333333333333329</v>
      </c>
      <c r="F93" s="12">
        <f>SUMIF(Table13[PS],"=3",Table13[B-H])</f>
        <v>55</v>
      </c>
      <c r="G93" s="12">
        <f>SUMIF(Table13[PS],"=3",Table13[B-R])</f>
        <v>21</v>
      </c>
      <c r="H93" s="12">
        <f>SUMIF(Table13[PS],"=3",Table13[B-ER])</f>
        <v>17</v>
      </c>
      <c r="I93" s="12">
        <f>SUMIF(Table13[PS],"=3",Table13[B-BB])</f>
        <v>20</v>
      </c>
      <c r="J93" s="12">
        <f>SUMIF(Table13[PS],"=3",Table13[B-SO])</f>
        <v>56</v>
      </c>
      <c r="K93" s="12">
        <f>SUMIF(Table13[PS],"=3",Table13[B-HR])</f>
        <v>3</v>
      </c>
      <c r="L93" s="19">
        <f t="shared" si="12"/>
        <v>3.1013513513513518</v>
      </c>
      <c r="N93" s="13">
        <v>6</v>
      </c>
      <c r="O93" s="9" t="str">
        <f>INDEX(Table13[Starter6],MODE(MATCH(Table13[Starter6],Table13[Starter6],0)))</f>
        <v>Reynolds, B</v>
      </c>
      <c r="P93" s="7">
        <f>COUNTIF(Table13[Starter6], INDEX(Table13[Starter6],MODE(MATCH(Table13[Starter6],Table13[Starter6],0))))</f>
        <v>24</v>
      </c>
      <c r="Q93" s="7">
        <f>SUBTOTAL(109,Table13[R6])</f>
        <v>24</v>
      </c>
      <c r="R93" s="7">
        <f>SUBTOTAL(109,Table13[RBI6])</f>
        <v>32</v>
      </c>
      <c r="S93" s="11">
        <f>((SUM(Table13[H6]))/(SUM(Table13[AB6])))</f>
        <v>0.23605150214592274</v>
      </c>
      <c r="T93" s="11">
        <f>((SUM(Table13[H6],Table13[BB6],Table13[HBP6]))/(SUM(Table13[AB6],Table13[BB6],Table13[HBP6],Table13[SF6])))</f>
        <v>0.30196078431372547</v>
      </c>
      <c r="U93" s="11">
        <f>((SUM(Table13[TB6]))/(SUM(Table13[AB6])))</f>
        <v>0.35622317596566522</v>
      </c>
      <c r="V93" s="22">
        <f t="shared" si="13"/>
        <v>0.22493814693259276</v>
      </c>
    </row>
    <row r="94" spans="1:36" x14ac:dyDescent="0.25">
      <c r="A94" s="433"/>
      <c r="B94" s="13" t="s">
        <v>210</v>
      </c>
      <c r="C94" s="8">
        <f>SUMIF(Table13[PS],"=4",Table13[S-W])</f>
        <v>4</v>
      </c>
      <c r="D94" s="8">
        <f>SUMIF(Table13[PS],"=4",Table13[S-L])</f>
        <v>1</v>
      </c>
      <c r="E94" s="350">
        <f>SUMIF(Table13[PS],"=4",Table13[S-IP])</f>
        <v>56</v>
      </c>
      <c r="F94" s="12">
        <f>SUMIF(Table13[PS],"=4",Table13[S-H])</f>
        <v>57</v>
      </c>
      <c r="G94" s="12">
        <f>SUMIF(Table13[PS],"=4",Table13[S-R])</f>
        <v>23</v>
      </c>
      <c r="H94" s="12">
        <f>SUMIF(Table13[PS],"=4",Table13[S-ER])</f>
        <v>19</v>
      </c>
      <c r="I94" s="12">
        <f>SUMIF(Table13[PS],"=4",Table13[S-BB])</f>
        <v>10</v>
      </c>
      <c r="J94" s="12">
        <f>SUMIF(Table13[PS],"=4",Table13[S-SO])</f>
        <v>36</v>
      </c>
      <c r="K94" s="12">
        <f>SUMIF(Table13[PS],"=4",Table13[S-HR])</f>
        <v>1</v>
      </c>
      <c r="L94" s="19">
        <f t="shared" si="12"/>
        <v>3.0535714285714288</v>
      </c>
      <c r="N94" s="13">
        <v>7</v>
      </c>
      <c r="O94" s="9" t="str">
        <f>INDEX(Table13[Starter7],MODE(MATCH(Table13[Starter7],Table13[Starter7],0)))</f>
        <v>Reynolds, B</v>
      </c>
      <c r="P94" s="7">
        <f>COUNTIF(Table13[Starter7], INDEX(Table13[Starter7],MODE(MATCH(Table13[Starter7],Table13[Starter7],0))))</f>
        <v>16</v>
      </c>
      <c r="Q94" s="7">
        <f>SUBTOTAL(109,Table13[R7])</f>
        <v>28</v>
      </c>
      <c r="R94" s="7">
        <f>SUBTOTAL(109,Table13[RBI7])</f>
        <v>24</v>
      </c>
      <c r="S94" s="11">
        <f>((SUM(Table13[H7]))/(SUM(Table13[AB7])))</f>
        <v>0.23555555555555555</v>
      </c>
      <c r="T94" s="11">
        <f>((SUM(Table13[H7],Table13[BB7],Table13[HBP7]))/(SUM(Table13[AB7],Table13[BB7],Table13[HBP7],Table13[SF7])))</f>
        <v>0.312</v>
      </c>
      <c r="U94" s="11">
        <f>((SUM(Table13[TB7]))/(SUM(Table13[AB7])))</f>
        <v>0.33777777777777779</v>
      </c>
      <c r="V94" s="22">
        <f t="shared" si="13"/>
        <v>0.22484444444444446</v>
      </c>
    </row>
    <row r="95" spans="1:36" x14ac:dyDescent="0.25">
      <c r="A95" s="433"/>
      <c r="B95" s="13" t="s">
        <v>215</v>
      </c>
      <c r="C95" s="8">
        <f>SUMIF(Table13[PS],"=4",Table13[B-W])</f>
        <v>4</v>
      </c>
      <c r="D95" s="8">
        <f>SUMIF(Table13[PS],"=4",Table13[B-L])</f>
        <v>3</v>
      </c>
      <c r="E95" s="350">
        <f>SUMIF(Table13[PS],"=4",Table13[B-IP])</f>
        <v>50.333333333333329</v>
      </c>
      <c r="F95" s="12">
        <f>SUMIF(Table13[PS],"=4",Table13[B-H])</f>
        <v>43</v>
      </c>
      <c r="G95" s="12">
        <f>SUMIF(Table13[PS],"=4",Table13[B-R])</f>
        <v>15</v>
      </c>
      <c r="H95" s="12">
        <f>SUMIF(Table13[PS],"=4",Table13[B-ER])</f>
        <v>10</v>
      </c>
      <c r="I95" s="12">
        <f>SUMIF(Table13[PS],"=4",Table13[B-BB])</f>
        <v>21</v>
      </c>
      <c r="J95" s="12">
        <f>SUMIF(Table13[PS],"=4",Table13[B-SO])</f>
        <v>53</v>
      </c>
      <c r="K95" s="12">
        <f>SUMIF(Table13[PS],"=4",Table13[B-HR])</f>
        <v>1</v>
      </c>
      <c r="L95" s="19">
        <f t="shared" si="12"/>
        <v>1.7880794701986757</v>
      </c>
      <c r="N95" s="13">
        <v>8</v>
      </c>
      <c r="O95" s="9" t="str">
        <f>INDEX(Table13[Starter8],MODE(MATCH(Table13[Starter8],Table13[Starter8],0)))</f>
        <v>Bryles, B</v>
      </c>
      <c r="P95" s="7">
        <f>COUNTIF(Table13[Starter8], INDEX(Table13[Starter8],MODE(MATCH(Table13[Starter8],Table13[Starter8],0))))</f>
        <v>16</v>
      </c>
      <c r="Q95" s="7">
        <f>SUBTOTAL(109,Table13[R8])</f>
        <v>30</v>
      </c>
      <c r="R95" s="7">
        <f>SUBTOTAL(109,Table13[RBI8])</f>
        <v>22</v>
      </c>
      <c r="S95" s="11">
        <f>((SUM(Table13[H8]))/(SUM(Table13[AB8])))</f>
        <v>0.26794258373205743</v>
      </c>
      <c r="T95" s="11">
        <f>((SUM(Table13[H8],Table13[BB8],Table13[HBP8]))/(SUM(Table13[AB8],Table13[BB8],Table13[HBP8],Table13[SF8])))</f>
        <v>0.35564853556485354</v>
      </c>
      <c r="U95" s="11">
        <f>((SUM(Table13[TB8]))/(SUM(Table13[AB8])))</f>
        <v>0.38277511961722488</v>
      </c>
      <c r="V95" s="22">
        <f t="shared" si="13"/>
        <v>0.25573562090849034</v>
      </c>
    </row>
    <row r="96" spans="1:36" x14ac:dyDescent="0.25">
      <c r="A96" s="433"/>
      <c r="B96" s="13" t="s">
        <v>211</v>
      </c>
      <c r="C96" s="8">
        <f>SUMIF(Table13[PS],"=5",Table13[S-W])</f>
        <v>0</v>
      </c>
      <c r="D96" s="8">
        <f>SUMIF(Table13[PS],"=5",Table13[S-L])</f>
        <v>5</v>
      </c>
      <c r="E96" s="350">
        <f>SUMIF(Table13[PS],"=5",Table13[S-IP])</f>
        <v>45.000000000000007</v>
      </c>
      <c r="F96" s="12">
        <f>SUMIF(Table13[PS],"=5",Table13[S-H])</f>
        <v>50</v>
      </c>
      <c r="G96" s="12">
        <f>SUMIF(Table13[PS],"=5",Table13[S-R])</f>
        <v>32</v>
      </c>
      <c r="H96" s="12">
        <f>SUMIF(Table13[PS],"=5",Table13[S-ER])</f>
        <v>30</v>
      </c>
      <c r="I96" s="12">
        <f>SUMIF(Table13[PS],"=5",Table13[S-BB])</f>
        <v>9</v>
      </c>
      <c r="J96" s="12">
        <f>SUMIF(Table13[PS],"=5",Table13[S-SO])</f>
        <v>38</v>
      </c>
      <c r="K96" s="12">
        <f>SUMIF(Table13[PS],"=5",Table13[S-HR])</f>
        <v>7</v>
      </c>
      <c r="L96" s="19">
        <f t="shared" si="12"/>
        <v>5.9999999999999982</v>
      </c>
      <c r="N96" s="13">
        <v>9</v>
      </c>
      <c r="O96" s="9" t="str">
        <f>INDEX(Table13[Starter9],MODE(MATCH(Table13[Starter9],Table13[Starter9],0)))</f>
        <v>Winder, C</v>
      </c>
      <c r="P96" s="7">
        <f>COUNTIF(Table13[Starter9], INDEX(Table13[Starter9],MODE(MATCH(Table13[Starter9],Table13[Starter9],0))))</f>
        <v>39</v>
      </c>
      <c r="Q96" s="7">
        <f>SUBTOTAL(109,Table13[R9])</f>
        <v>27</v>
      </c>
      <c r="R96" s="7">
        <f>SUBTOTAL(109,Table13[RBI9])</f>
        <v>10</v>
      </c>
      <c r="S96" s="11">
        <f>((SUM(Table13[H9]))/(SUM(Table13[AB9])))</f>
        <v>0.18433179723502305</v>
      </c>
      <c r="T96" s="11">
        <f>((SUM(Table13[H9],Table13[BB9],Table13[HBP9]))/(SUM(Table13[AB9],Table13[BB9],Table13[HBP9],Table13[SF9])))</f>
        <v>0.24680851063829787</v>
      </c>
      <c r="U96" s="11">
        <f>((SUM(Table13[TB9]))/(SUM(Table13[AB9])))</f>
        <v>0.22580645161290322</v>
      </c>
      <c r="V96" s="22">
        <f t="shared" si="13"/>
        <v>0.16751544269045984</v>
      </c>
    </row>
    <row r="97" spans="1:36" x14ac:dyDescent="0.25">
      <c r="A97" s="433"/>
      <c r="B97" s="13" t="s">
        <v>216</v>
      </c>
      <c r="C97" s="8">
        <f>SUMIF(Table13[PS],"=5",Table13[B-W])</f>
        <v>3</v>
      </c>
      <c r="D97" s="8">
        <f>SUMIF(Table13[PS],"=5",Table13[B-L])</f>
        <v>3</v>
      </c>
      <c r="E97" s="350">
        <f>SUMIF(Table13[PS],"=5",Table13[B-IP])</f>
        <v>50</v>
      </c>
      <c r="F97" s="12">
        <f>SUMIF(Table13[PS],"=5",Table13[B-H])</f>
        <v>43</v>
      </c>
      <c r="G97" s="12">
        <f>SUMIF(Table13[PS],"=5",Table13[B-R])</f>
        <v>26</v>
      </c>
      <c r="H97" s="12">
        <f>SUMIF(Table13[PS],"=5",Table13[B-ER])</f>
        <v>24</v>
      </c>
      <c r="I97" s="12">
        <f>SUMIF(Table13[PS],"=5",Table13[B-BB])</f>
        <v>22</v>
      </c>
      <c r="J97" s="12">
        <f>SUMIF(Table13[PS],"=5",Table13[B-SO])</f>
        <v>44</v>
      </c>
      <c r="K97" s="12">
        <f>SUMIF(Table13[PS],"=5",Table13[B-HR])</f>
        <v>2</v>
      </c>
      <c r="L97" s="19">
        <f t="shared" si="12"/>
        <v>4.32</v>
      </c>
      <c r="N97" s="40" t="s">
        <v>194</v>
      </c>
      <c r="O97" s="23"/>
      <c r="P97" s="15">
        <f>SUBTOTAL(103,Table13[Date])</f>
        <v>61</v>
      </c>
      <c r="Q97" s="15">
        <f>SUM(Table13[R1],Table13[R2],Table13[R3],Table13[R4],Table13[R5],Table13[R6],Table13[R7],Table13[R8],Table13[R9])</f>
        <v>293</v>
      </c>
      <c r="R97" s="15">
        <f>SUM(Table13[RBI1],Table13[RBI2],Table13[RBI3],Table13[RBI4],Table13[RBI5],Table13[RBI6],Table13[RBI7],Table13[RBI8],Table13[RBI9])</f>
        <v>260</v>
      </c>
      <c r="S97" s="24">
        <f>((SUM(Table13[H1],Table13[H2],Table13[H3],Table13[H4],Table13[H5],Table13[H6],Table13[H7],Table13[H8],Table13[H9]))/(SUM(Table13[AB1],Table13[AB2],Table13[AB3],Table13[AB4],Table13[AB5],Table13[AB6],Table13[AB7],Table13[AB8],Table13[AB9])))</f>
        <v>0.25920612147297944</v>
      </c>
      <c r="T97" s="24">
        <f>((SUM(Table13[H1],Table13[BB1],Table13[HBP1],Table13[H2],Table13[BB2],Table13[HBP2],Table13[H3],Table13[BB3],Table13[HBP3],Table13[H4],Table13[BB4],Table13[HBP4],Table13[H5],Table13[BB5],Table13[HBP5],Table13[H6],Table13[BB6],Table13[HBP6],Table13[H7],Table13[BB7],Table13[HBP7],Table13[H8],Table13[BB8],Table13[HBP8],Table13[H9],Table13[BB9],Table13[HBP9]))/(SUM(Table13[AB1],Table13[BB1],Table13[HBP1],Table13[SF1],Table13[AB2],Table13[BB2],Table13[HBP2],Table13[SF2],Table13[AB3],Table13[BB3],Table13[HBP3],Table13[SF3],Table13[AB4],Table13[BB4],Table13[HBP4],Table13[SF4],Table13[AB5],Table13[BB5],Table13[HBP5],Table13[SF5],Table13[AB6],Table13[BB6],Table13[HBP6],Table13[SF6],Table13[AB7],Table13[BB7],Table13[HBP7],Table13[SF7],Table13[AB8],Table13[BB8],Table13[HBP8],Table13[SF8],Table13[AB9],Table13[BB9],Table13[HBP9],Table13[SF9])))</f>
        <v>0.33418367346938777</v>
      </c>
      <c r="U97" s="24">
        <f>((SUM(Table13[TB1],Table13[TB2],Table13[TB3],Table13[TB4],Table13[TB5],Table13[TB6],Table13[TB7],Table13[TB8],Table13[TB9]))/(SUM(Table13[AB1],Table13[AB2],Table13[AB3],Table13[AB4],Table13[AB5],Table13[AB6],Table13[AB7],Table13[AB8],Table13[AB9])))</f>
        <v>0.36537541846006694</v>
      </c>
      <c r="V97" s="25">
        <f t="shared" si="13"/>
        <v>0.24172650767624124</v>
      </c>
    </row>
    <row r="98" spans="1:36" x14ac:dyDescent="0.25">
      <c r="A98" s="433"/>
      <c r="B98" s="13" t="s">
        <v>528</v>
      </c>
      <c r="C98" s="8">
        <f>SUMIF(Table13[PS],"=S",Table13[S-W])</f>
        <v>0</v>
      </c>
      <c r="D98" s="8">
        <f>SUMIF(Table13[PS],"=S",Table13[S-L])</f>
        <v>1</v>
      </c>
      <c r="E98" s="350">
        <f>SUMIF(Table13[PS],"=S",Table13[S-IP])</f>
        <v>4</v>
      </c>
      <c r="F98" s="12">
        <f>SUMIF(Table13[PS],"=S",Table13[S-H])</f>
        <v>3</v>
      </c>
      <c r="G98" s="12">
        <f>SUMIF(Table13[PS],"=S",Table13[S-R])</f>
        <v>2</v>
      </c>
      <c r="H98" s="12">
        <f>SUMIF(Table13[PS],"=S",Table13[S-ER])</f>
        <v>0</v>
      </c>
      <c r="I98" s="12">
        <f>SUMIF(Table13[PS],"=S",Table13[S-BB])</f>
        <v>1</v>
      </c>
      <c r="J98" s="12">
        <f>SUMIF(Table13[PS],"=S",Table13[S-SO])</f>
        <v>4</v>
      </c>
      <c r="K98" s="12">
        <f>SUMIF(Table13[PS],"=S",Table13[S-HR])</f>
        <v>0</v>
      </c>
      <c r="L98" s="19">
        <f>((H98/E98)*9)</f>
        <v>0</v>
      </c>
      <c r="N98" s="169"/>
      <c r="O98" s="169"/>
      <c r="P98" s="170"/>
      <c r="Q98" s="170"/>
      <c r="R98" s="170"/>
      <c r="S98" s="171"/>
      <c r="T98" s="171"/>
      <c r="U98" s="171"/>
      <c r="V98" s="171"/>
    </row>
    <row r="99" spans="1:36" x14ac:dyDescent="0.25">
      <c r="A99" s="433"/>
      <c r="B99" s="13" t="s">
        <v>20</v>
      </c>
      <c r="C99" s="8">
        <f>SUMIF(Table13[PS],"=S",Table13[B-W])</f>
        <v>0</v>
      </c>
      <c r="D99" s="8">
        <f>SUMIF(Table13[PS],"=S",Table13[B-L])</f>
        <v>0</v>
      </c>
      <c r="E99" s="350">
        <f>SUMIF(Table13[PS],"=S",Table13[B-IP])</f>
        <v>2</v>
      </c>
      <c r="F99" s="12">
        <f>SUMIF(Table13[PS],"=S",Table13[B-H])</f>
        <v>0</v>
      </c>
      <c r="G99" s="12">
        <f>SUMIF(Table13[PS],"=S",Table13[B-R])</f>
        <v>0</v>
      </c>
      <c r="H99" s="12">
        <f>SUMIF(Table13[PS],"=S",Table13[B-ER])</f>
        <v>0</v>
      </c>
      <c r="I99" s="12">
        <f>SUMIF(Table13[PS],"=S",Table13[B-BB])</f>
        <v>0</v>
      </c>
      <c r="J99" s="12">
        <f>SUMIF(Table13[PS],"=S",Table13[B-SO])</f>
        <v>3</v>
      </c>
      <c r="K99" s="12">
        <f>SUMIF(Table13[PS],"=S",Table13[B-HR])</f>
        <v>0</v>
      </c>
      <c r="L99" s="19">
        <f>((H99/E99)*9)</f>
        <v>0</v>
      </c>
      <c r="N99" s="169"/>
      <c r="O99" s="169"/>
      <c r="P99" s="170"/>
      <c r="Q99" s="170"/>
      <c r="R99" s="170"/>
      <c r="S99" s="171"/>
      <c r="T99" s="171"/>
      <c r="U99" s="171"/>
      <c r="V99" s="171"/>
    </row>
    <row r="100" spans="1:36" x14ac:dyDescent="0.25">
      <c r="A100" s="433"/>
      <c r="B100" s="13" t="s">
        <v>212</v>
      </c>
      <c r="C100" s="8">
        <f>SUM(Table13[S-W])</f>
        <v>12</v>
      </c>
      <c r="D100" s="8">
        <f>SUM(Table13[S-L])</f>
        <v>16</v>
      </c>
      <c r="E100" s="350">
        <f>SUM(Table13[S-IP])</f>
        <v>274.33333333333331</v>
      </c>
      <c r="F100" s="12">
        <f>SUM(Table13[S-H])</f>
        <v>276</v>
      </c>
      <c r="G100" s="12">
        <f>SUM(Table13[S-R])</f>
        <v>142</v>
      </c>
      <c r="H100" s="12">
        <f>SUM(Table13[S-ER])</f>
        <v>122</v>
      </c>
      <c r="I100" s="12">
        <f>SUM(Table13[S-BB])</f>
        <v>67</v>
      </c>
      <c r="J100" s="12">
        <f>SUM(Table13[S-SO])</f>
        <v>208</v>
      </c>
      <c r="K100" s="12">
        <f>SUM(Table13[S-HR])</f>
        <v>21</v>
      </c>
      <c r="L100" s="19">
        <f t="shared" si="12"/>
        <v>4.0024301336573513</v>
      </c>
    </row>
    <row r="101" spans="1:36" x14ac:dyDescent="0.25">
      <c r="A101" s="433"/>
      <c r="B101" s="13" t="s">
        <v>213</v>
      </c>
      <c r="C101" s="8">
        <f>SUM(Table13[B-W])</f>
        <v>18</v>
      </c>
      <c r="D101" s="8">
        <f>SUM(Table13[B-L])</f>
        <v>15</v>
      </c>
      <c r="E101" s="350">
        <f>SUM(Table13[B-IP])</f>
        <v>264.66666666666663</v>
      </c>
      <c r="F101" s="12">
        <f>SUM(Table13[B-H])</f>
        <v>250</v>
      </c>
      <c r="G101" s="12">
        <f>SUM(Table13[B-R])</f>
        <v>131</v>
      </c>
      <c r="H101" s="12">
        <f>SUM(Table13[B-ER])</f>
        <v>108</v>
      </c>
      <c r="I101" s="12">
        <f>SUM(Table13[B-BB])</f>
        <v>105</v>
      </c>
      <c r="J101" s="12">
        <f>SUM(Table13[B-SO])</f>
        <v>266</v>
      </c>
      <c r="K101" s="12">
        <f>SUM(Table13[B-HR])</f>
        <v>11</v>
      </c>
      <c r="L101" s="19">
        <f t="shared" si="12"/>
        <v>3.6725440806045344</v>
      </c>
    </row>
    <row r="102" spans="1:36" x14ac:dyDescent="0.25">
      <c r="A102" s="433"/>
      <c r="B102" s="14" t="s">
        <v>194</v>
      </c>
      <c r="C102" s="20">
        <f>SUM(Table13[S-W],Table13[B-W])</f>
        <v>30</v>
      </c>
      <c r="D102" s="20">
        <f>SUM(Table13[S-L],Table13[B-L])</f>
        <v>31</v>
      </c>
      <c r="E102" s="351">
        <f>SUM(Table13[S-IP],Table13[B-IP])</f>
        <v>539</v>
      </c>
      <c r="F102" s="33">
        <f>SUM(Table13[S-H],Table13[B-H])</f>
        <v>526</v>
      </c>
      <c r="G102" s="33">
        <f>SUM(Table13[S-R],Table13[B-R])</f>
        <v>273</v>
      </c>
      <c r="H102" s="33">
        <f>SUM(Table13[S-ER],Table13[B-ER])</f>
        <v>230</v>
      </c>
      <c r="I102" s="33">
        <f>SUM(Table13[S-BB],Table13[B-BB])</f>
        <v>172</v>
      </c>
      <c r="J102" s="33">
        <f>SUM(Table13[S-SO],Table13[B-SO])</f>
        <v>474</v>
      </c>
      <c r="K102" s="33">
        <f>SUM(Table13[S-HR],Table13[B-HR])</f>
        <v>32</v>
      </c>
      <c r="L102" s="21">
        <f t="shared" si="12"/>
        <v>3.8404452690166977</v>
      </c>
    </row>
    <row r="103" spans="1:36" s="52" customFormat="1" x14ac:dyDescent="0.25">
      <c r="E103" s="353"/>
      <c r="F103" s="49"/>
      <c r="G103" s="49"/>
      <c r="H103" s="49"/>
      <c r="I103" s="49"/>
      <c r="J103" s="49"/>
      <c r="K103" s="49"/>
      <c r="Y103" s="353"/>
    </row>
    <row r="104" spans="1:36" x14ac:dyDescent="0.25">
      <c r="A104" s="433" t="s">
        <v>310</v>
      </c>
      <c r="B104" s="16" t="s">
        <v>198</v>
      </c>
      <c r="C104" s="17" t="s">
        <v>129</v>
      </c>
      <c r="D104" s="17" t="s">
        <v>131</v>
      </c>
      <c r="E104" s="349" t="s">
        <v>199</v>
      </c>
      <c r="F104" s="30" t="s">
        <v>19</v>
      </c>
      <c r="G104" s="30" t="s">
        <v>188</v>
      </c>
      <c r="H104" s="30" t="s">
        <v>200</v>
      </c>
      <c r="I104" s="30" t="s">
        <v>201</v>
      </c>
      <c r="J104" s="30" t="s">
        <v>202</v>
      </c>
      <c r="K104" s="30" t="s">
        <v>203</v>
      </c>
      <c r="L104" s="18" t="s">
        <v>204</v>
      </c>
      <c r="N104" s="16" t="s">
        <v>197</v>
      </c>
      <c r="O104" s="17" t="s">
        <v>196</v>
      </c>
      <c r="P104" s="17" t="s">
        <v>187</v>
      </c>
      <c r="Q104" s="17" t="s">
        <v>188</v>
      </c>
      <c r="R104" s="17" t="s">
        <v>189</v>
      </c>
      <c r="S104" s="17" t="s">
        <v>190</v>
      </c>
      <c r="T104" s="17" t="s">
        <v>191</v>
      </c>
      <c r="U104" s="17" t="s">
        <v>192</v>
      </c>
      <c r="V104" s="18" t="s">
        <v>193</v>
      </c>
      <c r="X104" s="16" t="s">
        <v>379</v>
      </c>
      <c r="Y104" s="349" t="s">
        <v>220</v>
      </c>
      <c r="Z104" s="17" t="s">
        <v>221</v>
      </c>
      <c r="AA104" s="17" t="s">
        <v>222</v>
      </c>
      <c r="AB104" s="17" t="s">
        <v>223</v>
      </c>
      <c r="AC104" s="17" t="s">
        <v>224</v>
      </c>
      <c r="AD104" s="18" t="s">
        <v>225</v>
      </c>
      <c r="AF104" s="28" t="s">
        <v>126</v>
      </c>
      <c r="AG104" s="29" t="s">
        <v>234</v>
      </c>
      <c r="AH104" s="30" t="s">
        <v>235</v>
      </c>
      <c r="AI104" s="30" t="s">
        <v>236</v>
      </c>
      <c r="AJ104" s="31" t="s">
        <v>237</v>
      </c>
    </row>
    <row r="105" spans="1:36" x14ac:dyDescent="0.25">
      <c r="A105" s="433"/>
      <c r="B105" s="13" t="s">
        <v>205</v>
      </c>
      <c r="C105" s="8">
        <f>SUMIF(Table112[PS],"=1",Table112[S-W])</f>
        <v>2</v>
      </c>
      <c r="D105" s="8">
        <f>SUMIF(Table112[PS],"=1",Table112[S-L])</f>
        <v>1</v>
      </c>
      <c r="E105" s="350">
        <f>SUMIF(Table112[PS],"=1",Table112[S-IP])</f>
        <v>53.666666666666671</v>
      </c>
      <c r="F105" s="12">
        <f>SUMIF(Table112[PS],"=1",Table112[S-H])</f>
        <v>39</v>
      </c>
      <c r="G105" s="12">
        <f>SUMIF(Table112[PS],"=1",Table112[S-R])</f>
        <v>11</v>
      </c>
      <c r="H105" s="12">
        <f>SUMIF(Table112[PS],"=1",Table112[S-ER])</f>
        <v>11</v>
      </c>
      <c r="I105" s="12">
        <f>SUMIF(Table112[PS],"=1",Table112[S-BB])</f>
        <v>11</v>
      </c>
      <c r="J105" s="12">
        <f>SUMIF(Table112[PS],"=1",Table112[S-SO])</f>
        <v>51</v>
      </c>
      <c r="K105" s="12">
        <f>SUMIF(Table112[PS],"=1",Table112[S-HR])</f>
        <v>1</v>
      </c>
      <c r="L105" s="19">
        <f t="shared" ref="L105:L119" si="14">((H105/E105)*9)</f>
        <v>1.8447204968944098</v>
      </c>
      <c r="N105" s="13">
        <v>1</v>
      </c>
      <c r="O105" s="9" t="str">
        <f>INDEX(Table112[Starter1],MODE(MATCH(Table112[Starter1],Table112[Starter1],0)))</f>
        <v>Kiermaier, K</v>
      </c>
      <c r="P105" s="7">
        <f>COUNTIF(Table112[Starter1], INDEX(Table112[Starter1],MODE(MATCH(Table112[Starter1],Table112[Starter1],0))))</f>
        <v>40</v>
      </c>
      <c r="Q105" s="10">
        <f>SUBTOTAL(109,Table112[R1])</f>
        <v>39</v>
      </c>
      <c r="R105" s="7">
        <f>SUBTOTAL(109,Table112[RBI1])</f>
        <v>14</v>
      </c>
      <c r="S105" s="11">
        <f>((SUM(Table112[H1]))/(SUM(Table112[AB1])))</f>
        <v>0.27272727272727271</v>
      </c>
      <c r="T105" s="11">
        <f>((SUM(Table112[H1],Table112[BB1],Table112[HBP1]))/(SUM(Table112[AB1],Table112[BB1],Table112[HBP1],Table112[SF1])))</f>
        <v>0.35443037974683544</v>
      </c>
      <c r="U105" s="11">
        <f>((SUM(Table112[TB1]))/(SUM(Table112[AB1])))</f>
        <v>0.42583732057416268</v>
      </c>
      <c r="V105" s="22">
        <f t="shared" ref="V105:V114" si="15">(SUM((1.8*(T105)),U105)/4)</f>
        <v>0.26595300102961661</v>
      </c>
      <c r="X105" s="13" t="s">
        <v>218</v>
      </c>
      <c r="Y105" s="350">
        <f>SUM(Table112[IVL])</f>
        <v>114.33333333333333</v>
      </c>
      <c r="Z105" s="8">
        <f>SUM(Table112[SVL])</f>
        <v>13</v>
      </c>
      <c r="AA105" s="8">
        <f>SUM(Table112[SVL],Table112[CVL])</f>
        <v>22</v>
      </c>
      <c r="AB105" s="11">
        <f>(Z105/AA105)</f>
        <v>0.59090909090909094</v>
      </c>
      <c r="AC105" s="11">
        <f>((Z105/Y105)*9)</f>
        <v>1.02332361516035</v>
      </c>
      <c r="AD105" s="22">
        <f>((AA105/Y105)*9)</f>
        <v>1.7317784256559767</v>
      </c>
      <c r="AF105" s="26" t="s">
        <v>238</v>
      </c>
      <c r="AG105" s="8">
        <f>COUNTIF(Table112[Loc],"=H")</f>
        <v>28</v>
      </c>
      <c r="AH105" s="12">
        <f>AVERAGEIF(Table112[Loc],"=H",Table112[Att])</f>
        <v>850.14814814814815</v>
      </c>
      <c r="AI105" s="12">
        <f>SUMIF(Table112[Loc],"=H",Table112[Att])</f>
        <v>22954</v>
      </c>
      <c r="AJ105" s="27">
        <f>AH105*34</f>
        <v>28905.037037037036</v>
      </c>
    </row>
    <row r="106" spans="1:36" x14ac:dyDescent="0.25">
      <c r="A106" s="433"/>
      <c r="B106" s="13" t="s">
        <v>206</v>
      </c>
      <c r="C106" s="8">
        <f>SUMIF(Table112[PS],"=1",Table112[B-W])</f>
        <v>3</v>
      </c>
      <c r="D106" s="8">
        <f>SUMIF(Table112[PS],"=1",Table112[B-L])</f>
        <v>4</v>
      </c>
      <c r="E106" s="350">
        <f>SUMIF(Table112[PS],"=1",Table112[B-IP])</f>
        <v>37</v>
      </c>
      <c r="F106" s="12">
        <f>SUMIF(Table112[PS],"=1",Table112[B-H])</f>
        <v>43</v>
      </c>
      <c r="G106" s="12">
        <f>SUMIF(Table112[PS],"=1",Table112[B-R])</f>
        <v>21</v>
      </c>
      <c r="H106" s="12">
        <f>SUMIF(Table112[PS],"=1",Table112[B-ER])</f>
        <v>16</v>
      </c>
      <c r="I106" s="12">
        <f>SUMIF(Table112[PS],"=1",Table112[B-BB])</f>
        <v>12</v>
      </c>
      <c r="J106" s="12">
        <f>SUMIF(Table112[PS],"=1",Table112[B-SO])</f>
        <v>31</v>
      </c>
      <c r="K106" s="12">
        <f>SUMIF(Table112[PS],"=1",Table112[B-HR])</f>
        <v>2</v>
      </c>
      <c r="L106" s="19">
        <f t="shared" si="14"/>
        <v>3.8918918918918921</v>
      </c>
      <c r="N106" s="13">
        <v>2</v>
      </c>
      <c r="O106" s="9" t="str">
        <f>INDEX(Table112[Starter2],MODE(MATCH(Table112[Starter2],Table112[Starter2],0)))</f>
        <v>Glaesmann, T</v>
      </c>
      <c r="P106" s="7">
        <f>COUNTIF(Table112[Starter2], INDEX(Table112[Starter2],MODE(MATCH(Table112[Starter2],Table112[Starter2],0))))</f>
        <v>45</v>
      </c>
      <c r="Q106" s="7">
        <f>SUBTOTAL(109,Table112[R2])</f>
        <v>35</v>
      </c>
      <c r="R106" s="7">
        <f>SUBTOTAL(109,Table112[RBI2])</f>
        <v>22</v>
      </c>
      <c r="S106" s="11">
        <f>((SUM(Table112[H2]))/(SUM(Table112[AB2])))</f>
        <v>0.22330097087378642</v>
      </c>
      <c r="T106" s="11">
        <f>((SUM(Table112[H2],Table112[BB2],Table112[HBP2]))/(SUM(Table112[AB2],Table112[BB2],Table112[HBP2],Table112[SF2])))</f>
        <v>0.30603448275862066</v>
      </c>
      <c r="U106" s="11">
        <f>((SUM(Table112[TB2]))/(SUM(Table112[AB2])))</f>
        <v>0.37378640776699029</v>
      </c>
      <c r="V106" s="22">
        <f t="shared" si="15"/>
        <v>0.2311621191831269</v>
      </c>
      <c r="X106" s="13" t="s">
        <v>219</v>
      </c>
      <c r="Y106" s="350">
        <f>SUM(Table112[IVR])</f>
        <v>346.33333333333331</v>
      </c>
      <c r="Z106" s="8">
        <f>SUM(Table112[SVR])</f>
        <v>45</v>
      </c>
      <c r="AA106" s="8">
        <f>SUM(Table112[SVR],Table112[CVR])</f>
        <v>66</v>
      </c>
      <c r="AB106" s="11">
        <f>(Z106/AA106)</f>
        <v>0.68181818181818177</v>
      </c>
      <c r="AC106" s="11">
        <f>((Z106/Y106)*9)</f>
        <v>1.1693936477382099</v>
      </c>
      <c r="AD106" s="22">
        <f>((AA106/Y106)*9)</f>
        <v>1.7151106833493746</v>
      </c>
      <c r="AF106" s="26" t="s">
        <v>239</v>
      </c>
      <c r="AG106" s="8">
        <f>COUNTIF(Table112[Loc],"=A")</f>
        <v>24</v>
      </c>
      <c r="AH106" s="12">
        <f>AVERAGEIF(Table112[Loc],"=A",Table112[Att])</f>
        <v>934.375</v>
      </c>
      <c r="AI106" s="12">
        <f>SUMIF(Table112[Loc],"=A",Table112[Att])</f>
        <v>22425</v>
      </c>
      <c r="AJ106" s="27">
        <f>AH106*34</f>
        <v>31768.75</v>
      </c>
    </row>
    <row r="107" spans="1:36" x14ac:dyDescent="0.25">
      <c r="A107" s="433"/>
      <c r="B107" s="13" t="s">
        <v>207</v>
      </c>
      <c r="C107" s="8">
        <f>SUMIF(Table112[PS],"=2",Table112[S-W])</f>
        <v>3</v>
      </c>
      <c r="D107" s="8">
        <f>SUMIF(Table112[PS],"=2",Table112[S-L])</f>
        <v>3</v>
      </c>
      <c r="E107" s="350">
        <f>SUMIF(Table112[PS],"=2",Table112[S-IP])</f>
        <v>53.333333333333329</v>
      </c>
      <c r="F107" s="12">
        <f>SUMIF(Table112[PS],"=2",Table112[S-H])</f>
        <v>44</v>
      </c>
      <c r="G107" s="12">
        <f>SUMIF(Table112[PS],"=2",Table112[S-R])</f>
        <v>24</v>
      </c>
      <c r="H107" s="12">
        <f>SUMIF(Table112[PS],"=2",Table112[S-ER])</f>
        <v>17</v>
      </c>
      <c r="I107" s="12">
        <f>SUMIF(Table112[PS],"=2",Table112[S-BB])</f>
        <v>11</v>
      </c>
      <c r="J107" s="12">
        <f>SUMIF(Table112[PS],"=2",Table112[S-SO])</f>
        <v>52</v>
      </c>
      <c r="K107" s="12">
        <f>SUMIF(Table112[PS],"=2",Table112[S-HR])</f>
        <v>2</v>
      </c>
      <c r="L107" s="19">
        <f t="shared" si="14"/>
        <v>2.8687500000000004</v>
      </c>
      <c r="N107" s="13">
        <v>3</v>
      </c>
      <c r="O107" s="9" t="str">
        <f>INDEX(Table112[Starter3],MODE(MATCH(Table112[Starter3],Table112[Starter3],0)))</f>
        <v>Lawson, S</v>
      </c>
      <c r="P107" s="7">
        <f>COUNTIF(Table112[Starter3], INDEX(Table112[Starter3],MODE(MATCH(Table112[Starter3],Table112[Starter3],0))))</f>
        <v>44</v>
      </c>
      <c r="Q107" s="7">
        <f>SUBTOTAL(109,Table112[R3])</f>
        <v>29</v>
      </c>
      <c r="R107" s="7">
        <f>SUBTOTAL(109,Table112[RBI3])</f>
        <v>31</v>
      </c>
      <c r="S107" s="11">
        <f>((SUM(Table112[H3]))/(SUM(Table112[AB3])))</f>
        <v>0.26178010471204188</v>
      </c>
      <c r="T107" s="11">
        <f>((SUM(Table112[H3],Table112[BB3],Table112[HBP3]))/(SUM(Table112[AB3],Table112[BB3],Table112[HBP3],Table112[SF3])))</f>
        <v>0.37004405286343611</v>
      </c>
      <c r="U107" s="11">
        <f>((SUM(Table112[TB3]))/(SUM(Table112[AB3])))</f>
        <v>0.41884816753926701</v>
      </c>
      <c r="V107" s="22">
        <f t="shared" si="15"/>
        <v>0.27123186567336299</v>
      </c>
      <c r="X107" s="14" t="s">
        <v>194</v>
      </c>
      <c r="Y107" s="351">
        <f>SUM(Table112[IVL],Table112[IVR])</f>
        <v>460.66666666666669</v>
      </c>
      <c r="Z107" s="20">
        <f>SUM(Table112[SVL],Table112[SVR])</f>
        <v>58</v>
      </c>
      <c r="AA107" s="20">
        <f>SUM(Table112[SVL],Table112[CVL],Table112[SVR],Table112[CVR])</f>
        <v>88</v>
      </c>
      <c r="AB107" s="24">
        <f>(Z107/AA107)</f>
        <v>0.65909090909090906</v>
      </c>
      <c r="AC107" s="24">
        <f>((Z107/Y107)*9)</f>
        <v>1.1331403762662808</v>
      </c>
      <c r="AD107" s="25">
        <f>((AA107/Y107)*9)</f>
        <v>1.719247467438495</v>
      </c>
      <c r="AF107" s="32" t="s">
        <v>34</v>
      </c>
      <c r="AG107" s="20">
        <f>COUNT(Table112[Date])</f>
        <v>52</v>
      </c>
      <c r="AH107" s="33">
        <f>AVERAGE(Table112[Att])</f>
        <v>889.78431372549016</v>
      </c>
      <c r="AI107" s="33">
        <f>SUM(Table112[Att])</f>
        <v>45379</v>
      </c>
      <c r="AJ107" s="34">
        <f>AH107*68</f>
        <v>60505.333333333328</v>
      </c>
    </row>
    <row r="108" spans="1:36" x14ac:dyDescent="0.25">
      <c r="A108" s="433"/>
      <c r="B108" s="13" t="s">
        <v>208</v>
      </c>
      <c r="C108" s="8">
        <f>SUMIF(Table112[PS],"=2",Table112[B-W])</f>
        <v>2</v>
      </c>
      <c r="D108" s="8">
        <f>SUMIF(Table112[PS],"=2",Table112[B-L])</f>
        <v>2</v>
      </c>
      <c r="E108" s="350">
        <f>SUMIF(Table112[PS],"=2",Table112[B-IP])</f>
        <v>34.666666666666671</v>
      </c>
      <c r="F108" s="12">
        <f>SUMIF(Table112[PS],"=2",Table112[B-H])</f>
        <v>40</v>
      </c>
      <c r="G108" s="12">
        <f>SUMIF(Table112[PS],"=2",Table112[B-R])</f>
        <v>22</v>
      </c>
      <c r="H108" s="12">
        <f>SUMIF(Table112[PS],"=2",Table112[B-ER])</f>
        <v>12</v>
      </c>
      <c r="I108" s="12">
        <f>SUMIF(Table112[PS],"=2",Table112[B-BB])</f>
        <v>9</v>
      </c>
      <c r="J108" s="12">
        <f>SUMIF(Table112[PS],"=2",Table112[B-SO])</f>
        <v>28</v>
      </c>
      <c r="K108" s="12">
        <f>SUMIF(Table112[PS],"=2",Table112[B-HR])</f>
        <v>2</v>
      </c>
      <c r="L108" s="19">
        <f t="shared" si="14"/>
        <v>3.115384615384615</v>
      </c>
      <c r="N108" s="13">
        <v>4</v>
      </c>
      <c r="O108" s="9" t="str">
        <f>INDEX(Table112[Starter4],MODE(MATCH(Table112[Starter4],Table112[Starter4],0)))</f>
        <v>Fogle, B</v>
      </c>
      <c r="P108" s="7">
        <f>COUNTIF(Table112[Starter4], INDEX(Table112[Starter4],MODE(MATCH(Table112[Starter4],Table112[Starter4],0))))</f>
        <v>37</v>
      </c>
      <c r="Q108" s="7">
        <f>SUBTOTAL(109,Table112[R4])</f>
        <v>23</v>
      </c>
      <c r="R108" s="7">
        <f>SUBTOTAL(109,Table112[RBI4])</f>
        <v>38</v>
      </c>
      <c r="S108" s="11">
        <f>((SUM(Table112[H4]))/(SUM(Table112[AB4])))</f>
        <v>0.25242718446601942</v>
      </c>
      <c r="T108" s="11">
        <f>((SUM(Table112[H4],Table112[BB4],Table112[HBP4]))/(SUM(Table112[AB4],Table112[BB4],Table112[HBP4],Table112[SF4])))</f>
        <v>0.29411764705882354</v>
      </c>
      <c r="U108" s="11">
        <f>((SUM(Table112[TB4]))/(SUM(Table112[AB4])))</f>
        <v>0.39805825242718446</v>
      </c>
      <c r="V108" s="22">
        <f t="shared" si="15"/>
        <v>0.23186750428326669</v>
      </c>
    </row>
    <row r="109" spans="1:36" x14ac:dyDescent="0.25">
      <c r="A109" s="433"/>
      <c r="B109" s="13" t="s">
        <v>209</v>
      </c>
      <c r="C109" s="8">
        <f>SUMIF(Table112[PS],"=3",Table112[S-W])</f>
        <v>4</v>
      </c>
      <c r="D109" s="8">
        <f>SUMIF(Table112[PS],"=3",Table112[S-L])</f>
        <v>4</v>
      </c>
      <c r="E109" s="350">
        <f>SUMIF(Table112[PS],"=3",Table112[S-IP])</f>
        <v>49</v>
      </c>
      <c r="F109" s="12">
        <f>SUMIF(Table112[PS],"=3",Table112[S-H])</f>
        <v>43</v>
      </c>
      <c r="G109" s="12">
        <f>SUMIF(Table112[PS],"=3",Table112[S-R])</f>
        <v>21</v>
      </c>
      <c r="H109" s="12">
        <f>SUMIF(Table112[PS],"=3",Table112[S-ER])</f>
        <v>14</v>
      </c>
      <c r="I109" s="12">
        <f>SUMIF(Table112[PS],"=3",Table112[S-BB])</f>
        <v>17</v>
      </c>
      <c r="J109" s="12">
        <f>SUMIF(Table112[PS],"=3",Table112[S-SO])</f>
        <v>47</v>
      </c>
      <c r="K109" s="12">
        <f>SUMIF(Table112[PS],"=3",Table112[S-HR])</f>
        <v>3</v>
      </c>
      <c r="L109" s="19">
        <f t="shared" si="14"/>
        <v>2.5714285714285712</v>
      </c>
      <c r="N109" s="13">
        <v>5</v>
      </c>
      <c r="O109" s="9" t="str">
        <f>INDEX(Table112[Starter5],MODE(MATCH(Table112[Starter5],Table112[Starter5],0)))</f>
        <v>Contreras, Ru</v>
      </c>
      <c r="P109" s="7">
        <f>COUNTIF(Table112[Starter5], INDEX(Table112[Starter5],MODE(MATCH(Table112[Starter5],Table112[Starter5],0))))</f>
        <v>20</v>
      </c>
      <c r="Q109" s="7">
        <f>SUBTOTAL(109,Table112[R5])</f>
        <v>25</v>
      </c>
      <c r="R109" s="7">
        <f>SUBTOTAL(109,Table112[RBI5])</f>
        <v>19</v>
      </c>
      <c r="S109" s="11">
        <f>((SUM(Table112[H5]))/(SUM(Table112[AB5])))</f>
        <v>0.26288659793814434</v>
      </c>
      <c r="T109" s="11">
        <f>((SUM(Table112[H5],Table112[BB5],Table112[HBP5]))/(SUM(Table112[AB5],Table112[BB5],Table112[HBP5],Table112[SF5])))</f>
        <v>0.32718894009216593</v>
      </c>
      <c r="U109" s="11">
        <f>((SUM(Table112[TB5]))/(SUM(Table112[AB5])))</f>
        <v>0.39175257731958762</v>
      </c>
      <c r="V109" s="22">
        <f t="shared" si="15"/>
        <v>0.24517316737137157</v>
      </c>
    </row>
    <row r="110" spans="1:36" x14ac:dyDescent="0.25">
      <c r="A110" s="433"/>
      <c r="B110" s="13" t="s">
        <v>214</v>
      </c>
      <c r="C110" s="8">
        <f>SUMIF(Table112[PS],"=3",Table112[B-W])</f>
        <v>0</v>
      </c>
      <c r="D110" s="8">
        <f>SUMIF(Table112[PS],"=3",Table112[B-L])</f>
        <v>2</v>
      </c>
      <c r="E110" s="350">
        <f>SUMIF(Table112[PS],"=3",Table112[B-IP])</f>
        <v>41</v>
      </c>
      <c r="F110" s="12">
        <f>SUMIF(Table112[PS],"=3",Table112[B-H])</f>
        <v>36</v>
      </c>
      <c r="G110" s="12">
        <f>SUMIF(Table112[PS],"=3",Table112[B-R])</f>
        <v>17</v>
      </c>
      <c r="H110" s="12">
        <f>SUMIF(Table112[PS],"=3",Table112[B-ER])</f>
        <v>10</v>
      </c>
      <c r="I110" s="12">
        <f>SUMIF(Table112[PS],"=3",Table112[B-BB])</f>
        <v>11</v>
      </c>
      <c r="J110" s="12">
        <f>SUMIF(Table112[PS],"=3",Table112[B-SO])</f>
        <v>40</v>
      </c>
      <c r="K110" s="12">
        <f>SUMIF(Table112[PS],"=3",Table112[B-HR])</f>
        <v>2</v>
      </c>
      <c r="L110" s="19">
        <f t="shared" si="14"/>
        <v>2.1951219512195124</v>
      </c>
      <c r="N110" s="13">
        <v>6</v>
      </c>
      <c r="O110" s="9" t="str">
        <f>INDEX(Table112[Starter6],MODE(MATCH(Table112[Starter6],Table112[Starter6],0)))</f>
        <v>Guevara, H</v>
      </c>
      <c r="P110" s="7">
        <f>COUNTIF(Table112[Starter6], INDEX(Table112[Starter6],MODE(MATCH(Table112[Starter6],Table112[Starter6],0))))</f>
        <v>41</v>
      </c>
      <c r="Q110" s="7">
        <f>SUBTOTAL(109,Table112[R6])</f>
        <v>21</v>
      </c>
      <c r="R110" s="7">
        <f>SUBTOTAL(109,Table112[RBI6])</f>
        <v>21</v>
      </c>
      <c r="S110" s="11">
        <f>((SUM(Table112[H6]))/(SUM(Table112[AB6])))</f>
        <v>0.24083769633507854</v>
      </c>
      <c r="T110" s="11">
        <f>((SUM(Table112[H6],Table112[BB6],Table112[HBP6]))/(SUM(Table112[AB6],Table112[BB6],Table112[HBP6],Table112[SF6])))</f>
        <v>0.2890995260663507</v>
      </c>
      <c r="U110" s="11">
        <f>((SUM(Table112[TB6]))/(SUM(Table112[AB6])))</f>
        <v>0.34031413612565448</v>
      </c>
      <c r="V110" s="22">
        <f t="shared" si="15"/>
        <v>0.21517332076127144</v>
      </c>
    </row>
    <row r="111" spans="1:36" x14ac:dyDescent="0.25">
      <c r="A111" s="433"/>
      <c r="B111" s="13" t="s">
        <v>210</v>
      </c>
      <c r="C111" s="8">
        <f>SUMIF(Table112[PS],"=4",Table112[S-W])</f>
        <v>1</v>
      </c>
      <c r="D111" s="8">
        <f>SUMIF(Table112[PS],"=4",Table112[S-L])</f>
        <v>2</v>
      </c>
      <c r="E111" s="350">
        <f>SUMIF(Table112[PS],"=4",Table112[S-IP])</f>
        <v>51.333333333333329</v>
      </c>
      <c r="F111" s="12">
        <f>SUMIF(Table112[PS],"=4",Table112[S-H])</f>
        <v>46</v>
      </c>
      <c r="G111" s="12">
        <f>SUMIF(Table112[PS],"=4",Table112[S-R])</f>
        <v>21</v>
      </c>
      <c r="H111" s="12">
        <f>SUMIF(Table112[PS],"=4",Table112[S-ER])</f>
        <v>19</v>
      </c>
      <c r="I111" s="12">
        <f>SUMIF(Table112[PS],"=4",Table112[S-BB])</f>
        <v>12</v>
      </c>
      <c r="J111" s="12">
        <f>SUMIF(Table112[PS],"=4",Table112[S-SO])</f>
        <v>40</v>
      </c>
      <c r="K111" s="12">
        <f>SUMIF(Table112[PS],"=4",Table112[S-HR])</f>
        <v>4</v>
      </c>
      <c r="L111" s="19">
        <f t="shared" si="14"/>
        <v>3.3311688311688314</v>
      </c>
      <c r="N111" s="13">
        <v>7</v>
      </c>
      <c r="O111" s="9" t="str">
        <f>INDEX(Table112[Starter7],MODE(MATCH(Table112[Starter7],Table112[Starter7],0)))</f>
        <v>Olivares, G</v>
      </c>
      <c r="P111" s="7">
        <f>COUNTIF(Table112[Starter7], INDEX(Table112[Starter7],MODE(MATCH(Table112[Starter7],Table112[Starter7],0))))</f>
        <v>11</v>
      </c>
      <c r="Q111" s="7">
        <f>SUBTOTAL(109,Table112[R7])</f>
        <v>20</v>
      </c>
      <c r="R111" s="7">
        <f>SUBTOTAL(109,Table112[RBI7])</f>
        <v>18</v>
      </c>
      <c r="S111" s="11">
        <f>((SUM(Table112[H7]))/(SUM(Table112[AB7])))</f>
        <v>0.24210526315789474</v>
      </c>
      <c r="T111" s="11">
        <f>((SUM(Table112[H7],Table112[BB7],Table112[HBP7]))/(SUM(Table112[AB7],Table112[BB7],Table112[HBP7],Table112[SF7])))</f>
        <v>0.29611650485436891</v>
      </c>
      <c r="U111" s="11">
        <f>((SUM(Table112[TB7]))/(SUM(Table112[AB7])))</f>
        <v>0.31052631578947371</v>
      </c>
      <c r="V111" s="22">
        <f t="shared" si="15"/>
        <v>0.21088400613183444</v>
      </c>
    </row>
    <row r="112" spans="1:36" x14ac:dyDescent="0.25">
      <c r="A112" s="433"/>
      <c r="B112" s="13" t="s">
        <v>215</v>
      </c>
      <c r="C112" s="8">
        <f>SUMIF(Table112[PS],"=4",Table112[B-W])</f>
        <v>5</v>
      </c>
      <c r="D112" s="8">
        <f>SUMIF(Table112[PS],"=4",Table112[B-L])</f>
        <v>2</v>
      </c>
      <c r="E112" s="350">
        <f>SUMIF(Table112[PS],"=4",Table112[B-IP])</f>
        <v>45</v>
      </c>
      <c r="F112" s="12">
        <f>SUMIF(Table112[PS],"=4",Table112[B-H])</f>
        <v>48</v>
      </c>
      <c r="G112" s="12">
        <f>SUMIF(Table112[PS],"=4",Table112[B-R])</f>
        <v>15</v>
      </c>
      <c r="H112" s="12">
        <f>SUMIF(Table112[PS],"=4",Table112[B-ER])</f>
        <v>14</v>
      </c>
      <c r="I112" s="12">
        <f>SUMIF(Table112[PS],"=4",Table112[B-BB])</f>
        <v>11</v>
      </c>
      <c r="J112" s="12">
        <f>SUMIF(Table112[PS],"=4",Table112[B-SO])</f>
        <v>35</v>
      </c>
      <c r="K112" s="12">
        <f>SUMIF(Table112[PS],"=4",Table112[B-HR])</f>
        <v>2</v>
      </c>
      <c r="L112" s="19">
        <f t="shared" si="14"/>
        <v>2.8</v>
      </c>
      <c r="N112" s="13">
        <v>8</v>
      </c>
      <c r="O112" s="9" t="str">
        <f>INDEX(Table112[Starter8],MODE(MATCH(Table112[Starter8],Table112[Starter8],0)))</f>
        <v>Malm, J</v>
      </c>
      <c r="P112" s="7">
        <f>COUNTIF(Table112[Starter8], INDEX(Table112[Starter8],MODE(MATCH(Table112[Starter8],Table112[Starter8],0))))</f>
        <v>33</v>
      </c>
      <c r="Q112" s="7">
        <f>SUBTOTAL(109,Table112[R8])</f>
        <v>13</v>
      </c>
      <c r="R112" s="7">
        <f>SUBTOTAL(109,Table112[RBI8])</f>
        <v>19</v>
      </c>
      <c r="S112" s="11">
        <f>((SUM(Table112[H8]))/(SUM(Table112[AB8])))</f>
        <v>0.2011173184357542</v>
      </c>
      <c r="T112" s="11">
        <f>((SUM(Table112[H8],Table112[BB8],Table112[HBP8]))/(SUM(Table112[AB8],Table112[BB8],Table112[HBP8],Table112[SF8])))</f>
        <v>0.27411167512690354</v>
      </c>
      <c r="U112" s="11">
        <f>((SUM(Table112[TB8]))/(SUM(Table112[AB8])))</f>
        <v>0.27932960893854747</v>
      </c>
      <c r="V112" s="22">
        <f t="shared" si="15"/>
        <v>0.19318265604174345</v>
      </c>
    </row>
    <row r="113" spans="1:36" x14ac:dyDescent="0.25">
      <c r="A113" s="433"/>
      <c r="B113" s="13" t="s">
        <v>211</v>
      </c>
      <c r="C113" s="8">
        <f>SUMIF(Table112[PS],"=5",Table112[S-W])</f>
        <v>4</v>
      </c>
      <c r="D113" s="8">
        <f>SUMIF(Table112[PS],"=5",Table112[S-L])</f>
        <v>4</v>
      </c>
      <c r="E113" s="350">
        <f>SUMIF(Table112[PS],"=5",Table112[S-IP])</f>
        <v>45.666666666666664</v>
      </c>
      <c r="F113" s="12">
        <f>SUMIF(Table112[PS],"=5",Table112[S-H])</f>
        <v>55</v>
      </c>
      <c r="G113" s="12">
        <f>SUMIF(Table112[PS],"=5",Table112[S-R])</f>
        <v>25</v>
      </c>
      <c r="H113" s="12">
        <f>SUMIF(Table112[PS],"=5",Table112[S-ER])</f>
        <v>22</v>
      </c>
      <c r="I113" s="12">
        <f>SUMIF(Table112[PS],"=5",Table112[S-BB])</f>
        <v>19</v>
      </c>
      <c r="J113" s="12">
        <f>SUMIF(Table112[PS],"=5",Table112[S-SO])</f>
        <v>29</v>
      </c>
      <c r="K113" s="12">
        <f>SUMIF(Table112[PS],"=5",Table112[S-HR])</f>
        <v>6</v>
      </c>
      <c r="L113" s="19">
        <f t="shared" si="14"/>
        <v>4.335766423357664</v>
      </c>
      <c r="N113" s="13">
        <v>9</v>
      </c>
      <c r="O113" s="9" t="str">
        <f>INDEX(Table112[Starter9],MODE(MATCH(Table112[Starter9],Table112[Starter9],0)))</f>
        <v>Harris, B</v>
      </c>
      <c r="P113" s="7">
        <f>COUNTIF(Table112[Starter9], INDEX(Table112[Starter9],MODE(MATCH(Table112[Starter9],Table112[Starter9],0))))</f>
        <v>21</v>
      </c>
      <c r="Q113" s="7">
        <f>SUBTOTAL(109,Table112[R9])</f>
        <v>25</v>
      </c>
      <c r="R113" s="7">
        <f>SUBTOTAL(109,Table112[RBI9])</f>
        <v>12</v>
      </c>
      <c r="S113" s="11">
        <f>((SUM(Table112[H9]))/(SUM(Table112[AB9])))</f>
        <v>0.23353293413173654</v>
      </c>
      <c r="T113" s="11">
        <f>((SUM(Table112[H9],Table112[BB9],Table112[HBP9]))/(SUM(Table112[AB9],Table112[BB9],Table112[HBP9],Table112[SF9])))</f>
        <v>0.32275132275132273</v>
      </c>
      <c r="U113" s="11">
        <f>((SUM(Table112[TB9]))/(SUM(Table112[AB9])))</f>
        <v>0.28742514970059879</v>
      </c>
      <c r="V113" s="22">
        <f t="shared" si="15"/>
        <v>0.21709438266324493</v>
      </c>
    </row>
    <row r="114" spans="1:36" x14ac:dyDescent="0.25">
      <c r="A114" s="433"/>
      <c r="B114" s="13" t="s">
        <v>216</v>
      </c>
      <c r="C114" s="8">
        <f>SUMIF(Table112[PS],"=5",Table112[B-W])</f>
        <v>1</v>
      </c>
      <c r="D114" s="8">
        <f>SUMIF(Table112[PS],"=5",Table112[B-L])</f>
        <v>1</v>
      </c>
      <c r="E114" s="350">
        <f>SUMIF(Table112[PS],"=5",Table112[B-IP])</f>
        <v>37.333333333333336</v>
      </c>
      <c r="F114" s="12">
        <f>SUMIF(Table112[PS],"=5",Table112[B-H])</f>
        <v>42</v>
      </c>
      <c r="G114" s="12">
        <f>SUMIF(Table112[PS],"=5",Table112[B-R])</f>
        <v>19</v>
      </c>
      <c r="H114" s="12">
        <f>SUMIF(Table112[PS],"=5",Table112[B-ER])</f>
        <v>17</v>
      </c>
      <c r="I114" s="12">
        <f>SUMIF(Table112[PS],"=5",Table112[B-BB])</f>
        <v>8</v>
      </c>
      <c r="J114" s="12">
        <f>SUMIF(Table112[PS],"=5",Table112[B-SO])</f>
        <v>30</v>
      </c>
      <c r="K114" s="12">
        <f>SUMIF(Table112[PS],"=5",Table112[B-HR])</f>
        <v>3</v>
      </c>
      <c r="L114" s="19">
        <f t="shared" si="14"/>
        <v>4.0982142857142856</v>
      </c>
      <c r="N114" s="40" t="s">
        <v>194</v>
      </c>
      <c r="O114" s="23"/>
      <c r="P114" s="15">
        <f>SUBTOTAL(103,Table112[Date])</f>
        <v>52</v>
      </c>
      <c r="Q114" s="15">
        <f>SUM(Table112[R1],Table112[R2],Table112[R3],Table112[R4],Table112[R5],Table112[R6],Table112[R7],Table112[R8],Table112[R9])</f>
        <v>230</v>
      </c>
      <c r="R114" s="15">
        <f>SUM(Table112[RBI1],Table112[RBI2],Table112[RBI3],Table112[RBI4],Table112[RBI5],Table112[RBI6],Table112[RBI7],Table112[RBI8],Table112[RBI9])</f>
        <v>194</v>
      </c>
      <c r="S114" s="24">
        <f>((SUM(Table112[H1],Table112[H2],Table112[H3],Table112[H4],Table112[H5],Table112[H6],Table112[H7],Table112[H8],Table112[H9]))/(SUM(Table112[AB1],Table112[AB2],Table112[AB3],Table112[AB4],Table112[AB5],Table112[AB6],Table112[AB7],Table112[AB8],Table112[AB9])))</f>
        <v>0.24408540103866128</v>
      </c>
      <c r="T114" s="24">
        <f>((SUM(Table112[H1],Table112[BB1],Table112[HBP1],Table112[H2],Table112[BB2],Table112[HBP2],Table112[H3],Table112[BB3],Table112[HBP3],Table112[H4],Table112[BB4],Table112[HBP4],Table112[H5],Table112[BB5],Table112[HBP5],Table112[H6],Table112[BB6],Table112[HBP6],Table112[H7],Table112[BB7],Table112[HBP7],Table112[H8],Table112[BB8],Table112[HBP8],Table112[H9],Table112[BB9],Table112[HBP9]))/(SUM(Table112[AB1],Table112[BB1],Table112[HBP1],Table112[SF1],Table112[AB2],Table112[BB2],Table112[HBP2],Table112[SF2],Table112[AB3],Table112[BB3],Table112[HBP3],Table112[SF3],Table112[AB4],Table112[BB4],Table112[HBP4],Table112[SF4],Table112[AB5],Table112[BB5],Table112[HBP5],Table112[SF5],Table112[AB6],Table112[BB6],Table112[HBP6],Table112[SF6],Table112[AB7],Table112[BB7],Table112[HBP7],Table112[SF7],Table112[AB8],Table112[BB8],Table112[HBP8],Table112[SF8],Table112[AB9],Table112[BB9],Table112[HBP9],Table112[SF9])))</f>
        <v>0.31595250387196694</v>
      </c>
      <c r="U114" s="24">
        <f>((SUM(Table112[TB1],Table112[TB2],Table112[TB3],Table112[TB4],Table112[TB5],Table112[TB6],Table112[TB7],Table112[TB8],Table112[TB9]))/(SUM(Table112[AB1],Table112[AB2],Table112[AB3],Table112[AB4],Table112[AB5],Table112[AB6],Table112[AB7],Table112[AB8],Table112[AB9])))</f>
        <v>0.36122331217541837</v>
      </c>
      <c r="V114" s="25">
        <f t="shared" si="15"/>
        <v>0.23248445478623972</v>
      </c>
    </row>
    <row r="115" spans="1:36" x14ac:dyDescent="0.25">
      <c r="A115" s="433"/>
      <c r="B115" s="13" t="s">
        <v>528</v>
      </c>
      <c r="C115" s="8">
        <f>SUMIF(Table112[PS],"=S",Table112[S-W])</f>
        <v>0</v>
      </c>
      <c r="D115" s="8">
        <f>SUMIF(Table112[PS],"=S",Table112[S-L])</f>
        <v>1</v>
      </c>
      <c r="E115" s="350">
        <f>SUMIF(Table112[PS],"=S",Table112[S-IP])</f>
        <v>7.6666666666666661</v>
      </c>
      <c r="F115" s="12">
        <f>SUMIF(Table112[PS],"=S",Table112[S-H])</f>
        <v>10</v>
      </c>
      <c r="G115" s="12">
        <f>SUMIF(Table112[PS],"=S",Table112[S-R])</f>
        <v>4</v>
      </c>
      <c r="H115" s="12">
        <f>SUMIF(Table112[PS],"=S",Table112[S-ER])</f>
        <v>3</v>
      </c>
      <c r="I115" s="12">
        <f>SUMIF(Table112[PS],"=S",Table112[S-BB])</f>
        <v>3</v>
      </c>
      <c r="J115" s="12">
        <f>SUMIF(Table112[PS],"=S",Table112[S-SO])</f>
        <v>8</v>
      </c>
      <c r="K115" s="12">
        <f>SUMIF(Table112[PS],"=S",Table112[S-HR])</f>
        <v>2</v>
      </c>
      <c r="L115" s="19">
        <f>((H115/E115)*9)</f>
        <v>3.5217391304347827</v>
      </c>
      <c r="N115" s="169"/>
      <c r="O115" s="169"/>
      <c r="P115" s="170"/>
      <c r="Q115" s="170"/>
      <c r="R115" s="170"/>
      <c r="S115" s="171"/>
      <c r="T115" s="171"/>
      <c r="U115" s="171"/>
      <c r="V115" s="171"/>
    </row>
    <row r="116" spans="1:36" x14ac:dyDescent="0.25">
      <c r="A116" s="433"/>
      <c r="B116" s="13" t="s">
        <v>20</v>
      </c>
      <c r="C116" s="8">
        <f>SUMIF(Table112[PS],"=S",Table112[B-W])</f>
        <v>0</v>
      </c>
      <c r="D116" s="8">
        <f>SUMIF(Table112[PS],"=S",Table112[B-L])</f>
        <v>1</v>
      </c>
      <c r="E116" s="350">
        <f>SUMIF(Table112[PS],"=S",Table112[B-IP])</f>
        <v>7.3333333333333339</v>
      </c>
      <c r="F116" s="12">
        <f>SUMIF(Table112[PS],"=S",Table112[B-H])</f>
        <v>14</v>
      </c>
      <c r="G116" s="12">
        <f>SUMIF(Table112[PS],"=S",Table112[B-R])</f>
        <v>8</v>
      </c>
      <c r="H116" s="12">
        <f>SUMIF(Table112[PS],"=S",Table112[B-ER])</f>
        <v>7</v>
      </c>
      <c r="I116" s="12">
        <f>SUMIF(Table112[PS],"=S",Table112[B-BB])</f>
        <v>2</v>
      </c>
      <c r="J116" s="12">
        <f>SUMIF(Table112[PS],"=S",Table112[B-SO])</f>
        <v>6</v>
      </c>
      <c r="K116" s="12">
        <f>SUMIF(Table112[PS],"=S",Table112[B-HR])</f>
        <v>1</v>
      </c>
      <c r="L116" s="19">
        <f>((H116/E116)*9)</f>
        <v>8.5909090909090899</v>
      </c>
      <c r="N116" s="169"/>
      <c r="O116" s="169"/>
      <c r="P116" s="170"/>
      <c r="Q116" s="170"/>
      <c r="R116" s="170"/>
      <c r="S116" s="171"/>
      <c r="T116" s="171"/>
      <c r="U116" s="171"/>
      <c r="V116" s="171"/>
    </row>
    <row r="117" spans="1:36" x14ac:dyDescent="0.25">
      <c r="A117" s="433"/>
      <c r="B117" s="13" t="s">
        <v>212</v>
      </c>
      <c r="C117" s="8">
        <f>SUM(Table112[S-W])</f>
        <v>14</v>
      </c>
      <c r="D117" s="8">
        <f>SUM(Table112[S-L])</f>
        <v>15</v>
      </c>
      <c r="E117" s="350">
        <f>SUM(Table112[S-IP])</f>
        <v>260.66666666666663</v>
      </c>
      <c r="F117" s="12">
        <f>SUM(Table112[S-H])</f>
        <v>237</v>
      </c>
      <c r="G117" s="12">
        <f>SUM(Table112[S-R])</f>
        <v>106</v>
      </c>
      <c r="H117" s="12">
        <f>SUM(Table112[S-ER])</f>
        <v>86</v>
      </c>
      <c r="I117" s="12">
        <f>SUM(Table112[S-BB])</f>
        <v>73</v>
      </c>
      <c r="J117" s="12">
        <f>SUM(Table112[S-SO])</f>
        <v>227</v>
      </c>
      <c r="K117" s="12">
        <f>SUM(Table112[S-HR])</f>
        <v>18</v>
      </c>
      <c r="L117" s="19">
        <f t="shared" si="14"/>
        <v>2.9693094629156018</v>
      </c>
    </row>
    <row r="118" spans="1:36" x14ac:dyDescent="0.25">
      <c r="A118" s="433"/>
      <c r="B118" s="13" t="s">
        <v>213</v>
      </c>
      <c r="C118" s="8">
        <f>SUM(Table112[B-W])</f>
        <v>11</v>
      </c>
      <c r="D118" s="8">
        <f>SUM(Table112[B-L])</f>
        <v>12</v>
      </c>
      <c r="E118" s="350">
        <f>SUM(Table112[B-IP])</f>
        <v>202.33333333333337</v>
      </c>
      <c r="F118" s="12">
        <f>SUM(Table112[B-H])</f>
        <v>223</v>
      </c>
      <c r="G118" s="12">
        <f>SUM(Table112[B-R])</f>
        <v>102</v>
      </c>
      <c r="H118" s="12">
        <f>SUM(Table112[B-ER])</f>
        <v>76</v>
      </c>
      <c r="I118" s="12">
        <f>SUM(Table112[B-BB])</f>
        <v>53</v>
      </c>
      <c r="J118" s="12">
        <f>SUM(Table112[B-SO])</f>
        <v>170</v>
      </c>
      <c r="K118" s="12">
        <f>SUM(Table112[B-HR])</f>
        <v>12</v>
      </c>
      <c r="L118" s="19">
        <f t="shared" si="14"/>
        <v>3.3805601317957157</v>
      </c>
    </row>
    <row r="119" spans="1:36" x14ac:dyDescent="0.25">
      <c r="A119" s="433"/>
      <c r="B119" s="14" t="s">
        <v>194</v>
      </c>
      <c r="C119" s="20">
        <f>SUM(Table112[S-W],Table112[B-W])</f>
        <v>25</v>
      </c>
      <c r="D119" s="20">
        <f>SUM(Table112[S-L],Table112[B-L])</f>
        <v>27</v>
      </c>
      <c r="E119" s="351">
        <f>SUM(Table112[S-IP],Table112[B-IP])</f>
        <v>462.99999999999994</v>
      </c>
      <c r="F119" s="33">
        <f>SUM(Table112[S-H],Table112[B-H])</f>
        <v>460</v>
      </c>
      <c r="G119" s="33">
        <f>SUM(Table112[S-R],Table112[B-R])</f>
        <v>208</v>
      </c>
      <c r="H119" s="33">
        <f>SUM(Table112[S-ER],Table112[B-ER])</f>
        <v>162</v>
      </c>
      <c r="I119" s="33">
        <f>SUM(Table112[S-BB],Table112[B-BB])</f>
        <v>126</v>
      </c>
      <c r="J119" s="33">
        <f>SUM(Table112[S-SO],Table112[B-SO])</f>
        <v>397</v>
      </c>
      <c r="K119" s="33">
        <f>SUM(Table112[S-HR],Table112[B-HR])</f>
        <v>30</v>
      </c>
      <c r="L119" s="21">
        <f t="shared" si="14"/>
        <v>3.1490280777537802</v>
      </c>
    </row>
    <row r="120" spans="1:36" s="52" customFormat="1" x14ac:dyDescent="0.25">
      <c r="E120" s="353"/>
      <c r="F120" s="49"/>
      <c r="G120" s="49"/>
      <c r="H120" s="49"/>
      <c r="I120" s="49"/>
      <c r="J120" s="49"/>
      <c r="K120" s="49"/>
      <c r="Y120" s="353"/>
      <c r="AF120" s="301"/>
      <c r="AG120" s="301"/>
      <c r="AH120" s="301"/>
      <c r="AI120" s="301"/>
      <c r="AJ120" s="301"/>
    </row>
    <row r="121" spans="1:36" ht="15" customHeight="1" x14ac:dyDescent="0.25">
      <c r="A121" s="433" t="s">
        <v>328</v>
      </c>
      <c r="B121" s="16" t="s">
        <v>198</v>
      </c>
      <c r="C121" s="17" t="s">
        <v>129</v>
      </c>
      <c r="D121" s="17" t="s">
        <v>131</v>
      </c>
      <c r="E121" s="349" t="s">
        <v>199</v>
      </c>
      <c r="F121" s="30" t="s">
        <v>19</v>
      </c>
      <c r="G121" s="30" t="s">
        <v>188</v>
      </c>
      <c r="H121" s="30" t="s">
        <v>200</v>
      </c>
      <c r="I121" s="30" t="s">
        <v>201</v>
      </c>
      <c r="J121" s="30" t="s">
        <v>202</v>
      </c>
      <c r="K121" s="30" t="s">
        <v>203</v>
      </c>
      <c r="L121" s="18" t="s">
        <v>204</v>
      </c>
      <c r="N121" s="16" t="s">
        <v>197</v>
      </c>
      <c r="O121" s="17" t="s">
        <v>196</v>
      </c>
      <c r="P121" s="17" t="s">
        <v>187</v>
      </c>
      <c r="Q121" s="17" t="s">
        <v>188</v>
      </c>
      <c r="R121" s="17" t="s">
        <v>189</v>
      </c>
      <c r="S121" s="17" t="s">
        <v>190</v>
      </c>
      <c r="T121" s="17" t="s">
        <v>191</v>
      </c>
      <c r="U121" s="17" t="s">
        <v>192</v>
      </c>
      <c r="V121" s="18" t="s">
        <v>193</v>
      </c>
      <c r="X121" s="16" t="s">
        <v>379</v>
      </c>
      <c r="Y121" s="349" t="s">
        <v>220</v>
      </c>
      <c r="Z121" s="17" t="s">
        <v>221</v>
      </c>
      <c r="AA121" s="17" t="s">
        <v>222</v>
      </c>
      <c r="AB121" s="17" t="s">
        <v>223</v>
      </c>
      <c r="AC121" s="17" t="s">
        <v>224</v>
      </c>
      <c r="AD121" s="18" t="s">
        <v>225</v>
      </c>
      <c r="AF121" s="302"/>
      <c r="AG121" s="302"/>
      <c r="AH121" s="303"/>
      <c r="AI121" s="303"/>
      <c r="AJ121" s="302"/>
    </row>
    <row r="122" spans="1:36" x14ac:dyDescent="0.25">
      <c r="A122" s="433"/>
      <c r="B122" s="13" t="s">
        <v>212</v>
      </c>
      <c r="C122" s="8">
        <f>SUM(Table117[S-W])</f>
        <v>4</v>
      </c>
      <c r="D122" s="8">
        <f>SUM(Table117[S-L])</f>
        <v>7</v>
      </c>
      <c r="E122" s="350">
        <f>SUM(Table117[S-IP])</f>
        <v>107.33333333333333</v>
      </c>
      <c r="F122" s="12">
        <f>SUM(Table117[S-H])</f>
        <v>97</v>
      </c>
      <c r="G122" s="12">
        <f>SUM(Table117[S-R])</f>
        <v>43</v>
      </c>
      <c r="H122" s="12">
        <f>SUM(Table117[S-ER])</f>
        <v>38</v>
      </c>
      <c r="I122" s="12">
        <f>SUM(Table117[S-BB])</f>
        <v>30</v>
      </c>
      <c r="J122" s="12">
        <f>SUM(Table117[S-SO])</f>
        <v>64</v>
      </c>
      <c r="K122" s="12">
        <f>SUM(Table117[S-HR])</f>
        <v>6</v>
      </c>
      <c r="L122" s="19">
        <f t="shared" ref="L122:L124" si="16">((H122/E122)*9)</f>
        <v>3.1863354037267082</v>
      </c>
      <c r="N122" s="13">
        <v>1</v>
      </c>
      <c r="O122" s="9" t="str">
        <f>INDEX(Table117[Starter1],MODE(MATCH(Table117[Starter1],Table117[Starter1],0)))</f>
        <v>Dorville, E</v>
      </c>
      <c r="P122" s="7">
        <f>COUNTIF(Table117[Starter1], INDEX(Table117[Starter1],MODE(MATCH(Table117[Starter1],Table117[Starter1],0))))</f>
        <v>23</v>
      </c>
      <c r="Q122" s="10">
        <f>SUBTOTAL(109,Table117[R1])</f>
        <v>22</v>
      </c>
      <c r="R122" s="7">
        <f>SUBTOTAL(109,Table117[RBI1])</f>
        <v>13</v>
      </c>
      <c r="S122" s="11">
        <f>((SUM(Table117[H1]))/(SUM(Table117[AB1])))</f>
        <v>0.27131782945736432</v>
      </c>
      <c r="T122" s="11">
        <f>((SUM(Table117[H1],Table117[BB1],Table117[HBP1]))/(SUM(Table117[AB1],Table117[BB1],Table117[HBP1],Table117[SF1])))</f>
        <v>0.32167832167832167</v>
      </c>
      <c r="U122" s="11">
        <f>((SUM(Table117[TB1]))/(SUM(Table117[AB1])))</f>
        <v>0.44961240310077522</v>
      </c>
      <c r="V122" s="22">
        <f t="shared" ref="V122:V131" si="17">(SUM((1.8*(T122)),U122)/4)</f>
        <v>0.25715834553043859</v>
      </c>
      <c r="X122" s="13" t="s">
        <v>218</v>
      </c>
      <c r="Y122" s="350">
        <f>SUM(Table117[IVL])</f>
        <v>81</v>
      </c>
      <c r="Z122" s="8">
        <f>SUM(Table117[SVL])</f>
        <v>7</v>
      </c>
      <c r="AA122" s="8">
        <f>SUM(Table117[SVL],Table117[CVL])</f>
        <v>14</v>
      </c>
      <c r="AB122" s="11">
        <f>(Z122/AA122)</f>
        <v>0.5</v>
      </c>
      <c r="AC122" s="11">
        <f>((Z122/Y122)*9)</f>
        <v>0.77777777777777768</v>
      </c>
      <c r="AD122" s="22">
        <f>((AA122/Y122)*9)</f>
        <v>1.5555555555555554</v>
      </c>
      <c r="AF122" s="302"/>
      <c r="AG122" s="304"/>
      <c r="AH122" s="303"/>
      <c r="AI122" s="303"/>
      <c r="AJ122" s="303"/>
    </row>
    <row r="123" spans="1:36" x14ac:dyDescent="0.25">
      <c r="A123" s="433"/>
      <c r="B123" s="13" t="s">
        <v>213</v>
      </c>
      <c r="C123" s="8">
        <f>SUM(Table117[B-W])</f>
        <v>12</v>
      </c>
      <c r="D123" s="8">
        <f>SUM(Table117[B-L])</f>
        <v>8</v>
      </c>
      <c r="E123" s="350">
        <f>SUM(Table117[B-IP])</f>
        <v>174.33333333333334</v>
      </c>
      <c r="F123" s="12">
        <f>SUM(Table117[B-H])</f>
        <v>169</v>
      </c>
      <c r="G123" s="12">
        <f>SUM(Table117[B-R])</f>
        <v>96</v>
      </c>
      <c r="H123" s="12">
        <f>SUM(Table117[B-ER])</f>
        <v>72</v>
      </c>
      <c r="I123" s="12">
        <f>SUM(Table117[B-BB])</f>
        <v>67</v>
      </c>
      <c r="J123" s="12">
        <f>SUM(Table117[B-SO])</f>
        <v>139</v>
      </c>
      <c r="K123" s="12">
        <f>SUM(Table117[B-HR])</f>
        <v>4</v>
      </c>
      <c r="L123" s="19">
        <f t="shared" si="16"/>
        <v>3.7170172084130018</v>
      </c>
      <c r="N123" s="13">
        <v>2</v>
      </c>
      <c r="O123" s="9" t="str">
        <f>INDEX(Table117[Starter2],MODE(MATCH(Table117[Starter2],Table117[Starter2],0)))</f>
        <v>Caminero, J</v>
      </c>
      <c r="P123" s="7">
        <f>COUNTIF(Table117[Starter2], INDEX(Table117[Starter2],MODE(MATCH(Table117[Starter2],Table117[Starter2],0))))</f>
        <v>15</v>
      </c>
      <c r="Q123" s="7">
        <f>SUBTOTAL(109,Table117[R2])</f>
        <v>10</v>
      </c>
      <c r="R123" s="7">
        <f>SUBTOTAL(109,Table117[RBI2])</f>
        <v>16</v>
      </c>
      <c r="S123" s="11">
        <f>((SUM(Table117[H2]))/(SUM(Table117[AB2])))</f>
        <v>0.29770992366412213</v>
      </c>
      <c r="T123" s="11">
        <f>((SUM(Table117[H2],Table117[BB2],Table117[HBP2]))/(SUM(Table117[AB2],Table117[BB2],Table117[HBP2],Table117[SF2])))</f>
        <v>0.32846715328467152</v>
      </c>
      <c r="U123" s="11">
        <f>((SUM(Table117[TB2]))/(SUM(Table117[AB2])))</f>
        <v>0.35877862595419846</v>
      </c>
      <c r="V123" s="22">
        <f t="shared" si="17"/>
        <v>0.23750487546665178</v>
      </c>
      <c r="X123" s="13" t="s">
        <v>219</v>
      </c>
      <c r="Y123" s="350">
        <f>SUM(Table117[IVR])</f>
        <v>200.33333333333331</v>
      </c>
      <c r="Z123" s="8">
        <f>SUM(Table117[SVR])</f>
        <v>24</v>
      </c>
      <c r="AA123" s="8">
        <f>SUM(Table117[SVR],Table117[CVR])</f>
        <v>33</v>
      </c>
      <c r="AB123" s="11">
        <f>(Z123/AA123)</f>
        <v>0.72727272727272729</v>
      </c>
      <c r="AC123" s="11">
        <f>((Z123/Y123)*9)</f>
        <v>1.0782029950083194</v>
      </c>
      <c r="AD123" s="22">
        <f>((AA123/Y123)*9)</f>
        <v>1.4825291181364395</v>
      </c>
      <c r="AF123" s="302"/>
      <c r="AG123" s="304"/>
      <c r="AH123" s="303"/>
      <c r="AI123" s="303"/>
      <c r="AJ123" s="303"/>
    </row>
    <row r="124" spans="1:36" x14ac:dyDescent="0.25">
      <c r="A124" s="433"/>
      <c r="B124" s="14" t="s">
        <v>194</v>
      </c>
      <c r="C124" s="20">
        <f>SUM(Table117[S-W],Table117[B-W])</f>
        <v>16</v>
      </c>
      <c r="D124" s="20">
        <f>SUM(Table117[S-L],Table117[B-L])</f>
        <v>15</v>
      </c>
      <c r="E124" s="351">
        <f>SUM(Table117[S-IP],Table117[B-IP])</f>
        <v>281.66666666666663</v>
      </c>
      <c r="F124" s="33">
        <f>SUM(Table117[S-H],Table117[B-H])</f>
        <v>266</v>
      </c>
      <c r="G124" s="33">
        <f>SUM(Table117[S-R],Table117[B-R])</f>
        <v>139</v>
      </c>
      <c r="H124" s="33">
        <f>SUM(Table117[S-ER],Table117[B-ER])</f>
        <v>110</v>
      </c>
      <c r="I124" s="33">
        <f>SUM(Table117[S-BB],Table117[B-BB])</f>
        <v>97</v>
      </c>
      <c r="J124" s="33">
        <f>SUM(Table117[S-SO],Table117[B-SO])</f>
        <v>203</v>
      </c>
      <c r="K124" s="33">
        <f>SUM(Table117[S-HR],Table117[B-HR])</f>
        <v>10</v>
      </c>
      <c r="L124" s="21">
        <f t="shared" si="16"/>
        <v>3.5147928994082847</v>
      </c>
      <c r="N124" s="13">
        <v>3</v>
      </c>
      <c r="O124" s="9" t="str">
        <f>INDEX(Table117[Starter3],MODE(MATCH(Table117[Starter3],Table117[Starter3],0)))</f>
        <v>Caminero, J</v>
      </c>
      <c r="P124" s="7">
        <f>COUNTIF(Table117[Starter3], INDEX(Table117[Starter3],MODE(MATCH(Table117[Starter3],Table117[Starter3],0))))</f>
        <v>13</v>
      </c>
      <c r="Q124" s="7">
        <f>SUBTOTAL(109,Table117[R3])</f>
        <v>12</v>
      </c>
      <c r="R124" s="7">
        <f>SUBTOTAL(109,Table117[RBI3])</f>
        <v>14</v>
      </c>
      <c r="S124" s="11">
        <f>((SUM(Table117[H3]))/(SUM(Table117[AB3])))</f>
        <v>0.2</v>
      </c>
      <c r="T124" s="11">
        <f>((SUM(Table117[H3],Table117[BB3],Table117[HBP3]))/(SUM(Table117[AB3],Table117[BB3],Table117[HBP3],Table117[SF3])))</f>
        <v>0.29850746268656714</v>
      </c>
      <c r="U124" s="11">
        <f>((SUM(Table117[TB3]))/(SUM(Table117[AB3])))</f>
        <v>0.28695652173913044</v>
      </c>
      <c r="V124" s="22">
        <f t="shared" si="17"/>
        <v>0.20606748864373783</v>
      </c>
      <c r="X124" s="14" t="s">
        <v>194</v>
      </c>
      <c r="Y124" s="351">
        <f>SUM(Table117[IVL],Table117[IVR])</f>
        <v>281.33333333333331</v>
      </c>
      <c r="Z124" s="20">
        <f>SUM(Table117[SVL],Table117[SVR])</f>
        <v>31</v>
      </c>
      <c r="AA124" s="20">
        <f>SUM(Table117[SVL],Table117[CVL],Table117[SVR],Table117[CVR])</f>
        <v>47</v>
      </c>
      <c r="AB124" s="24">
        <f>(Z124/AA124)</f>
        <v>0.65957446808510634</v>
      </c>
      <c r="AC124" s="24">
        <f>((Z124/Y124)*9)</f>
        <v>0.99170616113744092</v>
      </c>
      <c r="AD124" s="25">
        <f>((AA124/Y124)*9)</f>
        <v>1.5035545023696684</v>
      </c>
      <c r="AF124" s="302"/>
      <c r="AG124" s="304"/>
      <c r="AH124" s="303"/>
      <c r="AI124" s="303"/>
      <c r="AJ124" s="303"/>
    </row>
    <row r="125" spans="1:36" x14ac:dyDescent="0.25">
      <c r="A125" s="433"/>
      <c r="B125" s="52"/>
      <c r="C125" s="52"/>
      <c r="D125" s="52"/>
      <c r="E125" s="353"/>
      <c r="F125" s="49"/>
      <c r="G125" s="49"/>
      <c r="H125" s="49"/>
      <c r="I125" s="49"/>
      <c r="J125" s="49"/>
      <c r="K125" s="49"/>
      <c r="L125" s="52"/>
      <c r="N125" s="13">
        <v>4</v>
      </c>
      <c r="O125" s="9" t="str">
        <f>INDEX(Table117[Starter4],MODE(MATCH(Table117[Starter4],Table117[Starter4],0)))</f>
        <v>Bailey, L</v>
      </c>
      <c r="P125" s="7">
        <f>COUNTIF(Table117[Starter4], INDEX(Table117[Starter4],MODE(MATCH(Table117[Starter4],Table117[Starter4],0))))</f>
        <v>11</v>
      </c>
      <c r="Q125" s="7">
        <f>SUBTOTAL(109,Table117[R4])</f>
        <v>14</v>
      </c>
      <c r="R125" s="7">
        <f>SUBTOTAL(109,Table117[RBI4])</f>
        <v>9</v>
      </c>
      <c r="S125" s="11">
        <f>((SUM(Table117[H4]))/(SUM(Table117[AB4])))</f>
        <v>0.18965517241379309</v>
      </c>
      <c r="T125" s="11">
        <f>((SUM(Table117[H4],Table117[BB4],Table117[HBP4]))/(SUM(Table117[AB4],Table117[BB4],Table117[HBP4],Table117[SF4])))</f>
        <v>0.2932330827067669</v>
      </c>
      <c r="U125" s="11">
        <f>((SUM(Table117[TB4]))/(SUM(Table117[AB4])))</f>
        <v>0.28448275862068967</v>
      </c>
      <c r="V125" s="22">
        <f t="shared" si="17"/>
        <v>0.20307557687321753</v>
      </c>
      <c r="AF125" s="170"/>
      <c r="AG125" s="170"/>
      <c r="AH125" s="170"/>
      <c r="AI125" s="170"/>
      <c r="AJ125" s="170"/>
    </row>
    <row r="126" spans="1:36" x14ac:dyDescent="0.25">
      <c r="A126" s="433"/>
      <c r="B126" s="52"/>
      <c r="C126" s="52"/>
      <c r="D126" s="52"/>
      <c r="E126" s="353"/>
      <c r="F126" s="49"/>
      <c r="G126" s="49"/>
      <c r="H126" s="49"/>
      <c r="I126" s="49"/>
      <c r="J126" s="49"/>
      <c r="K126" s="49"/>
      <c r="L126" s="52"/>
      <c r="N126" s="13">
        <v>5</v>
      </c>
      <c r="O126" s="9" t="str">
        <f>INDEX(Table117[Starter5],MODE(MATCH(Table117[Starter5],Table117[Starter5],0)))</f>
        <v>McCrann, R</v>
      </c>
      <c r="P126" s="7">
        <f>COUNTIF(Table117[Starter5], INDEX(Table117[Starter5],MODE(MATCH(Table117[Starter5],Table117[Starter5],0))))</f>
        <v>10</v>
      </c>
      <c r="Q126" s="7">
        <f>SUBTOTAL(109,Table117[R5])</f>
        <v>14</v>
      </c>
      <c r="R126" s="7">
        <f>SUBTOTAL(109,Table117[RBI5])</f>
        <v>10</v>
      </c>
      <c r="S126" s="11">
        <f>((SUM(Table117[H5]))/(SUM(Table117[AB5])))</f>
        <v>0.1875</v>
      </c>
      <c r="T126" s="11">
        <f>((SUM(Table117[H5],Table117[BB5],Table117[HBP5]))/(SUM(Table117[AB5],Table117[BB5],Table117[HBP5],Table117[SF5])))</f>
        <v>0.26771653543307089</v>
      </c>
      <c r="U126" s="11">
        <f>((SUM(Table117[TB5]))/(SUM(Table117[AB5])))</f>
        <v>0.26785714285714285</v>
      </c>
      <c r="V126" s="22">
        <f t="shared" si="17"/>
        <v>0.18743672665916761</v>
      </c>
    </row>
    <row r="127" spans="1:36" x14ac:dyDescent="0.25">
      <c r="A127" s="433"/>
      <c r="B127" s="52"/>
      <c r="C127" s="52"/>
      <c r="D127" s="52"/>
      <c r="E127" s="353"/>
      <c r="F127" s="49"/>
      <c r="G127" s="49"/>
      <c r="H127" s="49"/>
      <c r="I127" s="49"/>
      <c r="J127" s="49"/>
      <c r="K127" s="49"/>
      <c r="L127" s="52"/>
      <c r="N127" s="13">
        <v>6</v>
      </c>
      <c r="O127" s="9" t="str">
        <f>INDEX(Table117[Starter6],MODE(MATCH(Table117[Starter6],Table117[Starter6],0)))</f>
        <v>Perez, C</v>
      </c>
      <c r="P127" s="7">
        <f>COUNTIF(Table117[Starter6], INDEX(Table117[Starter6],MODE(MATCH(Table117[Starter6],Table117[Starter6],0))))</f>
        <v>9</v>
      </c>
      <c r="Q127" s="7">
        <f>SUBTOTAL(109,Table117[R6])</f>
        <v>15</v>
      </c>
      <c r="R127" s="7">
        <f>SUBTOTAL(109,Table117[RBI6])</f>
        <v>14</v>
      </c>
      <c r="S127" s="11">
        <f>((SUM(Table117[H6]))/(SUM(Table117[AB6])))</f>
        <v>0.24107142857142858</v>
      </c>
      <c r="T127" s="11">
        <f>((SUM(Table117[H6],Table117[BB6],Table117[HBP6]))/(SUM(Table117[AB6],Table117[BB6],Table117[HBP6],Table117[SF6])))</f>
        <v>0.31746031746031744</v>
      </c>
      <c r="U127" s="11">
        <f>((SUM(Table117[TB6]))/(SUM(Table117[AB6])))</f>
        <v>0.36607142857142855</v>
      </c>
      <c r="V127" s="22">
        <f t="shared" si="17"/>
        <v>0.234375</v>
      </c>
    </row>
    <row r="128" spans="1:36" x14ac:dyDescent="0.25">
      <c r="A128" s="433"/>
      <c r="B128" s="52"/>
      <c r="C128" s="52"/>
      <c r="D128" s="52"/>
      <c r="E128" s="353"/>
      <c r="F128" s="49"/>
      <c r="G128" s="49"/>
      <c r="H128" s="49"/>
      <c r="I128" s="49"/>
      <c r="J128" s="49"/>
      <c r="K128" s="49"/>
      <c r="L128" s="52"/>
      <c r="N128" s="13">
        <v>7</v>
      </c>
      <c r="O128" s="9" t="str">
        <f>INDEX(Table117[Starter7],MODE(MATCH(Table117[Starter7],Table117[Starter7],0)))</f>
        <v>Diaz, A</v>
      </c>
      <c r="P128" s="7">
        <f>COUNTIF(Table117[Starter7], INDEX(Table117[Starter7],MODE(MATCH(Table117[Starter7],Table117[Starter7],0))))</f>
        <v>9</v>
      </c>
      <c r="Q128" s="7">
        <f>SUBTOTAL(109,Table117[R7])</f>
        <v>9</v>
      </c>
      <c r="R128" s="7">
        <f>SUBTOTAL(109,Table117[RBI7])</f>
        <v>12</v>
      </c>
      <c r="S128" s="11">
        <f>((SUM(Table117[H7]))/(SUM(Table117[AB7])))</f>
        <v>0.19230769230769232</v>
      </c>
      <c r="T128" s="11">
        <f>((SUM(Table117[H7],Table117[BB7],Table117[HBP7]))/(SUM(Table117[AB7],Table117[BB7],Table117[HBP7],Table117[SF7])))</f>
        <v>0.2975206611570248</v>
      </c>
      <c r="U128" s="11">
        <f>((SUM(Table117[TB7]))/(SUM(Table117[AB7])))</f>
        <v>0.25961538461538464</v>
      </c>
      <c r="V128" s="22">
        <f t="shared" si="17"/>
        <v>0.19878814367450731</v>
      </c>
    </row>
    <row r="129" spans="1:30" x14ac:dyDescent="0.25">
      <c r="A129" s="433"/>
      <c r="B129" s="52"/>
      <c r="C129" s="52"/>
      <c r="D129" s="52"/>
      <c r="E129" s="353"/>
      <c r="F129" s="49"/>
      <c r="G129" s="49"/>
      <c r="H129" s="49"/>
      <c r="I129" s="49"/>
      <c r="J129" s="49"/>
      <c r="K129" s="49"/>
      <c r="L129" s="52"/>
      <c r="N129" s="13">
        <v>8</v>
      </c>
      <c r="O129" s="9" t="str">
        <f>INDEX(Table117[Starter8],MODE(MATCH(Table117[Starter8],Table117[Starter8],0)))</f>
        <v>Perez, C</v>
      </c>
      <c r="P129" s="7">
        <f>COUNTIF(Table117[Starter8], INDEX(Table117[Starter8],MODE(MATCH(Table117[Starter8],Table117[Starter8],0))))</f>
        <v>11</v>
      </c>
      <c r="Q129" s="7">
        <f>SUBTOTAL(109,Table117[R8])</f>
        <v>14</v>
      </c>
      <c r="R129" s="7">
        <f>SUBTOTAL(109,Table117[RBI8])</f>
        <v>8</v>
      </c>
      <c r="S129" s="11">
        <f>((SUM(Table117[H8]))/(SUM(Table117[AB8])))</f>
        <v>0.18446601941747573</v>
      </c>
      <c r="T129" s="11">
        <f>((SUM(Table117[H8],Table117[BB8],Table117[HBP8]))/(SUM(Table117[AB8],Table117[BB8],Table117[HBP8],Table117[SF8])))</f>
        <v>0.27731092436974791</v>
      </c>
      <c r="U129" s="11">
        <f>((SUM(Table117[TB8]))/(SUM(Table117[AB8])))</f>
        <v>0.27184466019417475</v>
      </c>
      <c r="V129" s="22">
        <f t="shared" si="17"/>
        <v>0.19275108101493027</v>
      </c>
    </row>
    <row r="130" spans="1:30" x14ac:dyDescent="0.25">
      <c r="A130" s="433"/>
      <c r="B130" s="52"/>
      <c r="C130" s="52"/>
      <c r="D130" s="52"/>
      <c r="E130" s="353"/>
      <c r="F130" s="49"/>
      <c r="G130" s="49"/>
      <c r="H130" s="49"/>
      <c r="I130" s="49"/>
      <c r="J130" s="49"/>
      <c r="K130" s="49"/>
      <c r="L130" s="52"/>
      <c r="N130" s="13">
        <v>9</v>
      </c>
      <c r="O130" s="9" t="str">
        <f>INDEX(Table117[Starter9],MODE(MATCH(Table117[Starter9],Table117[Starter9],0)))</f>
        <v>Querecuto, J</v>
      </c>
      <c r="P130" s="7">
        <f>COUNTIF(Table117[Starter9], INDEX(Table117[Starter9],MODE(MATCH(Table117[Starter9],Table117[Starter9],0))))</f>
        <v>10</v>
      </c>
      <c r="Q130" s="7">
        <f>SUBTOTAL(109,Table117[R9])</f>
        <v>11</v>
      </c>
      <c r="R130" s="7">
        <f>SUBTOTAL(109,Table117[RBI9])</f>
        <v>9</v>
      </c>
      <c r="S130" s="11">
        <f>((SUM(Table117[H9]))/(SUM(Table117[AB9])))</f>
        <v>0.20202020202020202</v>
      </c>
      <c r="T130" s="11">
        <f>((SUM(Table117[H9],Table117[BB9],Table117[HBP9]))/(SUM(Table117[AB9],Table117[BB9],Table117[HBP9],Table117[SF9])))</f>
        <v>0.30088495575221241</v>
      </c>
      <c r="U130" s="11">
        <f>((SUM(Table117[TB9]))/(SUM(Table117[AB9])))</f>
        <v>0.26262626262626265</v>
      </c>
      <c r="V130" s="22">
        <f t="shared" si="17"/>
        <v>0.20105479574506124</v>
      </c>
    </row>
    <row r="131" spans="1:30" x14ac:dyDescent="0.25">
      <c r="A131" s="433"/>
      <c r="B131" s="52"/>
      <c r="C131" s="52"/>
      <c r="D131" s="52"/>
      <c r="E131" s="353"/>
      <c r="F131" s="49"/>
      <c r="G131" s="49"/>
      <c r="H131" s="49"/>
      <c r="I131" s="49"/>
      <c r="J131" s="49"/>
      <c r="K131" s="49"/>
      <c r="L131" s="52"/>
      <c r="N131" s="40" t="s">
        <v>194</v>
      </c>
      <c r="O131" s="23"/>
      <c r="P131" s="15">
        <f>SUBTOTAL(103,Table117[Date])</f>
        <v>31</v>
      </c>
      <c r="Q131" s="15">
        <f>SUM(Table117[R1],Table117[R2],Table117[R3],Table117[R4],Table117[R5],Table117[R6],Table117[R7],Table117[R8],Table117[R9])</f>
        <v>121</v>
      </c>
      <c r="R131" s="15">
        <f>SUM(Table117[RBI1],Table117[RBI2],Table117[RBI3],Table117[RBI4],Table117[RBI5],Table117[RBI6],Table117[RBI7],Table117[RBI8],Table117[RBI9])</f>
        <v>105</v>
      </c>
      <c r="S131" s="24">
        <f>((SUM(Table117[H1],Table117[H2],Table117[H3],Table117[H4],Table117[H5],Table117[H6],Table117[H7],Table117[H8],Table117[H9]))/(SUM(Table117[AB1],Table117[AB2],Table117[AB3],Table117[AB4],Table117[AB5],Table117[AB6],Table117[AB7],Table117[AB8],Table117[AB9])))</f>
        <v>0.22135161606268364</v>
      </c>
      <c r="T131" s="24">
        <f>((SUM(Table117[H1],Table117[BB1],Table117[HBP1],Table117[H2],Table117[BB2],Table117[HBP2],Table117[H3],Table117[BB3],Table117[HBP3],Table117[H4],Table117[BB4],Table117[HBP4],Table117[H5],Table117[BB5],Table117[HBP5],Table117[H6],Table117[BB6],Table117[HBP6],Table117[H7],Table117[BB7],Table117[HBP7],Table117[H8],Table117[BB8],Table117[HBP8],Table117[H9],Table117[BB9],Table117[HBP9]))/(SUM(Table117[AB1],Table117[BB1],Table117[HBP1],Table117[SF1],Table117[AB2],Table117[BB2],Table117[HBP2],Table117[SF2],Table117[AB3],Table117[BB3],Table117[HBP3],Table117[SF3],Table117[AB4],Table117[BB4],Table117[HBP4],Table117[SF4],Table117[AB5],Table117[BB5],Table117[HBP5],Table117[SF5],Table117[AB6],Table117[BB6],Table117[HBP6],Table117[SF6],Table117[AB7],Table117[BB7],Table117[HBP7],Table117[SF7],Table117[AB8],Table117[BB8],Table117[HBP8],Table117[SF8],Table117[AB9],Table117[BB9],Table117[HBP9],Table117[SF9])))</f>
        <v>0.30095403295750217</v>
      </c>
      <c r="U131" s="24">
        <f>((SUM(Table117[TB1],Table117[TB2],Table117[TB3],Table117[TB4],Table117[TB5],Table117[TB6],Table117[TB7],Table117[TB8],Table117[TB9]))/(SUM(Table117[AB1],Table117[AB2],Table117[AB3],Table117[AB4],Table117[AB5],Table117[AB6],Table117[AB7],Table117[AB8],Table117[AB9])))</f>
        <v>0.31635651322233105</v>
      </c>
      <c r="V131" s="25">
        <f t="shared" si="17"/>
        <v>0.21451844313645874</v>
      </c>
    </row>
    <row r="132" spans="1:30" x14ac:dyDescent="0.25">
      <c r="A132" s="258"/>
      <c r="B132" s="52"/>
      <c r="C132" s="52"/>
      <c r="D132" s="52"/>
      <c r="E132" s="353"/>
      <c r="F132" s="49"/>
      <c r="G132" s="49"/>
      <c r="H132" s="49"/>
      <c r="I132" s="49"/>
      <c r="J132" s="49"/>
      <c r="K132" s="49"/>
      <c r="L132" s="52"/>
    </row>
    <row r="133" spans="1:30" x14ac:dyDescent="0.25">
      <c r="A133" s="433" t="s">
        <v>620</v>
      </c>
      <c r="B133" s="16" t="s">
        <v>198</v>
      </c>
      <c r="C133" s="17" t="s">
        <v>129</v>
      </c>
      <c r="D133" s="17" t="s">
        <v>131</v>
      </c>
      <c r="E133" s="349" t="s">
        <v>199</v>
      </c>
      <c r="F133" s="30" t="s">
        <v>19</v>
      </c>
      <c r="G133" s="30" t="s">
        <v>188</v>
      </c>
      <c r="H133" s="30" t="s">
        <v>200</v>
      </c>
      <c r="I133" s="30" t="s">
        <v>201</v>
      </c>
      <c r="J133" s="30" t="s">
        <v>202</v>
      </c>
      <c r="K133" s="30" t="s">
        <v>203</v>
      </c>
      <c r="L133" s="18" t="s">
        <v>204</v>
      </c>
      <c r="N133" s="16" t="s">
        <v>197</v>
      </c>
      <c r="O133" s="17" t="s">
        <v>196</v>
      </c>
      <c r="P133" s="17" t="s">
        <v>187</v>
      </c>
      <c r="Q133" s="17" t="s">
        <v>188</v>
      </c>
      <c r="R133" s="17" t="s">
        <v>189</v>
      </c>
      <c r="S133" s="17" t="s">
        <v>190</v>
      </c>
      <c r="T133" s="17" t="s">
        <v>191</v>
      </c>
      <c r="U133" s="17" t="s">
        <v>192</v>
      </c>
      <c r="V133" s="18" t="s">
        <v>193</v>
      </c>
      <c r="X133" s="16" t="s">
        <v>619</v>
      </c>
      <c r="Y133" s="349" t="s">
        <v>220</v>
      </c>
      <c r="Z133" s="17" t="s">
        <v>221</v>
      </c>
      <c r="AA133" s="17" t="s">
        <v>222</v>
      </c>
      <c r="AB133" s="17" t="s">
        <v>223</v>
      </c>
      <c r="AC133" s="17" t="s">
        <v>224</v>
      </c>
      <c r="AD133" s="18" t="s">
        <v>225</v>
      </c>
    </row>
    <row r="134" spans="1:30" x14ac:dyDescent="0.25">
      <c r="A134" s="433"/>
      <c r="B134" s="13" t="s">
        <v>212</v>
      </c>
      <c r="C134" s="8">
        <f>SUM(Table142[S-W])</f>
        <v>2</v>
      </c>
      <c r="D134" s="8">
        <f>SUM(Table142[S-L])</f>
        <v>5</v>
      </c>
      <c r="E134" s="350">
        <f>SUM(Table142[S-IP])</f>
        <v>60</v>
      </c>
      <c r="F134" s="12">
        <f>SUM(Table142[S-H])</f>
        <v>61</v>
      </c>
      <c r="G134" s="12">
        <f>SUM(Table142[S-R])</f>
        <v>50</v>
      </c>
      <c r="H134" s="12">
        <f>SUM(Table142[S-ER])</f>
        <v>39</v>
      </c>
      <c r="I134" s="12">
        <f>SUM(Table142[S-BB])</f>
        <v>29</v>
      </c>
      <c r="J134" s="12">
        <f>SUM(Table142[S-SO])</f>
        <v>50</v>
      </c>
      <c r="K134" s="12">
        <f>SUM(Table142[S-HR])</f>
        <v>4</v>
      </c>
      <c r="L134" s="19">
        <f>((H134/E134)*9)</f>
        <v>5.8500000000000005</v>
      </c>
      <c r="N134" s="13">
        <v>1</v>
      </c>
      <c r="O134" s="262" t="str">
        <f>INDEX(Table142[Starter1],MODE(MATCH(Table142[Starter1],Table142[Starter1],0)))</f>
        <v>Antunez, I</v>
      </c>
      <c r="P134" s="7">
        <f>COUNTIF(Table142[Starter1], INDEX(Table142[Starter1],MODE(MATCH(Table142[Starter1],Table142[Starter1],0))))</f>
        <v>11</v>
      </c>
      <c r="Q134" s="10">
        <f>SUBTOTAL(109,Table142[R1])</f>
        <v>11</v>
      </c>
      <c r="R134" s="7">
        <f>SUBTOTAL(109,Table142[RBI1])</f>
        <v>1</v>
      </c>
      <c r="S134" s="11">
        <f>((SUM(Table142[H1]))/(SUM(Table142[AB1])))</f>
        <v>0.20512820512820512</v>
      </c>
      <c r="T134" s="11">
        <f>((SUM(Table142[H1],Table142[BB1],Table142[HBP1]))/(SUM(Table142[AB1],Table142[BB1],Table142[HBP1],Table142[SF1])))</f>
        <v>0.31868131868131866</v>
      </c>
      <c r="U134" s="11">
        <f>((SUM(Table142[TB1]))/(SUM(Table142[AB1])))</f>
        <v>0.21794871794871795</v>
      </c>
      <c r="V134" s="22">
        <f t="shared" ref="V134:V143" si="18">(SUM((1.8*(T134)),U134)/4)</f>
        <v>0.19789377289377288</v>
      </c>
      <c r="X134" s="13" t="s">
        <v>218</v>
      </c>
      <c r="Y134" s="350">
        <f>SUM(Table142[IVL])</f>
        <v>38.666666666666671</v>
      </c>
      <c r="Z134" s="8">
        <f>SUM(Table142[SVL])</f>
        <v>5</v>
      </c>
      <c r="AA134" s="8">
        <f>SUM(Table142[SVL],Table142[CVL])</f>
        <v>8</v>
      </c>
      <c r="AB134" s="11">
        <f>(Z134/AA134)</f>
        <v>0.625</v>
      </c>
      <c r="AC134" s="11">
        <f>((Z134/Y134)*9)</f>
        <v>1.1637931034482758</v>
      </c>
      <c r="AD134" s="22">
        <f>((AA134/Y134)*9)</f>
        <v>1.8620689655172411</v>
      </c>
    </row>
    <row r="135" spans="1:30" s="52" customFormat="1" x14ac:dyDescent="0.25">
      <c r="A135" s="433"/>
      <c r="B135" s="13" t="s">
        <v>213</v>
      </c>
      <c r="C135" s="8">
        <f>SUM(Table142[B-W])</f>
        <v>7</v>
      </c>
      <c r="D135" s="8">
        <f>SUM(Table142[B-L])</f>
        <v>5</v>
      </c>
      <c r="E135" s="350">
        <f>SUM(Table142[B-IP])</f>
        <v>103</v>
      </c>
      <c r="F135" s="12">
        <f>SUM(Table142[B-H])</f>
        <v>103</v>
      </c>
      <c r="G135" s="12">
        <f>SUM(Table142[B-R])</f>
        <v>56</v>
      </c>
      <c r="H135" s="12">
        <f>SUM(Table142[B-ER])</f>
        <v>51</v>
      </c>
      <c r="I135" s="12">
        <f>SUM(Table142[B-BB])</f>
        <v>41</v>
      </c>
      <c r="J135" s="12">
        <f>SUM(Table142[B-SO])</f>
        <v>75</v>
      </c>
      <c r="K135" s="12">
        <f>SUM(Table142[B-HR])</f>
        <v>11</v>
      </c>
      <c r="L135" s="19">
        <f>((H135/E135)*9)</f>
        <v>4.4563106796116507</v>
      </c>
      <c r="M135"/>
      <c r="N135" s="13">
        <v>2</v>
      </c>
      <c r="O135" s="262" t="str">
        <f>INDEX(Table142[Starter2],MODE(MATCH(Table142[Starter2],Table142[Starter2],0)))</f>
        <v>Paz, F</v>
      </c>
      <c r="P135" s="7">
        <f>COUNTIF(Table142[Starter2], INDEX(Table142[Starter2],MODE(MATCH(Table142[Starter2],Table142[Starter2],0))))</f>
        <v>11</v>
      </c>
      <c r="Q135" s="7">
        <f>SUBTOTAL(109,Table142[R2])</f>
        <v>16</v>
      </c>
      <c r="R135" s="7">
        <f>SUBTOTAL(109,Table142[RBI2])</f>
        <v>8</v>
      </c>
      <c r="S135" s="11">
        <f>((SUM(Table142[H2]))/(SUM(Table142[AB2])))</f>
        <v>0.26760563380281688</v>
      </c>
      <c r="T135" s="11">
        <f>((SUM(Table142[H2],Table142[BB2],Table142[HBP2]))/(SUM(Table142[AB2],Table142[BB2],Table142[HBP2],Table142[SF2])))</f>
        <v>0.40909090909090912</v>
      </c>
      <c r="U135" s="11">
        <f>((SUM(Table142[TB2]))/(SUM(Table142[AB2])))</f>
        <v>0.3380281690140845</v>
      </c>
      <c r="V135" s="22">
        <f t="shared" si="18"/>
        <v>0.26859795134443021</v>
      </c>
      <c r="W135"/>
      <c r="X135" s="13" t="s">
        <v>219</v>
      </c>
      <c r="Y135" s="350">
        <f>SUM(Table142[IVR])</f>
        <v>124.33333333333333</v>
      </c>
      <c r="Z135" s="8">
        <f>SUM(Table142[SVR])</f>
        <v>30</v>
      </c>
      <c r="AA135" s="8">
        <f>SUM(Table142[SVR],Table142[CVR])</f>
        <v>42</v>
      </c>
      <c r="AB135" s="11">
        <f>(Z135/AA135)</f>
        <v>0.7142857142857143</v>
      </c>
      <c r="AC135" s="11">
        <f>((Z135/Y135)*9)</f>
        <v>2.1715817694369974</v>
      </c>
      <c r="AD135" s="22">
        <f>((AA135/Y135)*9)</f>
        <v>3.0402144772117961</v>
      </c>
    </row>
    <row r="136" spans="1:30" s="52" customFormat="1" x14ac:dyDescent="0.25">
      <c r="A136" s="433"/>
      <c r="B136" s="14" t="s">
        <v>194</v>
      </c>
      <c r="C136" s="20">
        <f>SUM(Table142[S-W],Table142[B-W])</f>
        <v>9</v>
      </c>
      <c r="D136" s="20">
        <f>SUM(Table142[S-L],Table142[B-L])</f>
        <v>10</v>
      </c>
      <c r="E136" s="351">
        <f>SUM(Table142[S-IP],Table142[B-IP])</f>
        <v>163</v>
      </c>
      <c r="F136" s="33">
        <f>SUM(Table142[S-H],Table142[B-H])</f>
        <v>164</v>
      </c>
      <c r="G136" s="33">
        <f>SUM(Table142[S-R],Table142[B-R])</f>
        <v>106</v>
      </c>
      <c r="H136" s="33">
        <f>SUM(Table142[S-ER],Table142[B-ER])</f>
        <v>90</v>
      </c>
      <c r="I136" s="33">
        <f>SUM(Table142[S-BB],Table142[B-BB])</f>
        <v>70</v>
      </c>
      <c r="J136" s="33">
        <f>SUM(Table142[S-SO],Table142[B-SO])</f>
        <v>125</v>
      </c>
      <c r="K136" s="33">
        <f>SUM(Table142[S-HR],Table142[B-HR])</f>
        <v>15</v>
      </c>
      <c r="L136" s="21">
        <f>((H136/E136)*9)</f>
        <v>4.9693251533742338</v>
      </c>
      <c r="M136"/>
      <c r="N136" s="13">
        <v>3</v>
      </c>
      <c r="O136" s="262" t="str">
        <f>INDEX(Table142[Starter3],MODE(MATCH(Table142[Starter3],Table142[Starter3],0)))</f>
        <v>Correa, L</v>
      </c>
      <c r="P136" s="7">
        <f>COUNTIF(Table142[Starter3], INDEX(Table142[Starter3],MODE(MATCH(Table142[Starter3],Table142[Starter3],0))))</f>
        <v>16</v>
      </c>
      <c r="Q136" s="7">
        <f>SUBTOTAL(109,Table142[R3])</f>
        <v>17</v>
      </c>
      <c r="R136" s="7">
        <f>SUBTOTAL(109,Table142[RBI3])</f>
        <v>9</v>
      </c>
      <c r="S136" s="11">
        <f>((SUM(Table142[H3]))/(SUM(Table142[AB3])))</f>
        <v>0.26027397260273971</v>
      </c>
      <c r="T136" s="11">
        <f>((SUM(Table142[H3],Table142[BB3],Table142[HBP3]))/(SUM(Table142[AB3],Table142[BB3],Table142[HBP3],Table142[SF3])))</f>
        <v>0.35294117647058826</v>
      </c>
      <c r="U136" s="11">
        <f>((SUM(Table142[TB3]))/(SUM(Table142[AB3])))</f>
        <v>0.34246575342465752</v>
      </c>
      <c r="V136" s="22">
        <f t="shared" si="18"/>
        <v>0.24443996776792909</v>
      </c>
      <c r="W136"/>
      <c r="X136" s="14" t="s">
        <v>194</v>
      </c>
      <c r="Y136" s="351">
        <f>SUM(Table142[IVL],Table142[IVR])</f>
        <v>163</v>
      </c>
      <c r="Z136" s="20">
        <f>SUM(Table142[SVL],Table142[SVR])</f>
        <v>35</v>
      </c>
      <c r="AA136" s="20">
        <f>SUM(Table142[SVL],Table142[CVL],Table142[SVR],Table142[CVR])</f>
        <v>50</v>
      </c>
      <c r="AB136" s="24">
        <f>(Z136/AA136)</f>
        <v>0.7</v>
      </c>
      <c r="AC136" s="24">
        <f>((Z136/Y136)*9)</f>
        <v>1.9325153374233131</v>
      </c>
      <c r="AD136" s="25">
        <f>((AA136/Y136)*9)</f>
        <v>2.7607361963190185</v>
      </c>
    </row>
    <row r="137" spans="1:30" s="52" customFormat="1" x14ac:dyDescent="0.25">
      <c r="A137" s="433"/>
      <c r="B137"/>
      <c r="C137" s="300"/>
      <c r="D137" s="300"/>
      <c r="E137" s="352"/>
      <c r="F137" s="264"/>
      <c r="G137" s="264"/>
      <c r="H137" s="264"/>
      <c r="I137" s="264"/>
      <c r="J137" s="264"/>
      <c r="K137" s="264"/>
      <c r="L137" s="299"/>
      <c r="M137"/>
      <c r="N137" s="13">
        <v>4</v>
      </c>
      <c r="O137" s="262" t="str">
        <f>INDEX(Table142[Starter4],MODE(MATCH(Table142[Starter4],Table142[Starter4],0)))</f>
        <v>Salas, R</v>
      </c>
      <c r="P137" s="7">
        <f>COUNTIF(Table142[Starter4], INDEX(Table142[Starter4],MODE(MATCH(Table142[Starter4],Table142[Starter4],0))))</f>
        <v>11</v>
      </c>
      <c r="Q137" s="7">
        <f>SUBTOTAL(109,Table142[R4])</f>
        <v>15</v>
      </c>
      <c r="R137" s="7">
        <f>SUBTOTAL(109,Table142[RBI4])</f>
        <v>13</v>
      </c>
      <c r="S137" s="11">
        <f>((SUM(Table142[H4]))/(SUM(Table142[AB4])))</f>
        <v>0.30136986301369861</v>
      </c>
      <c r="T137" s="11">
        <f>((SUM(Table142[H4],Table142[BB4],Table142[HBP4]))/(SUM(Table142[AB4],Table142[BB4],Table142[HBP4],Table142[SF4])))</f>
        <v>0.4</v>
      </c>
      <c r="U137" s="11">
        <f>((SUM(Table142[TB4]))/(SUM(Table142[AB4])))</f>
        <v>0.47945205479452052</v>
      </c>
      <c r="V137" s="22">
        <f t="shared" si="18"/>
        <v>0.29986301369863017</v>
      </c>
      <c r="W137"/>
      <c r="X137"/>
      <c r="Y137" s="352"/>
      <c r="Z137"/>
      <c r="AA137"/>
      <c r="AB137"/>
      <c r="AC137"/>
      <c r="AD137"/>
    </row>
    <row r="138" spans="1:30" s="52" customFormat="1" x14ac:dyDescent="0.25">
      <c r="A138" s="433"/>
      <c r="B138"/>
      <c r="C138"/>
      <c r="D138"/>
      <c r="E138" s="352"/>
      <c r="F138" s="264"/>
      <c r="G138" s="264"/>
      <c r="H138" s="264"/>
      <c r="I138" s="264"/>
      <c r="J138" s="264"/>
      <c r="K138" s="264"/>
      <c r="L138"/>
      <c r="M138"/>
      <c r="N138" s="13">
        <v>5</v>
      </c>
      <c r="O138" s="262" t="str">
        <f>INDEX(Table142[Starter5],MODE(MATCH(Table142[Starter5],Table142[Starter5],0)))</f>
        <v>Quinonez, J</v>
      </c>
      <c r="P138" s="7">
        <f>COUNTIF(Table142[Starter5], INDEX(Table142[Starter5],MODE(MATCH(Table142[Starter5],Table142[Starter5],0))))</f>
        <v>9</v>
      </c>
      <c r="Q138" s="7">
        <f>SUBTOTAL(109,Table142[R5])</f>
        <v>15</v>
      </c>
      <c r="R138" s="7">
        <f>SUBTOTAL(109,Table142[RBI5])</f>
        <v>12</v>
      </c>
      <c r="S138" s="11">
        <f>((SUM(Table142[H5]))/(SUM(Table142[AB5])))</f>
        <v>0.323943661971831</v>
      </c>
      <c r="T138" s="11">
        <f>((SUM(Table142[H5],Table142[BB5],Table142[HBP5]))/(SUM(Table142[AB5],Table142[BB5],Table142[HBP5],Table142[SF5])))</f>
        <v>0.40740740740740738</v>
      </c>
      <c r="U138" s="11">
        <f>((SUM(Table142[TB5]))/(SUM(Table142[AB5])))</f>
        <v>0.46478873239436619</v>
      </c>
      <c r="V138" s="22">
        <f t="shared" si="18"/>
        <v>0.29953051643192485</v>
      </c>
      <c r="W138"/>
      <c r="X138"/>
      <c r="Y138" s="352"/>
      <c r="Z138"/>
      <c r="AA138"/>
      <c r="AB138"/>
      <c r="AC138"/>
      <c r="AD138"/>
    </row>
    <row r="139" spans="1:30" s="52" customFormat="1" x14ac:dyDescent="0.25">
      <c r="A139" s="433"/>
      <c r="B139"/>
      <c r="C139"/>
      <c r="D139"/>
      <c r="E139" s="352"/>
      <c r="F139" s="264"/>
      <c r="G139" s="264"/>
      <c r="H139" s="264"/>
      <c r="I139" s="264"/>
      <c r="J139" s="264"/>
      <c r="K139" s="264"/>
      <c r="L139"/>
      <c r="M139"/>
      <c r="N139" s="13">
        <v>6</v>
      </c>
      <c r="O139" s="262" t="str">
        <f>INDEX(Table142[Starter6],MODE(MATCH(Table142[Starter6],Table142[Starter6],0)))</f>
        <v>Narvaez, O</v>
      </c>
      <c r="P139" s="7">
        <f>COUNTIF(Table142[Starter6], INDEX(Table142[Starter6],MODE(MATCH(Table142[Starter6],Table142[Starter6],0))))</f>
        <v>10</v>
      </c>
      <c r="Q139" s="7">
        <f>SUBTOTAL(109,Table142[R6])</f>
        <v>8</v>
      </c>
      <c r="R139" s="7">
        <f>SUBTOTAL(109,Table142[RBI6])</f>
        <v>14</v>
      </c>
      <c r="S139" s="11">
        <f>((SUM(Table142[H6]))/(SUM(Table142[AB6])))</f>
        <v>0.35714285714285715</v>
      </c>
      <c r="T139" s="11">
        <f>((SUM(Table142[H6],Table142[BB6],Table142[HBP6]))/(SUM(Table142[AB6],Table142[BB6],Table142[HBP6],Table142[SF6])))</f>
        <v>0.4375</v>
      </c>
      <c r="U139" s="11">
        <f>((SUM(Table142[TB6]))/(SUM(Table142[AB6])))</f>
        <v>0.41428571428571431</v>
      </c>
      <c r="V139" s="22">
        <f t="shared" si="18"/>
        <v>0.30044642857142856</v>
      </c>
      <c r="W139"/>
      <c r="X139"/>
      <c r="Y139" s="352"/>
      <c r="Z139"/>
      <c r="AA139"/>
      <c r="AB139"/>
      <c r="AC139"/>
      <c r="AD139"/>
    </row>
    <row r="140" spans="1:30" s="52" customFormat="1" x14ac:dyDescent="0.25">
      <c r="A140" s="433"/>
      <c r="B140"/>
      <c r="C140"/>
      <c r="D140"/>
      <c r="E140" s="352"/>
      <c r="F140" s="264"/>
      <c r="G140" s="264"/>
      <c r="H140" s="264"/>
      <c r="I140" s="264"/>
      <c r="J140" s="264"/>
      <c r="K140" s="264"/>
      <c r="L140"/>
      <c r="M140"/>
      <c r="N140" s="13">
        <v>7</v>
      </c>
      <c r="O140" s="262" t="str">
        <f>INDEX(Table142[Starter7],MODE(MATCH(Table142[Starter7],Table142[Starter7],0)))</f>
        <v>Bellorin, J</v>
      </c>
      <c r="P140" s="7">
        <f>COUNTIF(Table142[Starter7], INDEX(Table142[Starter7],MODE(MATCH(Table142[Starter7],Table142[Starter7],0))))</f>
        <v>5</v>
      </c>
      <c r="Q140" s="7">
        <f>SUBTOTAL(109,Table142[R7])</f>
        <v>9</v>
      </c>
      <c r="R140" s="7">
        <f>SUBTOTAL(109,Table142[RBI7])</f>
        <v>16</v>
      </c>
      <c r="S140" s="11">
        <f>((SUM(Table142[H7]))/(SUM(Table142[AB7])))</f>
        <v>0.27142857142857141</v>
      </c>
      <c r="T140" s="11">
        <f>((SUM(Table142[H7],Table142[BB7],Table142[HBP7]))/(SUM(Table142[AB7],Table142[BB7],Table142[HBP7],Table142[SF7])))</f>
        <v>0.35443037974683544</v>
      </c>
      <c r="U140" s="11">
        <f>((SUM(Table142[TB7]))/(SUM(Table142[AB7])))</f>
        <v>0.41428571428571431</v>
      </c>
      <c r="V140" s="22">
        <f t="shared" si="18"/>
        <v>0.26306509945750456</v>
      </c>
      <c r="W140"/>
      <c r="X140"/>
      <c r="Y140" s="352"/>
      <c r="Z140"/>
      <c r="AA140"/>
      <c r="AB140"/>
      <c r="AC140"/>
      <c r="AD140"/>
    </row>
    <row r="141" spans="1:30" s="52" customFormat="1" x14ac:dyDescent="0.25">
      <c r="A141" s="433"/>
      <c r="B141"/>
      <c r="C141"/>
      <c r="D141"/>
      <c r="E141" s="352"/>
      <c r="F141" s="264"/>
      <c r="G141" s="264"/>
      <c r="H141" s="264"/>
      <c r="I141" s="264"/>
      <c r="J141" s="264"/>
      <c r="K141" s="264"/>
      <c r="L141"/>
      <c r="M141"/>
      <c r="N141" s="13">
        <v>8</v>
      </c>
      <c r="O141" s="262" t="str">
        <f>INDEX(Table142[Starter8],MODE(MATCH(Table142[Starter8],Table142[Starter8],0)))</f>
        <v>Acosta, R</v>
      </c>
      <c r="P141" s="7">
        <f>COUNTIF(Table142[Starter8], INDEX(Table142[Starter8],MODE(MATCH(Table142[Starter8],Table142[Starter8],0))))</f>
        <v>6</v>
      </c>
      <c r="Q141" s="7">
        <f>SUBTOTAL(109,Table142[R8])</f>
        <v>12</v>
      </c>
      <c r="R141" s="7">
        <f>SUBTOTAL(109,Table142[RBI8])</f>
        <v>12</v>
      </c>
      <c r="S141" s="11">
        <f>((SUM(Table142[H8]))/(SUM(Table142[AB8])))</f>
        <v>0.2153846153846154</v>
      </c>
      <c r="T141" s="11">
        <f>((SUM(Table142[H8],Table142[BB8],Table142[HBP8]))/(SUM(Table142[AB8],Table142[BB8],Table142[HBP8],Table142[SF8])))</f>
        <v>0.36249999999999999</v>
      </c>
      <c r="U141" s="11">
        <f>((SUM(Table142[TB8]))/(SUM(Table142[AB8])))</f>
        <v>0.35384615384615387</v>
      </c>
      <c r="V141" s="22">
        <f t="shared" si="18"/>
        <v>0.25158653846153844</v>
      </c>
      <c r="W141"/>
      <c r="X141"/>
      <c r="Y141" s="352"/>
      <c r="Z141"/>
      <c r="AA141"/>
      <c r="AB141"/>
      <c r="AC141"/>
      <c r="AD141"/>
    </row>
    <row r="142" spans="1:30" s="52" customFormat="1" x14ac:dyDescent="0.25">
      <c r="A142" s="433"/>
      <c r="B142"/>
      <c r="C142"/>
      <c r="D142"/>
      <c r="E142" s="352"/>
      <c r="F142" s="264"/>
      <c r="G142" s="264"/>
      <c r="H142" s="264"/>
      <c r="I142" s="264"/>
      <c r="J142" s="264"/>
      <c r="K142" s="264"/>
      <c r="L142"/>
      <c r="M142"/>
      <c r="N142" s="13">
        <v>9</v>
      </c>
      <c r="O142" s="262" t="str">
        <f>INDEX(Table142[Starter9],MODE(MATCH(Table142[Starter9],Table142[Starter9],0)))</f>
        <v>Bellorin, J</v>
      </c>
      <c r="P142" s="7">
        <f>COUNTIF(Table142[Starter9], INDEX(Table142[Starter9],MODE(MATCH(Table142[Starter9],Table142[Starter9],0))))</f>
        <v>7</v>
      </c>
      <c r="Q142" s="7">
        <f>SUBTOTAL(109,Table142[R9])</f>
        <v>10</v>
      </c>
      <c r="R142" s="7">
        <f>SUBTOTAL(109,Table142[RBI9])</f>
        <v>10</v>
      </c>
      <c r="S142" s="11">
        <f>((SUM(Table142[H9]))/(SUM(Table142[AB9])))</f>
        <v>0.30769230769230771</v>
      </c>
      <c r="T142" s="11">
        <f>((SUM(Table142[H9],Table142[BB9],Table142[HBP9]))/(SUM(Table142[AB9],Table142[BB9],Table142[HBP9],Table142[SF9])))</f>
        <v>0.42307692307692307</v>
      </c>
      <c r="U142" s="11">
        <f>((SUM(Table142[TB9]))/(SUM(Table142[AB9])))</f>
        <v>0.43076923076923079</v>
      </c>
      <c r="V142" s="22">
        <f t="shared" si="18"/>
        <v>0.29807692307692307</v>
      </c>
      <c r="W142"/>
      <c r="X142"/>
      <c r="Y142" s="352"/>
      <c r="Z142"/>
      <c r="AA142"/>
      <c r="AB142"/>
      <c r="AC142"/>
      <c r="AD142"/>
    </row>
    <row r="143" spans="1:30" s="52" customFormat="1" x14ac:dyDescent="0.25">
      <c r="A143" s="433"/>
      <c r="B143"/>
      <c r="C143"/>
      <c r="D143"/>
      <c r="E143" s="352"/>
      <c r="F143" s="264"/>
      <c r="G143" s="264"/>
      <c r="H143" s="264"/>
      <c r="I143" s="264"/>
      <c r="J143" s="264"/>
      <c r="K143" s="264"/>
      <c r="L143"/>
      <c r="M143"/>
      <c r="N143" s="40" t="s">
        <v>194</v>
      </c>
      <c r="O143" s="23"/>
      <c r="P143" s="15">
        <f>SUBTOTAL(103,Table142[Date])</f>
        <v>19</v>
      </c>
      <c r="Q143" s="15">
        <f>SUM(Table142[R1],Table142[R2],Table142[R3],Table142[R4],Table142[R5],Table142[R6],Table142[R7],Table142[R8],Table142[R9])</f>
        <v>113</v>
      </c>
      <c r="R143" s="15">
        <f>SUM(Table142[RBI1],Table142[RBI2],Table142[RBI3],Table142[RBI4],Table142[RBI5],Table142[RBI6],Table142[RBI7],Table142[RBI8],Table142[RBI9])</f>
        <v>95</v>
      </c>
      <c r="S143" s="24">
        <f>((SUM(Table142[H1],Table142[H2],Table142[H3],Table142[H4],Table142[H5],Table142[H6],Table142[H7],Table142[H8],Table142[H9]))/(SUM(Table142[AB1],Table142[AB2],Table142[AB3],Table142[AB4],Table142[AB5],Table142[AB6],Table142[AB7],Table142[AB8],Table142[AB9])))</f>
        <v>0.27830188679245282</v>
      </c>
      <c r="T143" s="24">
        <f>((SUM(Table142[H1],Table142[BB1],Table142[HBP1],Table142[H2],Table142[BB2],Table142[HBP2],Table142[H3],Table142[BB3],Table142[HBP3],Table142[H4],Table142[BB4],Table142[HBP4],Table142[H5],Table142[BB5],Table142[HBP5],Table142[H6],Table142[BB6],Table142[HBP6],Table142[H7],Table142[BB7],Table142[HBP7],Table142[H8],Table142[BB8],Table142[HBP8],Table142[H9],Table142[BB9],Table142[HBP9]))/(SUM(Table142[AB1],Table142[BB1],Table142[HBP1],Table142[SF1],Table142[AB2],Table142[BB2],Table142[HBP2],Table142[SF2],Table142[AB3],Table142[BB3],Table142[HBP3],Table142[SF3],Table142[AB4],Table142[BB4],Table142[HBP4],Table142[SF4],Table142[AB5],Table142[BB5],Table142[HBP5],Table142[SF5],Table142[AB6],Table142[BB6],Table142[HBP6],Table142[SF6],Table142[AB7],Table142[BB7],Table142[HBP7],Table142[SF7],Table142[AB8],Table142[BB8],Table142[HBP8],Table142[SF8],Table142[AB9],Table142[BB9],Table142[HBP9],Table142[SF9])))</f>
        <v>0.38420348058902276</v>
      </c>
      <c r="U143" s="24">
        <f>((SUM(Table142[TB1],Table142[TB2],Table142[TB3],Table142[TB4],Table142[TB5],Table142[TB6],Table142[TB7],Table142[TB8],Table142[TB9]))/(SUM(Table142[AB1],Table142[AB2],Table142[AB3],Table142[AB4],Table142[AB5],Table142[AB6],Table142[AB7],Table142[AB8],Table142[AB9])))</f>
        <v>0.38207547169811323</v>
      </c>
      <c r="V143" s="25">
        <f t="shared" si="18"/>
        <v>0.26841043418958854</v>
      </c>
      <c r="W143"/>
      <c r="X143"/>
      <c r="Y143" s="352"/>
      <c r="Z143"/>
      <c r="AA143"/>
      <c r="AB143"/>
      <c r="AC143"/>
      <c r="AD143"/>
    </row>
    <row r="144" spans="1:30" s="52" customFormat="1" x14ac:dyDescent="0.25">
      <c r="B144"/>
      <c r="C144"/>
      <c r="D144"/>
      <c r="E144" s="352"/>
      <c r="F144" s="264"/>
      <c r="G144" s="264"/>
      <c r="H144" s="264"/>
      <c r="I144" s="264"/>
      <c r="J144" s="264"/>
      <c r="K144" s="264"/>
      <c r="L144"/>
      <c r="Y144" s="353"/>
    </row>
    <row r="145" spans="2:25" s="52" customFormat="1" x14ac:dyDescent="0.25">
      <c r="B145"/>
      <c r="C145"/>
      <c r="D145"/>
      <c r="E145" s="352"/>
      <c r="F145" s="264"/>
      <c r="G145" s="264"/>
      <c r="H145" s="264"/>
      <c r="I145" s="264"/>
      <c r="J145" s="264"/>
      <c r="K145" s="264"/>
      <c r="L145"/>
      <c r="Y145" s="353"/>
    </row>
    <row r="146" spans="2:25" s="52" customFormat="1" x14ac:dyDescent="0.25">
      <c r="B146"/>
      <c r="C146"/>
      <c r="D146"/>
      <c r="E146" s="352"/>
      <c r="F146" s="264"/>
      <c r="G146" s="264"/>
      <c r="H146" s="264"/>
      <c r="I146" s="264"/>
      <c r="J146" s="264"/>
      <c r="K146" s="264"/>
      <c r="L146"/>
      <c r="Y146" s="353"/>
    </row>
    <row r="147" spans="2:25" s="52" customFormat="1" x14ac:dyDescent="0.25">
      <c r="B147"/>
      <c r="C147"/>
      <c r="D147"/>
      <c r="E147" s="352"/>
      <c r="F147" s="264"/>
      <c r="G147" s="264"/>
      <c r="H147" s="264"/>
      <c r="I147" s="264"/>
      <c r="J147" s="264"/>
      <c r="K147" s="264"/>
      <c r="L147"/>
      <c r="Y147" s="353"/>
    </row>
    <row r="148" spans="2:25" s="52" customFormat="1" x14ac:dyDescent="0.25">
      <c r="B148"/>
      <c r="C148"/>
      <c r="D148"/>
      <c r="E148" s="352"/>
      <c r="F148" s="264"/>
      <c r="G148" s="264"/>
      <c r="H148" s="264"/>
      <c r="I148" s="264"/>
      <c r="J148" s="264"/>
      <c r="K148" s="264"/>
      <c r="L148"/>
      <c r="Y148" s="353"/>
    </row>
  </sheetData>
  <mergeCells count="13">
    <mergeCell ref="A133:A143"/>
    <mergeCell ref="N1:V1"/>
    <mergeCell ref="B1:L1"/>
    <mergeCell ref="X1:AD1"/>
    <mergeCell ref="AF1:AJ1"/>
    <mergeCell ref="A2:A17"/>
    <mergeCell ref="A19:A34"/>
    <mergeCell ref="A36:A51"/>
    <mergeCell ref="A87:A102"/>
    <mergeCell ref="A104:A119"/>
    <mergeCell ref="A121:A131"/>
    <mergeCell ref="A53:A68"/>
    <mergeCell ref="A70:A85"/>
  </mergeCells>
  <pageMargins left="0.7" right="0.7" top="0.75" bottom="0.75" header="0.3" footer="0.3"/>
  <pageSetup orientation="portrait" r:id="rId1"/>
  <tableParts count="3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P184"/>
  <sheetViews>
    <sheetView workbookViewId="0">
      <pane xSplit="1" ySplit="3" topLeftCell="B145" activePane="bottomRight" state="frozen"/>
      <selection pane="topRight" activeCell="B1" sqref="B1"/>
      <selection pane="bottomLeft" activeCell="A3" sqref="A3"/>
      <selection pane="bottomRight" activeCell="B72" sqref="B72"/>
    </sheetView>
  </sheetViews>
  <sheetFormatPr defaultRowHeight="15" x14ac:dyDescent="0.25"/>
  <cols>
    <col min="1" max="1" width="10.7109375" style="48" bestFit="1" customWidth="1"/>
    <col min="2" max="2" width="6.140625" style="48" bestFit="1" customWidth="1"/>
    <col min="3" max="3" width="6.42578125" style="48" bestFit="1" customWidth="1"/>
    <col min="4" max="4" width="7" style="48" bestFit="1" customWidth="1"/>
    <col min="5" max="5" width="9.85546875" style="49" bestFit="1" customWidth="1"/>
    <col min="6" max="6" width="7.7109375" style="112" bestFit="1" customWidth="1"/>
    <col min="7" max="7" width="5.42578125" style="49" bestFit="1" customWidth="1"/>
    <col min="8" max="8" width="14.42578125" style="52" bestFit="1" customWidth="1"/>
    <col min="9" max="9" width="7" style="52" bestFit="1" customWidth="1"/>
    <col min="10" max="10" width="5.85546875" style="52" bestFit="1" customWidth="1"/>
    <col min="11" max="11" width="6.7109375" style="52" bestFit="1" customWidth="1"/>
    <col min="12" max="12" width="6.28515625" style="52" bestFit="1" customWidth="1"/>
    <col min="13" max="13" width="6.140625" style="52" bestFit="1" customWidth="1"/>
    <col min="14" max="14" width="7.140625" style="52" bestFit="1" customWidth="1"/>
    <col min="15" max="15" width="7.28515625" style="52" bestFit="1" customWidth="1"/>
    <col min="16" max="17" width="7.42578125" style="52" bestFit="1" customWidth="1"/>
    <col min="18" max="18" width="8.5703125" style="52" bestFit="1" customWidth="1"/>
    <col min="19" max="19" width="7.140625" style="52" bestFit="1" customWidth="1"/>
    <col min="20" max="21" width="7.42578125" style="52" bestFit="1" customWidth="1"/>
    <col min="22" max="23" width="6" style="52" bestFit="1" customWidth="1"/>
    <col min="24" max="24" width="7.140625" style="52" bestFit="1" customWidth="1"/>
    <col min="25" max="25" width="6" style="52" bestFit="1" customWidth="1"/>
    <col min="26" max="26" width="6.28515625" style="52" bestFit="1" customWidth="1"/>
    <col min="27" max="27" width="5.28515625" style="52" bestFit="1" customWidth="1"/>
    <col min="28" max="28" width="5.42578125" style="52" bestFit="1" customWidth="1"/>
    <col min="29" max="29" width="6.85546875" style="52" bestFit="1" customWidth="1"/>
    <col min="30" max="30" width="6.42578125" style="52" bestFit="1" customWidth="1"/>
    <col min="31" max="31" width="6.28515625" style="52" bestFit="1" customWidth="1"/>
    <col min="32" max="32" width="7.28515625" style="52" bestFit="1" customWidth="1"/>
    <col min="33" max="33" width="7.42578125" style="52" bestFit="1" customWidth="1"/>
    <col min="34" max="35" width="7.5703125" style="52" bestFit="1" customWidth="1"/>
    <col min="36" max="36" width="8.7109375" style="52" bestFit="1" customWidth="1"/>
    <col min="37" max="37" width="7.28515625" style="52" bestFit="1" customWidth="1"/>
    <col min="38" max="39" width="7.5703125" style="52" bestFit="1" customWidth="1"/>
    <col min="40" max="40" width="11.85546875" style="52" bestFit="1" customWidth="1"/>
    <col min="41" max="41" width="6.7109375" style="52" bestFit="1" customWidth="1"/>
    <col min="42" max="43" width="6" style="52" bestFit="1" customWidth="1"/>
    <col min="44" max="44" width="7.140625" style="52" bestFit="1" customWidth="1"/>
    <col min="45" max="45" width="6.5703125" style="52" bestFit="1" customWidth="1"/>
    <col min="46" max="46" width="6.7109375" style="52" bestFit="1" customWidth="1"/>
    <col min="47" max="47" width="7.85546875" style="52" bestFit="1" customWidth="1"/>
    <col min="48" max="48" width="6.28515625" style="52" bestFit="1" customWidth="1"/>
    <col min="49" max="49" width="6.42578125" style="52" bestFit="1" customWidth="1"/>
    <col min="50" max="50" width="11.85546875" style="52" bestFit="1" customWidth="1"/>
    <col min="51" max="51" width="6.7109375" style="52" bestFit="1" customWidth="1"/>
    <col min="52" max="53" width="6" style="52" bestFit="1" customWidth="1"/>
    <col min="54" max="54" width="7.140625" style="52" bestFit="1" customWidth="1"/>
    <col min="55" max="55" width="6.5703125" style="52" bestFit="1" customWidth="1"/>
    <col min="56" max="56" width="6.7109375" style="52" bestFit="1" customWidth="1"/>
    <col min="57" max="57" width="7.85546875" style="52" bestFit="1" customWidth="1"/>
    <col min="58" max="58" width="6.28515625" style="52" bestFit="1" customWidth="1"/>
    <col min="59" max="59" width="6.42578125" style="52" bestFit="1" customWidth="1"/>
    <col min="60" max="60" width="11.85546875" style="52" bestFit="1" customWidth="1"/>
    <col min="61" max="61" width="6.7109375" style="52" bestFit="1" customWidth="1"/>
    <col min="62" max="63" width="6" style="52" bestFit="1" customWidth="1"/>
    <col min="64" max="64" width="7.140625" style="52" bestFit="1" customWidth="1"/>
    <col min="65" max="65" width="6.5703125" style="52" bestFit="1" customWidth="1"/>
    <col min="66" max="66" width="6.7109375" style="52" bestFit="1" customWidth="1"/>
    <col min="67" max="67" width="7.85546875" style="52" bestFit="1" customWidth="1"/>
    <col min="68" max="68" width="6.28515625" style="52" bestFit="1" customWidth="1"/>
    <col min="69" max="69" width="6.42578125" style="52" bestFit="1" customWidth="1"/>
    <col min="70" max="70" width="11.7109375" style="52" bestFit="1" customWidth="1"/>
    <col min="71" max="71" width="6.7109375" style="52" bestFit="1" customWidth="1"/>
    <col min="72" max="73" width="6" style="52" bestFit="1" customWidth="1"/>
    <col min="74" max="74" width="7.140625" style="52" bestFit="1" customWidth="1"/>
    <col min="75" max="75" width="6.5703125" style="52" bestFit="1" customWidth="1"/>
    <col min="76" max="76" width="6.7109375" style="52" bestFit="1" customWidth="1"/>
    <col min="77" max="77" width="7.85546875" style="52" bestFit="1" customWidth="1"/>
    <col min="78" max="78" width="6.28515625" style="52" bestFit="1" customWidth="1"/>
    <col min="79" max="79" width="6.42578125" style="52" bestFit="1" customWidth="1"/>
    <col min="80" max="80" width="11.85546875" style="52" bestFit="1" customWidth="1"/>
    <col min="81" max="81" width="6.7109375" style="52" bestFit="1" customWidth="1"/>
    <col min="82" max="83" width="6" style="52" bestFit="1" customWidth="1"/>
    <col min="84" max="84" width="7.140625" style="52" bestFit="1" customWidth="1"/>
    <col min="85" max="85" width="6.5703125" style="52" bestFit="1" customWidth="1"/>
    <col min="86" max="86" width="6.7109375" style="52" bestFit="1" customWidth="1"/>
    <col min="87" max="87" width="7.85546875" style="52" bestFit="1" customWidth="1"/>
    <col min="88" max="88" width="6.28515625" style="52" bestFit="1" customWidth="1"/>
    <col min="89" max="89" width="6.42578125" style="52" bestFit="1" customWidth="1"/>
    <col min="90" max="90" width="11.85546875" style="52" bestFit="1" customWidth="1"/>
    <col min="91" max="91" width="6.7109375" style="52" bestFit="1" customWidth="1"/>
    <col min="92" max="93" width="6" style="52" bestFit="1" customWidth="1"/>
    <col min="94" max="94" width="7.140625" style="52" bestFit="1" customWidth="1"/>
    <col min="95" max="95" width="6.5703125" style="52" bestFit="1" customWidth="1"/>
    <col min="96" max="96" width="6.7109375" style="52" bestFit="1" customWidth="1"/>
    <col min="97" max="97" width="7.85546875" style="52" bestFit="1" customWidth="1"/>
    <col min="98" max="98" width="6.28515625" style="52" bestFit="1" customWidth="1"/>
    <col min="99" max="99" width="6.42578125" style="52" bestFit="1" customWidth="1"/>
    <col min="100" max="100" width="11.85546875" style="52" bestFit="1" customWidth="1"/>
    <col min="101" max="101" width="6.7109375" style="52" bestFit="1" customWidth="1"/>
    <col min="102" max="103" width="6" style="52" bestFit="1" customWidth="1"/>
    <col min="104" max="104" width="7.140625" style="52" bestFit="1" customWidth="1"/>
    <col min="105" max="105" width="6.5703125" style="52" bestFit="1" customWidth="1"/>
    <col min="106" max="106" width="6.7109375" style="52" bestFit="1" customWidth="1"/>
    <col min="107" max="107" width="7.85546875" style="52" bestFit="1" customWidth="1"/>
    <col min="108" max="108" width="6.28515625" style="52" bestFit="1" customWidth="1"/>
    <col min="109" max="109" width="6.42578125" style="52" bestFit="1" customWidth="1"/>
    <col min="110" max="110" width="11.85546875" style="52" bestFit="1" customWidth="1"/>
    <col min="111" max="111" width="6.7109375" style="52" bestFit="1" customWidth="1"/>
    <col min="112" max="113" width="6" style="52" bestFit="1" customWidth="1"/>
    <col min="114" max="114" width="7.140625" style="52" bestFit="1" customWidth="1"/>
    <col min="115" max="115" width="6.5703125" style="52" bestFit="1" customWidth="1"/>
    <col min="116" max="116" width="6.7109375" style="52" bestFit="1" customWidth="1"/>
    <col min="117" max="117" width="7.85546875" style="52" bestFit="1" customWidth="1"/>
    <col min="118" max="118" width="6.28515625" style="52" bestFit="1" customWidth="1"/>
    <col min="119" max="119" width="6.42578125" style="52" bestFit="1" customWidth="1"/>
    <col min="120" max="120" width="11.85546875" style="52" bestFit="1" customWidth="1"/>
    <col min="121" max="121" width="6.7109375" style="52" bestFit="1" customWidth="1"/>
    <col min="122" max="123" width="6" style="52" bestFit="1" customWidth="1"/>
    <col min="124" max="124" width="7.140625" style="52" bestFit="1" customWidth="1"/>
    <col min="125" max="125" width="6.5703125" style="52" bestFit="1" customWidth="1"/>
    <col min="126" max="126" width="6.7109375" style="52" bestFit="1" customWidth="1"/>
    <col min="127" max="127" width="7.85546875" style="52" bestFit="1" customWidth="1"/>
    <col min="128" max="128" width="6.28515625" style="52" bestFit="1" customWidth="1"/>
    <col min="129" max="129" width="6.42578125" style="52" bestFit="1" customWidth="1"/>
    <col min="130" max="130" width="6.28515625" style="52" bestFit="1" customWidth="1"/>
    <col min="131" max="131" width="6.42578125" style="52" bestFit="1" customWidth="1"/>
    <col min="132" max="132" width="6.5703125" style="52" bestFit="1" customWidth="1"/>
    <col min="133" max="133" width="6.28515625" style="52" bestFit="1" customWidth="1"/>
    <col min="134" max="134" width="6.7109375" style="52" bestFit="1" customWidth="1"/>
    <col min="135" max="135" width="6.85546875" style="52" bestFit="1" customWidth="1"/>
    <col min="136" max="144" width="6" style="52" bestFit="1" customWidth="1"/>
    <col min="145" max="148" width="7" style="52" bestFit="1" customWidth="1"/>
    <col min="149" max="158" width="6.28515625" style="52" bestFit="1" customWidth="1"/>
    <col min="159" max="162" width="7.28515625" style="52" bestFit="1" customWidth="1"/>
    <col min="163" max="163" width="6.28515625" style="52" bestFit="1" customWidth="1"/>
    <col min="164" max="164" width="7.85546875" style="52" bestFit="1" customWidth="1"/>
    <col min="165" max="165" width="6.5703125" style="52" bestFit="1" customWidth="1"/>
    <col min="166" max="166" width="6.7109375" style="52" bestFit="1" customWidth="1"/>
    <col min="167" max="167" width="7.140625" style="52" bestFit="1" customWidth="1"/>
    <col min="168" max="168" width="7.7109375" style="52" bestFit="1" customWidth="1"/>
    <col min="169" max="169" width="7.85546875" style="52" bestFit="1" customWidth="1"/>
    <col min="170" max="171" width="11.85546875" style="52" bestFit="1" customWidth="1"/>
    <col min="172" max="172" width="7.85546875" style="52" bestFit="1" customWidth="1"/>
    <col min="173" max="173" width="6.5703125" style="52" bestFit="1" customWidth="1"/>
    <col min="174" max="174" width="6.7109375" style="52" bestFit="1" customWidth="1"/>
    <col min="175" max="175" width="7.140625" style="52" bestFit="1" customWidth="1"/>
    <col min="176" max="176" width="7.7109375" style="52" bestFit="1" customWidth="1"/>
    <col min="177" max="177" width="7.85546875" style="52" bestFit="1" customWidth="1"/>
    <col min="178" max="183" width="6.7109375" bestFit="1" customWidth="1"/>
    <col min="184" max="186" width="6.7109375" style="52" bestFit="1" customWidth="1"/>
    <col min="187" max="190" width="7.7109375" style="52" bestFit="1" customWidth="1"/>
    <col min="191" max="191" width="7" style="52" bestFit="1" customWidth="1"/>
    <col min="192" max="192" width="77.42578125" style="52" bestFit="1" customWidth="1"/>
    <col min="193" max="193" width="9.7109375" style="52" bestFit="1" customWidth="1"/>
    <col min="194" max="194" width="8.140625" style="52" bestFit="1" customWidth="1"/>
    <col min="195" max="195" width="7.42578125" style="52" bestFit="1" customWidth="1"/>
    <col min="196" max="196" width="7.7109375" style="52" customWidth="1"/>
    <col min="197" max="197" width="7" style="52" bestFit="1" customWidth="1"/>
    <col min="198" max="198" width="9.140625" style="51" bestFit="1" customWidth="1"/>
    <col min="199" max="16384" width="9.140625" style="52"/>
  </cols>
  <sheetData>
    <row r="1" spans="1:198" x14ac:dyDescent="0.25">
      <c r="G1" s="442" t="s">
        <v>125</v>
      </c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  <c r="AM1" s="444"/>
      <c r="AN1" s="442" t="s">
        <v>185</v>
      </c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43"/>
      <c r="BZ1" s="443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43"/>
      <c r="CP1" s="443"/>
      <c r="CQ1" s="443"/>
      <c r="CR1" s="443"/>
      <c r="CS1" s="443"/>
      <c r="CT1" s="443"/>
      <c r="CU1" s="443"/>
      <c r="CV1" s="443"/>
      <c r="CW1" s="443"/>
      <c r="CX1" s="443"/>
      <c r="CY1" s="443"/>
      <c r="CZ1" s="443"/>
      <c r="DA1" s="443"/>
      <c r="DB1" s="443"/>
      <c r="DC1" s="443"/>
      <c r="DD1" s="443"/>
      <c r="DE1" s="443"/>
      <c r="DF1" s="443"/>
      <c r="DG1" s="443"/>
      <c r="DH1" s="443"/>
      <c r="DI1" s="443"/>
      <c r="DJ1" s="443"/>
      <c r="DK1" s="443"/>
      <c r="DL1" s="443"/>
      <c r="DM1" s="443"/>
      <c r="DN1" s="443"/>
      <c r="DO1" s="443"/>
      <c r="DP1" s="443"/>
      <c r="DQ1" s="443"/>
      <c r="DR1" s="443"/>
      <c r="DS1" s="443"/>
      <c r="DT1" s="443"/>
      <c r="DU1" s="443"/>
      <c r="DV1" s="443"/>
      <c r="DW1" s="443"/>
      <c r="DX1" s="443"/>
      <c r="DY1" s="444"/>
      <c r="DZ1" s="445" t="s">
        <v>184</v>
      </c>
      <c r="EA1" s="446"/>
      <c r="EB1" s="446"/>
      <c r="EC1" s="446"/>
      <c r="ED1" s="446"/>
      <c r="EE1" s="447"/>
      <c r="EF1" s="441" t="s">
        <v>178</v>
      </c>
      <c r="EG1" s="441"/>
      <c r="EH1" s="441"/>
      <c r="EI1" s="441"/>
      <c r="EJ1" s="441"/>
      <c r="EK1" s="441"/>
      <c r="EL1" s="441"/>
      <c r="EM1" s="441"/>
      <c r="EN1" s="441"/>
      <c r="EO1" s="441"/>
      <c r="EP1" s="441"/>
      <c r="EQ1" s="441"/>
      <c r="ER1" s="441"/>
      <c r="ES1" s="441"/>
      <c r="ET1" s="441"/>
      <c r="EU1" s="441"/>
      <c r="EV1" s="441"/>
      <c r="EW1" s="441"/>
      <c r="EX1" s="441"/>
      <c r="EY1" s="441"/>
      <c r="EZ1" s="441"/>
      <c r="FA1" s="441"/>
      <c r="FB1" s="441"/>
      <c r="FC1" s="441"/>
      <c r="FD1" s="441"/>
      <c r="FE1" s="441"/>
      <c r="FF1" s="441"/>
      <c r="FG1" s="441"/>
      <c r="FH1" s="438" t="s">
        <v>651</v>
      </c>
      <c r="FI1" s="438"/>
      <c r="FJ1" s="438"/>
      <c r="FK1" s="438"/>
      <c r="FL1" s="438"/>
      <c r="FM1" s="438"/>
      <c r="FN1" s="438" t="s">
        <v>247</v>
      </c>
      <c r="FO1" s="438"/>
      <c r="FP1" s="438"/>
      <c r="FQ1" s="438"/>
      <c r="FR1" s="438"/>
      <c r="FS1" s="438"/>
      <c r="FT1" s="438"/>
      <c r="FU1" s="438"/>
      <c r="FV1" s="438" t="s">
        <v>263</v>
      </c>
      <c r="FW1" s="438"/>
      <c r="FX1" s="438"/>
      <c r="FY1" s="438"/>
      <c r="FZ1" s="438"/>
      <c r="GA1" s="438"/>
      <c r="GB1" s="438"/>
      <c r="GC1" s="438"/>
      <c r="GD1" s="438"/>
      <c r="GE1" s="438"/>
      <c r="GF1" s="438"/>
      <c r="GG1" s="438"/>
      <c r="GH1" s="261"/>
      <c r="GI1" s="50"/>
      <c r="GJ1" s="51"/>
      <c r="GK1" s="438" t="s">
        <v>690</v>
      </c>
      <c r="GL1" s="438"/>
      <c r="GM1" s="438"/>
      <c r="GP1" s="52"/>
    </row>
    <row r="2" spans="1:198" x14ac:dyDescent="0.25">
      <c r="A2" s="53"/>
      <c r="B2" s="53"/>
      <c r="C2" s="53"/>
      <c r="D2" s="53"/>
      <c r="E2" s="54"/>
      <c r="F2" s="62"/>
      <c r="G2" s="450" t="s">
        <v>0</v>
      </c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48" t="s">
        <v>186</v>
      </c>
      <c r="W2" s="449"/>
      <c r="X2" s="440" t="s">
        <v>1</v>
      </c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452">
        <v>1</v>
      </c>
      <c r="AO2" s="439"/>
      <c r="AP2" s="439"/>
      <c r="AQ2" s="439"/>
      <c r="AR2" s="439"/>
      <c r="AS2" s="439"/>
      <c r="AT2" s="439"/>
      <c r="AU2" s="439"/>
      <c r="AV2" s="439"/>
      <c r="AW2" s="439"/>
      <c r="AX2" s="439">
        <v>2</v>
      </c>
      <c r="AY2" s="439"/>
      <c r="AZ2" s="439"/>
      <c r="BA2" s="439"/>
      <c r="BB2" s="439"/>
      <c r="BC2" s="439"/>
      <c r="BD2" s="439"/>
      <c r="BE2" s="439"/>
      <c r="BF2" s="439"/>
      <c r="BG2" s="439"/>
      <c r="BH2" s="439">
        <v>3</v>
      </c>
      <c r="BI2" s="439"/>
      <c r="BJ2" s="439"/>
      <c r="BK2" s="439"/>
      <c r="BL2" s="439"/>
      <c r="BM2" s="439"/>
      <c r="BN2" s="439"/>
      <c r="BO2" s="439"/>
      <c r="BP2" s="439"/>
      <c r="BQ2" s="439"/>
      <c r="BR2" s="439">
        <v>4</v>
      </c>
      <c r="BS2" s="439"/>
      <c r="BT2" s="439"/>
      <c r="BU2" s="439"/>
      <c r="BV2" s="439"/>
      <c r="BW2" s="439"/>
      <c r="BX2" s="439"/>
      <c r="BY2" s="439"/>
      <c r="BZ2" s="439"/>
      <c r="CA2" s="439"/>
      <c r="CB2" s="439">
        <v>5</v>
      </c>
      <c r="CC2" s="439"/>
      <c r="CD2" s="439"/>
      <c r="CE2" s="439"/>
      <c r="CF2" s="439"/>
      <c r="CG2" s="439"/>
      <c r="CH2" s="439"/>
      <c r="CI2" s="439"/>
      <c r="CJ2" s="439"/>
      <c r="CK2" s="439"/>
      <c r="CL2" s="439">
        <v>6</v>
      </c>
      <c r="CM2" s="439"/>
      <c r="CN2" s="439"/>
      <c r="CO2" s="439"/>
      <c r="CP2" s="439"/>
      <c r="CQ2" s="439"/>
      <c r="CR2" s="439"/>
      <c r="CS2" s="439"/>
      <c r="CT2" s="439"/>
      <c r="CU2" s="439"/>
      <c r="CV2" s="439">
        <v>7</v>
      </c>
      <c r="CW2" s="439"/>
      <c r="CX2" s="439"/>
      <c r="CY2" s="439"/>
      <c r="CZ2" s="439"/>
      <c r="DA2" s="439"/>
      <c r="DB2" s="439"/>
      <c r="DC2" s="439"/>
      <c r="DD2" s="439"/>
      <c r="DE2" s="439"/>
      <c r="DF2" s="439">
        <v>8</v>
      </c>
      <c r="DG2" s="439"/>
      <c r="DH2" s="439"/>
      <c r="DI2" s="439"/>
      <c r="DJ2" s="439"/>
      <c r="DK2" s="439"/>
      <c r="DL2" s="439"/>
      <c r="DM2" s="439"/>
      <c r="DN2" s="439"/>
      <c r="DO2" s="439"/>
      <c r="DP2" s="439">
        <v>9</v>
      </c>
      <c r="DQ2" s="439"/>
      <c r="DR2" s="439"/>
      <c r="DS2" s="439"/>
      <c r="DT2" s="439"/>
      <c r="DU2" s="439"/>
      <c r="DV2" s="439"/>
      <c r="DW2" s="439"/>
      <c r="DX2" s="439"/>
      <c r="DY2" s="453"/>
      <c r="DZ2" s="445"/>
      <c r="EA2" s="446"/>
      <c r="EB2" s="446"/>
      <c r="EC2" s="446"/>
      <c r="ED2" s="446"/>
      <c r="EE2" s="447"/>
      <c r="EF2" s="441" t="s">
        <v>179</v>
      </c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/>
      <c r="ES2" s="441"/>
      <c r="ET2" s="441" t="s">
        <v>180</v>
      </c>
      <c r="EU2" s="441"/>
      <c r="EV2" s="441"/>
      <c r="EW2" s="441"/>
      <c r="EX2" s="441"/>
      <c r="EY2" s="441"/>
      <c r="EZ2" s="441"/>
      <c r="FA2" s="441"/>
      <c r="FB2" s="441"/>
      <c r="FC2" s="441"/>
      <c r="FD2" s="441"/>
      <c r="FE2" s="441"/>
      <c r="FF2" s="441"/>
      <c r="FG2" s="441"/>
      <c r="FH2" s="438"/>
      <c r="FI2" s="438"/>
      <c r="FJ2" s="438"/>
      <c r="FK2" s="438"/>
      <c r="FL2" s="438"/>
      <c r="FM2" s="438"/>
      <c r="FN2" s="438"/>
      <c r="FO2" s="438"/>
      <c r="FP2" s="438"/>
      <c r="FQ2" s="438"/>
      <c r="FR2" s="438"/>
      <c r="FS2" s="438"/>
      <c r="FT2" s="438"/>
      <c r="FU2" s="438"/>
      <c r="FV2" s="438"/>
      <c r="FW2" s="438"/>
      <c r="FX2" s="438"/>
      <c r="FY2" s="438"/>
      <c r="FZ2" s="438"/>
      <c r="GA2" s="438"/>
      <c r="GB2" s="438"/>
      <c r="GC2" s="438"/>
      <c r="GD2" s="438"/>
      <c r="GE2" s="438"/>
      <c r="GF2" s="438"/>
      <c r="GG2" s="438"/>
      <c r="GH2" s="261"/>
      <c r="GI2" s="50"/>
      <c r="GJ2" s="51"/>
      <c r="GK2" s="438"/>
      <c r="GL2" s="438"/>
      <c r="GM2" s="438"/>
      <c r="GP2" s="52"/>
    </row>
    <row r="3" spans="1:198" s="51" customFormat="1" x14ac:dyDescent="0.25">
      <c r="A3" s="55" t="s">
        <v>3</v>
      </c>
      <c r="B3" s="55" t="s">
        <v>126</v>
      </c>
      <c r="C3" s="55" t="s">
        <v>127</v>
      </c>
      <c r="D3" s="55" t="s">
        <v>128</v>
      </c>
      <c r="E3" s="56" t="s">
        <v>151</v>
      </c>
      <c r="F3" s="57" t="s">
        <v>696</v>
      </c>
      <c r="G3" s="56" t="s">
        <v>181</v>
      </c>
      <c r="H3" s="36" t="s">
        <v>2</v>
      </c>
      <c r="I3" s="37" t="s">
        <v>4</v>
      </c>
      <c r="J3" s="37" t="s">
        <v>5</v>
      </c>
      <c r="K3" s="35" t="s">
        <v>6</v>
      </c>
      <c r="L3" s="36" t="s">
        <v>7</v>
      </c>
      <c r="M3" s="36" t="s">
        <v>8</v>
      </c>
      <c r="N3" s="36" t="s">
        <v>9</v>
      </c>
      <c r="O3" s="36" t="s">
        <v>10</v>
      </c>
      <c r="P3" s="36" t="s">
        <v>11</v>
      </c>
      <c r="Q3" s="36" t="s">
        <v>12</v>
      </c>
      <c r="R3" s="36" t="s">
        <v>13</v>
      </c>
      <c r="S3" s="36" t="s">
        <v>14</v>
      </c>
      <c r="T3" s="36" t="s">
        <v>15</v>
      </c>
      <c r="U3" s="36" t="s">
        <v>16</v>
      </c>
      <c r="V3" s="37" t="s">
        <v>32</v>
      </c>
      <c r="W3" s="37" t="s">
        <v>33</v>
      </c>
      <c r="X3" s="36" t="s">
        <v>17</v>
      </c>
      <c r="Y3" s="36" t="s">
        <v>18</v>
      </c>
      <c r="Z3" s="36" t="s">
        <v>182</v>
      </c>
      <c r="AA3" s="36" t="s">
        <v>183</v>
      </c>
      <c r="AB3" s="36" t="s">
        <v>20</v>
      </c>
      <c r="AC3" s="35" t="s">
        <v>21</v>
      </c>
      <c r="AD3" s="37" t="s">
        <v>22</v>
      </c>
      <c r="AE3" s="37" t="s">
        <v>23</v>
      </c>
      <c r="AF3" s="37" t="s">
        <v>24</v>
      </c>
      <c r="AG3" s="37" t="s">
        <v>25</v>
      </c>
      <c r="AH3" s="37" t="s">
        <v>26</v>
      </c>
      <c r="AI3" s="37" t="s">
        <v>27</v>
      </c>
      <c r="AJ3" s="37" t="s">
        <v>28</v>
      </c>
      <c r="AK3" s="37" t="s">
        <v>29</v>
      </c>
      <c r="AL3" s="37" t="s">
        <v>30</v>
      </c>
      <c r="AM3" s="37" t="s">
        <v>31</v>
      </c>
      <c r="AN3" s="37" t="s">
        <v>35</v>
      </c>
      <c r="AO3" s="37" t="s">
        <v>36</v>
      </c>
      <c r="AP3" s="37" t="s">
        <v>37</v>
      </c>
      <c r="AQ3" s="37" t="s">
        <v>38</v>
      </c>
      <c r="AR3" s="37" t="s">
        <v>39</v>
      </c>
      <c r="AS3" s="37" t="s">
        <v>40</v>
      </c>
      <c r="AT3" s="37" t="s">
        <v>41</v>
      </c>
      <c r="AU3" s="37" t="s">
        <v>42</v>
      </c>
      <c r="AV3" s="37" t="s">
        <v>43</v>
      </c>
      <c r="AW3" s="37" t="s">
        <v>44</v>
      </c>
      <c r="AX3" s="37" t="s">
        <v>45</v>
      </c>
      <c r="AY3" s="37" t="s">
        <v>46</v>
      </c>
      <c r="AZ3" s="37" t="s">
        <v>47</v>
      </c>
      <c r="BA3" s="57" t="s">
        <v>48</v>
      </c>
      <c r="BB3" s="57" t="s">
        <v>49</v>
      </c>
      <c r="BC3" s="57" t="s">
        <v>50</v>
      </c>
      <c r="BD3" s="57" t="s">
        <v>51</v>
      </c>
      <c r="BE3" s="57" t="s">
        <v>52</v>
      </c>
      <c r="BF3" s="57" t="s">
        <v>53</v>
      </c>
      <c r="BG3" s="57" t="s">
        <v>54</v>
      </c>
      <c r="BH3" s="57" t="s">
        <v>55</v>
      </c>
      <c r="BI3" s="57" t="s">
        <v>56</v>
      </c>
      <c r="BJ3" s="57" t="s">
        <v>57</v>
      </c>
      <c r="BK3" s="57" t="s">
        <v>58</v>
      </c>
      <c r="BL3" s="57" t="s">
        <v>59</v>
      </c>
      <c r="BM3" s="57" t="s">
        <v>60</v>
      </c>
      <c r="BN3" s="57" t="s">
        <v>61</v>
      </c>
      <c r="BO3" s="57" t="s">
        <v>62</v>
      </c>
      <c r="BP3" s="57" t="s">
        <v>63</v>
      </c>
      <c r="BQ3" s="57" t="s">
        <v>64</v>
      </c>
      <c r="BR3" s="57" t="s">
        <v>65</v>
      </c>
      <c r="BS3" s="57" t="s">
        <v>66</v>
      </c>
      <c r="BT3" s="57" t="s">
        <v>67</v>
      </c>
      <c r="BU3" s="57" t="s">
        <v>68</v>
      </c>
      <c r="BV3" s="57" t="s">
        <v>69</v>
      </c>
      <c r="BW3" s="57" t="s">
        <v>70</v>
      </c>
      <c r="BX3" s="57" t="s">
        <v>71</v>
      </c>
      <c r="BY3" s="57" t="s">
        <v>72</v>
      </c>
      <c r="BZ3" s="57" t="s">
        <v>73</v>
      </c>
      <c r="CA3" s="57" t="s">
        <v>74</v>
      </c>
      <c r="CB3" s="57" t="s">
        <v>75</v>
      </c>
      <c r="CC3" s="57" t="s">
        <v>76</v>
      </c>
      <c r="CD3" s="57" t="s">
        <v>77</v>
      </c>
      <c r="CE3" s="57" t="s">
        <v>78</v>
      </c>
      <c r="CF3" s="57" t="s">
        <v>79</v>
      </c>
      <c r="CG3" s="57" t="s">
        <v>80</v>
      </c>
      <c r="CH3" s="57" t="s">
        <v>81</v>
      </c>
      <c r="CI3" s="57" t="s">
        <v>82</v>
      </c>
      <c r="CJ3" s="57" t="s">
        <v>83</v>
      </c>
      <c r="CK3" s="57" t="s">
        <v>84</v>
      </c>
      <c r="CL3" s="57" t="s">
        <v>85</v>
      </c>
      <c r="CM3" s="57" t="s">
        <v>86</v>
      </c>
      <c r="CN3" s="57" t="s">
        <v>87</v>
      </c>
      <c r="CO3" s="57" t="s">
        <v>88</v>
      </c>
      <c r="CP3" s="57" t="s">
        <v>89</v>
      </c>
      <c r="CQ3" s="57" t="s">
        <v>90</v>
      </c>
      <c r="CR3" s="57" t="s">
        <v>91</v>
      </c>
      <c r="CS3" s="57" t="s">
        <v>92</v>
      </c>
      <c r="CT3" s="57" t="s">
        <v>93</v>
      </c>
      <c r="CU3" s="57" t="s">
        <v>94</v>
      </c>
      <c r="CV3" s="57" t="s">
        <v>95</v>
      </c>
      <c r="CW3" s="57" t="s">
        <v>96</v>
      </c>
      <c r="CX3" s="57" t="s">
        <v>97</v>
      </c>
      <c r="CY3" s="57" t="s">
        <v>98</v>
      </c>
      <c r="CZ3" s="57" t="s">
        <v>99</v>
      </c>
      <c r="DA3" s="57" t="s">
        <v>100</v>
      </c>
      <c r="DB3" s="57" t="s">
        <v>101</v>
      </c>
      <c r="DC3" s="57" t="s">
        <v>102</v>
      </c>
      <c r="DD3" s="57" t="s">
        <v>103</v>
      </c>
      <c r="DE3" s="57" t="s">
        <v>104</v>
      </c>
      <c r="DF3" s="57" t="s">
        <v>105</v>
      </c>
      <c r="DG3" s="57" t="s">
        <v>106</v>
      </c>
      <c r="DH3" s="57" t="s">
        <v>107</v>
      </c>
      <c r="DI3" s="57" t="s">
        <v>108</v>
      </c>
      <c r="DJ3" s="57" t="s">
        <v>109</v>
      </c>
      <c r="DK3" s="57" t="s">
        <v>110</v>
      </c>
      <c r="DL3" s="57" t="s">
        <v>111</v>
      </c>
      <c r="DM3" s="57" t="s">
        <v>112</v>
      </c>
      <c r="DN3" s="57" t="s">
        <v>113</v>
      </c>
      <c r="DO3" s="57" t="s">
        <v>114</v>
      </c>
      <c r="DP3" s="57" t="s">
        <v>115</v>
      </c>
      <c r="DQ3" s="57" t="s">
        <v>116</v>
      </c>
      <c r="DR3" s="57" t="s">
        <v>117</v>
      </c>
      <c r="DS3" s="57" t="s">
        <v>118</v>
      </c>
      <c r="DT3" s="57" t="s">
        <v>119</v>
      </c>
      <c r="DU3" s="57" t="s">
        <v>120</v>
      </c>
      <c r="DV3" s="57" t="s">
        <v>121</v>
      </c>
      <c r="DW3" s="57" t="s">
        <v>122</v>
      </c>
      <c r="DX3" s="57" t="s">
        <v>123</v>
      </c>
      <c r="DY3" s="57" t="s">
        <v>124</v>
      </c>
      <c r="DZ3" s="57" t="s">
        <v>145</v>
      </c>
      <c r="EA3" s="57" t="s">
        <v>148</v>
      </c>
      <c r="EB3" s="57" t="s">
        <v>149</v>
      </c>
      <c r="EC3" s="57" t="s">
        <v>146</v>
      </c>
      <c r="ED3" s="57" t="s">
        <v>147</v>
      </c>
      <c r="EE3" s="57" t="s">
        <v>150</v>
      </c>
      <c r="EF3" s="57" t="s">
        <v>152</v>
      </c>
      <c r="EG3" s="57" t="s">
        <v>153</v>
      </c>
      <c r="EH3" s="57" t="s">
        <v>154</v>
      </c>
      <c r="EI3" s="57" t="s">
        <v>155</v>
      </c>
      <c r="EJ3" s="57" t="s">
        <v>156</v>
      </c>
      <c r="EK3" s="57" t="s">
        <v>157</v>
      </c>
      <c r="EL3" s="57" t="s">
        <v>158</v>
      </c>
      <c r="EM3" s="57" t="s">
        <v>159</v>
      </c>
      <c r="EN3" s="57" t="s">
        <v>160</v>
      </c>
      <c r="EO3" s="57" t="s">
        <v>161</v>
      </c>
      <c r="EP3" s="57" t="s">
        <v>162</v>
      </c>
      <c r="EQ3" s="57" t="s">
        <v>163</v>
      </c>
      <c r="ER3" s="57" t="s">
        <v>372</v>
      </c>
      <c r="ES3" s="57" t="s">
        <v>164</v>
      </c>
      <c r="ET3" s="57" t="s">
        <v>165</v>
      </c>
      <c r="EU3" s="57" t="s">
        <v>166</v>
      </c>
      <c r="EV3" s="57" t="s">
        <v>167</v>
      </c>
      <c r="EW3" s="57" t="s">
        <v>168</v>
      </c>
      <c r="EX3" s="57" t="s">
        <v>169</v>
      </c>
      <c r="EY3" s="57" t="s">
        <v>170</v>
      </c>
      <c r="EZ3" s="57" t="s">
        <v>171</v>
      </c>
      <c r="FA3" s="57" t="s">
        <v>172</v>
      </c>
      <c r="FB3" s="57" t="s">
        <v>173</v>
      </c>
      <c r="FC3" s="57" t="s">
        <v>174</v>
      </c>
      <c r="FD3" s="57" t="s">
        <v>175</v>
      </c>
      <c r="FE3" s="57" t="s">
        <v>176</v>
      </c>
      <c r="FF3" s="57" t="s">
        <v>371</v>
      </c>
      <c r="FG3" s="57" t="s">
        <v>177</v>
      </c>
      <c r="FH3" s="57" t="s">
        <v>658</v>
      </c>
      <c r="FI3" s="57" t="s">
        <v>659</v>
      </c>
      <c r="FJ3" s="57" t="s">
        <v>660</v>
      </c>
      <c r="FK3" s="57" t="s">
        <v>661</v>
      </c>
      <c r="FL3" s="57" t="s">
        <v>662</v>
      </c>
      <c r="FM3" s="57" t="s">
        <v>663</v>
      </c>
      <c r="FN3" s="57" t="s">
        <v>245</v>
      </c>
      <c r="FO3" s="57" t="s">
        <v>246</v>
      </c>
      <c r="FP3" s="57" t="s">
        <v>652</v>
      </c>
      <c r="FQ3" s="57" t="s">
        <v>653</v>
      </c>
      <c r="FR3" s="57" t="s">
        <v>654</v>
      </c>
      <c r="FS3" s="57" t="s">
        <v>655</v>
      </c>
      <c r="FT3" s="57" t="s">
        <v>656</v>
      </c>
      <c r="FU3" s="57" t="s">
        <v>657</v>
      </c>
      <c r="FV3" s="57" t="s">
        <v>251</v>
      </c>
      <c r="FW3" s="57" t="s">
        <v>262</v>
      </c>
      <c r="FX3" s="57" t="s">
        <v>261</v>
      </c>
      <c r="FY3" s="57" t="s">
        <v>260</v>
      </c>
      <c r="FZ3" s="57" t="s">
        <v>259</v>
      </c>
      <c r="GA3" s="57" t="s">
        <v>258</v>
      </c>
      <c r="GB3" s="57" t="s">
        <v>257</v>
      </c>
      <c r="GC3" s="57" t="s">
        <v>256</v>
      </c>
      <c r="GD3" s="57" t="s">
        <v>255</v>
      </c>
      <c r="GE3" s="57" t="s">
        <v>254</v>
      </c>
      <c r="GF3" s="57" t="s">
        <v>253</v>
      </c>
      <c r="GG3" s="57" t="s">
        <v>252</v>
      </c>
      <c r="GH3" s="57" t="s">
        <v>564</v>
      </c>
      <c r="GI3" s="57" t="s">
        <v>264</v>
      </c>
      <c r="GJ3" s="57" t="s">
        <v>248</v>
      </c>
      <c r="GK3" s="410" t="s">
        <v>687</v>
      </c>
      <c r="GL3" s="410" t="s">
        <v>688</v>
      </c>
      <c r="GM3" s="410" t="s">
        <v>689</v>
      </c>
    </row>
    <row r="4" spans="1:198" x14ac:dyDescent="0.25">
      <c r="A4" s="53">
        <v>40274</v>
      </c>
      <c r="B4" s="53" t="s">
        <v>19</v>
      </c>
      <c r="C4" s="53" t="s">
        <v>129</v>
      </c>
      <c r="D4" s="53" t="s">
        <v>130</v>
      </c>
      <c r="E4" s="54">
        <v>36973</v>
      </c>
      <c r="F4" s="62">
        <v>182</v>
      </c>
      <c r="G4" s="58">
        <v>1</v>
      </c>
      <c r="H4" s="59" t="s">
        <v>392</v>
      </c>
      <c r="I4" s="6">
        <v>0</v>
      </c>
      <c r="J4" s="6">
        <v>0</v>
      </c>
      <c r="K4" s="60">
        <v>6</v>
      </c>
      <c r="L4" s="6">
        <v>9</v>
      </c>
      <c r="M4" s="6">
        <v>3</v>
      </c>
      <c r="N4" s="6">
        <v>3</v>
      </c>
      <c r="O4" s="6">
        <v>2</v>
      </c>
      <c r="P4" s="6">
        <v>6</v>
      </c>
      <c r="Q4" s="6">
        <v>3</v>
      </c>
      <c r="R4" s="6">
        <v>0</v>
      </c>
      <c r="S4" s="6">
        <v>29</v>
      </c>
      <c r="T4" s="6">
        <v>107</v>
      </c>
      <c r="U4" s="6">
        <v>73</v>
      </c>
      <c r="V4" s="6">
        <v>1</v>
      </c>
      <c r="W4" s="61">
        <v>0</v>
      </c>
      <c r="X4" s="62">
        <v>1</v>
      </c>
      <c r="Y4" s="62">
        <v>0</v>
      </c>
      <c r="Z4" s="62">
        <v>0</v>
      </c>
      <c r="AA4" s="62">
        <v>0</v>
      </c>
      <c r="AB4" s="62">
        <v>0</v>
      </c>
      <c r="AC4" s="63">
        <v>3</v>
      </c>
      <c r="AD4" s="62">
        <v>2</v>
      </c>
      <c r="AE4" s="62">
        <v>0</v>
      </c>
      <c r="AF4" s="62">
        <v>0</v>
      </c>
      <c r="AG4" s="62">
        <v>1</v>
      </c>
      <c r="AH4" s="62">
        <v>1</v>
      </c>
      <c r="AI4" s="62">
        <v>0</v>
      </c>
      <c r="AJ4" s="62">
        <v>0</v>
      </c>
      <c r="AK4" s="62">
        <v>11</v>
      </c>
      <c r="AL4" s="62">
        <v>43</v>
      </c>
      <c r="AM4" s="62">
        <v>25</v>
      </c>
      <c r="AN4" s="64" t="s">
        <v>384</v>
      </c>
      <c r="AO4" s="65">
        <v>4</v>
      </c>
      <c r="AP4" s="65">
        <v>0</v>
      </c>
      <c r="AQ4" s="65">
        <v>2</v>
      </c>
      <c r="AR4" s="65">
        <v>1</v>
      </c>
      <c r="AS4" s="65">
        <v>1</v>
      </c>
      <c r="AT4" s="65">
        <v>1</v>
      </c>
      <c r="AU4" s="65">
        <v>0</v>
      </c>
      <c r="AV4" s="65">
        <v>0</v>
      </c>
      <c r="AW4" s="66">
        <v>2</v>
      </c>
      <c r="AX4" s="64" t="s">
        <v>391</v>
      </c>
      <c r="AY4" s="65">
        <v>4</v>
      </c>
      <c r="AZ4" s="65">
        <v>0</v>
      </c>
      <c r="BA4" s="65">
        <v>1</v>
      </c>
      <c r="BB4" s="65">
        <v>2</v>
      </c>
      <c r="BC4" s="65">
        <v>1</v>
      </c>
      <c r="BD4" s="65">
        <v>0</v>
      </c>
      <c r="BE4" s="65">
        <v>0</v>
      </c>
      <c r="BF4" s="65">
        <v>0</v>
      </c>
      <c r="BG4" s="66">
        <v>2</v>
      </c>
      <c r="BH4" s="64" t="s">
        <v>389</v>
      </c>
      <c r="BI4" s="65">
        <v>4</v>
      </c>
      <c r="BJ4" s="65">
        <v>0</v>
      </c>
      <c r="BK4" s="65">
        <v>2</v>
      </c>
      <c r="BL4" s="65">
        <v>0</v>
      </c>
      <c r="BM4" s="65">
        <v>0</v>
      </c>
      <c r="BN4" s="65">
        <v>0</v>
      </c>
      <c r="BO4" s="65">
        <v>0</v>
      </c>
      <c r="BP4" s="65">
        <v>0</v>
      </c>
      <c r="BQ4" s="66">
        <v>3</v>
      </c>
      <c r="BR4" s="64" t="s">
        <v>390</v>
      </c>
      <c r="BS4" s="65">
        <v>4</v>
      </c>
      <c r="BT4" s="65">
        <v>1</v>
      </c>
      <c r="BU4" s="65">
        <v>1</v>
      </c>
      <c r="BV4" s="65">
        <v>1</v>
      </c>
      <c r="BW4" s="65">
        <v>0</v>
      </c>
      <c r="BX4" s="65">
        <v>2</v>
      </c>
      <c r="BY4" s="65">
        <v>0</v>
      </c>
      <c r="BZ4" s="65">
        <v>0</v>
      </c>
      <c r="CA4" s="66">
        <v>4</v>
      </c>
      <c r="CB4" s="64" t="s">
        <v>274</v>
      </c>
      <c r="CC4" s="65">
        <v>4</v>
      </c>
      <c r="CD4" s="65">
        <v>0</v>
      </c>
      <c r="CE4" s="65">
        <v>1</v>
      </c>
      <c r="CF4" s="65">
        <v>0</v>
      </c>
      <c r="CG4" s="65">
        <v>0</v>
      </c>
      <c r="CH4" s="65">
        <v>1</v>
      </c>
      <c r="CI4" s="65">
        <v>0</v>
      </c>
      <c r="CJ4" s="65">
        <v>0</v>
      </c>
      <c r="CK4" s="66">
        <v>1</v>
      </c>
      <c r="CL4" s="64" t="s">
        <v>273</v>
      </c>
      <c r="CM4" s="65">
        <v>4</v>
      </c>
      <c r="CN4" s="65">
        <v>0</v>
      </c>
      <c r="CO4" s="65">
        <v>1</v>
      </c>
      <c r="CP4" s="65">
        <v>0</v>
      </c>
      <c r="CQ4" s="65">
        <v>0</v>
      </c>
      <c r="CR4" s="65">
        <v>1</v>
      </c>
      <c r="CS4" s="65">
        <v>0</v>
      </c>
      <c r="CT4" s="65">
        <v>0</v>
      </c>
      <c r="CU4" s="66">
        <v>1</v>
      </c>
      <c r="CV4" s="64" t="s">
        <v>408</v>
      </c>
      <c r="CW4" s="65">
        <v>4</v>
      </c>
      <c r="CX4" s="65">
        <v>1</v>
      </c>
      <c r="CY4" s="65">
        <v>1</v>
      </c>
      <c r="CZ4" s="65">
        <v>0</v>
      </c>
      <c r="DA4" s="65">
        <v>0</v>
      </c>
      <c r="DB4" s="65">
        <v>2</v>
      </c>
      <c r="DC4" s="65">
        <v>0</v>
      </c>
      <c r="DD4" s="65">
        <v>0</v>
      </c>
      <c r="DE4" s="66">
        <v>2</v>
      </c>
      <c r="DF4" s="64" t="s">
        <v>271</v>
      </c>
      <c r="DG4" s="65">
        <v>4</v>
      </c>
      <c r="DH4" s="65">
        <v>1</v>
      </c>
      <c r="DI4" s="65">
        <v>1</v>
      </c>
      <c r="DJ4" s="65">
        <v>0</v>
      </c>
      <c r="DK4" s="65">
        <v>0</v>
      </c>
      <c r="DL4" s="65">
        <v>2</v>
      </c>
      <c r="DM4" s="65">
        <v>0</v>
      </c>
      <c r="DN4" s="65">
        <v>0</v>
      </c>
      <c r="DO4" s="66">
        <v>1</v>
      </c>
      <c r="DP4" s="64" t="s">
        <v>406</v>
      </c>
      <c r="DQ4" s="65">
        <v>4</v>
      </c>
      <c r="DR4" s="65">
        <v>1</v>
      </c>
      <c r="DS4" s="65">
        <v>3</v>
      </c>
      <c r="DT4" s="65">
        <v>0</v>
      </c>
      <c r="DU4" s="65">
        <v>0</v>
      </c>
      <c r="DV4" s="65">
        <v>0</v>
      </c>
      <c r="DW4" s="65">
        <v>0</v>
      </c>
      <c r="DX4" s="65">
        <v>0</v>
      </c>
      <c r="DY4" s="66">
        <v>4</v>
      </c>
      <c r="DZ4" s="67">
        <v>1</v>
      </c>
      <c r="EA4" s="68">
        <v>0</v>
      </c>
      <c r="EB4" s="68">
        <v>0</v>
      </c>
      <c r="EC4" s="69">
        <f>7+1/3</f>
        <v>7.333333333333333</v>
      </c>
      <c r="ED4" s="68">
        <v>0</v>
      </c>
      <c r="EE4" s="70">
        <v>0</v>
      </c>
      <c r="EF4" s="71">
        <v>0</v>
      </c>
      <c r="EG4" s="72">
        <v>0</v>
      </c>
      <c r="EH4" s="72">
        <v>0</v>
      </c>
      <c r="EI4" s="72">
        <v>0</v>
      </c>
      <c r="EJ4" s="72">
        <v>1</v>
      </c>
      <c r="EK4" s="72">
        <v>1</v>
      </c>
      <c r="EL4" s="72">
        <v>0</v>
      </c>
      <c r="EM4" s="72">
        <v>0</v>
      </c>
      <c r="EN4" s="72">
        <v>2</v>
      </c>
      <c r="EO4" s="72"/>
      <c r="EP4" s="72"/>
      <c r="EQ4" s="72"/>
      <c r="ER4" s="72"/>
      <c r="ES4" s="44">
        <f t="shared" ref="ES4:ES35" si="0">SUM(EF4:ER4)</f>
        <v>4</v>
      </c>
      <c r="ET4" s="43">
        <v>0</v>
      </c>
      <c r="EU4" s="43">
        <v>0</v>
      </c>
      <c r="EV4" s="43">
        <v>1</v>
      </c>
      <c r="EW4" s="43">
        <v>1</v>
      </c>
      <c r="EX4" s="43">
        <v>0</v>
      </c>
      <c r="EY4" s="43">
        <v>1</v>
      </c>
      <c r="EZ4" s="43">
        <v>0</v>
      </c>
      <c r="FA4" s="43">
        <v>0</v>
      </c>
      <c r="FB4" s="43">
        <v>0</v>
      </c>
      <c r="FC4" s="43"/>
      <c r="FD4" s="43"/>
      <c r="FE4" s="43"/>
      <c r="FF4" s="43"/>
      <c r="FG4" s="43">
        <f t="shared" ref="FG4:FG35" si="1">SUM(ET4:FF4)</f>
        <v>3</v>
      </c>
      <c r="FH4" s="73">
        <v>36</v>
      </c>
      <c r="FI4" s="73">
        <v>4</v>
      </c>
      <c r="FJ4" s="73">
        <v>13</v>
      </c>
      <c r="FK4" s="73">
        <v>4</v>
      </c>
      <c r="FL4" s="73">
        <v>2</v>
      </c>
      <c r="FM4" s="73">
        <v>9</v>
      </c>
      <c r="FN4" s="73">
        <f t="shared" ref="FN4:FN35" si="2">((SUM(M4,AE4))-(FG4))</f>
        <v>0</v>
      </c>
      <c r="FO4" s="73">
        <f t="shared" ref="FO4:FO35" si="3">((SUM(AP4,AZ4,BJ4,BT4,CD4,CN4,CX4,DH4,DR4))-(ES4))</f>
        <v>0</v>
      </c>
      <c r="FP4" s="73">
        <f t="shared" ref="FP4:FP35" si="4">((SUM(AO4,AY4,BI4,BS4,CC4,CM4,CW4,DG4,DQ4))-(FH4))</f>
        <v>0</v>
      </c>
      <c r="FQ4" s="73">
        <f t="shared" ref="FQ4:FQ35" si="5">((SUM(AP4,AZ4,BJ4,BT4,CD4,CN4,CX4,DH4,DR4))-(FI4))</f>
        <v>0</v>
      </c>
      <c r="FR4" s="73">
        <f t="shared" ref="FR4:FR35" si="6">((SUM(AQ4,BA4,BK4,BU4,CE4,CO4,CY4,DI4,DS4))-(FJ4))</f>
        <v>0</v>
      </c>
      <c r="FS4" s="73">
        <f t="shared" ref="FS4:FS35" si="7">((SUM(AR4,BB4,BL4,BV4,CF4,CP4,CZ4,DJ4,DT4))-(FK4))</f>
        <v>0</v>
      </c>
      <c r="FT4" s="73">
        <f t="shared" ref="FT4:FT35" si="8">((SUM(AS4,BC4,BM4,BW4,CG4,CQ4,DA4,DK4,DU4))-(FL4))</f>
        <v>0</v>
      </c>
      <c r="FU4" s="73">
        <f t="shared" ref="FU4:FU35" si="9">((SUM(AT4,BD4,BN4,BX4,CH4,CR4,DB4,DL4,DV4))-(FM4))</f>
        <v>0</v>
      </c>
      <c r="FV4" s="73">
        <f t="shared" ref="FV4:FV35" si="10">(EF4-ET4)</f>
        <v>0</v>
      </c>
      <c r="FW4" s="73">
        <f t="shared" ref="FW4:FW35" si="11">(EG4-EU4)</f>
        <v>0</v>
      </c>
      <c r="FX4" s="73">
        <f t="shared" ref="FX4:FX35" si="12">(EH4-EV4)</f>
        <v>-1</v>
      </c>
      <c r="FY4" s="73">
        <f t="shared" ref="FY4:FY35" si="13">(EI4-EW4)</f>
        <v>-1</v>
      </c>
      <c r="FZ4" s="73">
        <f t="shared" ref="FZ4:FZ35" si="14">(EJ4-EX4)</f>
        <v>1</v>
      </c>
      <c r="GA4" s="73">
        <f t="shared" ref="GA4:GA35" si="15">(EK4-EY4)</f>
        <v>0</v>
      </c>
      <c r="GB4" s="73">
        <f t="shared" ref="GB4:GB35" si="16">(EL4-EZ4)</f>
        <v>0</v>
      </c>
      <c r="GC4" s="73">
        <f t="shared" ref="GC4:GC35" si="17">(EM4-FA4)</f>
        <v>0</v>
      </c>
      <c r="GD4" s="73">
        <f t="shared" ref="GD4:GD35" si="18">(EN4-FB4)</f>
        <v>2</v>
      </c>
      <c r="GE4" s="73">
        <f t="shared" ref="GE4:GE35" si="19">(EO4-FC4)</f>
        <v>0</v>
      </c>
      <c r="GF4" s="73">
        <f t="shared" ref="GF4:GF35" si="20">(EP4-FD4)</f>
        <v>0</v>
      </c>
      <c r="GG4" s="73">
        <f t="shared" ref="GG4:GG35" si="21">(EQ4-FE4)</f>
        <v>0</v>
      </c>
      <c r="GH4" s="73">
        <f t="shared" ref="GH4:GH35" si="22">(ER4-FF4)</f>
        <v>0</v>
      </c>
      <c r="GI4" s="73">
        <f t="shared" ref="GI4:GI35" si="23">(ES4-FG4)</f>
        <v>1</v>
      </c>
      <c r="GJ4" s="38"/>
      <c r="GK4" s="367" t="s">
        <v>691</v>
      </c>
      <c r="GL4" s="376" t="s">
        <v>691</v>
      </c>
      <c r="GM4" s="376" t="s">
        <v>692</v>
      </c>
      <c r="GP4" s="52"/>
    </row>
    <row r="5" spans="1:198" x14ac:dyDescent="0.25">
      <c r="A5" s="53">
        <v>40275</v>
      </c>
      <c r="B5" s="53" t="s">
        <v>19</v>
      </c>
      <c r="C5" s="53" t="s">
        <v>129</v>
      </c>
      <c r="D5" s="53" t="s">
        <v>130</v>
      </c>
      <c r="E5" s="54">
        <v>15220</v>
      </c>
      <c r="F5" s="62">
        <v>167</v>
      </c>
      <c r="G5" s="58">
        <v>2</v>
      </c>
      <c r="H5" s="59" t="s">
        <v>396</v>
      </c>
      <c r="I5" s="6">
        <v>1</v>
      </c>
      <c r="J5" s="6">
        <v>0</v>
      </c>
      <c r="K5" s="60">
        <v>8</v>
      </c>
      <c r="L5" s="6">
        <v>4</v>
      </c>
      <c r="M5" s="6">
        <v>2</v>
      </c>
      <c r="N5" s="6">
        <v>1</v>
      </c>
      <c r="O5" s="6">
        <v>2</v>
      </c>
      <c r="P5" s="6">
        <v>9</v>
      </c>
      <c r="Q5" s="6">
        <v>0</v>
      </c>
      <c r="R5" s="6">
        <v>1</v>
      </c>
      <c r="S5" s="6">
        <v>32</v>
      </c>
      <c r="T5" s="6">
        <v>114</v>
      </c>
      <c r="U5" s="6">
        <v>74</v>
      </c>
      <c r="V5" s="6">
        <v>0</v>
      </c>
      <c r="W5" s="61">
        <v>0</v>
      </c>
      <c r="X5" s="62">
        <v>0</v>
      </c>
      <c r="Y5" s="62">
        <v>0</v>
      </c>
      <c r="Z5" s="62">
        <v>0</v>
      </c>
      <c r="AA5" s="62">
        <v>1</v>
      </c>
      <c r="AB5" s="62">
        <v>0</v>
      </c>
      <c r="AC5" s="63">
        <v>1</v>
      </c>
      <c r="AD5" s="62">
        <v>2</v>
      </c>
      <c r="AE5" s="62">
        <v>1</v>
      </c>
      <c r="AF5" s="62">
        <v>1</v>
      </c>
      <c r="AG5" s="62">
        <v>0</v>
      </c>
      <c r="AH5" s="62">
        <v>0</v>
      </c>
      <c r="AI5" s="62">
        <v>0</v>
      </c>
      <c r="AJ5" s="62">
        <v>0</v>
      </c>
      <c r="AK5" s="62">
        <v>5</v>
      </c>
      <c r="AL5" s="62">
        <v>18</v>
      </c>
      <c r="AM5" s="62">
        <v>12</v>
      </c>
      <c r="AN5" s="1" t="s">
        <v>384</v>
      </c>
      <c r="AO5" s="65">
        <v>4</v>
      </c>
      <c r="AP5" s="65">
        <v>1</v>
      </c>
      <c r="AQ5" s="65">
        <v>1</v>
      </c>
      <c r="AR5" s="65">
        <v>0</v>
      </c>
      <c r="AS5" s="65">
        <v>0</v>
      </c>
      <c r="AT5" s="65">
        <v>0</v>
      </c>
      <c r="AU5" s="65">
        <v>0</v>
      </c>
      <c r="AV5" s="65">
        <v>0</v>
      </c>
      <c r="AW5" s="66">
        <v>1</v>
      </c>
      <c r="AX5" s="1" t="s">
        <v>391</v>
      </c>
      <c r="AY5" s="65">
        <v>4</v>
      </c>
      <c r="AZ5" s="65">
        <v>1</v>
      </c>
      <c r="BA5" s="65">
        <v>1</v>
      </c>
      <c r="BB5" s="65">
        <v>0</v>
      </c>
      <c r="BC5" s="65">
        <v>0</v>
      </c>
      <c r="BD5" s="65">
        <v>2</v>
      </c>
      <c r="BE5" s="65">
        <v>0</v>
      </c>
      <c r="BF5" s="65">
        <v>0</v>
      </c>
      <c r="BG5" s="66">
        <v>1</v>
      </c>
      <c r="BH5" s="1" t="s">
        <v>389</v>
      </c>
      <c r="BI5" s="65">
        <v>4</v>
      </c>
      <c r="BJ5" s="65">
        <v>0</v>
      </c>
      <c r="BK5" s="65">
        <v>1</v>
      </c>
      <c r="BL5" s="65">
        <v>0</v>
      </c>
      <c r="BM5" s="65">
        <v>0</v>
      </c>
      <c r="BN5" s="65">
        <v>0</v>
      </c>
      <c r="BO5" s="65">
        <v>0</v>
      </c>
      <c r="BP5" s="65">
        <v>0</v>
      </c>
      <c r="BQ5" s="66">
        <v>1</v>
      </c>
      <c r="BR5" s="1" t="s">
        <v>390</v>
      </c>
      <c r="BS5" s="65">
        <v>4</v>
      </c>
      <c r="BT5" s="65">
        <v>1</v>
      </c>
      <c r="BU5" s="65">
        <v>2</v>
      </c>
      <c r="BV5" s="65">
        <v>3</v>
      </c>
      <c r="BW5" s="65">
        <v>0</v>
      </c>
      <c r="BX5" s="65">
        <v>0</v>
      </c>
      <c r="BY5" s="65">
        <v>0</v>
      </c>
      <c r="BZ5" s="65">
        <v>0</v>
      </c>
      <c r="CA5" s="66">
        <v>6</v>
      </c>
      <c r="CB5" s="1" t="s">
        <v>274</v>
      </c>
      <c r="CC5" s="65">
        <v>4</v>
      </c>
      <c r="CD5" s="65">
        <v>0</v>
      </c>
      <c r="CE5" s="65">
        <v>2</v>
      </c>
      <c r="CF5" s="65">
        <v>0</v>
      </c>
      <c r="CG5" s="65">
        <v>0</v>
      </c>
      <c r="CH5" s="65">
        <v>1</v>
      </c>
      <c r="CI5" s="65">
        <v>0</v>
      </c>
      <c r="CJ5" s="65">
        <v>0</v>
      </c>
      <c r="CK5" s="66">
        <v>3</v>
      </c>
      <c r="CL5" s="1" t="s">
        <v>273</v>
      </c>
      <c r="CM5" s="65">
        <v>3</v>
      </c>
      <c r="CN5" s="65">
        <v>0</v>
      </c>
      <c r="CO5" s="65">
        <v>1</v>
      </c>
      <c r="CP5" s="65">
        <v>1</v>
      </c>
      <c r="CQ5" s="65">
        <v>1</v>
      </c>
      <c r="CR5" s="65">
        <v>1</v>
      </c>
      <c r="CS5" s="65">
        <v>0</v>
      </c>
      <c r="CT5" s="65">
        <v>0</v>
      </c>
      <c r="CU5" s="66">
        <v>1</v>
      </c>
      <c r="CV5" s="1" t="s">
        <v>408</v>
      </c>
      <c r="CW5" s="65">
        <v>3</v>
      </c>
      <c r="CX5" s="65">
        <v>0</v>
      </c>
      <c r="CY5" s="65">
        <v>0</v>
      </c>
      <c r="CZ5" s="65">
        <v>0</v>
      </c>
      <c r="DA5" s="65">
        <v>1</v>
      </c>
      <c r="DB5" s="65">
        <v>1</v>
      </c>
      <c r="DC5" s="65">
        <v>0</v>
      </c>
      <c r="DD5" s="65">
        <v>0</v>
      </c>
      <c r="DE5" s="66">
        <v>0</v>
      </c>
      <c r="DF5" s="1" t="s">
        <v>388</v>
      </c>
      <c r="DG5" s="65">
        <v>3</v>
      </c>
      <c r="DH5" s="65">
        <v>0</v>
      </c>
      <c r="DI5" s="65">
        <v>0</v>
      </c>
      <c r="DJ5" s="65">
        <v>0</v>
      </c>
      <c r="DK5" s="65">
        <v>0</v>
      </c>
      <c r="DL5" s="65">
        <v>3</v>
      </c>
      <c r="DM5" s="65">
        <v>0</v>
      </c>
      <c r="DN5" s="65">
        <v>0</v>
      </c>
      <c r="DO5" s="66">
        <v>0</v>
      </c>
      <c r="DP5" s="1" t="s">
        <v>385</v>
      </c>
      <c r="DQ5" s="65">
        <v>3</v>
      </c>
      <c r="DR5" s="65">
        <v>1</v>
      </c>
      <c r="DS5" s="65">
        <v>2</v>
      </c>
      <c r="DT5" s="65">
        <v>0</v>
      </c>
      <c r="DU5" s="65">
        <v>0</v>
      </c>
      <c r="DV5" s="65">
        <v>0</v>
      </c>
      <c r="DW5" s="65">
        <v>0</v>
      </c>
      <c r="DX5" s="65">
        <v>0</v>
      </c>
      <c r="DY5" s="66">
        <v>2</v>
      </c>
      <c r="DZ5" s="67">
        <v>1</v>
      </c>
      <c r="EA5" s="68">
        <v>0</v>
      </c>
      <c r="EB5" s="68">
        <v>1</v>
      </c>
      <c r="EC5" s="69">
        <v>7</v>
      </c>
      <c r="ED5" s="68">
        <v>0</v>
      </c>
      <c r="EE5" s="70">
        <v>0</v>
      </c>
      <c r="EF5" s="71">
        <v>0</v>
      </c>
      <c r="EG5" s="72">
        <v>0</v>
      </c>
      <c r="EH5" s="72">
        <v>0</v>
      </c>
      <c r="EI5" s="72">
        <v>1</v>
      </c>
      <c r="EJ5" s="72">
        <v>2</v>
      </c>
      <c r="EK5" s="72">
        <v>0</v>
      </c>
      <c r="EL5" s="72">
        <v>0</v>
      </c>
      <c r="EM5" s="72">
        <v>1</v>
      </c>
      <c r="EN5" s="72"/>
      <c r="EO5" s="72"/>
      <c r="EP5" s="72"/>
      <c r="EQ5" s="72"/>
      <c r="ER5" s="72"/>
      <c r="ES5" s="44">
        <f t="shared" si="0"/>
        <v>4</v>
      </c>
      <c r="ET5" s="43">
        <v>2</v>
      </c>
      <c r="EU5" s="43">
        <v>0</v>
      </c>
      <c r="EV5" s="43">
        <v>0</v>
      </c>
      <c r="EW5" s="43">
        <v>0</v>
      </c>
      <c r="EX5" s="43">
        <v>0</v>
      </c>
      <c r="EY5" s="43">
        <v>0</v>
      </c>
      <c r="EZ5" s="43">
        <v>0</v>
      </c>
      <c r="FA5" s="43">
        <v>0</v>
      </c>
      <c r="FB5" s="43">
        <v>1</v>
      </c>
      <c r="FC5" s="43"/>
      <c r="FD5" s="43"/>
      <c r="FE5" s="43"/>
      <c r="FF5" s="43"/>
      <c r="FG5" s="43">
        <f t="shared" si="1"/>
        <v>3</v>
      </c>
      <c r="FH5" s="73">
        <v>32</v>
      </c>
      <c r="FI5" s="73">
        <v>4</v>
      </c>
      <c r="FJ5" s="73">
        <v>10</v>
      </c>
      <c r="FK5" s="73">
        <v>4</v>
      </c>
      <c r="FL5" s="73">
        <v>2</v>
      </c>
      <c r="FM5" s="73">
        <v>8</v>
      </c>
      <c r="FN5" s="73">
        <f t="shared" si="2"/>
        <v>0</v>
      </c>
      <c r="FO5" s="73">
        <f t="shared" si="3"/>
        <v>0</v>
      </c>
      <c r="FP5" s="73">
        <f t="shared" si="4"/>
        <v>0</v>
      </c>
      <c r="FQ5" s="73">
        <f t="shared" si="5"/>
        <v>0</v>
      </c>
      <c r="FR5" s="73">
        <f t="shared" si="6"/>
        <v>0</v>
      </c>
      <c r="FS5" s="73">
        <f t="shared" si="7"/>
        <v>0</v>
      </c>
      <c r="FT5" s="73">
        <f t="shared" si="8"/>
        <v>0</v>
      </c>
      <c r="FU5" s="73">
        <f t="shared" si="9"/>
        <v>0</v>
      </c>
      <c r="FV5" s="73">
        <f t="shared" si="10"/>
        <v>-2</v>
      </c>
      <c r="FW5" s="73">
        <f t="shared" si="11"/>
        <v>0</v>
      </c>
      <c r="FX5" s="73">
        <f t="shared" si="12"/>
        <v>0</v>
      </c>
      <c r="FY5" s="73">
        <f t="shared" si="13"/>
        <v>1</v>
      </c>
      <c r="FZ5" s="73">
        <f t="shared" si="14"/>
        <v>2</v>
      </c>
      <c r="GA5" s="73">
        <f t="shared" si="15"/>
        <v>0</v>
      </c>
      <c r="GB5" s="73">
        <f t="shared" si="16"/>
        <v>0</v>
      </c>
      <c r="GC5" s="73">
        <f t="shared" si="17"/>
        <v>1</v>
      </c>
      <c r="GD5" s="73">
        <f t="shared" si="18"/>
        <v>-1</v>
      </c>
      <c r="GE5" s="73">
        <f t="shared" si="19"/>
        <v>0</v>
      </c>
      <c r="GF5" s="73">
        <f t="shared" si="20"/>
        <v>0</v>
      </c>
      <c r="GG5" s="73">
        <f t="shared" si="21"/>
        <v>0</v>
      </c>
      <c r="GH5" s="73">
        <f t="shared" si="22"/>
        <v>0</v>
      </c>
      <c r="GI5" s="73">
        <f t="shared" si="23"/>
        <v>1</v>
      </c>
      <c r="GJ5" s="38"/>
      <c r="GK5" s="367" t="s">
        <v>691</v>
      </c>
      <c r="GL5" s="376" t="s">
        <v>691</v>
      </c>
      <c r="GM5" s="376" t="s">
        <v>692</v>
      </c>
      <c r="GP5" s="52"/>
    </row>
    <row r="6" spans="1:198" x14ac:dyDescent="0.25">
      <c r="A6" s="53">
        <v>40276</v>
      </c>
      <c r="B6" s="53" t="s">
        <v>19</v>
      </c>
      <c r="C6" s="53" t="s">
        <v>131</v>
      </c>
      <c r="D6" s="53" t="s">
        <v>130</v>
      </c>
      <c r="E6" s="54">
        <v>16191</v>
      </c>
      <c r="F6" s="62">
        <v>202</v>
      </c>
      <c r="G6" s="58">
        <v>3</v>
      </c>
      <c r="H6" s="89" t="s">
        <v>395</v>
      </c>
      <c r="I6" s="6">
        <v>0</v>
      </c>
      <c r="J6" s="6">
        <v>0</v>
      </c>
      <c r="K6" s="60">
        <f>1+1/3</f>
        <v>1.3333333333333333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4</v>
      </c>
      <c r="T6" s="6">
        <v>12</v>
      </c>
      <c r="U6" s="6">
        <v>10</v>
      </c>
      <c r="V6" s="6">
        <v>0</v>
      </c>
      <c r="W6" s="61">
        <v>0</v>
      </c>
      <c r="X6" s="62">
        <v>0</v>
      </c>
      <c r="Y6" s="62">
        <v>1</v>
      </c>
      <c r="Z6" s="62">
        <v>0</v>
      </c>
      <c r="AA6" s="62">
        <v>0</v>
      </c>
      <c r="AB6" s="62">
        <v>1</v>
      </c>
      <c r="AC6" s="63">
        <f>7+(2/3)</f>
        <v>7.666666666666667</v>
      </c>
      <c r="AD6" s="62">
        <v>9</v>
      </c>
      <c r="AE6" s="62">
        <v>5</v>
      </c>
      <c r="AF6" s="62">
        <v>5</v>
      </c>
      <c r="AG6" s="62">
        <v>3</v>
      </c>
      <c r="AH6" s="62">
        <v>6</v>
      </c>
      <c r="AI6" s="62">
        <v>1</v>
      </c>
      <c r="AJ6" s="62">
        <v>1</v>
      </c>
      <c r="AK6" s="62">
        <v>36</v>
      </c>
      <c r="AL6" s="62">
        <v>131</v>
      </c>
      <c r="AM6" s="62">
        <v>75</v>
      </c>
      <c r="AN6" s="1" t="s">
        <v>384</v>
      </c>
      <c r="AO6" s="65">
        <v>5</v>
      </c>
      <c r="AP6" s="65">
        <v>0</v>
      </c>
      <c r="AQ6" s="65">
        <v>2</v>
      </c>
      <c r="AR6" s="65">
        <v>1</v>
      </c>
      <c r="AS6" s="65">
        <v>0</v>
      </c>
      <c r="AT6" s="65">
        <v>1</v>
      </c>
      <c r="AU6" s="65">
        <v>0</v>
      </c>
      <c r="AV6" s="65">
        <v>0</v>
      </c>
      <c r="AW6" s="66">
        <v>2</v>
      </c>
      <c r="AX6" s="1" t="s">
        <v>391</v>
      </c>
      <c r="AY6" s="65">
        <v>2</v>
      </c>
      <c r="AZ6" s="65">
        <v>0</v>
      </c>
      <c r="BA6" s="65">
        <v>0</v>
      </c>
      <c r="BB6" s="65">
        <v>1</v>
      </c>
      <c r="BC6" s="65">
        <v>2</v>
      </c>
      <c r="BD6" s="65">
        <v>1</v>
      </c>
      <c r="BE6" s="65">
        <v>0</v>
      </c>
      <c r="BF6" s="65">
        <v>1</v>
      </c>
      <c r="BG6" s="66">
        <v>0</v>
      </c>
      <c r="BH6" s="1" t="s">
        <v>389</v>
      </c>
      <c r="BI6" s="65">
        <v>5</v>
      </c>
      <c r="BJ6" s="65">
        <v>1</v>
      </c>
      <c r="BK6" s="65">
        <v>1</v>
      </c>
      <c r="BL6" s="65">
        <v>0</v>
      </c>
      <c r="BM6" s="65">
        <v>0</v>
      </c>
      <c r="BN6" s="65">
        <v>1</v>
      </c>
      <c r="BO6" s="65">
        <v>0</v>
      </c>
      <c r="BP6" s="65">
        <v>0</v>
      </c>
      <c r="BQ6" s="66">
        <v>3</v>
      </c>
      <c r="BR6" s="1" t="s">
        <v>390</v>
      </c>
      <c r="BS6" s="65">
        <v>4</v>
      </c>
      <c r="BT6" s="65">
        <v>0</v>
      </c>
      <c r="BU6" s="65">
        <v>2</v>
      </c>
      <c r="BV6" s="65">
        <v>1</v>
      </c>
      <c r="BW6" s="65">
        <v>0</v>
      </c>
      <c r="BX6" s="65">
        <v>1</v>
      </c>
      <c r="BY6" s="65">
        <v>0</v>
      </c>
      <c r="BZ6" s="65">
        <v>0</v>
      </c>
      <c r="CA6" s="66">
        <v>2</v>
      </c>
      <c r="CB6" s="1" t="s">
        <v>274</v>
      </c>
      <c r="CC6" s="65">
        <v>4</v>
      </c>
      <c r="CD6" s="65">
        <v>0</v>
      </c>
      <c r="CE6" s="65">
        <v>0</v>
      </c>
      <c r="CF6" s="65">
        <v>0</v>
      </c>
      <c r="CG6" s="65">
        <v>0</v>
      </c>
      <c r="CH6" s="65">
        <v>1</v>
      </c>
      <c r="CI6" s="65">
        <v>0</v>
      </c>
      <c r="CJ6" s="65">
        <v>0</v>
      </c>
      <c r="CK6" s="66">
        <v>0</v>
      </c>
      <c r="CL6" s="1" t="s">
        <v>273</v>
      </c>
      <c r="CM6" s="65">
        <v>3</v>
      </c>
      <c r="CN6" s="65">
        <v>0</v>
      </c>
      <c r="CO6" s="65">
        <v>0</v>
      </c>
      <c r="CP6" s="65">
        <v>0</v>
      </c>
      <c r="CQ6" s="65">
        <v>1</v>
      </c>
      <c r="CR6" s="65">
        <v>1</v>
      </c>
      <c r="CS6" s="65">
        <v>0</v>
      </c>
      <c r="CT6" s="65">
        <v>0</v>
      </c>
      <c r="CU6" s="66">
        <v>0</v>
      </c>
      <c r="CV6" s="1" t="s">
        <v>408</v>
      </c>
      <c r="CW6" s="65">
        <v>2</v>
      </c>
      <c r="CX6" s="65">
        <v>2</v>
      </c>
      <c r="CY6" s="65">
        <v>0</v>
      </c>
      <c r="CZ6" s="65">
        <v>0</v>
      </c>
      <c r="DA6" s="65">
        <v>2</v>
      </c>
      <c r="DB6" s="65">
        <v>2</v>
      </c>
      <c r="DC6" s="65">
        <v>0</v>
      </c>
      <c r="DD6" s="65">
        <v>0</v>
      </c>
      <c r="DE6" s="66">
        <v>0</v>
      </c>
      <c r="DF6" s="1" t="s">
        <v>386</v>
      </c>
      <c r="DG6" s="65">
        <v>3</v>
      </c>
      <c r="DH6" s="65">
        <v>1</v>
      </c>
      <c r="DI6" s="65">
        <v>1</v>
      </c>
      <c r="DJ6" s="65">
        <v>0</v>
      </c>
      <c r="DK6" s="65">
        <v>1</v>
      </c>
      <c r="DL6" s="65">
        <v>1</v>
      </c>
      <c r="DM6" s="65">
        <v>0</v>
      </c>
      <c r="DN6" s="65">
        <v>0</v>
      </c>
      <c r="DO6" s="66">
        <v>1</v>
      </c>
      <c r="DP6" s="1" t="s">
        <v>388</v>
      </c>
      <c r="DQ6" s="65">
        <v>2</v>
      </c>
      <c r="DR6" s="65">
        <v>0</v>
      </c>
      <c r="DS6" s="65">
        <v>0</v>
      </c>
      <c r="DT6" s="65">
        <v>1</v>
      </c>
      <c r="DU6" s="65">
        <v>2</v>
      </c>
      <c r="DV6" s="65">
        <v>1</v>
      </c>
      <c r="DW6" s="65">
        <v>0</v>
      </c>
      <c r="DX6" s="65">
        <v>0</v>
      </c>
      <c r="DY6" s="66">
        <v>0</v>
      </c>
      <c r="DZ6" s="67">
        <f>6+1/3</f>
        <v>6.333333333333333</v>
      </c>
      <c r="EA6" s="68">
        <v>1</v>
      </c>
      <c r="EB6" s="68">
        <v>2</v>
      </c>
      <c r="EC6" s="69">
        <f>2+2/3</f>
        <v>2.6666666666666665</v>
      </c>
      <c r="ED6" s="68">
        <v>0</v>
      </c>
      <c r="EE6" s="70">
        <v>0</v>
      </c>
      <c r="EF6" s="71">
        <v>0</v>
      </c>
      <c r="EG6" s="72">
        <v>0</v>
      </c>
      <c r="EH6" s="72">
        <v>2</v>
      </c>
      <c r="EI6" s="72">
        <v>0</v>
      </c>
      <c r="EJ6" s="72">
        <v>0</v>
      </c>
      <c r="EK6" s="72">
        <v>0</v>
      </c>
      <c r="EL6" s="72">
        <v>1</v>
      </c>
      <c r="EM6" s="72">
        <v>1</v>
      </c>
      <c r="EN6" s="72">
        <v>0</v>
      </c>
      <c r="EO6" s="72"/>
      <c r="EP6" s="72"/>
      <c r="EQ6" s="72"/>
      <c r="ER6" s="72"/>
      <c r="ES6" s="44">
        <f t="shared" si="0"/>
        <v>4</v>
      </c>
      <c r="ET6" s="43">
        <v>0</v>
      </c>
      <c r="EU6" s="43">
        <v>0</v>
      </c>
      <c r="EV6" s="43">
        <v>1</v>
      </c>
      <c r="EW6" s="43">
        <v>0</v>
      </c>
      <c r="EX6" s="43">
        <v>0</v>
      </c>
      <c r="EY6" s="43">
        <v>4</v>
      </c>
      <c r="EZ6" s="43">
        <v>0</v>
      </c>
      <c r="FA6" s="43">
        <v>0</v>
      </c>
      <c r="FB6" s="43">
        <v>0</v>
      </c>
      <c r="FC6" s="43"/>
      <c r="FD6" s="43"/>
      <c r="FE6" s="43"/>
      <c r="FF6" s="43"/>
      <c r="FG6" s="43">
        <f t="shared" si="1"/>
        <v>5</v>
      </c>
      <c r="FH6" s="73">
        <v>30</v>
      </c>
      <c r="FI6" s="73">
        <v>4</v>
      </c>
      <c r="FJ6" s="73">
        <v>6</v>
      </c>
      <c r="FK6" s="73">
        <v>4</v>
      </c>
      <c r="FL6" s="73">
        <v>8</v>
      </c>
      <c r="FM6" s="73">
        <v>10</v>
      </c>
      <c r="FN6" s="73">
        <f t="shared" si="2"/>
        <v>0</v>
      </c>
      <c r="FO6" s="73">
        <f t="shared" si="3"/>
        <v>0</v>
      </c>
      <c r="FP6" s="73">
        <f t="shared" si="4"/>
        <v>0</v>
      </c>
      <c r="FQ6" s="73">
        <f t="shared" si="5"/>
        <v>0</v>
      </c>
      <c r="FR6" s="73">
        <f t="shared" si="6"/>
        <v>0</v>
      </c>
      <c r="FS6" s="73">
        <f t="shared" si="7"/>
        <v>0</v>
      </c>
      <c r="FT6" s="73">
        <f t="shared" si="8"/>
        <v>0</v>
      </c>
      <c r="FU6" s="73">
        <f t="shared" si="9"/>
        <v>0</v>
      </c>
      <c r="FV6" s="73">
        <f t="shared" si="10"/>
        <v>0</v>
      </c>
      <c r="FW6" s="73">
        <f t="shared" si="11"/>
        <v>0</v>
      </c>
      <c r="FX6" s="73">
        <f t="shared" si="12"/>
        <v>1</v>
      </c>
      <c r="FY6" s="73">
        <f t="shared" si="13"/>
        <v>0</v>
      </c>
      <c r="FZ6" s="73">
        <f t="shared" si="14"/>
        <v>0</v>
      </c>
      <c r="GA6" s="73">
        <f t="shared" si="15"/>
        <v>-4</v>
      </c>
      <c r="GB6" s="73">
        <f t="shared" si="16"/>
        <v>1</v>
      </c>
      <c r="GC6" s="73">
        <f t="shared" si="17"/>
        <v>1</v>
      </c>
      <c r="GD6" s="73">
        <f t="shared" si="18"/>
        <v>0</v>
      </c>
      <c r="GE6" s="73">
        <f t="shared" si="19"/>
        <v>0</v>
      </c>
      <c r="GF6" s="73">
        <f t="shared" si="20"/>
        <v>0</v>
      </c>
      <c r="GG6" s="73">
        <f t="shared" si="21"/>
        <v>0</v>
      </c>
      <c r="GH6" s="73">
        <f t="shared" si="22"/>
        <v>0</v>
      </c>
      <c r="GI6" s="73">
        <f t="shared" si="23"/>
        <v>-1</v>
      </c>
      <c r="GJ6" s="38"/>
      <c r="GK6" s="367" t="s">
        <v>691</v>
      </c>
      <c r="GL6" s="376" t="s">
        <v>691</v>
      </c>
      <c r="GM6" s="376" t="s">
        <v>692</v>
      </c>
      <c r="GP6" s="52"/>
    </row>
    <row r="7" spans="1:198" x14ac:dyDescent="0.25">
      <c r="A7" s="53">
        <v>40277</v>
      </c>
      <c r="B7" s="53" t="s">
        <v>19</v>
      </c>
      <c r="C7" s="53" t="s">
        <v>129</v>
      </c>
      <c r="D7" s="53" t="s">
        <v>132</v>
      </c>
      <c r="E7" s="54">
        <v>33221</v>
      </c>
      <c r="F7" s="62">
        <v>171</v>
      </c>
      <c r="G7" s="58">
        <v>4</v>
      </c>
      <c r="H7" s="89" t="s">
        <v>394</v>
      </c>
      <c r="I7" s="6">
        <v>1</v>
      </c>
      <c r="J7" s="6">
        <v>0</v>
      </c>
      <c r="K7" s="60">
        <f>7+2/3</f>
        <v>7.666666666666667</v>
      </c>
      <c r="L7" s="6">
        <v>7</v>
      </c>
      <c r="M7" s="6">
        <v>3</v>
      </c>
      <c r="N7" s="6">
        <v>3</v>
      </c>
      <c r="O7" s="6">
        <v>3</v>
      </c>
      <c r="P7" s="6">
        <v>7</v>
      </c>
      <c r="Q7" s="6">
        <v>0</v>
      </c>
      <c r="R7" s="6">
        <v>0</v>
      </c>
      <c r="S7" s="6">
        <v>33</v>
      </c>
      <c r="T7" s="6">
        <v>111</v>
      </c>
      <c r="U7" s="6">
        <v>67</v>
      </c>
      <c r="V7" s="6">
        <v>1</v>
      </c>
      <c r="W7" s="61">
        <v>0</v>
      </c>
      <c r="X7" s="62">
        <v>0</v>
      </c>
      <c r="Y7" s="62">
        <v>0</v>
      </c>
      <c r="Z7" s="62">
        <v>0</v>
      </c>
      <c r="AA7" s="62">
        <v>0</v>
      </c>
      <c r="AB7" s="62">
        <v>0</v>
      </c>
      <c r="AC7" s="63">
        <f>1+(1/3)</f>
        <v>1.3333333333333333</v>
      </c>
      <c r="AD7" s="62">
        <v>1</v>
      </c>
      <c r="AE7" s="62">
        <v>0</v>
      </c>
      <c r="AF7" s="62">
        <v>0</v>
      </c>
      <c r="AG7" s="62">
        <v>0</v>
      </c>
      <c r="AH7" s="62">
        <v>1</v>
      </c>
      <c r="AI7" s="62">
        <v>0</v>
      </c>
      <c r="AJ7" s="62">
        <v>0</v>
      </c>
      <c r="AK7" s="62">
        <v>5</v>
      </c>
      <c r="AL7" s="62">
        <v>21</v>
      </c>
      <c r="AM7" s="62">
        <v>14</v>
      </c>
      <c r="AN7" s="1" t="s">
        <v>384</v>
      </c>
      <c r="AO7" s="65">
        <v>4</v>
      </c>
      <c r="AP7" s="65">
        <v>1</v>
      </c>
      <c r="AQ7" s="65">
        <v>1</v>
      </c>
      <c r="AR7" s="65">
        <v>2</v>
      </c>
      <c r="AS7" s="65">
        <v>1</v>
      </c>
      <c r="AT7" s="65">
        <v>0</v>
      </c>
      <c r="AU7" s="65">
        <v>0</v>
      </c>
      <c r="AV7" s="65">
        <v>0</v>
      </c>
      <c r="AW7" s="66">
        <v>2</v>
      </c>
      <c r="AX7" s="1" t="s">
        <v>391</v>
      </c>
      <c r="AY7" s="65">
        <v>4</v>
      </c>
      <c r="AZ7" s="65">
        <v>1</v>
      </c>
      <c r="BA7" s="65">
        <v>1</v>
      </c>
      <c r="BB7" s="65">
        <v>1</v>
      </c>
      <c r="BC7" s="65">
        <v>0</v>
      </c>
      <c r="BD7" s="65">
        <v>1</v>
      </c>
      <c r="BE7" s="65">
        <v>0</v>
      </c>
      <c r="BF7" s="65">
        <v>0</v>
      </c>
      <c r="BG7" s="66">
        <v>1</v>
      </c>
      <c r="BH7" s="1" t="s">
        <v>389</v>
      </c>
      <c r="BI7" s="65">
        <v>3</v>
      </c>
      <c r="BJ7" s="65">
        <v>1</v>
      </c>
      <c r="BK7" s="65">
        <v>1</v>
      </c>
      <c r="BL7" s="65">
        <v>1</v>
      </c>
      <c r="BM7" s="65">
        <v>1</v>
      </c>
      <c r="BN7" s="65">
        <v>1</v>
      </c>
      <c r="BO7" s="65">
        <v>0</v>
      </c>
      <c r="BP7" s="65">
        <v>0</v>
      </c>
      <c r="BQ7" s="66">
        <v>2</v>
      </c>
      <c r="BR7" s="1" t="s">
        <v>390</v>
      </c>
      <c r="BS7" s="65">
        <v>4</v>
      </c>
      <c r="BT7" s="65">
        <v>0</v>
      </c>
      <c r="BU7" s="65">
        <v>1</v>
      </c>
      <c r="BV7" s="65">
        <v>0</v>
      </c>
      <c r="BW7" s="65">
        <v>0</v>
      </c>
      <c r="BX7" s="65">
        <v>2</v>
      </c>
      <c r="BY7" s="65">
        <v>0</v>
      </c>
      <c r="BZ7" s="65">
        <v>0</v>
      </c>
      <c r="CA7" s="66">
        <v>1</v>
      </c>
      <c r="CB7" s="1" t="s">
        <v>274</v>
      </c>
      <c r="CC7" s="65">
        <v>3</v>
      </c>
      <c r="CD7" s="65">
        <v>1</v>
      </c>
      <c r="CE7" s="65">
        <v>1</v>
      </c>
      <c r="CF7" s="65">
        <v>2</v>
      </c>
      <c r="CG7" s="65">
        <v>1</v>
      </c>
      <c r="CH7" s="65">
        <v>0</v>
      </c>
      <c r="CI7" s="65">
        <v>0</v>
      </c>
      <c r="CJ7" s="65">
        <v>0</v>
      </c>
      <c r="CK7" s="66">
        <v>4</v>
      </c>
      <c r="CL7" s="1" t="s">
        <v>273</v>
      </c>
      <c r="CM7" s="65">
        <v>4</v>
      </c>
      <c r="CN7" s="65">
        <v>2</v>
      </c>
      <c r="CO7" s="65">
        <v>2</v>
      </c>
      <c r="CP7" s="65">
        <v>0</v>
      </c>
      <c r="CQ7" s="65">
        <v>0</v>
      </c>
      <c r="CR7" s="65">
        <v>0</v>
      </c>
      <c r="CS7" s="65">
        <v>0</v>
      </c>
      <c r="CT7" s="65">
        <v>0</v>
      </c>
      <c r="CU7" s="66">
        <v>3</v>
      </c>
      <c r="CV7" s="1" t="s">
        <v>272</v>
      </c>
      <c r="CW7" s="65">
        <v>4</v>
      </c>
      <c r="CX7" s="65">
        <v>1</v>
      </c>
      <c r="CY7" s="65">
        <v>1</v>
      </c>
      <c r="CZ7" s="65">
        <v>2</v>
      </c>
      <c r="DA7" s="65">
        <v>0</v>
      </c>
      <c r="DB7" s="65">
        <v>1</v>
      </c>
      <c r="DC7" s="65">
        <v>0</v>
      </c>
      <c r="DD7" s="65">
        <v>0</v>
      </c>
      <c r="DE7" s="66">
        <v>4</v>
      </c>
      <c r="DF7" s="1" t="s">
        <v>406</v>
      </c>
      <c r="DG7" s="65">
        <v>4</v>
      </c>
      <c r="DH7" s="65">
        <v>1</v>
      </c>
      <c r="DI7" s="65">
        <v>1</v>
      </c>
      <c r="DJ7" s="65">
        <v>1</v>
      </c>
      <c r="DK7" s="65">
        <v>0</v>
      </c>
      <c r="DL7" s="65">
        <v>0</v>
      </c>
      <c r="DM7" s="65">
        <v>0</v>
      </c>
      <c r="DN7" s="65">
        <v>0</v>
      </c>
      <c r="DO7" s="66">
        <v>1</v>
      </c>
      <c r="DP7" s="1" t="s">
        <v>271</v>
      </c>
      <c r="DQ7" s="65">
        <v>4</v>
      </c>
      <c r="DR7" s="65">
        <v>1</v>
      </c>
      <c r="DS7" s="65">
        <v>1</v>
      </c>
      <c r="DT7" s="65">
        <v>0</v>
      </c>
      <c r="DU7" s="65">
        <v>0</v>
      </c>
      <c r="DV7" s="65">
        <v>1</v>
      </c>
      <c r="DW7" s="65">
        <v>0</v>
      </c>
      <c r="DX7" s="65">
        <v>0</v>
      </c>
      <c r="DY7" s="66">
        <v>1</v>
      </c>
      <c r="DZ7" s="67">
        <v>0</v>
      </c>
      <c r="EA7" s="68">
        <v>0</v>
      </c>
      <c r="EB7" s="68">
        <v>0</v>
      </c>
      <c r="EC7" s="69">
        <v>8</v>
      </c>
      <c r="ED7" s="68">
        <v>3</v>
      </c>
      <c r="EE7" s="70">
        <v>0</v>
      </c>
      <c r="EF7" s="71">
        <v>0</v>
      </c>
      <c r="EG7" s="72">
        <v>0</v>
      </c>
      <c r="EH7" s="72">
        <v>0</v>
      </c>
      <c r="EI7" s="72">
        <v>5</v>
      </c>
      <c r="EJ7" s="72">
        <v>0</v>
      </c>
      <c r="EK7" s="72">
        <v>4</v>
      </c>
      <c r="EL7" s="72">
        <v>0</v>
      </c>
      <c r="EM7" s="72">
        <v>0</v>
      </c>
      <c r="EN7" s="72"/>
      <c r="EO7" s="72"/>
      <c r="EP7" s="72"/>
      <c r="EQ7" s="72"/>
      <c r="ER7" s="72"/>
      <c r="ES7" s="44">
        <f t="shared" si="0"/>
        <v>9</v>
      </c>
      <c r="ET7" s="43">
        <v>0</v>
      </c>
      <c r="EU7" s="43">
        <v>0</v>
      </c>
      <c r="EV7" s="43">
        <v>0</v>
      </c>
      <c r="EW7" s="43">
        <v>2</v>
      </c>
      <c r="EX7" s="43">
        <v>0</v>
      </c>
      <c r="EY7" s="43">
        <v>0</v>
      </c>
      <c r="EZ7" s="43">
        <v>0</v>
      </c>
      <c r="FA7" s="43">
        <v>1</v>
      </c>
      <c r="FB7" s="43">
        <v>0</v>
      </c>
      <c r="FC7" s="43"/>
      <c r="FD7" s="43"/>
      <c r="FE7" s="43"/>
      <c r="FF7" s="43"/>
      <c r="FG7" s="43">
        <f t="shared" si="1"/>
        <v>3</v>
      </c>
      <c r="FH7" s="73">
        <v>34</v>
      </c>
      <c r="FI7" s="73">
        <v>9</v>
      </c>
      <c r="FJ7" s="73">
        <v>10</v>
      </c>
      <c r="FK7" s="73">
        <v>9</v>
      </c>
      <c r="FL7" s="73">
        <v>3</v>
      </c>
      <c r="FM7" s="73">
        <v>6</v>
      </c>
      <c r="FN7" s="73">
        <f t="shared" si="2"/>
        <v>0</v>
      </c>
      <c r="FO7" s="73">
        <f t="shared" si="3"/>
        <v>0</v>
      </c>
      <c r="FP7" s="73">
        <f t="shared" si="4"/>
        <v>0</v>
      </c>
      <c r="FQ7" s="73">
        <f t="shared" si="5"/>
        <v>0</v>
      </c>
      <c r="FR7" s="73">
        <f t="shared" si="6"/>
        <v>0</v>
      </c>
      <c r="FS7" s="73">
        <f t="shared" si="7"/>
        <v>0</v>
      </c>
      <c r="FT7" s="73">
        <f t="shared" si="8"/>
        <v>0</v>
      </c>
      <c r="FU7" s="73">
        <f t="shared" si="9"/>
        <v>0</v>
      </c>
      <c r="FV7" s="73">
        <f t="shared" si="10"/>
        <v>0</v>
      </c>
      <c r="FW7" s="73">
        <f t="shared" si="11"/>
        <v>0</v>
      </c>
      <c r="FX7" s="73">
        <f t="shared" si="12"/>
        <v>0</v>
      </c>
      <c r="FY7" s="73">
        <f t="shared" si="13"/>
        <v>3</v>
      </c>
      <c r="FZ7" s="73">
        <f t="shared" si="14"/>
        <v>0</v>
      </c>
      <c r="GA7" s="73">
        <f t="shared" si="15"/>
        <v>4</v>
      </c>
      <c r="GB7" s="73">
        <f t="shared" si="16"/>
        <v>0</v>
      </c>
      <c r="GC7" s="73">
        <f t="shared" si="17"/>
        <v>-1</v>
      </c>
      <c r="GD7" s="73">
        <f t="shared" si="18"/>
        <v>0</v>
      </c>
      <c r="GE7" s="73">
        <f t="shared" si="19"/>
        <v>0</v>
      </c>
      <c r="GF7" s="73">
        <f t="shared" si="20"/>
        <v>0</v>
      </c>
      <c r="GG7" s="73">
        <f t="shared" si="21"/>
        <v>0</v>
      </c>
      <c r="GH7" s="73">
        <f t="shared" si="22"/>
        <v>0</v>
      </c>
      <c r="GI7" s="73">
        <f t="shared" si="23"/>
        <v>6</v>
      </c>
      <c r="GJ7" s="38"/>
      <c r="GK7" s="367" t="s">
        <v>691</v>
      </c>
      <c r="GL7" s="376" t="s">
        <v>691</v>
      </c>
      <c r="GM7" s="376" t="s">
        <v>692</v>
      </c>
      <c r="GP7" s="52"/>
    </row>
    <row r="8" spans="1:198" x14ac:dyDescent="0.25">
      <c r="A8" s="53">
        <v>40278</v>
      </c>
      <c r="B8" s="53" t="s">
        <v>19</v>
      </c>
      <c r="C8" s="53" t="s">
        <v>131</v>
      </c>
      <c r="D8" s="53" t="s">
        <v>132</v>
      </c>
      <c r="E8" s="54">
        <v>29892</v>
      </c>
      <c r="F8" s="62">
        <v>200</v>
      </c>
      <c r="G8" s="58">
        <v>5</v>
      </c>
      <c r="H8" s="89" t="s">
        <v>393</v>
      </c>
      <c r="I8" s="6">
        <v>0</v>
      </c>
      <c r="J8" s="6">
        <v>1</v>
      </c>
      <c r="K8" s="60">
        <v>6</v>
      </c>
      <c r="L8" s="6">
        <v>7</v>
      </c>
      <c r="M8" s="6">
        <v>4</v>
      </c>
      <c r="N8" s="6">
        <v>4</v>
      </c>
      <c r="O8" s="6">
        <v>4</v>
      </c>
      <c r="P8" s="6">
        <v>3</v>
      </c>
      <c r="Q8" s="6">
        <v>1</v>
      </c>
      <c r="R8" s="6">
        <v>0</v>
      </c>
      <c r="S8" s="6">
        <v>26</v>
      </c>
      <c r="T8" s="6">
        <v>105</v>
      </c>
      <c r="U8" s="6">
        <v>62</v>
      </c>
      <c r="V8" s="6">
        <v>0</v>
      </c>
      <c r="W8" s="61">
        <v>0</v>
      </c>
      <c r="X8" s="62">
        <v>0</v>
      </c>
      <c r="Y8" s="62">
        <v>0</v>
      </c>
      <c r="Z8" s="62">
        <v>0</v>
      </c>
      <c r="AA8" s="62">
        <v>0</v>
      </c>
      <c r="AB8" s="62">
        <v>0</v>
      </c>
      <c r="AC8" s="63">
        <v>3</v>
      </c>
      <c r="AD8" s="62">
        <v>7</v>
      </c>
      <c r="AE8" s="62">
        <v>6</v>
      </c>
      <c r="AF8" s="62">
        <v>6</v>
      </c>
      <c r="AG8" s="62">
        <v>4</v>
      </c>
      <c r="AH8" s="62">
        <v>0</v>
      </c>
      <c r="AI8" s="62">
        <v>0</v>
      </c>
      <c r="AJ8" s="62">
        <v>0</v>
      </c>
      <c r="AK8" s="62">
        <v>19</v>
      </c>
      <c r="AL8" s="62">
        <v>74</v>
      </c>
      <c r="AM8" s="62">
        <v>38</v>
      </c>
      <c r="AN8" s="1" t="s">
        <v>384</v>
      </c>
      <c r="AO8" s="65">
        <v>4</v>
      </c>
      <c r="AP8" s="65">
        <v>0</v>
      </c>
      <c r="AQ8" s="65">
        <v>0</v>
      </c>
      <c r="AR8" s="65">
        <v>0</v>
      </c>
      <c r="AS8" s="65">
        <v>0</v>
      </c>
      <c r="AT8" s="65">
        <v>1</v>
      </c>
      <c r="AU8" s="65">
        <v>0</v>
      </c>
      <c r="AV8" s="65">
        <v>0</v>
      </c>
      <c r="AW8" s="66">
        <v>0</v>
      </c>
      <c r="AX8" s="1" t="s">
        <v>391</v>
      </c>
      <c r="AY8" s="65">
        <v>3</v>
      </c>
      <c r="AZ8" s="65">
        <v>0</v>
      </c>
      <c r="BA8" s="65">
        <v>0</v>
      </c>
      <c r="BB8" s="65">
        <v>0</v>
      </c>
      <c r="BC8" s="65">
        <v>1</v>
      </c>
      <c r="BD8" s="65">
        <v>2</v>
      </c>
      <c r="BE8" s="65">
        <v>0</v>
      </c>
      <c r="BF8" s="65">
        <v>0</v>
      </c>
      <c r="BG8" s="66">
        <v>0</v>
      </c>
      <c r="BH8" s="1" t="s">
        <v>389</v>
      </c>
      <c r="BI8" s="65">
        <v>4</v>
      </c>
      <c r="BJ8" s="65">
        <v>0</v>
      </c>
      <c r="BK8" s="65">
        <v>1</v>
      </c>
      <c r="BL8" s="65">
        <v>0</v>
      </c>
      <c r="BM8" s="65">
        <v>0</v>
      </c>
      <c r="BN8" s="65">
        <v>2</v>
      </c>
      <c r="BO8" s="65">
        <v>0</v>
      </c>
      <c r="BP8" s="65">
        <v>0</v>
      </c>
      <c r="BQ8" s="66">
        <v>2</v>
      </c>
      <c r="BR8" s="1" t="s">
        <v>390</v>
      </c>
      <c r="BS8" s="65">
        <v>3</v>
      </c>
      <c r="BT8" s="65">
        <v>0</v>
      </c>
      <c r="BU8" s="65">
        <v>0</v>
      </c>
      <c r="BV8" s="65">
        <v>0</v>
      </c>
      <c r="BW8" s="65">
        <v>1</v>
      </c>
      <c r="BX8" s="65">
        <v>1</v>
      </c>
      <c r="BY8" s="65">
        <v>0</v>
      </c>
      <c r="BZ8" s="65">
        <v>0</v>
      </c>
      <c r="CA8" s="66">
        <v>0</v>
      </c>
      <c r="CB8" s="1" t="s">
        <v>273</v>
      </c>
      <c r="CC8" s="65">
        <v>3</v>
      </c>
      <c r="CD8" s="65">
        <v>0</v>
      </c>
      <c r="CE8" s="65">
        <v>0</v>
      </c>
      <c r="CF8" s="65">
        <v>0</v>
      </c>
      <c r="CG8" s="65">
        <v>0</v>
      </c>
      <c r="CH8" s="65">
        <v>0</v>
      </c>
      <c r="CI8" s="65">
        <v>0</v>
      </c>
      <c r="CJ8" s="65">
        <v>0</v>
      </c>
      <c r="CK8" s="66">
        <v>0</v>
      </c>
      <c r="CL8" s="1" t="s">
        <v>272</v>
      </c>
      <c r="CM8" s="65">
        <v>3</v>
      </c>
      <c r="CN8" s="65">
        <v>0</v>
      </c>
      <c r="CO8" s="65">
        <v>0</v>
      </c>
      <c r="CP8" s="65">
        <v>0</v>
      </c>
      <c r="CQ8" s="65">
        <v>0</v>
      </c>
      <c r="CR8" s="65">
        <v>0</v>
      </c>
      <c r="CS8" s="65">
        <v>0</v>
      </c>
      <c r="CT8" s="65">
        <v>0</v>
      </c>
      <c r="CU8" s="66">
        <v>0</v>
      </c>
      <c r="CV8" s="1" t="s">
        <v>408</v>
      </c>
      <c r="CW8" s="65">
        <v>3</v>
      </c>
      <c r="CX8" s="65">
        <v>0</v>
      </c>
      <c r="CY8" s="65">
        <v>0</v>
      </c>
      <c r="CZ8" s="65">
        <v>0</v>
      </c>
      <c r="DA8" s="65">
        <v>0</v>
      </c>
      <c r="DB8" s="65">
        <v>1</v>
      </c>
      <c r="DC8" s="65">
        <v>0</v>
      </c>
      <c r="DD8" s="65">
        <v>0</v>
      </c>
      <c r="DE8" s="66">
        <v>0</v>
      </c>
      <c r="DF8" s="1" t="s">
        <v>388</v>
      </c>
      <c r="DG8" s="65">
        <v>3</v>
      </c>
      <c r="DH8" s="65">
        <v>0</v>
      </c>
      <c r="DI8" s="65">
        <v>1</v>
      </c>
      <c r="DJ8" s="65">
        <v>0</v>
      </c>
      <c r="DK8" s="65">
        <v>0</v>
      </c>
      <c r="DL8" s="65">
        <v>0</v>
      </c>
      <c r="DM8" s="65">
        <v>0</v>
      </c>
      <c r="DN8" s="65">
        <v>0</v>
      </c>
      <c r="DO8" s="66">
        <v>1</v>
      </c>
      <c r="DP8" s="1" t="s">
        <v>386</v>
      </c>
      <c r="DQ8" s="65">
        <v>3</v>
      </c>
      <c r="DR8" s="65">
        <v>0</v>
      </c>
      <c r="DS8" s="65">
        <v>0</v>
      </c>
      <c r="DT8" s="65">
        <v>0</v>
      </c>
      <c r="DU8" s="65">
        <v>0</v>
      </c>
      <c r="DV8" s="65">
        <v>0</v>
      </c>
      <c r="DW8" s="65">
        <v>0</v>
      </c>
      <c r="DX8" s="65">
        <v>0</v>
      </c>
      <c r="DY8" s="66">
        <v>0</v>
      </c>
      <c r="DZ8" s="67">
        <f>7+2/3</f>
        <v>7.666666666666667</v>
      </c>
      <c r="EA8" s="68">
        <v>2</v>
      </c>
      <c r="EB8" s="68">
        <v>0</v>
      </c>
      <c r="EC8" s="69">
        <f>1+1/3</f>
        <v>1.3333333333333333</v>
      </c>
      <c r="ED8" s="68">
        <v>0</v>
      </c>
      <c r="EE8" s="70">
        <v>0</v>
      </c>
      <c r="EF8" s="71">
        <v>0</v>
      </c>
      <c r="EG8" s="72">
        <v>0</v>
      </c>
      <c r="EH8" s="72">
        <v>0</v>
      </c>
      <c r="EI8" s="72">
        <v>0</v>
      </c>
      <c r="EJ8" s="72">
        <v>0</v>
      </c>
      <c r="EK8" s="72">
        <v>0</v>
      </c>
      <c r="EL8" s="72">
        <v>0</v>
      </c>
      <c r="EM8" s="72">
        <v>0</v>
      </c>
      <c r="EN8" s="72">
        <v>0</v>
      </c>
      <c r="EO8" s="72"/>
      <c r="EP8" s="72"/>
      <c r="EQ8" s="72"/>
      <c r="ER8" s="72"/>
      <c r="ES8" s="44">
        <f t="shared" si="0"/>
        <v>0</v>
      </c>
      <c r="ET8" s="43">
        <v>0</v>
      </c>
      <c r="EU8" s="43">
        <v>0</v>
      </c>
      <c r="EV8" s="43">
        <v>0</v>
      </c>
      <c r="EW8" s="43">
        <v>2</v>
      </c>
      <c r="EX8" s="43">
        <v>2</v>
      </c>
      <c r="EY8" s="43">
        <v>0</v>
      </c>
      <c r="EZ8" s="43">
        <v>0</v>
      </c>
      <c r="FA8" s="43">
        <v>4</v>
      </c>
      <c r="FB8" s="43">
        <v>2</v>
      </c>
      <c r="FC8" s="43"/>
      <c r="FD8" s="43"/>
      <c r="FE8" s="43"/>
      <c r="FF8" s="43"/>
      <c r="FG8" s="43">
        <f t="shared" si="1"/>
        <v>10</v>
      </c>
      <c r="FH8" s="73">
        <v>29</v>
      </c>
      <c r="FI8" s="73">
        <v>0</v>
      </c>
      <c r="FJ8" s="73">
        <v>2</v>
      </c>
      <c r="FK8" s="73">
        <v>0</v>
      </c>
      <c r="FL8" s="73">
        <v>2</v>
      </c>
      <c r="FM8" s="73">
        <v>7</v>
      </c>
      <c r="FN8" s="73">
        <f t="shared" si="2"/>
        <v>0</v>
      </c>
      <c r="FO8" s="73">
        <f t="shared" si="3"/>
        <v>0</v>
      </c>
      <c r="FP8" s="73">
        <f t="shared" si="4"/>
        <v>0</v>
      </c>
      <c r="FQ8" s="73">
        <f t="shared" si="5"/>
        <v>0</v>
      </c>
      <c r="FR8" s="73">
        <f t="shared" si="6"/>
        <v>0</v>
      </c>
      <c r="FS8" s="73">
        <f t="shared" si="7"/>
        <v>0</v>
      </c>
      <c r="FT8" s="73">
        <f t="shared" si="8"/>
        <v>0</v>
      </c>
      <c r="FU8" s="73">
        <f t="shared" si="9"/>
        <v>0</v>
      </c>
      <c r="FV8" s="73">
        <f t="shared" si="10"/>
        <v>0</v>
      </c>
      <c r="FW8" s="73">
        <f t="shared" si="11"/>
        <v>0</v>
      </c>
      <c r="FX8" s="73">
        <f t="shared" si="12"/>
        <v>0</v>
      </c>
      <c r="FY8" s="73">
        <f t="shared" si="13"/>
        <v>-2</v>
      </c>
      <c r="FZ8" s="73">
        <f t="shared" si="14"/>
        <v>-2</v>
      </c>
      <c r="GA8" s="73">
        <f t="shared" si="15"/>
        <v>0</v>
      </c>
      <c r="GB8" s="73">
        <f t="shared" si="16"/>
        <v>0</v>
      </c>
      <c r="GC8" s="73">
        <f t="shared" si="17"/>
        <v>-4</v>
      </c>
      <c r="GD8" s="73">
        <f t="shared" si="18"/>
        <v>-2</v>
      </c>
      <c r="GE8" s="73">
        <f t="shared" si="19"/>
        <v>0</v>
      </c>
      <c r="GF8" s="73">
        <f t="shared" si="20"/>
        <v>0</v>
      </c>
      <c r="GG8" s="73">
        <f t="shared" si="21"/>
        <v>0</v>
      </c>
      <c r="GH8" s="73">
        <f t="shared" si="22"/>
        <v>0</v>
      </c>
      <c r="GI8" s="73">
        <f t="shared" si="23"/>
        <v>-10</v>
      </c>
      <c r="GJ8" s="38" t="s">
        <v>249</v>
      </c>
      <c r="GK8" s="367" t="s">
        <v>691</v>
      </c>
      <c r="GL8" s="376" t="s">
        <v>691</v>
      </c>
      <c r="GM8" s="376" t="s">
        <v>692</v>
      </c>
      <c r="GP8" s="52"/>
    </row>
    <row r="9" spans="1:198" x14ac:dyDescent="0.25">
      <c r="A9" s="53">
        <v>40279</v>
      </c>
      <c r="B9" s="53" t="s">
        <v>19</v>
      </c>
      <c r="C9" s="53" t="s">
        <v>131</v>
      </c>
      <c r="D9" s="53" t="s">
        <v>132</v>
      </c>
      <c r="E9" s="54">
        <v>31253</v>
      </c>
      <c r="F9" s="62">
        <v>193</v>
      </c>
      <c r="G9" s="58">
        <v>1</v>
      </c>
      <c r="H9" s="59" t="s">
        <v>392</v>
      </c>
      <c r="I9" s="6">
        <v>0</v>
      </c>
      <c r="J9" s="6">
        <v>0</v>
      </c>
      <c r="K9" s="60">
        <f>5+1/3</f>
        <v>5.333333333333333</v>
      </c>
      <c r="L9" s="6">
        <v>4</v>
      </c>
      <c r="M9" s="6">
        <v>2</v>
      </c>
      <c r="N9" s="6">
        <v>2</v>
      </c>
      <c r="O9" s="6">
        <v>3</v>
      </c>
      <c r="P9" s="6">
        <v>5</v>
      </c>
      <c r="Q9" s="6">
        <v>0</v>
      </c>
      <c r="R9" s="6">
        <v>0</v>
      </c>
      <c r="S9" s="6">
        <v>23</v>
      </c>
      <c r="T9" s="6">
        <v>103</v>
      </c>
      <c r="U9" s="6">
        <v>65</v>
      </c>
      <c r="V9" s="6">
        <v>1</v>
      </c>
      <c r="W9" s="61">
        <v>1</v>
      </c>
      <c r="X9" s="62">
        <v>0</v>
      </c>
      <c r="Y9" s="62">
        <v>1</v>
      </c>
      <c r="Z9" s="62">
        <v>0</v>
      </c>
      <c r="AA9" s="62">
        <v>0</v>
      </c>
      <c r="AB9" s="62">
        <v>1</v>
      </c>
      <c r="AC9" s="63">
        <f>(3+(2/3))</f>
        <v>3.6666666666666665</v>
      </c>
      <c r="AD9" s="62">
        <v>5</v>
      </c>
      <c r="AE9" s="62">
        <v>5</v>
      </c>
      <c r="AF9" s="62">
        <v>5</v>
      </c>
      <c r="AG9" s="62">
        <v>1</v>
      </c>
      <c r="AH9" s="62">
        <v>1</v>
      </c>
      <c r="AI9" s="62">
        <v>2</v>
      </c>
      <c r="AJ9" s="62">
        <v>0</v>
      </c>
      <c r="AK9" s="62">
        <v>17</v>
      </c>
      <c r="AL9" s="62">
        <v>65</v>
      </c>
      <c r="AM9" s="62">
        <v>37</v>
      </c>
      <c r="AN9" s="1" t="s">
        <v>384</v>
      </c>
      <c r="AO9" s="65">
        <v>5</v>
      </c>
      <c r="AP9" s="65">
        <v>2</v>
      </c>
      <c r="AQ9" s="65">
        <v>2</v>
      </c>
      <c r="AR9" s="65">
        <v>0</v>
      </c>
      <c r="AS9" s="65">
        <v>0</v>
      </c>
      <c r="AT9" s="65">
        <v>1</v>
      </c>
      <c r="AU9" s="65">
        <v>0</v>
      </c>
      <c r="AV9" s="65">
        <v>0</v>
      </c>
      <c r="AW9" s="66">
        <v>2</v>
      </c>
      <c r="AX9" s="1" t="s">
        <v>391</v>
      </c>
      <c r="AY9" s="65">
        <v>4</v>
      </c>
      <c r="AZ9" s="65">
        <v>1</v>
      </c>
      <c r="BA9" s="65">
        <v>2</v>
      </c>
      <c r="BB9" s="65">
        <v>2</v>
      </c>
      <c r="BC9" s="65">
        <v>0</v>
      </c>
      <c r="BD9" s="65">
        <v>0</v>
      </c>
      <c r="BE9" s="65">
        <v>0</v>
      </c>
      <c r="BF9" s="65">
        <v>0</v>
      </c>
      <c r="BG9" s="66">
        <v>4</v>
      </c>
      <c r="BH9" s="1" t="s">
        <v>389</v>
      </c>
      <c r="BI9" s="65">
        <v>3</v>
      </c>
      <c r="BJ9" s="65">
        <v>0</v>
      </c>
      <c r="BK9" s="65">
        <v>1</v>
      </c>
      <c r="BL9" s="65">
        <v>0</v>
      </c>
      <c r="BM9" s="65">
        <v>0</v>
      </c>
      <c r="BN9" s="65">
        <v>2</v>
      </c>
      <c r="BO9" s="65">
        <v>0</v>
      </c>
      <c r="BP9" s="65">
        <v>0</v>
      </c>
      <c r="BQ9" s="66">
        <v>1</v>
      </c>
      <c r="BR9" s="1" t="s">
        <v>390</v>
      </c>
      <c r="BS9" s="65">
        <v>3</v>
      </c>
      <c r="BT9" s="65">
        <v>0</v>
      </c>
      <c r="BU9" s="65">
        <v>1</v>
      </c>
      <c r="BV9" s="65">
        <v>0</v>
      </c>
      <c r="BW9" s="65">
        <v>1</v>
      </c>
      <c r="BX9" s="65">
        <v>0</v>
      </c>
      <c r="BY9" s="65">
        <v>0</v>
      </c>
      <c r="BZ9" s="65">
        <v>0</v>
      </c>
      <c r="CA9" s="66">
        <v>1</v>
      </c>
      <c r="CB9" s="1" t="s">
        <v>274</v>
      </c>
      <c r="CC9" s="65">
        <v>2</v>
      </c>
      <c r="CD9" s="65">
        <v>0</v>
      </c>
      <c r="CE9" s="65">
        <v>0</v>
      </c>
      <c r="CF9" s="65">
        <v>1</v>
      </c>
      <c r="CG9" s="65">
        <v>2</v>
      </c>
      <c r="CH9" s="65">
        <v>0</v>
      </c>
      <c r="CI9" s="65">
        <v>0</v>
      </c>
      <c r="CJ9" s="65">
        <v>0</v>
      </c>
      <c r="CK9" s="66">
        <v>0</v>
      </c>
      <c r="CL9" s="1" t="s">
        <v>273</v>
      </c>
      <c r="CM9" s="65">
        <v>3</v>
      </c>
      <c r="CN9" s="65">
        <v>0</v>
      </c>
      <c r="CO9" s="65">
        <v>0</v>
      </c>
      <c r="CP9" s="65">
        <v>0</v>
      </c>
      <c r="CQ9" s="65">
        <v>1</v>
      </c>
      <c r="CR9" s="65">
        <v>0</v>
      </c>
      <c r="CS9" s="65">
        <v>0</v>
      </c>
      <c r="CT9" s="65">
        <v>0</v>
      </c>
      <c r="CU9" s="66">
        <v>0</v>
      </c>
      <c r="CV9" s="1" t="s">
        <v>408</v>
      </c>
      <c r="CW9" s="65">
        <v>4</v>
      </c>
      <c r="CX9" s="65">
        <v>0</v>
      </c>
      <c r="CY9" s="65">
        <v>2</v>
      </c>
      <c r="CZ9" s="65">
        <v>0</v>
      </c>
      <c r="DA9" s="65">
        <v>0</v>
      </c>
      <c r="DB9" s="65">
        <v>0</v>
      </c>
      <c r="DC9" s="65">
        <v>0</v>
      </c>
      <c r="DD9" s="65">
        <v>0</v>
      </c>
      <c r="DE9" s="66">
        <v>2</v>
      </c>
      <c r="DF9" s="1" t="s">
        <v>406</v>
      </c>
      <c r="DG9" s="65">
        <v>4</v>
      </c>
      <c r="DH9" s="65">
        <v>0</v>
      </c>
      <c r="DI9" s="65">
        <v>1</v>
      </c>
      <c r="DJ9" s="65">
        <v>0</v>
      </c>
      <c r="DK9" s="65">
        <v>0</v>
      </c>
      <c r="DL9" s="65">
        <v>0</v>
      </c>
      <c r="DM9" s="65">
        <v>0</v>
      </c>
      <c r="DN9" s="65">
        <v>0</v>
      </c>
      <c r="DO9" s="66">
        <v>1</v>
      </c>
      <c r="DP9" s="1" t="s">
        <v>271</v>
      </c>
      <c r="DQ9" s="65">
        <v>3</v>
      </c>
      <c r="DR9" s="65">
        <v>0</v>
      </c>
      <c r="DS9" s="65">
        <v>0</v>
      </c>
      <c r="DT9" s="65">
        <v>0</v>
      </c>
      <c r="DU9" s="65">
        <v>1</v>
      </c>
      <c r="DV9" s="65">
        <v>0</v>
      </c>
      <c r="DW9" s="65">
        <v>0</v>
      </c>
      <c r="DX9" s="65">
        <v>0</v>
      </c>
      <c r="DY9" s="66">
        <v>0</v>
      </c>
      <c r="DZ9" s="67">
        <v>0</v>
      </c>
      <c r="EA9" s="68">
        <v>0</v>
      </c>
      <c r="EB9" s="68">
        <v>0</v>
      </c>
      <c r="EC9" s="69">
        <v>9</v>
      </c>
      <c r="ED9" s="68">
        <v>2</v>
      </c>
      <c r="EE9" s="70">
        <v>0</v>
      </c>
      <c r="EF9" s="71">
        <v>2</v>
      </c>
      <c r="EG9" s="72">
        <v>0</v>
      </c>
      <c r="EH9" s="72">
        <v>0</v>
      </c>
      <c r="EI9" s="72">
        <v>0</v>
      </c>
      <c r="EJ9" s="72">
        <v>0</v>
      </c>
      <c r="EK9" s="72">
        <v>0</v>
      </c>
      <c r="EL9" s="72">
        <v>0</v>
      </c>
      <c r="EM9" s="72">
        <v>1</v>
      </c>
      <c r="EN9" s="72">
        <v>0</v>
      </c>
      <c r="EO9" s="72"/>
      <c r="EP9" s="72"/>
      <c r="EQ9" s="72"/>
      <c r="ER9" s="72"/>
      <c r="ES9" s="44">
        <f t="shared" si="0"/>
        <v>3</v>
      </c>
      <c r="ET9" s="43">
        <v>0</v>
      </c>
      <c r="EU9" s="43">
        <v>1</v>
      </c>
      <c r="EV9" s="43">
        <v>0</v>
      </c>
      <c r="EW9" s="43">
        <v>0</v>
      </c>
      <c r="EX9" s="43">
        <v>0</v>
      </c>
      <c r="EY9" s="43">
        <v>3</v>
      </c>
      <c r="EZ9" s="43">
        <v>2</v>
      </c>
      <c r="FA9" s="43">
        <v>1</v>
      </c>
      <c r="FB9" s="43">
        <v>0</v>
      </c>
      <c r="FC9" s="43"/>
      <c r="FD9" s="43"/>
      <c r="FE9" s="43"/>
      <c r="FF9" s="43"/>
      <c r="FG9" s="43">
        <f t="shared" si="1"/>
        <v>7</v>
      </c>
      <c r="FH9" s="73">
        <v>31</v>
      </c>
      <c r="FI9" s="73">
        <v>3</v>
      </c>
      <c r="FJ9" s="73">
        <v>9</v>
      </c>
      <c r="FK9" s="73">
        <v>3</v>
      </c>
      <c r="FL9" s="73">
        <v>5</v>
      </c>
      <c r="FM9" s="73">
        <v>3</v>
      </c>
      <c r="FN9" s="73">
        <f t="shared" si="2"/>
        <v>0</v>
      </c>
      <c r="FO9" s="73">
        <f t="shared" si="3"/>
        <v>0</v>
      </c>
      <c r="FP9" s="73">
        <f t="shared" si="4"/>
        <v>0</v>
      </c>
      <c r="FQ9" s="73">
        <f t="shared" si="5"/>
        <v>0</v>
      </c>
      <c r="FR9" s="73">
        <f t="shared" si="6"/>
        <v>0</v>
      </c>
      <c r="FS9" s="73">
        <f t="shared" si="7"/>
        <v>0</v>
      </c>
      <c r="FT9" s="73">
        <f t="shared" si="8"/>
        <v>0</v>
      </c>
      <c r="FU9" s="73">
        <f t="shared" si="9"/>
        <v>0</v>
      </c>
      <c r="FV9" s="73">
        <f t="shared" si="10"/>
        <v>2</v>
      </c>
      <c r="FW9" s="73">
        <f t="shared" si="11"/>
        <v>-1</v>
      </c>
      <c r="FX9" s="73">
        <f t="shared" si="12"/>
        <v>0</v>
      </c>
      <c r="FY9" s="73">
        <f t="shared" si="13"/>
        <v>0</v>
      </c>
      <c r="FZ9" s="73">
        <f t="shared" si="14"/>
        <v>0</v>
      </c>
      <c r="GA9" s="73">
        <f t="shared" si="15"/>
        <v>-3</v>
      </c>
      <c r="GB9" s="73">
        <f t="shared" si="16"/>
        <v>-2</v>
      </c>
      <c r="GC9" s="73">
        <f t="shared" si="17"/>
        <v>0</v>
      </c>
      <c r="GD9" s="73">
        <f t="shared" si="18"/>
        <v>0</v>
      </c>
      <c r="GE9" s="73">
        <f t="shared" si="19"/>
        <v>0</v>
      </c>
      <c r="GF9" s="73">
        <f t="shared" si="20"/>
        <v>0</v>
      </c>
      <c r="GG9" s="73">
        <f t="shared" si="21"/>
        <v>0</v>
      </c>
      <c r="GH9" s="73">
        <f t="shared" si="22"/>
        <v>0</v>
      </c>
      <c r="GI9" s="73">
        <f t="shared" si="23"/>
        <v>-4</v>
      </c>
      <c r="GJ9" s="38"/>
      <c r="GK9" s="367" t="s">
        <v>693</v>
      </c>
      <c r="GL9" s="376" t="s">
        <v>691</v>
      </c>
      <c r="GM9" s="376" t="s">
        <v>692</v>
      </c>
      <c r="GP9" s="52"/>
    </row>
    <row r="10" spans="1:198" ht="15" customHeight="1" x14ac:dyDescent="0.25">
      <c r="A10" s="53">
        <v>40280</v>
      </c>
      <c r="B10" s="53" t="s">
        <v>133</v>
      </c>
      <c r="C10" s="53" t="s">
        <v>129</v>
      </c>
      <c r="D10" s="53" t="s">
        <v>130</v>
      </c>
      <c r="E10" s="54">
        <v>9129</v>
      </c>
      <c r="F10" s="62">
        <v>171</v>
      </c>
      <c r="G10" s="58">
        <v>2</v>
      </c>
      <c r="H10" s="59" t="s">
        <v>396</v>
      </c>
      <c r="I10" s="6">
        <v>1</v>
      </c>
      <c r="J10" s="6">
        <v>0</v>
      </c>
      <c r="K10" s="60">
        <v>8</v>
      </c>
      <c r="L10" s="6">
        <v>6</v>
      </c>
      <c r="M10" s="6">
        <v>1</v>
      </c>
      <c r="N10" s="6">
        <v>1</v>
      </c>
      <c r="O10" s="6">
        <v>3</v>
      </c>
      <c r="P10" s="6">
        <v>5</v>
      </c>
      <c r="Q10" s="6">
        <v>1</v>
      </c>
      <c r="R10" s="6">
        <v>0</v>
      </c>
      <c r="S10" s="6">
        <v>30</v>
      </c>
      <c r="T10" s="6">
        <v>103</v>
      </c>
      <c r="U10" s="6">
        <v>64</v>
      </c>
      <c r="V10" s="6">
        <v>0</v>
      </c>
      <c r="W10" s="61">
        <v>0</v>
      </c>
      <c r="X10" s="62">
        <v>0</v>
      </c>
      <c r="Y10" s="62">
        <v>0</v>
      </c>
      <c r="Z10" s="62">
        <v>0</v>
      </c>
      <c r="AA10" s="62">
        <v>0</v>
      </c>
      <c r="AB10" s="62">
        <v>0</v>
      </c>
      <c r="AC10" s="63">
        <v>1</v>
      </c>
      <c r="AD10" s="62">
        <v>0</v>
      </c>
      <c r="AE10" s="62">
        <v>0</v>
      </c>
      <c r="AF10" s="62">
        <v>0</v>
      </c>
      <c r="AG10" s="62">
        <v>1</v>
      </c>
      <c r="AH10" s="62">
        <v>2</v>
      </c>
      <c r="AI10" s="62">
        <v>0</v>
      </c>
      <c r="AJ10" s="62">
        <v>0</v>
      </c>
      <c r="AK10" s="62">
        <v>4</v>
      </c>
      <c r="AL10" s="62">
        <v>18</v>
      </c>
      <c r="AM10" s="62">
        <v>10</v>
      </c>
      <c r="AN10" s="1" t="s">
        <v>384</v>
      </c>
      <c r="AO10" s="65">
        <v>5</v>
      </c>
      <c r="AP10" s="65">
        <v>0</v>
      </c>
      <c r="AQ10" s="65">
        <v>1</v>
      </c>
      <c r="AR10" s="65">
        <v>0</v>
      </c>
      <c r="AS10" s="65">
        <v>0</v>
      </c>
      <c r="AT10" s="65">
        <v>1</v>
      </c>
      <c r="AU10" s="65">
        <v>0</v>
      </c>
      <c r="AV10" s="65">
        <v>0</v>
      </c>
      <c r="AW10" s="66">
        <v>2</v>
      </c>
      <c r="AX10" s="1" t="s">
        <v>391</v>
      </c>
      <c r="AY10" s="65">
        <v>4</v>
      </c>
      <c r="AZ10" s="65">
        <v>2</v>
      </c>
      <c r="BA10" s="65">
        <v>4</v>
      </c>
      <c r="BB10" s="65">
        <v>1</v>
      </c>
      <c r="BC10" s="65">
        <v>0</v>
      </c>
      <c r="BD10" s="65">
        <v>0</v>
      </c>
      <c r="BE10" s="65">
        <v>0</v>
      </c>
      <c r="BF10" s="65">
        <v>0</v>
      </c>
      <c r="BG10" s="66">
        <v>8</v>
      </c>
      <c r="BH10" s="1" t="s">
        <v>389</v>
      </c>
      <c r="BI10" s="65">
        <v>4</v>
      </c>
      <c r="BJ10" s="65">
        <v>1</v>
      </c>
      <c r="BK10" s="65">
        <v>2</v>
      </c>
      <c r="BL10" s="65">
        <v>1</v>
      </c>
      <c r="BM10" s="65">
        <v>0</v>
      </c>
      <c r="BN10" s="65">
        <v>1</v>
      </c>
      <c r="BO10" s="65">
        <v>0</v>
      </c>
      <c r="BP10" s="65">
        <v>0</v>
      </c>
      <c r="BQ10" s="66">
        <v>4</v>
      </c>
      <c r="BR10" s="1" t="s">
        <v>390</v>
      </c>
      <c r="BS10" s="65">
        <v>3</v>
      </c>
      <c r="BT10" s="65">
        <v>0</v>
      </c>
      <c r="BU10" s="65">
        <v>0</v>
      </c>
      <c r="BV10" s="65">
        <v>1</v>
      </c>
      <c r="BW10" s="65">
        <v>0</v>
      </c>
      <c r="BX10" s="65">
        <v>1</v>
      </c>
      <c r="BY10" s="65">
        <v>0</v>
      </c>
      <c r="BZ10" s="65">
        <v>1</v>
      </c>
      <c r="CA10" s="66">
        <v>0</v>
      </c>
      <c r="CB10" s="1" t="s">
        <v>274</v>
      </c>
      <c r="CC10" s="65">
        <v>4</v>
      </c>
      <c r="CD10" s="65">
        <v>0</v>
      </c>
      <c r="CE10" s="65">
        <v>1</v>
      </c>
      <c r="CF10" s="65">
        <v>0</v>
      </c>
      <c r="CG10" s="65">
        <v>0</v>
      </c>
      <c r="CH10" s="65">
        <v>2</v>
      </c>
      <c r="CI10" s="65">
        <v>0</v>
      </c>
      <c r="CJ10" s="65">
        <v>0</v>
      </c>
      <c r="CK10" s="66">
        <v>1</v>
      </c>
      <c r="CL10" s="1" t="s">
        <v>273</v>
      </c>
      <c r="CM10" s="65">
        <v>4</v>
      </c>
      <c r="CN10" s="65">
        <v>1</v>
      </c>
      <c r="CO10" s="65">
        <v>1</v>
      </c>
      <c r="CP10" s="65">
        <v>0</v>
      </c>
      <c r="CQ10" s="65">
        <v>0</v>
      </c>
      <c r="CR10" s="65">
        <v>2</v>
      </c>
      <c r="CS10" s="65">
        <v>0</v>
      </c>
      <c r="CT10" s="65">
        <v>0</v>
      </c>
      <c r="CU10" s="66">
        <v>1</v>
      </c>
      <c r="CV10" s="1" t="s">
        <v>408</v>
      </c>
      <c r="CW10" s="65">
        <v>4</v>
      </c>
      <c r="CX10" s="65">
        <v>0</v>
      </c>
      <c r="CY10" s="65">
        <v>1</v>
      </c>
      <c r="CZ10" s="65">
        <v>0</v>
      </c>
      <c r="DA10" s="65">
        <v>0</v>
      </c>
      <c r="DB10" s="65">
        <v>0</v>
      </c>
      <c r="DC10" s="65">
        <v>0</v>
      </c>
      <c r="DD10" s="65">
        <v>0</v>
      </c>
      <c r="DE10" s="66">
        <v>1</v>
      </c>
      <c r="DF10" s="1" t="s">
        <v>385</v>
      </c>
      <c r="DG10" s="65">
        <v>4</v>
      </c>
      <c r="DH10" s="65">
        <v>1</v>
      </c>
      <c r="DI10" s="65">
        <v>2</v>
      </c>
      <c r="DJ10" s="65">
        <v>2</v>
      </c>
      <c r="DK10" s="65">
        <v>0</v>
      </c>
      <c r="DL10" s="65">
        <v>0</v>
      </c>
      <c r="DM10" s="65">
        <v>0</v>
      </c>
      <c r="DN10" s="65">
        <v>0</v>
      </c>
      <c r="DO10" s="66">
        <v>5</v>
      </c>
      <c r="DP10" s="1" t="s">
        <v>406</v>
      </c>
      <c r="DQ10" s="65">
        <v>4</v>
      </c>
      <c r="DR10" s="65">
        <v>0</v>
      </c>
      <c r="DS10" s="65">
        <v>0</v>
      </c>
      <c r="DT10" s="65">
        <v>0</v>
      </c>
      <c r="DU10" s="65">
        <v>0</v>
      </c>
      <c r="DV10" s="65">
        <v>1</v>
      </c>
      <c r="DW10" s="65">
        <v>0</v>
      </c>
      <c r="DX10" s="65">
        <v>0</v>
      </c>
      <c r="DY10" s="66">
        <v>0</v>
      </c>
      <c r="DZ10" s="67">
        <f>1+1/3</f>
        <v>1.3333333333333333</v>
      </c>
      <c r="EA10" s="68">
        <v>0</v>
      </c>
      <c r="EB10" s="68">
        <v>0</v>
      </c>
      <c r="EC10" s="69">
        <f>7+2/3</f>
        <v>7.666666666666667</v>
      </c>
      <c r="ED10" s="68">
        <v>0</v>
      </c>
      <c r="EE10" s="70">
        <v>0</v>
      </c>
      <c r="EF10" s="71">
        <v>0</v>
      </c>
      <c r="EG10" s="72">
        <v>0</v>
      </c>
      <c r="EH10" s="72">
        <v>1</v>
      </c>
      <c r="EI10" s="72">
        <v>0</v>
      </c>
      <c r="EJ10" s="72">
        <v>0</v>
      </c>
      <c r="EK10" s="72">
        <v>2</v>
      </c>
      <c r="EL10" s="72">
        <v>0</v>
      </c>
      <c r="EM10" s="72">
        <v>1</v>
      </c>
      <c r="EN10" s="72">
        <v>1</v>
      </c>
      <c r="EO10" s="72"/>
      <c r="EP10" s="72"/>
      <c r="EQ10" s="72"/>
      <c r="ER10" s="72"/>
      <c r="ES10" s="44">
        <f t="shared" si="0"/>
        <v>5</v>
      </c>
      <c r="ET10" s="43">
        <v>1</v>
      </c>
      <c r="EU10" s="43">
        <v>0</v>
      </c>
      <c r="EV10" s="43">
        <v>0</v>
      </c>
      <c r="EW10" s="43">
        <v>0</v>
      </c>
      <c r="EX10" s="43">
        <v>0</v>
      </c>
      <c r="EY10" s="43">
        <v>0</v>
      </c>
      <c r="EZ10" s="43">
        <v>0</v>
      </c>
      <c r="FA10" s="43">
        <v>0</v>
      </c>
      <c r="FB10" s="43">
        <v>0</v>
      </c>
      <c r="FC10" s="43"/>
      <c r="FD10" s="43"/>
      <c r="FE10" s="43"/>
      <c r="FF10" s="43"/>
      <c r="FG10" s="43">
        <f t="shared" si="1"/>
        <v>1</v>
      </c>
      <c r="FH10" s="73">
        <v>36</v>
      </c>
      <c r="FI10" s="73">
        <v>5</v>
      </c>
      <c r="FJ10" s="73">
        <v>12</v>
      </c>
      <c r="FK10" s="73">
        <v>5</v>
      </c>
      <c r="FL10" s="73">
        <v>0</v>
      </c>
      <c r="FM10" s="73">
        <v>8</v>
      </c>
      <c r="FN10" s="73">
        <f t="shared" si="2"/>
        <v>0</v>
      </c>
      <c r="FO10" s="73">
        <f t="shared" si="3"/>
        <v>0</v>
      </c>
      <c r="FP10" s="73">
        <f t="shared" si="4"/>
        <v>0</v>
      </c>
      <c r="FQ10" s="73">
        <f t="shared" si="5"/>
        <v>0</v>
      </c>
      <c r="FR10" s="73">
        <f t="shared" si="6"/>
        <v>0</v>
      </c>
      <c r="FS10" s="73">
        <f t="shared" si="7"/>
        <v>0</v>
      </c>
      <c r="FT10" s="73">
        <f t="shared" si="8"/>
        <v>0</v>
      </c>
      <c r="FU10" s="73">
        <f t="shared" si="9"/>
        <v>0</v>
      </c>
      <c r="FV10" s="73">
        <f t="shared" si="10"/>
        <v>-1</v>
      </c>
      <c r="FW10" s="73">
        <f t="shared" si="11"/>
        <v>0</v>
      </c>
      <c r="FX10" s="73">
        <f t="shared" si="12"/>
        <v>1</v>
      </c>
      <c r="FY10" s="73">
        <f t="shared" si="13"/>
        <v>0</v>
      </c>
      <c r="FZ10" s="73">
        <f t="shared" si="14"/>
        <v>0</v>
      </c>
      <c r="GA10" s="73">
        <f t="shared" si="15"/>
        <v>2</v>
      </c>
      <c r="GB10" s="73">
        <f t="shared" si="16"/>
        <v>0</v>
      </c>
      <c r="GC10" s="73">
        <f t="shared" si="17"/>
        <v>1</v>
      </c>
      <c r="GD10" s="73">
        <f t="shared" si="18"/>
        <v>1</v>
      </c>
      <c r="GE10" s="73">
        <f t="shared" si="19"/>
        <v>0</v>
      </c>
      <c r="GF10" s="73">
        <f t="shared" si="20"/>
        <v>0</v>
      </c>
      <c r="GG10" s="73">
        <f t="shared" si="21"/>
        <v>0</v>
      </c>
      <c r="GH10" s="73">
        <f t="shared" si="22"/>
        <v>0</v>
      </c>
      <c r="GI10" s="73">
        <f t="shared" si="23"/>
        <v>4</v>
      </c>
      <c r="GJ10" s="38"/>
      <c r="GK10" s="367" t="s">
        <v>694</v>
      </c>
      <c r="GL10" s="376" t="s">
        <v>694</v>
      </c>
      <c r="GM10" s="376" t="s">
        <v>692</v>
      </c>
      <c r="GP10" s="52"/>
    </row>
    <row r="11" spans="1:198" ht="15" customHeight="1" x14ac:dyDescent="0.25">
      <c r="A11" s="53">
        <v>40281</v>
      </c>
      <c r="B11" s="53" t="s">
        <v>133</v>
      </c>
      <c r="C11" s="53" t="s">
        <v>129</v>
      </c>
      <c r="D11" s="53" t="s">
        <v>130</v>
      </c>
      <c r="E11" s="54">
        <v>13731</v>
      </c>
      <c r="F11" s="62">
        <v>212</v>
      </c>
      <c r="G11" s="58">
        <v>3</v>
      </c>
      <c r="H11" s="59" t="s">
        <v>395</v>
      </c>
      <c r="I11" s="6">
        <v>0</v>
      </c>
      <c r="J11" s="6">
        <v>0</v>
      </c>
      <c r="K11" s="60">
        <v>7</v>
      </c>
      <c r="L11" s="6">
        <v>8</v>
      </c>
      <c r="M11" s="6">
        <v>3</v>
      </c>
      <c r="N11" s="6">
        <v>3</v>
      </c>
      <c r="O11" s="6">
        <v>1</v>
      </c>
      <c r="P11" s="6">
        <v>3</v>
      </c>
      <c r="Q11" s="6">
        <v>1</v>
      </c>
      <c r="R11" s="6">
        <v>2</v>
      </c>
      <c r="S11" s="6">
        <v>32</v>
      </c>
      <c r="T11" s="6">
        <v>103</v>
      </c>
      <c r="U11" s="6">
        <v>67</v>
      </c>
      <c r="V11" s="6">
        <v>0</v>
      </c>
      <c r="W11" s="61">
        <v>0</v>
      </c>
      <c r="X11" s="62">
        <v>1</v>
      </c>
      <c r="Y11" s="62">
        <v>0</v>
      </c>
      <c r="Z11" s="62">
        <v>1</v>
      </c>
      <c r="AA11" s="62">
        <v>1</v>
      </c>
      <c r="AB11" s="62">
        <v>1</v>
      </c>
      <c r="AC11" s="63">
        <v>3</v>
      </c>
      <c r="AD11" s="62">
        <v>3</v>
      </c>
      <c r="AE11" s="62">
        <v>3</v>
      </c>
      <c r="AF11" s="62">
        <v>3</v>
      </c>
      <c r="AG11" s="62">
        <v>1</v>
      </c>
      <c r="AH11" s="62">
        <v>1</v>
      </c>
      <c r="AI11" s="62">
        <v>2</v>
      </c>
      <c r="AJ11" s="62">
        <v>0</v>
      </c>
      <c r="AK11" s="62">
        <v>13</v>
      </c>
      <c r="AL11" s="62">
        <v>48</v>
      </c>
      <c r="AM11" s="62">
        <v>31</v>
      </c>
      <c r="AN11" s="1" t="s">
        <v>384</v>
      </c>
      <c r="AO11" s="65">
        <v>4</v>
      </c>
      <c r="AP11" s="65">
        <v>1</v>
      </c>
      <c r="AQ11" s="65">
        <v>1</v>
      </c>
      <c r="AR11" s="65">
        <v>0</v>
      </c>
      <c r="AS11" s="65">
        <v>0</v>
      </c>
      <c r="AT11" s="65">
        <v>0</v>
      </c>
      <c r="AU11" s="65">
        <v>1</v>
      </c>
      <c r="AV11" s="65">
        <v>0</v>
      </c>
      <c r="AW11" s="66">
        <v>1</v>
      </c>
      <c r="AX11" s="1" t="s">
        <v>271</v>
      </c>
      <c r="AY11" s="65">
        <v>5</v>
      </c>
      <c r="AZ11" s="65">
        <v>1</v>
      </c>
      <c r="BA11" s="65">
        <v>1</v>
      </c>
      <c r="BB11" s="65">
        <v>1</v>
      </c>
      <c r="BC11" s="65">
        <v>0</v>
      </c>
      <c r="BD11" s="65">
        <v>1</v>
      </c>
      <c r="BE11" s="65">
        <v>0</v>
      </c>
      <c r="BF11" s="65">
        <v>0</v>
      </c>
      <c r="BG11" s="66">
        <v>1</v>
      </c>
      <c r="BH11" s="1" t="s">
        <v>389</v>
      </c>
      <c r="BI11" s="65">
        <v>4</v>
      </c>
      <c r="BJ11" s="65">
        <v>1</v>
      </c>
      <c r="BK11" s="65">
        <v>1</v>
      </c>
      <c r="BL11" s="65">
        <v>0</v>
      </c>
      <c r="BM11" s="65">
        <v>1</v>
      </c>
      <c r="BN11" s="65">
        <v>0</v>
      </c>
      <c r="BO11" s="65">
        <v>0</v>
      </c>
      <c r="BP11" s="65">
        <v>0</v>
      </c>
      <c r="BQ11" s="66">
        <v>1</v>
      </c>
      <c r="BR11" s="1" t="s">
        <v>390</v>
      </c>
      <c r="BS11" s="65">
        <v>4</v>
      </c>
      <c r="BT11" s="65">
        <v>2</v>
      </c>
      <c r="BU11" s="65">
        <v>1</v>
      </c>
      <c r="BV11" s="65">
        <v>2</v>
      </c>
      <c r="BW11" s="65">
        <v>1</v>
      </c>
      <c r="BX11" s="65">
        <v>2</v>
      </c>
      <c r="BY11" s="65">
        <v>0</v>
      </c>
      <c r="BZ11" s="65">
        <v>0</v>
      </c>
      <c r="CA11" s="66">
        <v>1</v>
      </c>
      <c r="CB11" s="1" t="s">
        <v>274</v>
      </c>
      <c r="CC11" s="65">
        <v>5</v>
      </c>
      <c r="CD11" s="65">
        <v>1</v>
      </c>
      <c r="CE11" s="65">
        <v>3</v>
      </c>
      <c r="CF11" s="65">
        <v>4</v>
      </c>
      <c r="CG11" s="65">
        <v>0</v>
      </c>
      <c r="CH11" s="65">
        <v>2</v>
      </c>
      <c r="CI11" s="65">
        <v>1</v>
      </c>
      <c r="CJ11" s="65">
        <v>0</v>
      </c>
      <c r="CK11" s="66">
        <v>6</v>
      </c>
      <c r="CL11" s="1" t="s">
        <v>273</v>
      </c>
      <c r="CM11" s="65">
        <v>4</v>
      </c>
      <c r="CN11" s="65">
        <v>0</v>
      </c>
      <c r="CO11" s="65">
        <v>2</v>
      </c>
      <c r="CP11" s="65">
        <v>1</v>
      </c>
      <c r="CQ11" s="65">
        <v>1</v>
      </c>
      <c r="CR11" s="65">
        <v>1</v>
      </c>
      <c r="CS11" s="65">
        <v>0</v>
      </c>
      <c r="CT11" s="65">
        <v>0</v>
      </c>
      <c r="CU11" s="66">
        <v>3</v>
      </c>
      <c r="CV11" s="1" t="s">
        <v>272</v>
      </c>
      <c r="CW11" s="65">
        <v>5</v>
      </c>
      <c r="CX11" s="65">
        <v>0</v>
      </c>
      <c r="CY11" s="65">
        <v>0</v>
      </c>
      <c r="CZ11" s="65">
        <v>0</v>
      </c>
      <c r="DA11" s="65">
        <v>0</v>
      </c>
      <c r="DB11" s="65">
        <v>2</v>
      </c>
      <c r="DC11" s="65">
        <v>0</v>
      </c>
      <c r="DD11" s="65">
        <v>0</v>
      </c>
      <c r="DE11" s="66">
        <v>0</v>
      </c>
      <c r="DF11" s="1" t="s">
        <v>406</v>
      </c>
      <c r="DG11" s="65">
        <v>5</v>
      </c>
      <c r="DH11" s="65">
        <v>1</v>
      </c>
      <c r="DI11" s="65">
        <v>1</v>
      </c>
      <c r="DJ11" s="65">
        <v>0</v>
      </c>
      <c r="DK11" s="65">
        <v>0</v>
      </c>
      <c r="DL11" s="65">
        <v>0</v>
      </c>
      <c r="DM11" s="65">
        <v>0</v>
      </c>
      <c r="DN11" s="65">
        <v>0</v>
      </c>
      <c r="DO11" s="66">
        <v>1</v>
      </c>
      <c r="DP11" s="1" t="s">
        <v>386</v>
      </c>
      <c r="DQ11" s="65">
        <v>4</v>
      </c>
      <c r="DR11" s="65">
        <v>1</v>
      </c>
      <c r="DS11" s="65">
        <v>1</v>
      </c>
      <c r="DT11" s="65">
        <v>0</v>
      </c>
      <c r="DU11" s="65">
        <v>0</v>
      </c>
      <c r="DV11" s="65">
        <v>0</v>
      </c>
      <c r="DW11" s="65">
        <v>0</v>
      </c>
      <c r="DX11" s="65">
        <v>0</v>
      </c>
      <c r="DY11" s="66">
        <v>1</v>
      </c>
      <c r="DZ11" s="67">
        <f>8+1/3</f>
        <v>8.3333333333333339</v>
      </c>
      <c r="EA11" s="68">
        <v>0</v>
      </c>
      <c r="EB11" s="68">
        <v>0</v>
      </c>
      <c r="EC11" s="69">
        <f>1+2/3</f>
        <v>1.6666666666666665</v>
      </c>
      <c r="ED11" s="68">
        <v>0</v>
      </c>
      <c r="EE11" s="70">
        <v>1</v>
      </c>
      <c r="EF11" s="71">
        <v>0</v>
      </c>
      <c r="EG11" s="72">
        <v>0</v>
      </c>
      <c r="EH11" s="72">
        <v>0</v>
      </c>
      <c r="EI11" s="72">
        <v>0</v>
      </c>
      <c r="EJ11" s="72">
        <v>0</v>
      </c>
      <c r="EK11" s="72">
        <v>0</v>
      </c>
      <c r="EL11" s="72">
        <v>0</v>
      </c>
      <c r="EM11" s="72">
        <v>5</v>
      </c>
      <c r="EN11" s="72">
        <v>0</v>
      </c>
      <c r="EO11" s="72">
        <v>3</v>
      </c>
      <c r="EP11" s="72"/>
      <c r="EQ11" s="72"/>
      <c r="ER11" s="72"/>
      <c r="ES11" s="44">
        <f t="shared" si="0"/>
        <v>8</v>
      </c>
      <c r="ET11" s="43">
        <v>0</v>
      </c>
      <c r="EU11" s="43">
        <v>0</v>
      </c>
      <c r="EV11" s="43">
        <v>1</v>
      </c>
      <c r="EW11" s="43">
        <v>0</v>
      </c>
      <c r="EX11" s="43">
        <v>0</v>
      </c>
      <c r="EY11" s="43">
        <v>2</v>
      </c>
      <c r="EZ11" s="43">
        <v>0</v>
      </c>
      <c r="FA11" s="43">
        <v>2</v>
      </c>
      <c r="FB11" s="43">
        <v>0</v>
      </c>
      <c r="FC11" s="43">
        <v>1</v>
      </c>
      <c r="FD11" s="43"/>
      <c r="FE11" s="43"/>
      <c r="FF11" s="43"/>
      <c r="FG11" s="43">
        <f t="shared" si="1"/>
        <v>6</v>
      </c>
      <c r="FH11" s="73">
        <v>40</v>
      </c>
      <c r="FI11" s="73">
        <v>8</v>
      </c>
      <c r="FJ11" s="73">
        <v>11</v>
      </c>
      <c r="FK11" s="73">
        <v>8</v>
      </c>
      <c r="FL11" s="73">
        <v>3</v>
      </c>
      <c r="FM11" s="73">
        <v>8</v>
      </c>
      <c r="FN11" s="73">
        <f t="shared" si="2"/>
        <v>0</v>
      </c>
      <c r="FO11" s="73">
        <f t="shared" si="3"/>
        <v>0</v>
      </c>
      <c r="FP11" s="73">
        <f t="shared" si="4"/>
        <v>0</v>
      </c>
      <c r="FQ11" s="73">
        <f t="shared" si="5"/>
        <v>0</v>
      </c>
      <c r="FR11" s="73">
        <f t="shared" si="6"/>
        <v>0</v>
      </c>
      <c r="FS11" s="73">
        <f t="shared" si="7"/>
        <v>0</v>
      </c>
      <c r="FT11" s="73">
        <f t="shared" si="8"/>
        <v>0</v>
      </c>
      <c r="FU11" s="73">
        <f t="shared" si="9"/>
        <v>0</v>
      </c>
      <c r="FV11" s="73">
        <f t="shared" si="10"/>
        <v>0</v>
      </c>
      <c r="FW11" s="73">
        <f t="shared" si="11"/>
        <v>0</v>
      </c>
      <c r="FX11" s="73">
        <f t="shared" si="12"/>
        <v>-1</v>
      </c>
      <c r="FY11" s="73">
        <f t="shared" si="13"/>
        <v>0</v>
      </c>
      <c r="FZ11" s="73">
        <f t="shared" si="14"/>
        <v>0</v>
      </c>
      <c r="GA11" s="73">
        <f t="shared" si="15"/>
        <v>-2</v>
      </c>
      <c r="GB11" s="73">
        <f t="shared" si="16"/>
        <v>0</v>
      </c>
      <c r="GC11" s="73">
        <f t="shared" si="17"/>
        <v>3</v>
      </c>
      <c r="GD11" s="73">
        <f t="shared" si="18"/>
        <v>0</v>
      </c>
      <c r="GE11" s="73">
        <f t="shared" si="19"/>
        <v>2</v>
      </c>
      <c r="GF11" s="73">
        <f t="shared" si="20"/>
        <v>0</v>
      </c>
      <c r="GG11" s="73">
        <f t="shared" si="21"/>
        <v>0</v>
      </c>
      <c r="GH11" s="73">
        <f t="shared" si="22"/>
        <v>0</v>
      </c>
      <c r="GI11" s="73">
        <f t="shared" si="23"/>
        <v>2</v>
      </c>
      <c r="GJ11" s="38"/>
      <c r="GK11" s="367" t="s">
        <v>694</v>
      </c>
      <c r="GL11" s="376" t="s">
        <v>694</v>
      </c>
      <c r="GM11" s="376" t="s">
        <v>692</v>
      </c>
      <c r="GP11" s="52"/>
    </row>
    <row r="12" spans="1:198" ht="15" customHeight="1" x14ac:dyDescent="0.25">
      <c r="A12" s="53">
        <v>40282</v>
      </c>
      <c r="B12" s="53" t="s">
        <v>133</v>
      </c>
      <c r="C12" s="53" t="s">
        <v>129</v>
      </c>
      <c r="D12" s="53" t="s">
        <v>130</v>
      </c>
      <c r="E12" s="54">
        <v>10248</v>
      </c>
      <c r="F12" s="62">
        <v>160</v>
      </c>
      <c r="G12" s="58">
        <v>4</v>
      </c>
      <c r="H12" s="59" t="s">
        <v>394</v>
      </c>
      <c r="I12" s="6">
        <v>1</v>
      </c>
      <c r="J12" s="6">
        <v>0</v>
      </c>
      <c r="K12" s="60">
        <v>7</v>
      </c>
      <c r="L12" s="6">
        <v>4</v>
      </c>
      <c r="M12" s="6">
        <v>1</v>
      </c>
      <c r="N12" s="6">
        <v>1</v>
      </c>
      <c r="O12" s="6">
        <v>2</v>
      </c>
      <c r="P12" s="6">
        <v>7</v>
      </c>
      <c r="Q12" s="6">
        <v>1</v>
      </c>
      <c r="R12" s="6">
        <v>0</v>
      </c>
      <c r="S12" s="6">
        <v>26</v>
      </c>
      <c r="T12" s="6">
        <v>109</v>
      </c>
      <c r="U12" s="6">
        <v>70</v>
      </c>
      <c r="V12" s="6">
        <v>0</v>
      </c>
      <c r="W12" s="61">
        <v>0</v>
      </c>
      <c r="X12" s="62">
        <v>0</v>
      </c>
      <c r="Y12" s="62">
        <v>0</v>
      </c>
      <c r="Z12" s="62">
        <v>0</v>
      </c>
      <c r="AA12" s="62">
        <v>0</v>
      </c>
      <c r="AB12" s="62">
        <v>0</v>
      </c>
      <c r="AC12" s="63">
        <v>2</v>
      </c>
      <c r="AD12" s="62">
        <v>2</v>
      </c>
      <c r="AE12" s="62">
        <v>0</v>
      </c>
      <c r="AF12" s="62">
        <v>0</v>
      </c>
      <c r="AG12" s="62">
        <v>1</v>
      </c>
      <c r="AH12" s="62">
        <v>1</v>
      </c>
      <c r="AI12" s="62">
        <v>0</v>
      </c>
      <c r="AJ12" s="62">
        <v>0</v>
      </c>
      <c r="AK12" s="62">
        <v>9</v>
      </c>
      <c r="AL12" s="62">
        <v>37</v>
      </c>
      <c r="AM12" s="62">
        <v>25</v>
      </c>
      <c r="AN12" s="1" t="s">
        <v>271</v>
      </c>
      <c r="AO12" s="65">
        <v>4</v>
      </c>
      <c r="AP12" s="65">
        <v>1</v>
      </c>
      <c r="AQ12" s="65">
        <v>1</v>
      </c>
      <c r="AR12" s="65">
        <v>0</v>
      </c>
      <c r="AS12" s="65">
        <v>0</v>
      </c>
      <c r="AT12" s="65">
        <v>1</v>
      </c>
      <c r="AU12" s="65">
        <v>1</v>
      </c>
      <c r="AV12" s="65">
        <v>0</v>
      </c>
      <c r="AW12" s="66">
        <v>1</v>
      </c>
      <c r="AX12" s="1" t="s">
        <v>391</v>
      </c>
      <c r="AY12" s="65">
        <v>5</v>
      </c>
      <c r="AZ12" s="65">
        <v>2</v>
      </c>
      <c r="BA12" s="65">
        <v>2</v>
      </c>
      <c r="BB12" s="65">
        <v>1</v>
      </c>
      <c r="BC12" s="65">
        <v>0</v>
      </c>
      <c r="BD12" s="65">
        <v>0</v>
      </c>
      <c r="BE12" s="65">
        <v>0</v>
      </c>
      <c r="BF12" s="65">
        <v>0</v>
      </c>
      <c r="BG12" s="66">
        <v>4</v>
      </c>
      <c r="BH12" s="1" t="s">
        <v>389</v>
      </c>
      <c r="BI12" s="65">
        <v>4</v>
      </c>
      <c r="BJ12" s="65">
        <v>0</v>
      </c>
      <c r="BK12" s="65">
        <v>0</v>
      </c>
      <c r="BL12" s="65">
        <v>0</v>
      </c>
      <c r="BM12" s="65">
        <v>1</v>
      </c>
      <c r="BN12" s="65">
        <v>0</v>
      </c>
      <c r="BO12" s="65">
        <v>0</v>
      </c>
      <c r="BP12" s="65">
        <v>0</v>
      </c>
      <c r="BQ12" s="66">
        <v>0</v>
      </c>
      <c r="BR12" s="1" t="s">
        <v>390</v>
      </c>
      <c r="BS12" s="65">
        <v>4</v>
      </c>
      <c r="BT12" s="65">
        <v>1</v>
      </c>
      <c r="BU12" s="65">
        <v>1</v>
      </c>
      <c r="BV12" s="65">
        <v>1</v>
      </c>
      <c r="BW12" s="65">
        <v>1</v>
      </c>
      <c r="BX12" s="65">
        <v>2</v>
      </c>
      <c r="BY12" s="65">
        <v>0</v>
      </c>
      <c r="BZ12" s="65">
        <v>0</v>
      </c>
      <c r="CA12" s="66">
        <v>1</v>
      </c>
      <c r="CB12" s="1" t="s">
        <v>274</v>
      </c>
      <c r="CC12" s="65">
        <v>4</v>
      </c>
      <c r="CD12" s="65">
        <v>2</v>
      </c>
      <c r="CE12" s="65">
        <v>2</v>
      </c>
      <c r="CF12" s="65">
        <v>3</v>
      </c>
      <c r="CG12" s="65">
        <v>1</v>
      </c>
      <c r="CH12" s="65">
        <v>1</v>
      </c>
      <c r="CI12" s="65">
        <v>0</v>
      </c>
      <c r="CJ12" s="65">
        <v>0</v>
      </c>
      <c r="CK12" s="66">
        <v>5</v>
      </c>
      <c r="CL12" s="1" t="s">
        <v>273</v>
      </c>
      <c r="CM12" s="65">
        <v>5</v>
      </c>
      <c r="CN12" s="65">
        <v>2</v>
      </c>
      <c r="CO12" s="65">
        <v>2</v>
      </c>
      <c r="CP12" s="65">
        <v>4</v>
      </c>
      <c r="CQ12" s="65">
        <v>0</v>
      </c>
      <c r="CR12" s="65">
        <v>2</v>
      </c>
      <c r="CS12" s="65">
        <v>0</v>
      </c>
      <c r="CT12" s="65">
        <v>0</v>
      </c>
      <c r="CU12" s="66">
        <v>8</v>
      </c>
      <c r="CV12" s="1" t="s">
        <v>408</v>
      </c>
      <c r="CW12" s="65">
        <v>4</v>
      </c>
      <c r="CX12" s="65">
        <v>0</v>
      </c>
      <c r="CY12" s="65">
        <v>1</v>
      </c>
      <c r="CZ12" s="65">
        <v>0</v>
      </c>
      <c r="DA12" s="65">
        <v>0</v>
      </c>
      <c r="DB12" s="65">
        <v>2</v>
      </c>
      <c r="DC12" s="65">
        <v>0</v>
      </c>
      <c r="DD12" s="65">
        <v>0</v>
      </c>
      <c r="DE12" s="66">
        <v>2</v>
      </c>
      <c r="DF12" s="1" t="s">
        <v>385</v>
      </c>
      <c r="DG12" s="65">
        <v>4</v>
      </c>
      <c r="DH12" s="65">
        <v>0</v>
      </c>
      <c r="DI12" s="65">
        <v>1</v>
      </c>
      <c r="DJ12" s="65">
        <v>0</v>
      </c>
      <c r="DK12" s="65">
        <v>0</v>
      </c>
      <c r="DL12" s="65">
        <v>1</v>
      </c>
      <c r="DM12" s="65">
        <v>0</v>
      </c>
      <c r="DN12" s="65">
        <v>0</v>
      </c>
      <c r="DO12" s="66">
        <v>1</v>
      </c>
      <c r="DP12" s="1" t="s">
        <v>406</v>
      </c>
      <c r="DQ12" s="65">
        <v>4</v>
      </c>
      <c r="DR12" s="65">
        <v>1</v>
      </c>
      <c r="DS12" s="65">
        <v>1</v>
      </c>
      <c r="DT12" s="65">
        <v>0</v>
      </c>
      <c r="DU12" s="65">
        <v>0</v>
      </c>
      <c r="DV12" s="65">
        <v>1</v>
      </c>
      <c r="DW12" s="65">
        <v>0</v>
      </c>
      <c r="DX12" s="65">
        <v>0</v>
      </c>
      <c r="DY12" s="66">
        <v>2</v>
      </c>
      <c r="DZ12" s="67">
        <v>1</v>
      </c>
      <c r="EA12" s="68">
        <v>0</v>
      </c>
      <c r="EB12" s="68">
        <v>0</v>
      </c>
      <c r="EC12" s="69">
        <v>8</v>
      </c>
      <c r="ED12" s="68">
        <v>0</v>
      </c>
      <c r="EE12" s="70">
        <v>0</v>
      </c>
      <c r="EF12" s="71">
        <v>3</v>
      </c>
      <c r="EG12" s="72">
        <v>0</v>
      </c>
      <c r="EH12" s="72">
        <v>3</v>
      </c>
      <c r="EI12" s="72">
        <v>2</v>
      </c>
      <c r="EJ12" s="72">
        <v>0</v>
      </c>
      <c r="EK12" s="72">
        <v>0</v>
      </c>
      <c r="EL12" s="72">
        <v>1</v>
      </c>
      <c r="EM12" s="72">
        <v>0</v>
      </c>
      <c r="EN12" s="72">
        <v>0</v>
      </c>
      <c r="EO12" s="72"/>
      <c r="EP12" s="72"/>
      <c r="EQ12" s="72"/>
      <c r="ER12" s="72"/>
      <c r="ES12" s="44">
        <f t="shared" si="0"/>
        <v>9</v>
      </c>
      <c r="ET12" s="43">
        <v>0</v>
      </c>
      <c r="EU12" s="43">
        <v>0</v>
      </c>
      <c r="EV12" s="43">
        <v>0</v>
      </c>
      <c r="EW12" s="43">
        <v>1</v>
      </c>
      <c r="EX12" s="43">
        <v>0</v>
      </c>
      <c r="EY12" s="43">
        <v>0</v>
      </c>
      <c r="EZ12" s="43">
        <v>0</v>
      </c>
      <c r="FA12" s="43">
        <v>0</v>
      </c>
      <c r="FB12" s="43">
        <v>0</v>
      </c>
      <c r="FC12" s="43"/>
      <c r="FD12" s="43"/>
      <c r="FE12" s="43"/>
      <c r="FF12" s="43"/>
      <c r="FG12" s="43">
        <f t="shared" si="1"/>
        <v>1</v>
      </c>
      <c r="FH12" s="73">
        <v>38</v>
      </c>
      <c r="FI12" s="73">
        <v>9</v>
      </c>
      <c r="FJ12" s="73">
        <v>11</v>
      </c>
      <c r="FK12" s="73">
        <v>9</v>
      </c>
      <c r="FL12" s="73">
        <v>3</v>
      </c>
      <c r="FM12" s="73">
        <v>10</v>
      </c>
      <c r="FN12" s="73">
        <f t="shared" si="2"/>
        <v>0</v>
      </c>
      <c r="FO12" s="73">
        <f t="shared" si="3"/>
        <v>0</v>
      </c>
      <c r="FP12" s="73">
        <f t="shared" si="4"/>
        <v>0</v>
      </c>
      <c r="FQ12" s="73">
        <f t="shared" si="5"/>
        <v>0</v>
      </c>
      <c r="FR12" s="73">
        <f t="shared" si="6"/>
        <v>0</v>
      </c>
      <c r="FS12" s="73">
        <f t="shared" si="7"/>
        <v>0</v>
      </c>
      <c r="FT12" s="73">
        <f t="shared" si="8"/>
        <v>0</v>
      </c>
      <c r="FU12" s="73">
        <f t="shared" si="9"/>
        <v>0</v>
      </c>
      <c r="FV12" s="73">
        <f t="shared" si="10"/>
        <v>3</v>
      </c>
      <c r="FW12" s="73">
        <f t="shared" si="11"/>
        <v>0</v>
      </c>
      <c r="FX12" s="73">
        <f t="shared" si="12"/>
        <v>3</v>
      </c>
      <c r="FY12" s="73">
        <f t="shared" si="13"/>
        <v>1</v>
      </c>
      <c r="FZ12" s="73">
        <f t="shared" si="14"/>
        <v>0</v>
      </c>
      <c r="GA12" s="73">
        <f t="shared" si="15"/>
        <v>0</v>
      </c>
      <c r="GB12" s="73">
        <f t="shared" si="16"/>
        <v>1</v>
      </c>
      <c r="GC12" s="73">
        <f t="shared" si="17"/>
        <v>0</v>
      </c>
      <c r="GD12" s="73">
        <f t="shared" si="18"/>
        <v>0</v>
      </c>
      <c r="GE12" s="73">
        <f t="shared" si="19"/>
        <v>0</v>
      </c>
      <c r="GF12" s="73">
        <f t="shared" si="20"/>
        <v>0</v>
      </c>
      <c r="GG12" s="73">
        <f t="shared" si="21"/>
        <v>0</v>
      </c>
      <c r="GH12" s="73">
        <f t="shared" si="22"/>
        <v>0</v>
      </c>
      <c r="GI12" s="73">
        <f t="shared" si="23"/>
        <v>8</v>
      </c>
      <c r="GJ12" s="38"/>
      <c r="GK12" s="367" t="s">
        <v>694</v>
      </c>
      <c r="GL12" s="376" t="s">
        <v>694</v>
      </c>
      <c r="GM12" s="376" t="s">
        <v>692</v>
      </c>
      <c r="GP12" s="52"/>
    </row>
    <row r="13" spans="1:198" ht="15" customHeight="1" x14ac:dyDescent="0.25">
      <c r="A13" s="53">
        <v>40284</v>
      </c>
      <c r="B13" s="53" t="s">
        <v>133</v>
      </c>
      <c r="C13" s="53" t="s">
        <v>129</v>
      </c>
      <c r="D13" s="53" t="s">
        <v>134</v>
      </c>
      <c r="E13" s="54">
        <v>37084</v>
      </c>
      <c r="F13" s="62">
        <v>258</v>
      </c>
      <c r="G13" s="58">
        <v>5</v>
      </c>
      <c r="H13" s="89" t="s">
        <v>393</v>
      </c>
      <c r="I13" s="6">
        <v>0</v>
      </c>
      <c r="J13" s="6">
        <v>0</v>
      </c>
      <c r="K13" s="60">
        <v>5</v>
      </c>
      <c r="L13" s="6">
        <v>2</v>
      </c>
      <c r="M13" s="6">
        <v>1</v>
      </c>
      <c r="N13" s="6">
        <v>1</v>
      </c>
      <c r="O13" s="6">
        <v>4</v>
      </c>
      <c r="P13" s="6">
        <v>4</v>
      </c>
      <c r="Q13" s="6">
        <v>1</v>
      </c>
      <c r="R13" s="6">
        <v>0</v>
      </c>
      <c r="S13" s="6">
        <v>21</v>
      </c>
      <c r="T13" s="6">
        <v>104</v>
      </c>
      <c r="U13" s="6">
        <v>58</v>
      </c>
      <c r="V13" s="6">
        <v>0</v>
      </c>
      <c r="W13" s="61">
        <v>0</v>
      </c>
      <c r="X13" s="62">
        <v>1</v>
      </c>
      <c r="Y13" s="62">
        <v>0</v>
      </c>
      <c r="Z13" s="62">
        <v>0</v>
      </c>
      <c r="AA13" s="62">
        <v>1</v>
      </c>
      <c r="AB13" s="62">
        <v>0</v>
      </c>
      <c r="AC13" s="63">
        <v>7</v>
      </c>
      <c r="AD13" s="62">
        <v>4</v>
      </c>
      <c r="AE13" s="62">
        <v>0</v>
      </c>
      <c r="AF13" s="62">
        <v>0</v>
      </c>
      <c r="AG13" s="62">
        <v>1</v>
      </c>
      <c r="AH13" s="62">
        <v>4</v>
      </c>
      <c r="AI13" s="62">
        <v>0</v>
      </c>
      <c r="AJ13" s="62">
        <v>0</v>
      </c>
      <c r="AK13" s="62">
        <v>25</v>
      </c>
      <c r="AL13" s="62">
        <v>117</v>
      </c>
      <c r="AM13" s="62">
        <v>67</v>
      </c>
      <c r="AN13" s="1" t="s">
        <v>384</v>
      </c>
      <c r="AO13" s="65">
        <v>5</v>
      </c>
      <c r="AP13" s="65">
        <v>0</v>
      </c>
      <c r="AQ13" s="65">
        <v>0</v>
      </c>
      <c r="AR13" s="65">
        <v>0</v>
      </c>
      <c r="AS13" s="65">
        <v>0</v>
      </c>
      <c r="AT13" s="65">
        <v>0</v>
      </c>
      <c r="AU13" s="65">
        <v>0</v>
      </c>
      <c r="AV13" s="65">
        <v>0</v>
      </c>
      <c r="AW13" s="66">
        <v>0</v>
      </c>
      <c r="AX13" s="1" t="s">
        <v>391</v>
      </c>
      <c r="AY13" s="65">
        <v>5</v>
      </c>
      <c r="AZ13" s="65">
        <v>1</v>
      </c>
      <c r="BA13" s="65">
        <v>0</v>
      </c>
      <c r="BB13" s="65">
        <v>0</v>
      </c>
      <c r="BC13" s="65">
        <v>0</v>
      </c>
      <c r="BD13" s="65">
        <v>2</v>
      </c>
      <c r="BE13" s="65">
        <v>0</v>
      </c>
      <c r="BF13" s="65">
        <v>0</v>
      </c>
      <c r="BG13" s="66">
        <v>0</v>
      </c>
      <c r="BH13" s="1" t="s">
        <v>389</v>
      </c>
      <c r="BI13" s="65">
        <v>5</v>
      </c>
      <c r="BJ13" s="65">
        <v>0</v>
      </c>
      <c r="BK13" s="65">
        <v>1</v>
      </c>
      <c r="BL13" s="65">
        <v>1</v>
      </c>
      <c r="BM13" s="65">
        <v>0</v>
      </c>
      <c r="BN13" s="65">
        <v>1</v>
      </c>
      <c r="BO13" s="65">
        <v>0</v>
      </c>
      <c r="BP13" s="65">
        <v>0</v>
      </c>
      <c r="BQ13" s="66">
        <v>1</v>
      </c>
      <c r="BR13" s="1" t="s">
        <v>390</v>
      </c>
      <c r="BS13" s="65">
        <v>4</v>
      </c>
      <c r="BT13" s="65">
        <v>1</v>
      </c>
      <c r="BU13" s="65">
        <v>2</v>
      </c>
      <c r="BV13" s="65">
        <v>0</v>
      </c>
      <c r="BW13" s="65">
        <v>1</v>
      </c>
      <c r="BX13" s="65">
        <v>1</v>
      </c>
      <c r="BY13" s="65">
        <v>0</v>
      </c>
      <c r="BZ13" s="65">
        <v>0</v>
      </c>
      <c r="CA13" s="66">
        <v>2</v>
      </c>
      <c r="CB13" s="1" t="s">
        <v>274</v>
      </c>
      <c r="CC13" s="65">
        <v>4</v>
      </c>
      <c r="CD13" s="65">
        <v>0</v>
      </c>
      <c r="CE13" s="65">
        <v>0</v>
      </c>
      <c r="CF13" s="65">
        <v>0</v>
      </c>
      <c r="CG13" s="65">
        <v>1</v>
      </c>
      <c r="CH13" s="65">
        <v>0</v>
      </c>
      <c r="CI13" s="65">
        <v>0</v>
      </c>
      <c r="CJ13" s="65">
        <v>0</v>
      </c>
      <c r="CK13" s="66">
        <v>0</v>
      </c>
      <c r="CL13" s="1" t="s">
        <v>273</v>
      </c>
      <c r="CM13" s="65">
        <v>4</v>
      </c>
      <c r="CN13" s="65">
        <v>0</v>
      </c>
      <c r="CO13" s="65">
        <v>0</v>
      </c>
      <c r="CP13" s="65">
        <v>0</v>
      </c>
      <c r="CQ13" s="65">
        <v>1</v>
      </c>
      <c r="CR13" s="65">
        <v>1</v>
      </c>
      <c r="CS13" s="65">
        <v>0</v>
      </c>
      <c r="CT13" s="65">
        <v>0</v>
      </c>
      <c r="CU13" s="66">
        <v>0</v>
      </c>
      <c r="CV13" s="1" t="s">
        <v>408</v>
      </c>
      <c r="CW13" s="65">
        <v>5</v>
      </c>
      <c r="CX13" s="65">
        <v>1</v>
      </c>
      <c r="CY13" s="65">
        <v>1</v>
      </c>
      <c r="CZ13" s="65">
        <v>2</v>
      </c>
      <c r="DA13" s="65">
        <v>0</v>
      </c>
      <c r="DB13" s="65">
        <v>2</v>
      </c>
      <c r="DC13" s="65">
        <v>0</v>
      </c>
      <c r="DD13" s="65">
        <v>0</v>
      </c>
      <c r="DE13" s="66">
        <v>4</v>
      </c>
      <c r="DF13" s="1" t="s">
        <v>385</v>
      </c>
      <c r="DG13" s="65">
        <v>5</v>
      </c>
      <c r="DH13" s="65">
        <v>0</v>
      </c>
      <c r="DI13" s="65">
        <v>1</v>
      </c>
      <c r="DJ13" s="65">
        <v>0</v>
      </c>
      <c r="DK13" s="65">
        <v>0</v>
      </c>
      <c r="DL13" s="65">
        <v>1</v>
      </c>
      <c r="DM13" s="65">
        <v>0</v>
      </c>
      <c r="DN13" s="65">
        <v>0</v>
      </c>
      <c r="DO13" s="66">
        <v>2</v>
      </c>
      <c r="DP13" s="1" t="s">
        <v>406</v>
      </c>
      <c r="DQ13" s="65">
        <v>4</v>
      </c>
      <c r="DR13" s="65">
        <v>0</v>
      </c>
      <c r="DS13" s="65">
        <v>0</v>
      </c>
      <c r="DT13" s="65">
        <v>0</v>
      </c>
      <c r="DU13" s="65">
        <v>0</v>
      </c>
      <c r="DV13" s="65">
        <v>3</v>
      </c>
      <c r="DW13" s="65">
        <v>0</v>
      </c>
      <c r="DX13" s="65">
        <v>0</v>
      </c>
      <c r="DY13" s="66">
        <v>0</v>
      </c>
      <c r="DZ13" s="67">
        <v>1</v>
      </c>
      <c r="EA13" s="68">
        <v>0</v>
      </c>
      <c r="EB13" s="68">
        <v>0</v>
      </c>
      <c r="EC13" s="69">
        <v>11</v>
      </c>
      <c r="ED13" s="68">
        <v>4</v>
      </c>
      <c r="EE13" s="70">
        <v>0</v>
      </c>
      <c r="EF13" s="71">
        <v>0</v>
      </c>
      <c r="EG13" s="72">
        <v>0</v>
      </c>
      <c r="EH13" s="72">
        <v>1</v>
      </c>
      <c r="EI13" s="72">
        <v>0</v>
      </c>
      <c r="EJ13" s="72">
        <v>0</v>
      </c>
      <c r="EK13" s="72">
        <v>0</v>
      </c>
      <c r="EL13" s="72">
        <v>0</v>
      </c>
      <c r="EM13" s="72">
        <v>0</v>
      </c>
      <c r="EN13" s="72">
        <v>0</v>
      </c>
      <c r="EO13" s="72">
        <v>0</v>
      </c>
      <c r="EP13" s="72">
        <v>0</v>
      </c>
      <c r="EQ13" s="72">
        <v>2</v>
      </c>
      <c r="ER13" s="72"/>
      <c r="ES13" s="44">
        <f t="shared" si="0"/>
        <v>3</v>
      </c>
      <c r="ET13" s="43">
        <v>0</v>
      </c>
      <c r="EU13" s="43">
        <v>0</v>
      </c>
      <c r="EV13" s="43">
        <v>0</v>
      </c>
      <c r="EW13" s="43">
        <v>0</v>
      </c>
      <c r="EX13" s="43">
        <v>1</v>
      </c>
      <c r="EY13" s="43">
        <v>0</v>
      </c>
      <c r="EZ13" s="43">
        <v>0</v>
      </c>
      <c r="FA13" s="43">
        <v>0</v>
      </c>
      <c r="FB13" s="43">
        <v>0</v>
      </c>
      <c r="FC13" s="43">
        <v>0</v>
      </c>
      <c r="FD13" s="43">
        <v>0</v>
      </c>
      <c r="FE13" s="43">
        <v>0</v>
      </c>
      <c r="FF13" s="43"/>
      <c r="FG13" s="43">
        <f t="shared" si="1"/>
        <v>1</v>
      </c>
      <c r="FH13" s="73">
        <v>41</v>
      </c>
      <c r="FI13" s="73">
        <v>3</v>
      </c>
      <c r="FJ13" s="73">
        <v>5</v>
      </c>
      <c r="FK13" s="73">
        <v>3</v>
      </c>
      <c r="FL13" s="73">
        <v>3</v>
      </c>
      <c r="FM13" s="73">
        <v>11</v>
      </c>
      <c r="FN13" s="73">
        <f t="shared" si="2"/>
        <v>0</v>
      </c>
      <c r="FO13" s="73">
        <f t="shared" si="3"/>
        <v>0</v>
      </c>
      <c r="FP13" s="73">
        <f t="shared" si="4"/>
        <v>0</v>
      </c>
      <c r="FQ13" s="73">
        <f t="shared" si="5"/>
        <v>0</v>
      </c>
      <c r="FR13" s="73">
        <f t="shared" si="6"/>
        <v>0</v>
      </c>
      <c r="FS13" s="73">
        <f t="shared" si="7"/>
        <v>0</v>
      </c>
      <c r="FT13" s="73">
        <f t="shared" si="8"/>
        <v>0</v>
      </c>
      <c r="FU13" s="73">
        <f t="shared" si="9"/>
        <v>0</v>
      </c>
      <c r="FV13" s="73">
        <f t="shared" si="10"/>
        <v>0</v>
      </c>
      <c r="FW13" s="73">
        <f t="shared" si="11"/>
        <v>0</v>
      </c>
      <c r="FX13" s="73">
        <f t="shared" si="12"/>
        <v>1</v>
      </c>
      <c r="FY13" s="73">
        <f t="shared" si="13"/>
        <v>0</v>
      </c>
      <c r="FZ13" s="73">
        <f t="shared" si="14"/>
        <v>-1</v>
      </c>
      <c r="GA13" s="73">
        <f t="shared" si="15"/>
        <v>0</v>
      </c>
      <c r="GB13" s="73">
        <f t="shared" si="16"/>
        <v>0</v>
      </c>
      <c r="GC13" s="73">
        <f t="shared" si="17"/>
        <v>0</v>
      </c>
      <c r="GD13" s="73">
        <f t="shared" si="18"/>
        <v>0</v>
      </c>
      <c r="GE13" s="73">
        <f t="shared" si="19"/>
        <v>0</v>
      </c>
      <c r="GF13" s="73">
        <f t="shared" si="20"/>
        <v>0</v>
      </c>
      <c r="GG13" s="73">
        <f t="shared" si="21"/>
        <v>2</v>
      </c>
      <c r="GH13" s="73">
        <f t="shared" si="22"/>
        <v>0</v>
      </c>
      <c r="GI13" s="73">
        <f t="shared" si="23"/>
        <v>2</v>
      </c>
      <c r="GJ13" s="38"/>
      <c r="GK13" s="367" t="s">
        <v>694</v>
      </c>
      <c r="GL13" s="376" t="s">
        <v>694</v>
      </c>
      <c r="GM13" s="376" t="s">
        <v>692</v>
      </c>
      <c r="GP13" s="52"/>
    </row>
    <row r="14" spans="1:198" ht="15" customHeight="1" x14ac:dyDescent="0.25">
      <c r="A14" s="53">
        <v>40285</v>
      </c>
      <c r="B14" s="53" t="s">
        <v>133</v>
      </c>
      <c r="C14" s="53" t="s">
        <v>129</v>
      </c>
      <c r="D14" s="53" t="s">
        <v>134</v>
      </c>
      <c r="E14" s="54">
        <v>37022</v>
      </c>
      <c r="F14" s="62">
        <v>199</v>
      </c>
      <c r="G14" s="58">
        <v>1</v>
      </c>
      <c r="H14" s="59" t="s">
        <v>392</v>
      </c>
      <c r="I14" s="6">
        <v>1</v>
      </c>
      <c r="J14" s="6">
        <v>0</v>
      </c>
      <c r="K14" s="60">
        <f>(6+(2/3))</f>
        <v>6.666666666666667</v>
      </c>
      <c r="L14" s="6">
        <v>9</v>
      </c>
      <c r="M14" s="6">
        <v>4</v>
      </c>
      <c r="N14" s="6">
        <v>4</v>
      </c>
      <c r="O14" s="6">
        <v>1</v>
      </c>
      <c r="P14" s="6">
        <v>7</v>
      </c>
      <c r="Q14" s="6">
        <v>2</v>
      </c>
      <c r="R14" s="6">
        <v>0</v>
      </c>
      <c r="S14" s="6">
        <v>30</v>
      </c>
      <c r="T14" s="6">
        <v>121</v>
      </c>
      <c r="U14" s="6">
        <v>78</v>
      </c>
      <c r="V14" s="6">
        <v>1</v>
      </c>
      <c r="W14" s="61">
        <v>1</v>
      </c>
      <c r="X14" s="62">
        <v>0</v>
      </c>
      <c r="Y14" s="62">
        <v>0</v>
      </c>
      <c r="Z14" s="62">
        <v>2</v>
      </c>
      <c r="AA14" s="62">
        <v>1</v>
      </c>
      <c r="AB14" s="62">
        <v>0</v>
      </c>
      <c r="AC14" s="63">
        <f>(2+(1/3))</f>
        <v>2.3333333333333335</v>
      </c>
      <c r="AD14" s="62">
        <v>2</v>
      </c>
      <c r="AE14" s="62">
        <v>1</v>
      </c>
      <c r="AF14" s="62">
        <v>1</v>
      </c>
      <c r="AG14" s="62">
        <v>1</v>
      </c>
      <c r="AH14" s="62">
        <v>1</v>
      </c>
      <c r="AI14" s="62">
        <v>1</v>
      </c>
      <c r="AJ14" s="62">
        <v>0</v>
      </c>
      <c r="AK14" s="62">
        <v>10</v>
      </c>
      <c r="AL14" s="62">
        <v>39</v>
      </c>
      <c r="AM14" s="62">
        <v>23</v>
      </c>
      <c r="AN14" s="1" t="s">
        <v>384</v>
      </c>
      <c r="AO14" s="65">
        <v>5</v>
      </c>
      <c r="AP14" s="65">
        <v>0</v>
      </c>
      <c r="AQ14" s="65">
        <v>0</v>
      </c>
      <c r="AR14" s="65">
        <v>0</v>
      </c>
      <c r="AS14" s="65">
        <v>0</v>
      </c>
      <c r="AT14" s="65">
        <v>1</v>
      </c>
      <c r="AU14" s="65">
        <v>0</v>
      </c>
      <c r="AV14" s="65">
        <v>0</v>
      </c>
      <c r="AW14" s="66">
        <v>0</v>
      </c>
      <c r="AX14" s="1" t="s">
        <v>391</v>
      </c>
      <c r="AY14" s="65">
        <v>5</v>
      </c>
      <c r="AZ14" s="65">
        <v>1</v>
      </c>
      <c r="BA14" s="65">
        <v>1</v>
      </c>
      <c r="BB14" s="65">
        <v>0</v>
      </c>
      <c r="BC14" s="65">
        <v>0</v>
      </c>
      <c r="BD14" s="65">
        <v>0</v>
      </c>
      <c r="BE14" s="65">
        <v>0</v>
      </c>
      <c r="BF14" s="65">
        <v>0</v>
      </c>
      <c r="BG14" s="66">
        <v>1</v>
      </c>
      <c r="BH14" s="1" t="s">
        <v>389</v>
      </c>
      <c r="BI14" s="65">
        <v>4</v>
      </c>
      <c r="BJ14" s="65">
        <v>0</v>
      </c>
      <c r="BK14" s="65">
        <v>0</v>
      </c>
      <c r="BL14" s="65">
        <v>0</v>
      </c>
      <c r="BM14" s="65">
        <v>0</v>
      </c>
      <c r="BN14" s="65">
        <v>2</v>
      </c>
      <c r="BO14" s="65">
        <v>0</v>
      </c>
      <c r="BP14" s="65">
        <v>0</v>
      </c>
      <c r="BQ14" s="66">
        <v>0</v>
      </c>
      <c r="BR14" s="1" t="s">
        <v>390</v>
      </c>
      <c r="BS14" s="65">
        <v>2</v>
      </c>
      <c r="BT14" s="65">
        <v>2</v>
      </c>
      <c r="BU14" s="65">
        <v>1</v>
      </c>
      <c r="BV14" s="65">
        <v>1</v>
      </c>
      <c r="BW14" s="65">
        <v>2</v>
      </c>
      <c r="BX14" s="65">
        <v>0</v>
      </c>
      <c r="BY14" s="65">
        <v>0</v>
      </c>
      <c r="BZ14" s="65">
        <v>0</v>
      </c>
      <c r="CA14" s="66">
        <v>4</v>
      </c>
      <c r="CB14" s="1" t="s">
        <v>274</v>
      </c>
      <c r="CC14" s="65">
        <v>4</v>
      </c>
      <c r="CD14" s="65">
        <v>1</v>
      </c>
      <c r="CE14" s="65">
        <v>0</v>
      </c>
      <c r="CF14" s="65">
        <v>0</v>
      </c>
      <c r="CG14" s="65">
        <v>0</v>
      </c>
      <c r="CH14" s="65">
        <v>1</v>
      </c>
      <c r="CI14" s="65">
        <v>0</v>
      </c>
      <c r="CJ14" s="65">
        <v>0</v>
      </c>
      <c r="CK14" s="66">
        <v>0</v>
      </c>
      <c r="CL14" s="1" t="s">
        <v>273</v>
      </c>
      <c r="CM14" s="65">
        <v>3</v>
      </c>
      <c r="CN14" s="65">
        <v>2</v>
      </c>
      <c r="CO14" s="65">
        <v>0</v>
      </c>
      <c r="CP14" s="65">
        <v>0</v>
      </c>
      <c r="CQ14" s="65">
        <v>1</v>
      </c>
      <c r="CR14" s="65">
        <v>1</v>
      </c>
      <c r="CS14" s="65">
        <v>0</v>
      </c>
      <c r="CT14" s="65">
        <v>0</v>
      </c>
      <c r="CU14" s="66">
        <v>0</v>
      </c>
      <c r="CV14" s="1" t="s">
        <v>408</v>
      </c>
      <c r="CW14" s="65">
        <v>4</v>
      </c>
      <c r="CX14" s="65">
        <v>0</v>
      </c>
      <c r="CY14" s="65">
        <v>1</v>
      </c>
      <c r="CZ14" s="65">
        <v>3</v>
      </c>
      <c r="DA14" s="65">
        <v>0</v>
      </c>
      <c r="DB14" s="65">
        <v>2</v>
      </c>
      <c r="DC14" s="65">
        <v>0</v>
      </c>
      <c r="DD14" s="65">
        <v>0</v>
      </c>
      <c r="DE14" s="66">
        <v>2</v>
      </c>
      <c r="DF14" s="1" t="s">
        <v>275</v>
      </c>
      <c r="DG14" s="65">
        <v>3</v>
      </c>
      <c r="DH14" s="65">
        <v>0</v>
      </c>
      <c r="DI14" s="65">
        <v>2</v>
      </c>
      <c r="DJ14" s="65">
        <v>1</v>
      </c>
      <c r="DK14" s="65">
        <v>1</v>
      </c>
      <c r="DL14" s="65">
        <v>0</v>
      </c>
      <c r="DM14" s="65">
        <v>0</v>
      </c>
      <c r="DN14" s="65">
        <v>0</v>
      </c>
      <c r="DO14" s="66">
        <v>4</v>
      </c>
      <c r="DP14" s="1" t="s">
        <v>271</v>
      </c>
      <c r="DQ14" s="65">
        <v>4</v>
      </c>
      <c r="DR14" s="65">
        <v>0</v>
      </c>
      <c r="DS14" s="65">
        <v>0</v>
      </c>
      <c r="DT14" s="65">
        <v>0</v>
      </c>
      <c r="DU14" s="65">
        <v>0</v>
      </c>
      <c r="DV14" s="65">
        <v>4</v>
      </c>
      <c r="DW14" s="65">
        <v>0</v>
      </c>
      <c r="DX14" s="65">
        <v>0</v>
      </c>
      <c r="DY14" s="66">
        <v>0</v>
      </c>
      <c r="DZ14" s="67">
        <v>0</v>
      </c>
      <c r="EA14" s="68">
        <v>0</v>
      </c>
      <c r="EB14" s="68">
        <v>0</v>
      </c>
      <c r="EC14" s="69">
        <v>9</v>
      </c>
      <c r="ED14" s="68">
        <v>2</v>
      </c>
      <c r="EE14" s="70">
        <v>0</v>
      </c>
      <c r="EF14" s="71">
        <v>4</v>
      </c>
      <c r="EG14" s="72">
        <v>0</v>
      </c>
      <c r="EH14" s="72">
        <v>0</v>
      </c>
      <c r="EI14" s="72">
        <v>0</v>
      </c>
      <c r="EJ14" s="72">
        <v>0</v>
      </c>
      <c r="EK14" s="72">
        <v>1</v>
      </c>
      <c r="EL14" s="72">
        <v>1</v>
      </c>
      <c r="EM14" s="72">
        <v>0</v>
      </c>
      <c r="EN14" s="72">
        <v>0</v>
      </c>
      <c r="EO14" s="72"/>
      <c r="EP14" s="72"/>
      <c r="EQ14" s="72"/>
      <c r="ER14" s="72"/>
      <c r="ES14" s="44">
        <f t="shared" si="0"/>
        <v>6</v>
      </c>
      <c r="ET14" s="43">
        <v>0</v>
      </c>
      <c r="EU14" s="43">
        <v>0</v>
      </c>
      <c r="EV14" s="43">
        <v>0</v>
      </c>
      <c r="EW14" s="43">
        <v>0</v>
      </c>
      <c r="EX14" s="43">
        <v>1</v>
      </c>
      <c r="EY14" s="43">
        <v>0</v>
      </c>
      <c r="EZ14" s="43">
        <v>4</v>
      </c>
      <c r="FA14" s="43">
        <v>0</v>
      </c>
      <c r="FB14" s="43">
        <v>0</v>
      </c>
      <c r="FC14" s="43"/>
      <c r="FD14" s="43"/>
      <c r="FE14" s="43"/>
      <c r="FF14" s="43"/>
      <c r="FG14" s="43">
        <f t="shared" si="1"/>
        <v>5</v>
      </c>
      <c r="FH14" s="73">
        <v>34</v>
      </c>
      <c r="FI14" s="73">
        <v>6</v>
      </c>
      <c r="FJ14" s="73">
        <v>5</v>
      </c>
      <c r="FK14" s="73">
        <v>5</v>
      </c>
      <c r="FL14" s="73">
        <v>4</v>
      </c>
      <c r="FM14" s="73">
        <v>11</v>
      </c>
      <c r="FN14" s="73">
        <f t="shared" si="2"/>
        <v>0</v>
      </c>
      <c r="FO14" s="73">
        <f t="shared" si="3"/>
        <v>0</v>
      </c>
      <c r="FP14" s="73">
        <f t="shared" si="4"/>
        <v>0</v>
      </c>
      <c r="FQ14" s="73">
        <f t="shared" si="5"/>
        <v>0</v>
      </c>
      <c r="FR14" s="73">
        <f t="shared" si="6"/>
        <v>0</v>
      </c>
      <c r="FS14" s="73">
        <f t="shared" si="7"/>
        <v>0</v>
      </c>
      <c r="FT14" s="73">
        <f t="shared" si="8"/>
        <v>0</v>
      </c>
      <c r="FU14" s="73">
        <f t="shared" si="9"/>
        <v>0</v>
      </c>
      <c r="FV14" s="73">
        <f t="shared" si="10"/>
        <v>4</v>
      </c>
      <c r="FW14" s="73">
        <f t="shared" si="11"/>
        <v>0</v>
      </c>
      <c r="FX14" s="73">
        <f t="shared" si="12"/>
        <v>0</v>
      </c>
      <c r="FY14" s="73">
        <f t="shared" si="13"/>
        <v>0</v>
      </c>
      <c r="FZ14" s="73">
        <f t="shared" si="14"/>
        <v>-1</v>
      </c>
      <c r="GA14" s="73">
        <f t="shared" si="15"/>
        <v>1</v>
      </c>
      <c r="GB14" s="73">
        <f t="shared" si="16"/>
        <v>-3</v>
      </c>
      <c r="GC14" s="73">
        <f t="shared" si="17"/>
        <v>0</v>
      </c>
      <c r="GD14" s="73">
        <f t="shared" si="18"/>
        <v>0</v>
      </c>
      <c r="GE14" s="73">
        <f t="shared" si="19"/>
        <v>0</v>
      </c>
      <c r="GF14" s="73">
        <f t="shared" si="20"/>
        <v>0</v>
      </c>
      <c r="GG14" s="73">
        <f t="shared" si="21"/>
        <v>0</v>
      </c>
      <c r="GH14" s="73">
        <f t="shared" si="22"/>
        <v>0</v>
      </c>
      <c r="GI14" s="73">
        <f t="shared" si="23"/>
        <v>1</v>
      </c>
      <c r="GJ14" s="38"/>
      <c r="GK14" s="367" t="s">
        <v>695</v>
      </c>
      <c r="GL14" s="376" t="s">
        <v>694</v>
      </c>
      <c r="GM14" s="376" t="s">
        <v>692</v>
      </c>
      <c r="GP14" s="52"/>
    </row>
    <row r="15" spans="1:198" ht="15" customHeight="1" x14ac:dyDescent="0.25">
      <c r="A15" s="53">
        <v>40286</v>
      </c>
      <c r="B15" s="53" t="s">
        <v>133</v>
      </c>
      <c r="C15" s="53" t="s">
        <v>129</v>
      </c>
      <c r="D15" s="53" t="s">
        <v>134</v>
      </c>
      <c r="E15" s="54">
        <v>37143</v>
      </c>
      <c r="F15" s="62">
        <v>185</v>
      </c>
      <c r="G15" s="58">
        <v>2</v>
      </c>
      <c r="H15" s="59" t="s">
        <v>396</v>
      </c>
      <c r="I15" s="6">
        <v>1</v>
      </c>
      <c r="J15" s="6">
        <v>0</v>
      </c>
      <c r="K15" s="60">
        <v>8</v>
      </c>
      <c r="L15" s="6">
        <v>4</v>
      </c>
      <c r="M15" s="6">
        <v>0</v>
      </c>
      <c r="N15" s="6">
        <v>0</v>
      </c>
      <c r="O15" s="6">
        <v>2</v>
      </c>
      <c r="P15" s="6">
        <v>5</v>
      </c>
      <c r="Q15" s="6">
        <v>0</v>
      </c>
      <c r="R15" s="6">
        <v>0</v>
      </c>
      <c r="S15" s="6">
        <v>26</v>
      </c>
      <c r="T15" s="6">
        <v>115</v>
      </c>
      <c r="U15" s="6">
        <v>67</v>
      </c>
      <c r="V15" s="6">
        <v>0</v>
      </c>
      <c r="W15" s="61">
        <v>0</v>
      </c>
      <c r="X15" s="62">
        <v>0</v>
      </c>
      <c r="Y15" s="62">
        <v>0</v>
      </c>
      <c r="Z15" s="62">
        <v>0</v>
      </c>
      <c r="AA15" s="62">
        <v>0</v>
      </c>
      <c r="AB15" s="62">
        <v>0</v>
      </c>
      <c r="AC15" s="63">
        <v>1</v>
      </c>
      <c r="AD15" s="62">
        <v>1</v>
      </c>
      <c r="AE15" s="62">
        <v>1</v>
      </c>
      <c r="AF15" s="62">
        <v>1</v>
      </c>
      <c r="AG15" s="62">
        <v>0</v>
      </c>
      <c r="AH15" s="62">
        <v>0</v>
      </c>
      <c r="AI15" s="62">
        <v>0</v>
      </c>
      <c r="AJ15" s="62">
        <v>0</v>
      </c>
      <c r="AK15" s="62">
        <v>4</v>
      </c>
      <c r="AL15" s="62">
        <v>18</v>
      </c>
      <c r="AM15" s="62">
        <v>10</v>
      </c>
      <c r="AN15" s="1" t="s">
        <v>384</v>
      </c>
      <c r="AO15" s="65">
        <v>4</v>
      </c>
      <c r="AP15" s="65">
        <v>1</v>
      </c>
      <c r="AQ15" s="65">
        <v>0</v>
      </c>
      <c r="AR15" s="65">
        <v>0</v>
      </c>
      <c r="AS15" s="65">
        <v>1</v>
      </c>
      <c r="AT15" s="65">
        <v>1</v>
      </c>
      <c r="AU15" s="65">
        <v>0</v>
      </c>
      <c r="AV15" s="65">
        <v>0</v>
      </c>
      <c r="AW15" s="66">
        <v>0</v>
      </c>
      <c r="AX15" s="1" t="s">
        <v>391</v>
      </c>
      <c r="AY15" s="65">
        <v>4</v>
      </c>
      <c r="AZ15" s="65">
        <v>0</v>
      </c>
      <c r="BA15" s="65">
        <v>0</v>
      </c>
      <c r="BB15" s="65">
        <v>0</v>
      </c>
      <c r="BC15" s="65">
        <v>0</v>
      </c>
      <c r="BD15" s="65">
        <v>1</v>
      </c>
      <c r="BE15" s="65">
        <v>0</v>
      </c>
      <c r="BF15" s="65">
        <v>0</v>
      </c>
      <c r="BG15" s="66">
        <v>0</v>
      </c>
      <c r="BH15" s="1" t="s">
        <v>389</v>
      </c>
      <c r="BI15" s="65">
        <v>4</v>
      </c>
      <c r="BJ15" s="65">
        <v>0</v>
      </c>
      <c r="BK15" s="65">
        <v>2</v>
      </c>
      <c r="BL15" s="65">
        <v>2</v>
      </c>
      <c r="BM15" s="65">
        <v>1</v>
      </c>
      <c r="BN15" s="65">
        <v>1</v>
      </c>
      <c r="BO15" s="65">
        <v>0</v>
      </c>
      <c r="BP15" s="65">
        <v>0</v>
      </c>
      <c r="BQ15" s="66">
        <v>2</v>
      </c>
      <c r="BR15" s="1" t="s">
        <v>390</v>
      </c>
      <c r="BS15" s="65">
        <v>4</v>
      </c>
      <c r="BT15" s="65">
        <v>1</v>
      </c>
      <c r="BU15" s="65">
        <v>1</v>
      </c>
      <c r="BV15" s="65">
        <v>0</v>
      </c>
      <c r="BW15" s="65">
        <v>0</v>
      </c>
      <c r="BX15" s="65">
        <v>0</v>
      </c>
      <c r="BY15" s="65">
        <v>0</v>
      </c>
      <c r="BZ15" s="65">
        <v>0</v>
      </c>
      <c r="CA15" s="66">
        <v>2</v>
      </c>
      <c r="CB15" s="1" t="s">
        <v>274</v>
      </c>
      <c r="CC15" s="65">
        <v>3</v>
      </c>
      <c r="CD15" s="65">
        <v>2</v>
      </c>
      <c r="CE15" s="65">
        <v>1</v>
      </c>
      <c r="CF15" s="65">
        <v>2</v>
      </c>
      <c r="CG15" s="65">
        <v>1</v>
      </c>
      <c r="CH15" s="65">
        <v>0</v>
      </c>
      <c r="CI15" s="65">
        <v>0</v>
      </c>
      <c r="CJ15" s="65">
        <v>0</v>
      </c>
      <c r="CK15" s="66">
        <v>4</v>
      </c>
      <c r="CL15" s="1" t="s">
        <v>273</v>
      </c>
      <c r="CM15" s="65">
        <v>3</v>
      </c>
      <c r="CN15" s="65">
        <v>1</v>
      </c>
      <c r="CO15" s="65">
        <v>1</v>
      </c>
      <c r="CP15" s="65">
        <v>2</v>
      </c>
      <c r="CQ15" s="65">
        <v>1</v>
      </c>
      <c r="CR15" s="65">
        <v>0</v>
      </c>
      <c r="CS15" s="65">
        <v>0</v>
      </c>
      <c r="CT15" s="65">
        <v>0</v>
      </c>
      <c r="CU15" s="66">
        <v>4</v>
      </c>
      <c r="CV15" s="1" t="s">
        <v>272</v>
      </c>
      <c r="CW15" s="65">
        <v>4</v>
      </c>
      <c r="CX15" s="65">
        <v>1</v>
      </c>
      <c r="CY15" s="65">
        <v>1</v>
      </c>
      <c r="CZ15" s="65">
        <v>0</v>
      </c>
      <c r="DA15" s="65">
        <v>0</v>
      </c>
      <c r="DB15" s="65">
        <v>2</v>
      </c>
      <c r="DC15" s="65">
        <v>0</v>
      </c>
      <c r="DD15" s="65">
        <v>0</v>
      </c>
      <c r="DE15" s="66">
        <v>2</v>
      </c>
      <c r="DF15" s="1" t="s">
        <v>406</v>
      </c>
      <c r="DG15" s="65">
        <v>4</v>
      </c>
      <c r="DH15" s="65">
        <v>0</v>
      </c>
      <c r="DI15" s="65">
        <v>0</v>
      </c>
      <c r="DJ15" s="65">
        <v>0</v>
      </c>
      <c r="DK15" s="65">
        <v>0</v>
      </c>
      <c r="DL15" s="65">
        <v>1</v>
      </c>
      <c r="DM15" s="65">
        <v>0</v>
      </c>
      <c r="DN15" s="65">
        <v>0</v>
      </c>
      <c r="DO15" s="66">
        <v>0</v>
      </c>
      <c r="DP15" s="1" t="s">
        <v>386</v>
      </c>
      <c r="DQ15" s="65">
        <v>2</v>
      </c>
      <c r="DR15" s="65">
        <v>1</v>
      </c>
      <c r="DS15" s="65">
        <v>1</v>
      </c>
      <c r="DT15" s="65">
        <v>1</v>
      </c>
      <c r="DU15" s="65">
        <v>2</v>
      </c>
      <c r="DV15" s="65">
        <v>0</v>
      </c>
      <c r="DW15" s="65">
        <v>0</v>
      </c>
      <c r="DX15" s="65">
        <v>0</v>
      </c>
      <c r="DY15" s="66">
        <v>1</v>
      </c>
      <c r="DZ15" s="67">
        <v>8</v>
      </c>
      <c r="EA15" s="68">
        <v>3</v>
      </c>
      <c r="EB15" s="68">
        <v>0</v>
      </c>
      <c r="EC15" s="69">
        <v>1</v>
      </c>
      <c r="ED15" s="68">
        <v>0</v>
      </c>
      <c r="EE15" s="70">
        <v>0</v>
      </c>
      <c r="EF15" s="71">
        <v>0</v>
      </c>
      <c r="EG15" s="72">
        <v>2</v>
      </c>
      <c r="EH15" s="72">
        <v>2</v>
      </c>
      <c r="EI15" s="72">
        <v>0</v>
      </c>
      <c r="EJ15" s="72">
        <v>0</v>
      </c>
      <c r="EK15" s="72">
        <v>3</v>
      </c>
      <c r="EL15" s="72">
        <v>0</v>
      </c>
      <c r="EM15" s="72">
        <v>0</v>
      </c>
      <c r="EN15" s="72">
        <v>0</v>
      </c>
      <c r="EO15" s="72"/>
      <c r="EP15" s="72"/>
      <c r="EQ15" s="72"/>
      <c r="ER15" s="72"/>
      <c r="ES15" s="44">
        <f t="shared" si="0"/>
        <v>7</v>
      </c>
      <c r="ET15" s="43">
        <v>0</v>
      </c>
      <c r="EU15" s="43">
        <v>0</v>
      </c>
      <c r="EV15" s="43">
        <v>0</v>
      </c>
      <c r="EW15" s="43">
        <v>0</v>
      </c>
      <c r="EX15" s="43">
        <v>0</v>
      </c>
      <c r="EY15" s="43">
        <v>0</v>
      </c>
      <c r="EZ15" s="43">
        <v>0</v>
      </c>
      <c r="FA15" s="43">
        <v>0</v>
      </c>
      <c r="FB15" s="43">
        <v>1</v>
      </c>
      <c r="FC15" s="43"/>
      <c r="FD15" s="43"/>
      <c r="FE15" s="43"/>
      <c r="FF15" s="43"/>
      <c r="FG15" s="43">
        <f t="shared" si="1"/>
        <v>1</v>
      </c>
      <c r="FH15" s="73">
        <v>32</v>
      </c>
      <c r="FI15" s="73">
        <v>7</v>
      </c>
      <c r="FJ15" s="73">
        <v>7</v>
      </c>
      <c r="FK15" s="73">
        <v>7</v>
      </c>
      <c r="FL15" s="73">
        <v>6</v>
      </c>
      <c r="FM15" s="73">
        <v>6</v>
      </c>
      <c r="FN15" s="73">
        <f t="shared" si="2"/>
        <v>0</v>
      </c>
      <c r="FO15" s="73">
        <f t="shared" si="3"/>
        <v>0</v>
      </c>
      <c r="FP15" s="73">
        <f t="shared" si="4"/>
        <v>0</v>
      </c>
      <c r="FQ15" s="73">
        <f t="shared" si="5"/>
        <v>0</v>
      </c>
      <c r="FR15" s="73">
        <f t="shared" si="6"/>
        <v>0</v>
      </c>
      <c r="FS15" s="73">
        <f t="shared" si="7"/>
        <v>0</v>
      </c>
      <c r="FT15" s="73">
        <f t="shared" si="8"/>
        <v>0</v>
      </c>
      <c r="FU15" s="73">
        <f t="shared" si="9"/>
        <v>0</v>
      </c>
      <c r="FV15" s="73">
        <f t="shared" si="10"/>
        <v>0</v>
      </c>
      <c r="FW15" s="73">
        <f t="shared" si="11"/>
        <v>2</v>
      </c>
      <c r="FX15" s="73">
        <f t="shared" si="12"/>
        <v>2</v>
      </c>
      <c r="FY15" s="73">
        <f t="shared" si="13"/>
        <v>0</v>
      </c>
      <c r="FZ15" s="73">
        <f t="shared" si="14"/>
        <v>0</v>
      </c>
      <c r="GA15" s="73">
        <f t="shared" si="15"/>
        <v>3</v>
      </c>
      <c r="GB15" s="73">
        <f t="shared" si="16"/>
        <v>0</v>
      </c>
      <c r="GC15" s="73">
        <f t="shared" si="17"/>
        <v>0</v>
      </c>
      <c r="GD15" s="73">
        <f t="shared" si="18"/>
        <v>-1</v>
      </c>
      <c r="GE15" s="73">
        <f t="shared" si="19"/>
        <v>0</v>
      </c>
      <c r="GF15" s="73">
        <f t="shared" si="20"/>
        <v>0</v>
      </c>
      <c r="GG15" s="73">
        <f t="shared" si="21"/>
        <v>0</v>
      </c>
      <c r="GH15" s="73">
        <f t="shared" si="22"/>
        <v>0</v>
      </c>
      <c r="GI15" s="73">
        <f t="shared" si="23"/>
        <v>6</v>
      </c>
      <c r="GJ15" s="38"/>
      <c r="GK15" s="367" t="s">
        <v>694</v>
      </c>
      <c r="GL15" s="376" t="s">
        <v>694</v>
      </c>
      <c r="GM15" s="376" t="s">
        <v>692</v>
      </c>
      <c r="GP15" s="52"/>
    </row>
    <row r="16" spans="1:198" ht="15" customHeight="1" x14ac:dyDescent="0.25">
      <c r="A16" s="53">
        <v>40287</v>
      </c>
      <c r="B16" s="53" t="s">
        <v>133</v>
      </c>
      <c r="C16" s="53" t="s">
        <v>129</v>
      </c>
      <c r="D16" s="53" t="s">
        <v>134</v>
      </c>
      <c r="E16" s="54">
        <v>37609</v>
      </c>
      <c r="F16" s="62">
        <v>169</v>
      </c>
      <c r="G16" s="58">
        <v>3</v>
      </c>
      <c r="H16" s="59" t="s">
        <v>395</v>
      </c>
      <c r="I16" s="6">
        <v>1</v>
      </c>
      <c r="J16" s="6">
        <v>0</v>
      </c>
      <c r="K16" s="60">
        <v>7</v>
      </c>
      <c r="L16" s="6">
        <v>5</v>
      </c>
      <c r="M16" s="6">
        <v>2</v>
      </c>
      <c r="N16" s="6">
        <v>2</v>
      </c>
      <c r="O16" s="6">
        <v>3</v>
      </c>
      <c r="P16" s="6">
        <v>4</v>
      </c>
      <c r="Q16" s="6">
        <v>1</v>
      </c>
      <c r="R16" s="6">
        <v>0</v>
      </c>
      <c r="S16" s="6">
        <v>28</v>
      </c>
      <c r="T16" s="6">
        <v>100</v>
      </c>
      <c r="U16" s="6">
        <v>63</v>
      </c>
      <c r="V16" s="6">
        <v>0</v>
      </c>
      <c r="W16" s="61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0</v>
      </c>
      <c r="AC16" s="63">
        <v>2</v>
      </c>
      <c r="AD16" s="62">
        <v>0</v>
      </c>
      <c r="AE16" s="62">
        <v>0</v>
      </c>
      <c r="AF16" s="62">
        <v>0</v>
      </c>
      <c r="AG16" s="62">
        <v>0</v>
      </c>
      <c r="AH16" s="62">
        <v>0</v>
      </c>
      <c r="AI16" s="62">
        <v>0</v>
      </c>
      <c r="AJ16" s="62">
        <v>0</v>
      </c>
      <c r="AK16" s="62">
        <v>6</v>
      </c>
      <c r="AL16" s="62">
        <v>19</v>
      </c>
      <c r="AM16" s="62">
        <v>12</v>
      </c>
      <c r="AN16" s="1" t="s">
        <v>384</v>
      </c>
      <c r="AO16" s="65">
        <v>5</v>
      </c>
      <c r="AP16" s="65">
        <v>3</v>
      </c>
      <c r="AQ16" s="65">
        <v>3</v>
      </c>
      <c r="AR16" s="65">
        <v>1</v>
      </c>
      <c r="AS16" s="65">
        <v>0</v>
      </c>
      <c r="AT16" s="65">
        <v>0</v>
      </c>
      <c r="AU16" s="65">
        <v>0</v>
      </c>
      <c r="AV16" s="65">
        <v>0</v>
      </c>
      <c r="AW16" s="66">
        <v>6</v>
      </c>
      <c r="AX16" s="1" t="s">
        <v>391</v>
      </c>
      <c r="AY16" s="65">
        <v>2</v>
      </c>
      <c r="AZ16" s="65">
        <v>1</v>
      </c>
      <c r="BA16" s="65">
        <v>2</v>
      </c>
      <c r="BB16" s="65">
        <v>1</v>
      </c>
      <c r="BC16" s="65">
        <v>1</v>
      </c>
      <c r="BD16" s="65">
        <v>0</v>
      </c>
      <c r="BE16" s="65">
        <v>0</v>
      </c>
      <c r="BF16" s="65">
        <v>1</v>
      </c>
      <c r="BG16" s="66">
        <v>2</v>
      </c>
      <c r="BH16" s="1" t="s">
        <v>389</v>
      </c>
      <c r="BI16" s="65">
        <v>5</v>
      </c>
      <c r="BJ16" s="65">
        <v>0</v>
      </c>
      <c r="BK16" s="65">
        <v>0</v>
      </c>
      <c r="BL16" s="65">
        <v>1</v>
      </c>
      <c r="BM16" s="65">
        <v>0</v>
      </c>
      <c r="BN16" s="65">
        <v>2</v>
      </c>
      <c r="BO16" s="65">
        <v>0</v>
      </c>
      <c r="BP16" s="65">
        <v>0</v>
      </c>
      <c r="BQ16" s="66">
        <v>0</v>
      </c>
      <c r="BR16" s="1" t="s">
        <v>390</v>
      </c>
      <c r="BS16" s="65">
        <v>5</v>
      </c>
      <c r="BT16" s="65">
        <v>1</v>
      </c>
      <c r="BU16" s="65">
        <v>1</v>
      </c>
      <c r="BV16" s="65">
        <v>2</v>
      </c>
      <c r="BW16" s="65">
        <v>0</v>
      </c>
      <c r="BX16" s="65">
        <v>1</v>
      </c>
      <c r="BY16" s="65">
        <v>0</v>
      </c>
      <c r="BZ16" s="65">
        <v>0</v>
      </c>
      <c r="CA16" s="66">
        <v>2</v>
      </c>
      <c r="CB16" s="1" t="s">
        <v>274</v>
      </c>
      <c r="CC16" s="65">
        <v>3</v>
      </c>
      <c r="CD16" s="65">
        <v>1</v>
      </c>
      <c r="CE16" s="65">
        <v>1</v>
      </c>
      <c r="CF16" s="65">
        <v>0</v>
      </c>
      <c r="CG16" s="65">
        <v>1</v>
      </c>
      <c r="CH16" s="65">
        <v>0</v>
      </c>
      <c r="CI16" s="65">
        <v>0</v>
      </c>
      <c r="CJ16" s="65">
        <v>0</v>
      </c>
      <c r="CK16" s="66">
        <v>1</v>
      </c>
      <c r="CL16" s="1" t="s">
        <v>273</v>
      </c>
      <c r="CM16" s="65">
        <v>4</v>
      </c>
      <c r="CN16" s="65">
        <v>1</v>
      </c>
      <c r="CO16" s="65">
        <v>1</v>
      </c>
      <c r="CP16" s="65">
        <v>3</v>
      </c>
      <c r="CQ16" s="65">
        <v>0</v>
      </c>
      <c r="CR16" s="65">
        <v>0</v>
      </c>
      <c r="CS16" s="65">
        <v>0</v>
      </c>
      <c r="CT16" s="65">
        <v>0</v>
      </c>
      <c r="CU16" s="66">
        <v>4</v>
      </c>
      <c r="CV16" s="1" t="s">
        <v>408</v>
      </c>
      <c r="CW16" s="65">
        <v>4</v>
      </c>
      <c r="CX16" s="65">
        <v>0</v>
      </c>
      <c r="CY16" s="65">
        <v>3</v>
      </c>
      <c r="CZ16" s="65">
        <v>0</v>
      </c>
      <c r="DA16" s="65">
        <v>0</v>
      </c>
      <c r="DB16" s="65">
        <v>1</v>
      </c>
      <c r="DC16" s="65">
        <v>0</v>
      </c>
      <c r="DD16" s="65">
        <v>0</v>
      </c>
      <c r="DE16" s="66">
        <v>4</v>
      </c>
      <c r="DF16" s="1" t="s">
        <v>385</v>
      </c>
      <c r="DG16" s="65">
        <v>4</v>
      </c>
      <c r="DH16" s="65">
        <v>1</v>
      </c>
      <c r="DI16" s="65">
        <v>1</v>
      </c>
      <c r="DJ16" s="65">
        <v>0</v>
      </c>
      <c r="DK16" s="65">
        <v>0</v>
      </c>
      <c r="DL16" s="65">
        <v>0</v>
      </c>
      <c r="DM16" s="65">
        <v>0</v>
      </c>
      <c r="DN16" s="65">
        <v>0</v>
      </c>
      <c r="DO16" s="66">
        <v>2</v>
      </c>
      <c r="DP16" s="1" t="s">
        <v>406</v>
      </c>
      <c r="DQ16" s="65">
        <v>3</v>
      </c>
      <c r="DR16" s="65">
        <v>0</v>
      </c>
      <c r="DS16" s="65">
        <v>0</v>
      </c>
      <c r="DT16" s="65">
        <v>0</v>
      </c>
      <c r="DU16" s="65">
        <v>1</v>
      </c>
      <c r="DV16" s="65">
        <v>1</v>
      </c>
      <c r="DW16" s="65">
        <v>0</v>
      </c>
      <c r="DX16" s="65">
        <v>0</v>
      </c>
      <c r="DY16" s="66">
        <v>0</v>
      </c>
      <c r="DZ16" s="67">
        <v>1</v>
      </c>
      <c r="EA16" s="68">
        <v>0</v>
      </c>
      <c r="EB16" s="68">
        <v>0</v>
      </c>
      <c r="EC16" s="69">
        <v>8</v>
      </c>
      <c r="ED16" s="68">
        <v>1</v>
      </c>
      <c r="EE16" s="70">
        <v>0</v>
      </c>
      <c r="EF16" s="71">
        <v>1</v>
      </c>
      <c r="EG16" s="72">
        <v>0</v>
      </c>
      <c r="EH16" s="72">
        <v>5</v>
      </c>
      <c r="EI16" s="72">
        <v>2</v>
      </c>
      <c r="EJ16" s="72">
        <v>0</v>
      </c>
      <c r="EK16" s="72">
        <v>0</v>
      </c>
      <c r="EL16" s="72">
        <v>0</v>
      </c>
      <c r="EM16" s="72">
        <v>0</v>
      </c>
      <c r="EN16" s="72">
        <v>0</v>
      </c>
      <c r="EO16" s="72"/>
      <c r="EP16" s="72"/>
      <c r="EQ16" s="72"/>
      <c r="ER16" s="72"/>
      <c r="ES16" s="44">
        <f t="shared" si="0"/>
        <v>8</v>
      </c>
      <c r="ET16" s="43">
        <v>0</v>
      </c>
      <c r="EU16" s="43">
        <v>0</v>
      </c>
      <c r="EV16" s="43">
        <v>0</v>
      </c>
      <c r="EW16" s="43">
        <v>0</v>
      </c>
      <c r="EX16" s="43">
        <v>0</v>
      </c>
      <c r="EY16" s="43">
        <v>0</v>
      </c>
      <c r="EZ16" s="43">
        <v>2</v>
      </c>
      <c r="FA16" s="43">
        <v>0</v>
      </c>
      <c r="FB16" s="43">
        <v>0</v>
      </c>
      <c r="FC16" s="43"/>
      <c r="FD16" s="43"/>
      <c r="FE16" s="43"/>
      <c r="FF16" s="43"/>
      <c r="FG16" s="43">
        <f t="shared" si="1"/>
        <v>2</v>
      </c>
      <c r="FH16" s="73">
        <v>35</v>
      </c>
      <c r="FI16" s="73">
        <v>8</v>
      </c>
      <c r="FJ16" s="73">
        <v>12</v>
      </c>
      <c r="FK16" s="73">
        <v>8</v>
      </c>
      <c r="FL16" s="73">
        <v>3</v>
      </c>
      <c r="FM16" s="73">
        <v>5</v>
      </c>
      <c r="FN16" s="73">
        <f t="shared" si="2"/>
        <v>0</v>
      </c>
      <c r="FO16" s="73">
        <f t="shared" si="3"/>
        <v>0</v>
      </c>
      <c r="FP16" s="73">
        <f t="shared" si="4"/>
        <v>0</v>
      </c>
      <c r="FQ16" s="73">
        <f t="shared" si="5"/>
        <v>0</v>
      </c>
      <c r="FR16" s="73">
        <f t="shared" si="6"/>
        <v>0</v>
      </c>
      <c r="FS16" s="73">
        <f t="shared" si="7"/>
        <v>0</v>
      </c>
      <c r="FT16" s="73">
        <f t="shared" si="8"/>
        <v>0</v>
      </c>
      <c r="FU16" s="73">
        <f t="shared" si="9"/>
        <v>0</v>
      </c>
      <c r="FV16" s="73">
        <f t="shared" si="10"/>
        <v>1</v>
      </c>
      <c r="FW16" s="73">
        <f t="shared" si="11"/>
        <v>0</v>
      </c>
      <c r="FX16" s="73">
        <f t="shared" si="12"/>
        <v>5</v>
      </c>
      <c r="FY16" s="73">
        <f t="shared" si="13"/>
        <v>2</v>
      </c>
      <c r="FZ16" s="73">
        <f t="shared" si="14"/>
        <v>0</v>
      </c>
      <c r="GA16" s="73">
        <f t="shared" si="15"/>
        <v>0</v>
      </c>
      <c r="GB16" s="73">
        <f t="shared" si="16"/>
        <v>-2</v>
      </c>
      <c r="GC16" s="73">
        <f t="shared" si="17"/>
        <v>0</v>
      </c>
      <c r="GD16" s="73">
        <f t="shared" si="18"/>
        <v>0</v>
      </c>
      <c r="GE16" s="73">
        <f t="shared" si="19"/>
        <v>0</v>
      </c>
      <c r="GF16" s="73">
        <f t="shared" si="20"/>
        <v>0</v>
      </c>
      <c r="GG16" s="73">
        <f t="shared" si="21"/>
        <v>0</v>
      </c>
      <c r="GH16" s="73">
        <f t="shared" si="22"/>
        <v>0</v>
      </c>
      <c r="GI16" s="73">
        <f t="shared" si="23"/>
        <v>6</v>
      </c>
      <c r="GJ16" s="38"/>
      <c r="GK16" s="367" t="s">
        <v>695</v>
      </c>
      <c r="GL16" s="376" t="s">
        <v>694</v>
      </c>
      <c r="GM16" s="376" t="s">
        <v>692</v>
      </c>
      <c r="GP16" s="52"/>
    </row>
    <row r="17" spans="1:198" ht="15" customHeight="1" x14ac:dyDescent="0.25">
      <c r="A17" s="53">
        <v>40288</v>
      </c>
      <c r="B17" s="53" t="s">
        <v>133</v>
      </c>
      <c r="C17" s="53" t="s">
        <v>131</v>
      </c>
      <c r="D17" s="53" t="s">
        <v>135</v>
      </c>
      <c r="E17" s="54">
        <v>19260</v>
      </c>
      <c r="F17" s="62">
        <v>142</v>
      </c>
      <c r="G17" s="58">
        <v>4</v>
      </c>
      <c r="H17" s="59" t="s">
        <v>394</v>
      </c>
      <c r="I17" s="6">
        <v>0</v>
      </c>
      <c r="J17" s="6">
        <v>1</v>
      </c>
      <c r="K17" s="60">
        <v>5</v>
      </c>
      <c r="L17" s="6">
        <v>6</v>
      </c>
      <c r="M17" s="6">
        <v>3</v>
      </c>
      <c r="N17" s="6">
        <v>3</v>
      </c>
      <c r="O17" s="6">
        <v>3</v>
      </c>
      <c r="P17" s="6">
        <v>3</v>
      </c>
      <c r="Q17" s="6">
        <v>1</v>
      </c>
      <c r="R17" s="6">
        <v>0</v>
      </c>
      <c r="S17" s="6">
        <v>24</v>
      </c>
      <c r="T17" s="6">
        <v>93</v>
      </c>
      <c r="U17" s="6">
        <v>56</v>
      </c>
      <c r="V17" s="6">
        <v>1</v>
      </c>
      <c r="W17" s="61">
        <v>0</v>
      </c>
      <c r="X17" s="62">
        <v>0</v>
      </c>
      <c r="Y17" s="62">
        <v>0</v>
      </c>
      <c r="Z17" s="62">
        <v>0</v>
      </c>
      <c r="AA17" s="62">
        <v>0</v>
      </c>
      <c r="AB17" s="62">
        <v>0</v>
      </c>
      <c r="AC17" s="63">
        <v>3</v>
      </c>
      <c r="AD17" s="62">
        <v>1</v>
      </c>
      <c r="AE17" s="62">
        <v>1</v>
      </c>
      <c r="AF17" s="62">
        <v>1</v>
      </c>
      <c r="AG17" s="62">
        <v>0</v>
      </c>
      <c r="AH17" s="62">
        <v>0</v>
      </c>
      <c r="AI17" s="62">
        <v>1</v>
      </c>
      <c r="AJ17" s="62">
        <v>0</v>
      </c>
      <c r="AK17" s="62">
        <v>10</v>
      </c>
      <c r="AL17" s="62">
        <v>33</v>
      </c>
      <c r="AM17" s="62">
        <v>22</v>
      </c>
      <c r="AN17" s="1" t="s">
        <v>384</v>
      </c>
      <c r="AO17" s="65">
        <v>4</v>
      </c>
      <c r="AP17" s="65">
        <v>0</v>
      </c>
      <c r="AQ17" s="65">
        <v>0</v>
      </c>
      <c r="AR17" s="65">
        <v>0</v>
      </c>
      <c r="AS17" s="65">
        <v>0</v>
      </c>
      <c r="AT17" s="65">
        <v>1</v>
      </c>
      <c r="AU17" s="65">
        <v>0</v>
      </c>
      <c r="AV17" s="65">
        <v>0</v>
      </c>
      <c r="AW17" s="66">
        <v>0</v>
      </c>
      <c r="AX17" s="1" t="s">
        <v>391</v>
      </c>
      <c r="AY17" s="65">
        <v>4</v>
      </c>
      <c r="AZ17" s="65">
        <v>1</v>
      </c>
      <c r="BA17" s="65">
        <v>3</v>
      </c>
      <c r="BB17" s="65">
        <v>1</v>
      </c>
      <c r="BC17" s="65">
        <v>0</v>
      </c>
      <c r="BD17" s="65">
        <v>0</v>
      </c>
      <c r="BE17" s="65">
        <v>0</v>
      </c>
      <c r="BF17" s="65">
        <v>0</v>
      </c>
      <c r="BG17" s="66">
        <v>6</v>
      </c>
      <c r="BH17" s="1" t="s">
        <v>389</v>
      </c>
      <c r="BI17" s="65">
        <v>4</v>
      </c>
      <c r="BJ17" s="65">
        <v>0</v>
      </c>
      <c r="BK17" s="65">
        <v>0</v>
      </c>
      <c r="BL17" s="65">
        <v>0</v>
      </c>
      <c r="BM17" s="65">
        <v>0</v>
      </c>
      <c r="BN17" s="65">
        <v>3</v>
      </c>
      <c r="BO17" s="65">
        <v>0</v>
      </c>
      <c r="BP17" s="65">
        <v>0</v>
      </c>
      <c r="BQ17" s="66">
        <v>0</v>
      </c>
      <c r="BR17" s="1" t="s">
        <v>390</v>
      </c>
      <c r="BS17" s="65">
        <v>4</v>
      </c>
      <c r="BT17" s="65">
        <v>0</v>
      </c>
      <c r="BU17" s="65">
        <v>0</v>
      </c>
      <c r="BV17" s="65">
        <v>0</v>
      </c>
      <c r="BW17" s="65">
        <v>0</v>
      </c>
      <c r="BX17" s="65">
        <v>2</v>
      </c>
      <c r="BY17" s="65">
        <v>0</v>
      </c>
      <c r="BZ17" s="65">
        <v>0</v>
      </c>
      <c r="CA17" s="66">
        <v>0</v>
      </c>
      <c r="CB17" s="1" t="s">
        <v>274</v>
      </c>
      <c r="CC17" s="65">
        <v>2</v>
      </c>
      <c r="CD17" s="65">
        <v>0</v>
      </c>
      <c r="CE17" s="65">
        <v>0</v>
      </c>
      <c r="CF17" s="65">
        <v>0</v>
      </c>
      <c r="CG17" s="65">
        <v>1</v>
      </c>
      <c r="CH17" s="65">
        <v>1</v>
      </c>
      <c r="CI17" s="65">
        <v>0</v>
      </c>
      <c r="CJ17" s="65">
        <v>0</v>
      </c>
      <c r="CK17" s="66">
        <v>0</v>
      </c>
      <c r="CL17" s="1" t="s">
        <v>273</v>
      </c>
      <c r="CM17" s="65">
        <v>3</v>
      </c>
      <c r="CN17" s="65">
        <v>0</v>
      </c>
      <c r="CO17" s="65">
        <v>0</v>
      </c>
      <c r="CP17" s="65">
        <v>0</v>
      </c>
      <c r="CQ17" s="65">
        <v>0</v>
      </c>
      <c r="CR17" s="65">
        <v>2</v>
      </c>
      <c r="CS17" s="65">
        <v>0</v>
      </c>
      <c r="CT17" s="65">
        <v>0</v>
      </c>
      <c r="CU17" s="66">
        <v>0</v>
      </c>
      <c r="CV17" s="1" t="s">
        <v>408</v>
      </c>
      <c r="CW17" s="65">
        <v>3</v>
      </c>
      <c r="CX17" s="65">
        <v>0</v>
      </c>
      <c r="CY17" s="65">
        <v>0</v>
      </c>
      <c r="CZ17" s="65">
        <v>0</v>
      </c>
      <c r="DA17" s="65">
        <v>0</v>
      </c>
      <c r="DB17" s="65">
        <v>0</v>
      </c>
      <c r="DC17" s="65">
        <v>0</v>
      </c>
      <c r="DD17" s="65">
        <v>0</v>
      </c>
      <c r="DE17" s="66">
        <v>0</v>
      </c>
      <c r="DF17" s="1" t="s">
        <v>406</v>
      </c>
      <c r="DG17" s="65">
        <v>2</v>
      </c>
      <c r="DH17" s="65">
        <v>0</v>
      </c>
      <c r="DI17" s="65">
        <v>0</v>
      </c>
      <c r="DJ17" s="65">
        <v>0</v>
      </c>
      <c r="DK17" s="65">
        <v>1</v>
      </c>
      <c r="DL17" s="65">
        <v>0</v>
      </c>
      <c r="DM17" s="65">
        <v>0</v>
      </c>
      <c r="DN17" s="65">
        <v>0</v>
      </c>
      <c r="DO17" s="66">
        <v>0</v>
      </c>
      <c r="DP17" s="1" t="s">
        <v>386</v>
      </c>
      <c r="DQ17" s="65">
        <v>3</v>
      </c>
      <c r="DR17" s="65">
        <v>0</v>
      </c>
      <c r="DS17" s="65">
        <v>0</v>
      </c>
      <c r="DT17" s="65">
        <v>0</v>
      </c>
      <c r="DU17" s="65">
        <v>0</v>
      </c>
      <c r="DV17" s="65">
        <v>1</v>
      </c>
      <c r="DW17" s="65">
        <v>0</v>
      </c>
      <c r="DX17" s="65">
        <v>0</v>
      </c>
      <c r="DY17" s="66">
        <v>0</v>
      </c>
      <c r="DZ17" s="67">
        <v>8</v>
      </c>
      <c r="EA17" s="68">
        <v>0</v>
      </c>
      <c r="EB17" s="68">
        <v>1</v>
      </c>
      <c r="EC17" s="69">
        <v>1</v>
      </c>
      <c r="ED17" s="68">
        <v>0</v>
      </c>
      <c r="EE17" s="70">
        <v>0</v>
      </c>
      <c r="EF17" s="71">
        <v>1</v>
      </c>
      <c r="EG17" s="72">
        <v>0</v>
      </c>
      <c r="EH17" s="72">
        <v>0</v>
      </c>
      <c r="EI17" s="72">
        <v>0</v>
      </c>
      <c r="EJ17" s="72">
        <v>0</v>
      </c>
      <c r="EK17" s="72">
        <v>0</v>
      </c>
      <c r="EL17" s="72">
        <v>0</v>
      </c>
      <c r="EM17" s="72">
        <v>0</v>
      </c>
      <c r="EN17" s="72">
        <v>0</v>
      </c>
      <c r="EO17" s="72"/>
      <c r="EP17" s="72"/>
      <c r="EQ17" s="72"/>
      <c r="ER17" s="72"/>
      <c r="ES17" s="44">
        <f t="shared" si="0"/>
        <v>1</v>
      </c>
      <c r="ET17" s="43">
        <v>1</v>
      </c>
      <c r="EU17" s="43">
        <v>1</v>
      </c>
      <c r="EV17" s="43">
        <v>0</v>
      </c>
      <c r="EW17" s="43">
        <v>0</v>
      </c>
      <c r="EX17" s="43">
        <v>0</v>
      </c>
      <c r="EY17" s="43">
        <v>1</v>
      </c>
      <c r="EZ17" s="43">
        <v>0</v>
      </c>
      <c r="FA17" s="43">
        <v>1</v>
      </c>
      <c r="FB17" s="43"/>
      <c r="FC17" s="43"/>
      <c r="FD17" s="43"/>
      <c r="FE17" s="43"/>
      <c r="FF17" s="43"/>
      <c r="FG17" s="43">
        <f t="shared" si="1"/>
        <v>4</v>
      </c>
      <c r="FH17" s="73">
        <v>29</v>
      </c>
      <c r="FI17" s="73">
        <v>1</v>
      </c>
      <c r="FJ17" s="73">
        <v>3</v>
      </c>
      <c r="FK17" s="73">
        <v>1</v>
      </c>
      <c r="FL17" s="73">
        <v>2</v>
      </c>
      <c r="FM17" s="73">
        <v>10</v>
      </c>
      <c r="FN17" s="73">
        <f t="shared" si="2"/>
        <v>0</v>
      </c>
      <c r="FO17" s="73">
        <f t="shared" si="3"/>
        <v>0</v>
      </c>
      <c r="FP17" s="73">
        <f t="shared" si="4"/>
        <v>0</v>
      </c>
      <c r="FQ17" s="73">
        <f t="shared" si="5"/>
        <v>0</v>
      </c>
      <c r="FR17" s="73">
        <f t="shared" si="6"/>
        <v>0</v>
      </c>
      <c r="FS17" s="73">
        <f t="shared" si="7"/>
        <v>0</v>
      </c>
      <c r="FT17" s="73">
        <f t="shared" si="8"/>
        <v>0</v>
      </c>
      <c r="FU17" s="73">
        <f t="shared" si="9"/>
        <v>0</v>
      </c>
      <c r="FV17" s="73">
        <f t="shared" si="10"/>
        <v>0</v>
      </c>
      <c r="FW17" s="73">
        <f t="shared" si="11"/>
        <v>-1</v>
      </c>
      <c r="FX17" s="73">
        <f t="shared" si="12"/>
        <v>0</v>
      </c>
      <c r="FY17" s="73">
        <f t="shared" si="13"/>
        <v>0</v>
      </c>
      <c r="FZ17" s="73">
        <f t="shared" si="14"/>
        <v>0</v>
      </c>
      <c r="GA17" s="73">
        <f t="shared" si="15"/>
        <v>-1</v>
      </c>
      <c r="GB17" s="73">
        <f t="shared" si="16"/>
        <v>0</v>
      </c>
      <c r="GC17" s="73">
        <f t="shared" si="17"/>
        <v>-1</v>
      </c>
      <c r="GD17" s="73">
        <f t="shared" si="18"/>
        <v>0</v>
      </c>
      <c r="GE17" s="73">
        <f t="shared" si="19"/>
        <v>0</v>
      </c>
      <c r="GF17" s="73">
        <f t="shared" si="20"/>
        <v>0</v>
      </c>
      <c r="GG17" s="73">
        <f t="shared" si="21"/>
        <v>0</v>
      </c>
      <c r="GH17" s="73">
        <f t="shared" si="22"/>
        <v>0</v>
      </c>
      <c r="GI17" s="73">
        <f t="shared" si="23"/>
        <v>-3</v>
      </c>
      <c r="GJ17" s="38"/>
      <c r="GK17" s="367" t="s">
        <v>694</v>
      </c>
      <c r="GL17" s="376" t="s">
        <v>694</v>
      </c>
      <c r="GM17" s="376" t="s">
        <v>692</v>
      </c>
      <c r="GP17" s="52"/>
    </row>
    <row r="18" spans="1:198" ht="15" customHeight="1" x14ac:dyDescent="0.25">
      <c r="A18" s="53">
        <v>40289</v>
      </c>
      <c r="B18" s="53" t="s">
        <v>133</v>
      </c>
      <c r="C18" s="53" t="s">
        <v>129</v>
      </c>
      <c r="D18" s="53" t="s">
        <v>135</v>
      </c>
      <c r="E18" s="54">
        <v>17023</v>
      </c>
      <c r="F18" s="62">
        <v>180</v>
      </c>
      <c r="G18" s="58">
        <v>5</v>
      </c>
      <c r="H18" s="89" t="s">
        <v>393</v>
      </c>
      <c r="I18" s="6">
        <v>1</v>
      </c>
      <c r="J18" s="6">
        <v>0</v>
      </c>
      <c r="K18" s="60">
        <v>6</v>
      </c>
      <c r="L18" s="6">
        <v>2</v>
      </c>
      <c r="M18" s="6">
        <v>0</v>
      </c>
      <c r="N18" s="6">
        <v>0</v>
      </c>
      <c r="O18" s="6">
        <v>3</v>
      </c>
      <c r="P18" s="6">
        <v>6</v>
      </c>
      <c r="Q18" s="6">
        <v>0</v>
      </c>
      <c r="R18" s="6">
        <v>0</v>
      </c>
      <c r="S18" s="6">
        <v>22</v>
      </c>
      <c r="T18" s="6">
        <v>86</v>
      </c>
      <c r="U18" s="6">
        <v>55</v>
      </c>
      <c r="V18" s="6">
        <v>0</v>
      </c>
      <c r="W18" s="61">
        <v>0</v>
      </c>
      <c r="X18" s="62">
        <v>0</v>
      </c>
      <c r="Y18" s="62">
        <v>0</v>
      </c>
      <c r="Z18" s="62">
        <v>0</v>
      </c>
      <c r="AA18" s="62">
        <v>0</v>
      </c>
      <c r="AB18" s="62">
        <v>0</v>
      </c>
      <c r="AC18" s="63">
        <v>3</v>
      </c>
      <c r="AD18" s="62">
        <v>2</v>
      </c>
      <c r="AE18" s="62">
        <v>0</v>
      </c>
      <c r="AF18" s="62">
        <v>0</v>
      </c>
      <c r="AG18" s="62">
        <v>1</v>
      </c>
      <c r="AH18" s="62">
        <v>4</v>
      </c>
      <c r="AI18" s="62">
        <v>0</v>
      </c>
      <c r="AJ18" s="62">
        <v>0</v>
      </c>
      <c r="AK18" s="62">
        <v>12</v>
      </c>
      <c r="AL18" s="62">
        <v>54</v>
      </c>
      <c r="AM18" s="62">
        <v>35</v>
      </c>
      <c r="AN18" s="1" t="s">
        <v>384</v>
      </c>
      <c r="AO18" s="65">
        <v>5</v>
      </c>
      <c r="AP18" s="65">
        <v>2</v>
      </c>
      <c r="AQ18" s="65">
        <v>3</v>
      </c>
      <c r="AR18" s="65">
        <v>1</v>
      </c>
      <c r="AS18" s="65">
        <v>1</v>
      </c>
      <c r="AT18" s="65">
        <v>1</v>
      </c>
      <c r="AU18" s="65">
        <v>0</v>
      </c>
      <c r="AV18" s="65">
        <v>0</v>
      </c>
      <c r="AW18" s="66">
        <v>3</v>
      </c>
      <c r="AX18" s="1" t="s">
        <v>391</v>
      </c>
      <c r="AY18" s="65">
        <v>5</v>
      </c>
      <c r="AZ18" s="65">
        <v>1</v>
      </c>
      <c r="BA18" s="65">
        <v>1</v>
      </c>
      <c r="BB18" s="65">
        <v>0</v>
      </c>
      <c r="BC18" s="65">
        <v>1</v>
      </c>
      <c r="BD18" s="65">
        <v>2</v>
      </c>
      <c r="BE18" s="65">
        <v>0</v>
      </c>
      <c r="BF18" s="65">
        <v>0</v>
      </c>
      <c r="BG18" s="66">
        <v>1</v>
      </c>
      <c r="BH18" s="1" t="s">
        <v>390</v>
      </c>
      <c r="BI18" s="65">
        <v>5</v>
      </c>
      <c r="BJ18" s="65">
        <v>2</v>
      </c>
      <c r="BK18" s="65">
        <v>3</v>
      </c>
      <c r="BL18" s="65">
        <v>1</v>
      </c>
      <c r="BM18" s="65">
        <v>0</v>
      </c>
      <c r="BN18" s="65">
        <v>2</v>
      </c>
      <c r="BO18" s="65">
        <v>0</v>
      </c>
      <c r="BP18" s="65">
        <v>0</v>
      </c>
      <c r="BQ18" s="66">
        <v>5</v>
      </c>
      <c r="BR18" s="1" t="s">
        <v>274</v>
      </c>
      <c r="BS18" s="65">
        <v>3</v>
      </c>
      <c r="BT18" s="65">
        <v>1</v>
      </c>
      <c r="BU18" s="65">
        <v>0</v>
      </c>
      <c r="BV18" s="65">
        <v>1</v>
      </c>
      <c r="BW18" s="65">
        <v>1</v>
      </c>
      <c r="BX18" s="65">
        <v>1</v>
      </c>
      <c r="BY18" s="65">
        <v>0</v>
      </c>
      <c r="BZ18" s="65">
        <v>1</v>
      </c>
      <c r="CA18" s="66">
        <v>0</v>
      </c>
      <c r="CB18" s="1" t="s">
        <v>273</v>
      </c>
      <c r="CC18" s="65">
        <v>4</v>
      </c>
      <c r="CD18" s="65">
        <v>1</v>
      </c>
      <c r="CE18" s="65">
        <v>2</v>
      </c>
      <c r="CF18" s="65">
        <v>2</v>
      </c>
      <c r="CG18" s="65">
        <v>1</v>
      </c>
      <c r="CH18" s="65">
        <v>2</v>
      </c>
      <c r="CI18" s="65">
        <v>0</v>
      </c>
      <c r="CJ18" s="65">
        <v>0</v>
      </c>
      <c r="CK18" s="66">
        <v>3</v>
      </c>
      <c r="CL18" s="1" t="s">
        <v>408</v>
      </c>
      <c r="CM18" s="65">
        <v>2</v>
      </c>
      <c r="CN18" s="65">
        <v>0</v>
      </c>
      <c r="CO18" s="65">
        <v>0</v>
      </c>
      <c r="CP18" s="65">
        <v>2</v>
      </c>
      <c r="CQ18" s="65">
        <v>2</v>
      </c>
      <c r="CR18" s="65">
        <v>0</v>
      </c>
      <c r="CS18" s="65">
        <v>0</v>
      </c>
      <c r="CT18" s="65">
        <v>1</v>
      </c>
      <c r="CU18" s="66">
        <v>0</v>
      </c>
      <c r="CV18" s="1" t="s">
        <v>386</v>
      </c>
      <c r="CW18" s="65">
        <v>4</v>
      </c>
      <c r="CX18" s="65">
        <v>2</v>
      </c>
      <c r="CY18" s="65">
        <v>1</v>
      </c>
      <c r="CZ18" s="65">
        <v>1</v>
      </c>
      <c r="DA18" s="65">
        <v>1</v>
      </c>
      <c r="DB18" s="65">
        <v>1</v>
      </c>
      <c r="DC18" s="65">
        <v>0</v>
      </c>
      <c r="DD18" s="65">
        <v>0</v>
      </c>
      <c r="DE18" s="66">
        <v>1</v>
      </c>
      <c r="DF18" s="1" t="s">
        <v>406</v>
      </c>
      <c r="DG18" s="65">
        <v>3</v>
      </c>
      <c r="DH18" s="65">
        <v>1</v>
      </c>
      <c r="DI18" s="65">
        <v>0</v>
      </c>
      <c r="DJ18" s="65">
        <v>0</v>
      </c>
      <c r="DK18" s="65">
        <v>1</v>
      </c>
      <c r="DL18" s="65">
        <v>0</v>
      </c>
      <c r="DM18" s="65">
        <v>0</v>
      </c>
      <c r="DN18" s="65">
        <v>0</v>
      </c>
      <c r="DO18" s="66">
        <v>0</v>
      </c>
      <c r="DP18" s="1" t="s">
        <v>271</v>
      </c>
      <c r="DQ18" s="65">
        <v>5</v>
      </c>
      <c r="DR18" s="65">
        <v>2</v>
      </c>
      <c r="DS18" s="65">
        <v>3</v>
      </c>
      <c r="DT18" s="65">
        <v>4</v>
      </c>
      <c r="DU18" s="65">
        <v>0</v>
      </c>
      <c r="DV18" s="65">
        <v>1</v>
      </c>
      <c r="DW18" s="65">
        <v>0</v>
      </c>
      <c r="DX18" s="65">
        <v>0</v>
      </c>
      <c r="DY18" s="66">
        <v>7</v>
      </c>
      <c r="DZ18" s="67">
        <f>4+2/3</f>
        <v>4.666666666666667</v>
      </c>
      <c r="EA18" s="68">
        <v>0</v>
      </c>
      <c r="EB18" s="68">
        <v>1</v>
      </c>
      <c r="EC18" s="69">
        <f>4+1/3</f>
        <v>4.333333333333333</v>
      </c>
      <c r="ED18" s="68">
        <v>0</v>
      </c>
      <c r="EE18" s="70">
        <v>0</v>
      </c>
      <c r="EF18" s="71">
        <v>0</v>
      </c>
      <c r="EG18" s="72">
        <v>0</v>
      </c>
      <c r="EH18" s="72">
        <v>1</v>
      </c>
      <c r="EI18" s="72">
        <v>4</v>
      </c>
      <c r="EJ18" s="72">
        <v>1</v>
      </c>
      <c r="EK18" s="72">
        <v>6</v>
      </c>
      <c r="EL18" s="72">
        <v>0</v>
      </c>
      <c r="EM18" s="72">
        <v>0</v>
      </c>
      <c r="EN18" s="72">
        <v>0</v>
      </c>
      <c r="EO18" s="72"/>
      <c r="EP18" s="72"/>
      <c r="EQ18" s="72"/>
      <c r="ER18" s="72"/>
      <c r="ES18" s="44">
        <f t="shared" si="0"/>
        <v>12</v>
      </c>
      <c r="ET18" s="43">
        <v>0</v>
      </c>
      <c r="EU18" s="43">
        <v>0</v>
      </c>
      <c r="EV18" s="43">
        <v>0</v>
      </c>
      <c r="EW18" s="43">
        <v>0</v>
      </c>
      <c r="EX18" s="43">
        <v>0</v>
      </c>
      <c r="EY18" s="43">
        <v>0</v>
      </c>
      <c r="EZ18" s="43">
        <v>0</v>
      </c>
      <c r="FA18" s="43">
        <v>0</v>
      </c>
      <c r="FB18" s="43">
        <v>0</v>
      </c>
      <c r="FC18" s="43"/>
      <c r="FD18" s="43"/>
      <c r="FE18" s="43"/>
      <c r="FF18" s="43"/>
      <c r="FG18" s="43">
        <f t="shared" si="1"/>
        <v>0</v>
      </c>
      <c r="FH18" s="73">
        <v>36</v>
      </c>
      <c r="FI18" s="73">
        <v>12</v>
      </c>
      <c r="FJ18" s="73">
        <v>13</v>
      </c>
      <c r="FK18" s="73">
        <v>12</v>
      </c>
      <c r="FL18" s="73">
        <v>8</v>
      </c>
      <c r="FM18" s="73">
        <v>10</v>
      </c>
      <c r="FN18" s="73">
        <f t="shared" si="2"/>
        <v>0</v>
      </c>
      <c r="FO18" s="73">
        <f t="shared" si="3"/>
        <v>0</v>
      </c>
      <c r="FP18" s="73">
        <f t="shared" si="4"/>
        <v>0</v>
      </c>
      <c r="FQ18" s="73">
        <f t="shared" si="5"/>
        <v>0</v>
      </c>
      <c r="FR18" s="73">
        <f t="shared" si="6"/>
        <v>0</v>
      </c>
      <c r="FS18" s="73">
        <f t="shared" si="7"/>
        <v>0</v>
      </c>
      <c r="FT18" s="73">
        <f t="shared" si="8"/>
        <v>0</v>
      </c>
      <c r="FU18" s="73">
        <f t="shared" si="9"/>
        <v>0</v>
      </c>
      <c r="FV18" s="73">
        <f t="shared" si="10"/>
        <v>0</v>
      </c>
      <c r="FW18" s="73">
        <f t="shared" si="11"/>
        <v>0</v>
      </c>
      <c r="FX18" s="73">
        <f t="shared" si="12"/>
        <v>1</v>
      </c>
      <c r="FY18" s="73">
        <f t="shared" si="13"/>
        <v>4</v>
      </c>
      <c r="FZ18" s="73">
        <f t="shared" si="14"/>
        <v>1</v>
      </c>
      <c r="GA18" s="73">
        <f t="shared" si="15"/>
        <v>6</v>
      </c>
      <c r="GB18" s="73">
        <f t="shared" si="16"/>
        <v>0</v>
      </c>
      <c r="GC18" s="73">
        <f t="shared" si="17"/>
        <v>0</v>
      </c>
      <c r="GD18" s="73">
        <f t="shared" si="18"/>
        <v>0</v>
      </c>
      <c r="GE18" s="73">
        <f t="shared" si="19"/>
        <v>0</v>
      </c>
      <c r="GF18" s="73">
        <f t="shared" si="20"/>
        <v>0</v>
      </c>
      <c r="GG18" s="73">
        <f t="shared" si="21"/>
        <v>0</v>
      </c>
      <c r="GH18" s="73">
        <f t="shared" si="22"/>
        <v>0</v>
      </c>
      <c r="GI18" s="73">
        <f t="shared" si="23"/>
        <v>12</v>
      </c>
      <c r="GJ18" s="38"/>
      <c r="GK18" s="367" t="s">
        <v>694</v>
      </c>
      <c r="GL18" s="376" t="s">
        <v>694</v>
      </c>
      <c r="GM18" s="376" t="s">
        <v>692</v>
      </c>
      <c r="GP18" s="52"/>
    </row>
    <row r="19" spans="1:198" ht="15" customHeight="1" x14ac:dyDescent="0.25">
      <c r="A19" s="53">
        <v>40290</v>
      </c>
      <c r="B19" s="53" t="s">
        <v>133</v>
      </c>
      <c r="C19" s="53" t="s">
        <v>129</v>
      </c>
      <c r="D19" s="53" t="s">
        <v>135</v>
      </c>
      <c r="E19" s="54">
        <v>18207</v>
      </c>
      <c r="F19" s="62">
        <v>170</v>
      </c>
      <c r="G19" s="58">
        <v>1</v>
      </c>
      <c r="H19" s="59" t="s">
        <v>392</v>
      </c>
      <c r="I19" s="6">
        <v>1</v>
      </c>
      <c r="J19" s="6">
        <v>0</v>
      </c>
      <c r="K19" s="60">
        <v>7</v>
      </c>
      <c r="L19" s="6">
        <v>6</v>
      </c>
      <c r="M19" s="6">
        <v>2</v>
      </c>
      <c r="N19" s="6">
        <v>2</v>
      </c>
      <c r="O19" s="6">
        <v>3</v>
      </c>
      <c r="P19" s="6">
        <v>3</v>
      </c>
      <c r="Q19" s="6">
        <v>1</v>
      </c>
      <c r="R19" s="6">
        <v>0</v>
      </c>
      <c r="S19" s="6">
        <v>30</v>
      </c>
      <c r="T19" s="6">
        <v>110</v>
      </c>
      <c r="U19" s="6">
        <v>66</v>
      </c>
      <c r="V19" s="6">
        <v>0</v>
      </c>
      <c r="W19" s="61">
        <v>0</v>
      </c>
      <c r="X19" s="62">
        <v>0</v>
      </c>
      <c r="Y19" s="62">
        <v>0</v>
      </c>
      <c r="Z19" s="62">
        <v>0</v>
      </c>
      <c r="AA19" s="62">
        <v>0</v>
      </c>
      <c r="AB19" s="62">
        <v>0</v>
      </c>
      <c r="AC19" s="63">
        <v>2</v>
      </c>
      <c r="AD19" s="62">
        <v>0</v>
      </c>
      <c r="AE19" s="62">
        <v>0</v>
      </c>
      <c r="AF19" s="62">
        <v>0</v>
      </c>
      <c r="AG19" s="62">
        <v>0</v>
      </c>
      <c r="AH19" s="62">
        <v>0</v>
      </c>
      <c r="AI19" s="62">
        <v>0</v>
      </c>
      <c r="AJ19" s="62">
        <v>0</v>
      </c>
      <c r="AK19" s="62">
        <v>6</v>
      </c>
      <c r="AL19" s="62">
        <v>22</v>
      </c>
      <c r="AM19" s="62">
        <v>14</v>
      </c>
      <c r="AN19" s="1" t="s">
        <v>384</v>
      </c>
      <c r="AO19" s="65">
        <v>4</v>
      </c>
      <c r="AP19" s="65">
        <v>0</v>
      </c>
      <c r="AQ19" s="65">
        <v>0</v>
      </c>
      <c r="AR19" s="65">
        <v>0</v>
      </c>
      <c r="AS19" s="65">
        <v>2</v>
      </c>
      <c r="AT19" s="65">
        <v>1</v>
      </c>
      <c r="AU19" s="65">
        <v>0</v>
      </c>
      <c r="AV19" s="65">
        <v>0</v>
      </c>
      <c r="AW19" s="66">
        <v>0</v>
      </c>
      <c r="AX19" s="1" t="s">
        <v>391</v>
      </c>
      <c r="AY19" s="65">
        <v>5</v>
      </c>
      <c r="AZ19" s="65">
        <v>2</v>
      </c>
      <c r="BA19" s="65">
        <v>2</v>
      </c>
      <c r="BB19" s="65">
        <v>2</v>
      </c>
      <c r="BC19" s="65">
        <v>1</v>
      </c>
      <c r="BD19" s="65">
        <v>2</v>
      </c>
      <c r="BE19" s="65">
        <v>0</v>
      </c>
      <c r="BF19" s="65">
        <v>0</v>
      </c>
      <c r="BG19" s="66">
        <v>3</v>
      </c>
      <c r="BH19" s="1" t="s">
        <v>389</v>
      </c>
      <c r="BI19" s="65">
        <v>5</v>
      </c>
      <c r="BJ19" s="65">
        <v>2</v>
      </c>
      <c r="BK19" s="65">
        <v>3</v>
      </c>
      <c r="BL19" s="65">
        <v>0</v>
      </c>
      <c r="BM19" s="65">
        <v>1</v>
      </c>
      <c r="BN19" s="65">
        <v>0</v>
      </c>
      <c r="BO19" s="65">
        <v>0</v>
      </c>
      <c r="BP19" s="65">
        <v>0</v>
      </c>
      <c r="BQ19" s="66">
        <v>5</v>
      </c>
      <c r="BR19" s="1" t="s">
        <v>390</v>
      </c>
      <c r="BS19" s="65">
        <v>4</v>
      </c>
      <c r="BT19" s="65">
        <v>2</v>
      </c>
      <c r="BU19" s="65">
        <v>0</v>
      </c>
      <c r="BV19" s="65">
        <v>0</v>
      </c>
      <c r="BW19" s="65">
        <v>1</v>
      </c>
      <c r="BX19" s="65">
        <v>1</v>
      </c>
      <c r="BY19" s="65">
        <v>0</v>
      </c>
      <c r="BZ19" s="65">
        <v>0</v>
      </c>
      <c r="CA19" s="66">
        <v>0</v>
      </c>
      <c r="CB19" s="1" t="s">
        <v>274</v>
      </c>
      <c r="CC19" s="65">
        <v>3</v>
      </c>
      <c r="CD19" s="65">
        <v>1</v>
      </c>
      <c r="CE19" s="65">
        <v>2</v>
      </c>
      <c r="CF19" s="65">
        <v>4</v>
      </c>
      <c r="CG19" s="65">
        <v>2</v>
      </c>
      <c r="CH19" s="65">
        <v>0</v>
      </c>
      <c r="CI19" s="65">
        <v>0</v>
      </c>
      <c r="CJ19" s="65">
        <v>0</v>
      </c>
      <c r="CK19" s="66">
        <v>3</v>
      </c>
      <c r="CL19" s="1" t="s">
        <v>273</v>
      </c>
      <c r="CM19" s="65">
        <v>4</v>
      </c>
      <c r="CN19" s="65">
        <v>1</v>
      </c>
      <c r="CO19" s="65">
        <v>1</v>
      </c>
      <c r="CP19" s="65">
        <v>0</v>
      </c>
      <c r="CQ19" s="65">
        <v>1</v>
      </c>
      <c r="CR19" s="65">
        <v>1</v>
      </c>
      <c r="CS19" s="65">
        <v>0</v>
      </c>
      <c r="CT19" s="65">
        <v>0</v>
      </c>
      <c r="CU19" s="66">
        <v>2</v>
      </c>
      <c r="CV19" s="1" t="s">
        <v>408</v>
      </c>
      <c r="CW19" s="65">
        <v>4</v>
      </c>
      <c r="CX19" s="65">
        <v>1</v>
      </c>
      <c r="CY19" s="65">
        <v>1</v>
      </c>
      <c r="CZ19" s="65">
        <v>2</v>
      </c>
      <c r="DA19" s="65">
        <v>1</v>
      </c>
      <c r="DB19" s="65">
        <v>1</v>
      </c>
      <c r="DC19" s="65">
        <v>0</v>
      </c>
      <c r="DD19" s="65">
        <v>0</v>
      </c>
      <c r="DE19" s="66">
        <v>1</v>
      </c>
      <c r="DF19" s="1" t="s">
        <v>275</v>
      </c>
      <c r="DG19" s="65">
        <v>4</v>
      </c>
      <c r="DH19" s="65">
        <v>0</v>
      </c>
      <c r="DI19" s="65">
        <v>1</v>
      </c>
      <c r="DJ19" s="65">
        <v>0</v>
      </c>
      <c r="DK19" s="65">
        <v>1</v>
      </c>
      <c r="DL19" s="65">
        <v>0</v>
      </c>
      <c r="DM19" s="65">
        <v>0</v>
      </c>
      <c r="DN19" s="65">
        <v>0</v>
      </c>
      <c r="DO19" s="66">
        <v>1</v>
      </c>
      <c r="DP19" s="1" t="s">
        <v>385</v>
      </c>
      <c r="DQ19" s="65">
        <v>5</v>
      </c>
      <c r="DR19" s="65">
        <v>1</v>
      </c>
      <c r="DS19" s="65">
        <v>1</v>
      </c>
      <c r="DT19" s="65">
        <v>2</v>
      </c>
      <c r="DU19" s="65">
        <v>0</v>
      </c>
      <c r="DV19" s="65">
        <v>1</v>
      </c>
      <c r="DW19" s="65">
        <v>0</v>
      </c>
      <c r="DX19" s="65">
        <v>0</v>
      </c>
      <c r="DY19" s="66">
        <v>1</v>
      </c>
      <c r="DZ19" s="67">
        <f>3+2/3</f>
        <v>3.6666666666666665</v>
      </c>
      <c r="EA19" s="68">
        <v>1</v>
      </c>
      <c r="EB19" s="68">
        <v>0</v>
      </c>
      <c r="EC19" s="69">
        <f>5+1/3</f>
        <v>5.333333333333333</v>
      </c>
      <c r="ED19" s="68">
        <v>0</v>
      </c>
      <c r="EE19" s="70">
        <v>0</v>
      </c>
      <c r="EF19" s="71">
        <v>0</v>
      </c>
      <c r="EG19" s="72">
        <v>0</v>
      </c>
      <c r="EH19" s="72">
        <v>3</v>
      </c>
      <c r="EI19" s="72">
        <v>0</v>
      </c>
      <c r="EJ19" s="72">
        <v>4</v>
      </c>
      <c r="EK19" s="72">
        <v>0</v>
      </c>
      <c r="EL19" s="72">
        <v>0</v>
      </c>
      <c r="EM19" s="72">
        <v>3</v>
      </c>
      <c r="EN19" s="72">
        <v>0</v>
      </c>
      <c r="EO19" s="72"/>
      <c r="EP19" s="72"/>
      <c r="EQ19" s="72"/>
      <c r="ER19" s="72"/>
      <c r="ES19" s="44">
        <f t="shared" si="0"/>
        <v>10</v>
      </c>
      <c r="ET19" s="43">
        <v>1</v>
      </c>
      <c r="EU19" s="43">
        <v>1</v>
      </c>
      <c r="EV19" s="43">
        <v>0</v>
      </c>
      <c r="EW19" s="43">
        <v>0</v>
      </c>
      <c r="EX19" s="43">
        <v>0</v>
      </c>
      <c r="EY19" s="43">
        <v>0</v>
      </c>
      <c r="EZ19" s="43">
        <v>0</v>
      </c>
      <c r="FA19" s="43">
        <v>0</v>
      </c>
      <c r="FB19" s="43">
        <v>0</v>
      </c>
      <c r="FC19" s="43"/>
      <c r="FD19" s="43"/>
      <c r="FE19" s="43"/>
      <c r="FF19" s="43"/>
      <c r="FG19" s="43">
        <f t="shared" si="1"/>
        <v>2</v>
      </c>
      <c r="FH19" s="73">
        <v>38</v>
      </c>
      <c r="FI19" s="73">
        <v>10</v>
      </c>
      <c r="FJ19" s="73">
        <v>11</v>
      </c>
      <c r="FK19" s="73">
        <v>10</v>
      </c>
      <c r="FL19" s="73">
        <v>10</v>
      </c>
      <c r="FM19" s="73">
        <v>7</v>
      </c>
      <c r="FN19" s="73">
        <f t="shared" si="2"/>
        <v>0</v>
      </c>
      <c r="FO19" s="73">
        <f t="shared" si="3"/>
        <v>0</v>
      </c>
      <c r="FP19" s="73">
        <f t="shared" si="4"/>
        <v>0</v>
      </c>
      <c r="FQ19" s="73">
        <f t="shared" si="5"/>
        <v>0</v>
      </c>
      <c r="FR19" s="73">
        <f t="shared" si="6"/>
        <v>0</v>
      </c>
      <c r="FS19" s="73">
        <f t="shared" si="7"/>
        <v>0</v>
      </c>
      <c r="FT19" s="73">
        <f t="shared" si="8"/>
        <v>0</v>
      </c>
      <c r="FU19" s="73">
        <f t="shared" si="9"/>
        <v>0</v>
      </c>
      <c r="FV19" s="73">
        <f t="shared" si="10"/>
        <v>-1</v>
      </c>
      <c r="FW19" s="73">
        <f t="shared" si="11"/>
        <v>-1</v>
      </c>
      <c r="FX19" s="73">
        <f t="shared" si="12"/>
        <v>3</v>
      </c>
      <c r="FY19" s="73">
        <f t="shared" si="13"/>
        <v>0</v>
      </c>
      <c r="FZ19" s="73">
        <f t="shared" si="14"/>
        <v>4</v>
      </c>
      <c r="GA19" s="73">
        <f t="shared" si="15"/>
        <v>0</v>
      </c>
      <c r="GB19" s="73">
        <f t="shared" si="16"/>
        <v>0</v>
      </c>
      <c r="GC19" s="73">
        <f t="shared" si="17"/>
        <v>3</v>
      </c>
      <c r="GD19" s="73">
        <f t="shared" si="18"/>
        <v>0</v>
      </c>
      <c r="GE19" s="73">
        <f t="shared" si="19"/>
        <v>0</v>
      </c>
      <c r="GF19" s="73">
        <f t="shared" si="20"/>
        <v>0</v>
      </c>
      <c r="GG19" s="73">
        <f t="shared" si="21"/>
        <v>0</v>
      </c>
      <c r="GH19" s="73">
        <f t="shared" si="22"/>
        <v>0</v>
      </c>
      <c r="GI19" s="73">
        <f t="shared" si="23"/>
        <v>8</v>
      </c>
      <c r="GJ19" s="38"/>
      <c r="GK19" s="367" t="s">
        <v>694</v>
      </c>
      <c r="GL19" s="376" t="s">
        <v>694</v>
      </c>
      <c r="GM19" s="376" t="s">
        <v>692</v>
      </c>
      <c r="GP19" s="52"/>
    </row>
    <row r="20" spans="1:198" x14ac:dyDescent="0.25">
      <c r="A20" s="53">
        <v>40291</v>
      </c>
      <c r="B20" s="53" t="s">
        <v>19</v>
      </c>
      <c r="C20" s="53" t="s">
        <v>131</v>
      </c>
      <c r="D20" s="53" t="s">
        <v>136</v>
      </c>
      <c r="E20" s="54">
        <v>22056</v>
      </c>
      <c r="F20" s="62">
        <v>195</v>
      </c>
      <c r="G20" s="58">
        <v>2</v>
      </c>
      <c r="H20" s="59" t="s">
        <v>396</v>
      </c>
      <c r="I20" s="6">
        <v>0</v>
      </c>
      <c r="J20" s="6">
        <v>1</v>
      </c>
      <c r="K20" s="60">
        <v>5</v>
      </c>
      <c r="L20" s="6">
        <v>8</v>
      </c>
      <c r="M20" s="6">
        <v>5</v>
      </c>
      <c r="N20" s="6">
        <v>5</v>
      </c>
      <c r="O20" s="6">
        <v>4</v>
      </c>
      <c r="P20" s="6">
        <v>6</v>
      </c>
      <c r="Q20" s="6">
        <v>0</v>
      </c>
      <c r="R20" s="6">
        <v>1</v>
      </c>
      <c r="S20" s="6">
        <v>28</v>
      </c>
      <c r="T20" s="6">
        <v>102</v>
      </c>
      <c r="U20" s="6">
        <v>68</v>
      </c>
      <c r="V20" s="6">
        <v>0</v>
      </c>
      <c r="W20" s="61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0</v>
      </c>
      <c r="AC20" s="63">
        <v>4</v>
      </c>
      <c r="AD20" s="62">
        <v>3</v>
      </c>
      <c r="AE20" s="62">
        <v>1</v>
      </c>
      <c r="AF20" s="62">
        <v>1</v>
      </c>
      <c r="AG20" s="62">
        <v>1</v>
      </c>
      <c r="AH20" s="62">
        <v>4</v>
      </c>
      <c r="AI20" s="62">
        <v>1</v>
      </c>
      <c r="AJ20" s="62">
        <v>0</v>
      </c>
      <c r="AK20" s="62">
        <v>16</v>
      </c>
      <c r="AL20" s="62">
        <v>59</v>
      </c>
      <c r="AM20" s="62">
        <v>40</v>
      </c>
      <c r="AN20" s="1" t="s">
        <v>384</v>
      </c>
      <c r="AO20" s="65">
        <v>5</v>
      </c>
      <c r="AP20" s="65">
        <v>0</v>
      </c>
      <c r="AQ20" s="65">
        <v>1</v>
      </c>
      <c r="AR20" s="65">
        <v>0</v>
      </c>
      <c r="AS20" s="65">
        <v>0</v>
      </c>
      <c r="AT20" s="65">
        <v>3</v>
      </c>
      <c r="AU20" s="65">
        <v>0</v>
      </c>
      <c r="AV20" s="65">
        <v>0</v>
      </c>
      <c r="AW20" s="66">
        <v>1</v>
      </c>
      <c r="AX20" s="1" t="s">
        <v>391</v>
      </c>
      <c r="AY20" s="65">
        <v>5</v>
      </c>
      <c r="AZ20" s="65">
        <v>0</v>
      </c>
      <c r="BA20" s="65">
        <v>1</v>
      </c>
      <c r="BB20" s="65">
        <v>0</v>
      </c>
      <c r="BC20" s="65">
        <v>0</v>
      </c>
      <c r="BD20" s="65">
        <v>0</v>
      </c>
      <c r="BE20" s="65">
        <v>0</v>
      </c>
      <c r="BF20" s="65">
        <v>0</v>
      </c>
      <c r="BG20" s="66">
        <v>2</v>
      </c>
      <c r="BH20" s="1" t="s">
        <v>389</v>
      </c>
      <c r="BI20" s="65">
        <v>4</v>
      </c>
      <c r="BJ20" s="65">
        <v>1</v>
      </c>
      <c r="BK20" s="65">
        <v>1</v>
      </c>
      <c r="BL20" s="65">
        <v>1</v>
      </c>
      <c r="BM20" s="65">
        <v>1</v>
      </c>
      <c r="BN20" s="65">
        <v>3</v>
      </c>
      <c r="BO20" s="65">
        <v>0</v>
      </c>
      <c r="BP20" s="65">
        <v>0</v>
      </c>
      <c r="BQ20" s="66">
        <v>2</v>
      </c>
      <c r="BR20" s="1" t="s">
        <v>390</v>
      </c>
      <c r="BS20" s="65">
        <v>4</v>
      </c>
      <c r="BT20" s="65">
        <v>0</v>
      </c>
      <c r="BU20" s="65">
        <v>2</v>
      </c>
      <c r="BV20" s="65">
        <v>0</v>
      </c>
      <c r="BW20" s="65">
        <v>0</v>
      </c>
      <c r="BX20" s="65">
        <v>1</v>
      </c>
      <c r="BY20" s="65">
        <v>0</v>
      </c>
      <c r="BZ20" s="65">
        <v>0</v>
      </c>
      <c r="CA20" s="66">
        <v>2</v>
      </c>
      <c r="CB20" s="1" t="s">
        <v>274</v>
      </c>
      <c r="CC20" s="65">
        <v>4</v>
      </c>
      <c r="CD20" s="65">
        <v>0</v>
      </c>
      <c r="CE20" s="65">
        <v>0</v>
      </c>
      <c r="CF20" s="65">
        <v>0</v>
      </c>
      <c r="CG20" s="65">
        <v>0</v>
      </c>
      <c r="CH20" s="65">
        <v>2</v>
      </c>
      <c r="CI20" s="65">
        <v>0</v>
      </c>
      <c r="CJ20" s="65">
        <v>0</v>
      </c>
      <c r="CK20" s="66">
        <v>0</v>
      </c>
      <c r="CL20" s="1" t="s">
        <v>273</v>
      </c>
      <c r="CM20" s="65">
        <v>4</v>
      </c>
      <c r="CN20" s="65">
        <v>0</v>
      </c>
      <c r="CO20" s="65">
        <v>1</v>
      </c>
      <c r="CP20" s="65">
        <v>1</v>
      </c>
      <c r="CQ20" s="65">
        <v>0</v>
      </c>
      <c r="CR20" s="65">
        <v>0</v>
      </c>
      <c r="CS20" s="65">
        <v>0</v>
      </c>
      <c r="CT20" s="65">
        <v>0</v>
      </c>
      <c r="CU20" s="66">
        <v>1</v>
      </c>
      <c r="CV20" s="1" t="s">
        <v>272</v>
      </c>
      <c r="CW20" s="65">
        <v>3</v>
      </c>
      <c r="CX20" s="65">
        <v>2</v>
      </c>
      <c r="CY20" s="65">
        <v>2</v>
      </c>
      <c r="CZ20" s="65">
        <v>1</v>
      </c>
      <c r="DA20" s="65">
        <v>1</v>
      </c>
      <c r="DB20" s="65">
        <v>0</v>
      </c>
      <c r="DC20" s="65">
        <v>0</v>
      </c>
      <c r="DD20" s="65">
        <v>0</v>
      </c>
      <c r="DE20" s="66">
        <v>5</v>
      </c>
      <c r="DF20" s="1" t="s">
        <v>406</v>
      </c>
      <c r="DG20" s="65">
        <v>4</v>
      </c>
      <c r="DH20" s="65">
        <v>0</v>
      </c>
      <c r="DI20" s="65">
        <v>0</v>
      </c>
      <c r="DJ20" s="65">
        <v>0</v>
      </c>
      <c r="DK20" s="65">
        <v>0</v>
      </c>
      <c r="DL20" s="65">
        <v>1</v>
      </c>
      <c r="DM20" s="65">
        <v>0</v>
      </c>
      <c r="DN20" s="65">
        <v>0</v>
      </c>
      <c r="DO20" s="66">
        <v>0</v>
      </c>
      <c r="DP20" s="1" t="s">
        <v>386</v>
      </c>
      <c r="DQ20" s="65">
        <v>3</v>
      </c>
      <c r="DR20" s="65">
        <v>2</v>
      </c>
      <c r="DS20" s="65">
        <v>1</v>
      </c>
      <c r="DT20" s="65">
        <v>2</v>
      </c>
      <c r="DU20" s="65">
        <v>1</v>
      </c>
      <c r="DV20" s="65">
        <v>0</v>
      </c>
      <c r="DW20" s="65">
        <v>0</v>
      </c>
      <c r="DX20" s="65">
        <v>0</v>
      </c>
      <c r="DY20" s="66">
        <v>4</v>
      </c>
      <c r="DZ20" s="67">
        <v>7</v>
      </c>
      <c r="EA20" s="68">
        <v>0</v>
      </c>
      <c r="EB20" s="68">
        <v>0</v>
      </c>
      <c r="EC20" s="69">
        <v>2</v>
      </c>
      <c r="ED20" s="68">
        <v>2</v>
      </c>
      <c r="EE20" s="70">
        <v>0</v>
      </c>
      <c r="EF20" s="71">
        <v>0</v>
      </c>
      <c r="EG20" s="72">
        <v>0</v>
      </c>
      <c r="EH20" s="72">
        <v>0</v>
      </c>
      <c r="EI20" s="72">
        <v>0</v>
      </c>
      <c r="EJ20" s="72">
        <v>1</v>
      </c>
      <c r="EK20" s="72">
        <v>1</v>
      </c>
      <c r="EL20" s="72">
        <v>2</v>
      </c>
      <c r="EM20" s="72">
        <v>1</v>
      </c>
      <c r="EN20" s="72">
        <v>0</v>
      </c>
      <c r="EO20" s="72"/>
      <c r="EP20" s="72"/>
      <c r="EQ20" s="72"/>
      <c r="ER20" s="72"/>
      <c r="ES20" s="44">
        <f t="shared" si="0"/>
        <v>5</v>
      </c>
      <c r="ET20" s="43">
        <v>4</v>
      </c>
      <c r="EU20" s="43">
        <v>0</v>
      </c>
      <c r="EV20" s="43">
        <v>0</v>
      </c>
      <c r="EW20" s="43">
        <v>1</v>
      </c>
      <c r="EX20" s="43">
        <v>0</v>
      </c>
      <c r="EY20" s="43">
        <v>1</v>
      </c>
      <c r="EZ20" s="43">
        <v>0</v>
      </c>
      <c r="FA20" s="43">
        <v>0</v>
      </c>
      <c r="FB20" s="43">
        <v>0</v>
      </c>
      <c r="FC20" s="43"/>
      <c r="FD20" s="43"/>
      <c r="FE20" s="43"/>
      <c r="FF20" s="43"/>
      <c r="FG20" s="43">
        <f t="shared" si="1"/>
        <v>6</v>
      </c>
      <c r="FH20" s="73">
        <v>36</v>
      </c>
      <c r="FI20" s="73">
        <v>5</v>
      </c>
      <c r="FJ20" s="73">
        <v>9</v>
      </c>
      <c r="FK20" s="73">
        <v>5</v>
      </c>
      <c r="FL20" s="73">
        <v>3</v>
      </c>
      <c r="FM20" s="73">
        <v>10</v>
      </c>
      <c r="FN20" s="73">
        <f t="shared" si="2"/>
        <v>0</v>
      </c>
      <c r="FO20" s="73">
        <f t="shared" si="3"/>
        <v>0</v>
      </c>
      <c r="FP20" s="73">
        <f t="shared" si="4"/>
        <v>0</v>
      </c>
      <c r="FQ20" s="73">
        <f t="shared" si="5"/>
        <v>0</v>
      </c>
      <c r="FR20" s="73">
        <f t="shared" si="6"/>
        <v>0</v>
      </c>
      <c r="FS20" s="73">
        <f t="shared" si="7"/>
        <v>0</v>
      </c>
      <c r="FT20" s="73">
        <f t="shared" si="8"/>
        <v>0</v>
      </c>
      <c r="FU20" s="73">
        <f t="shared" si="9"/>
        <v>0</v>
      </c>
      <c r="FV20" s="73">
        <f t="shared" si="10"/>
        <v>-4</v>
      </c>
      <c r="FW20" s="73">
        <f t="shared" si="11"/>
        <v>0</v>
      </c>
      <c r="FX20" s="73">
        <f t="shared" si="12"/>
        <v>0</v>
      </c>
      <c r="FY20" s="73">
        <f t="shared" si="13"/>
        <v>-1</v>
      </c>
      <c r="FZ20" s="73">
        <f t="shared" si="14"/>
        <v>1</v>
      </c>
      <c r="GA20" s="73">
        <f t="shared" si="15"/>
        <v>0</v>
      </c>
      <c r="GB20" s="73">
        <f t="shared" si="16"/>
        <v>2</v>
      </c>
      <c r="GC20" s="73">
        <f t="shared" si="17"/>
        <v>1</v>
      </c>
      <c r="GD20" s="73">
        <f t="shared" si="18"/>
        <v>0</v>
      </c>
      <c r="GE20" s="73">
        <f t="shared" si="19"/>
        <v>0</v>
      </c>
      <c r="GF20" s="73">
        <f t="shared" si="20"/>
        <v>0</v>
      </c>
      <c r="GG20" s="73">
        <f t="shared" si="21"/>
        <v>0</v>
      </c>
      <c r="GH20" s="73">
        <f t="shared" si="22"/>
        <v>0</v>
      </c>
      <c r="GI20" s="73">
        <f t="shared" si="23"/>
        <v>-1</v>
      </c>
      <c r="GJ20" s="38"/>
      <c r="GK20" s="367" t="s">
        <v>691</v>
      </c>
      <c r="GL20" s="376" t="s">
        <v>691</v>
      </c>
      <c r="GM20" s="376" t="s">
        <v>692</v>
      </c>
      <c r="GP20" s="52"/>
    </row>
    <row r="21" spans="1:198" x14ac:dyDescent="0.25">
      <c r="A21" s="53">
        <v>40292</v>
      </c>
      <c r="B21" s="53" t="s">
        <v>19</v>
      </c>
      <c r="C21" s="53" t="s">
        <v>129</v>
      </c>
      <c r="D21" s="53" t="s">
        <v>136</v>
      </c>
      <c r="E21" s="54">
        <v>23870</v>
      </c>
      <c r="F21" s="62">
        <v>175</v>
      </c>
      <c r="G21" s="58">
        <v>3</v>
      </c>
      <c r="H21" s="59" t="s">
        <v>395</v>
      </c>
      <c r="I21" s="6">
        <v>0</v>
      </c>
      <c r="J21" s="6">
        <v>0</v>
      </c>
      <c r="K21" s="60">
        <f>6+2/3</f>
        <v>6.666666666666667</v>
      </c>
      <c r="L21" s="6">
        <v>5</v>
      </c>
      <c r="M21" s="6">
        <v>3</v>
      </c>
      <c r="N21" s="6">
        <v>3</v>
      </c>
      <c r="O21" s="6">
        <v>1</v>
      </c>
      <c r="P21" s="6">
        <v>8</v>
      </c>
      <c r="Q21" s="6">
        <v>2</v>
      </c>
      <c r="R21" s="6">
        <v>1</v>
      </c>
      <c r="S21" s="6">
        <v>27</v>
      </c>
      <c r="T21" s="6">
        <v>95</v>
      </c>
      <c r="U21" s="6">
        <v>61</v>
      </c>
      <c r="V21" s="6">
        <v>3</v>
      </c>
      <c r="W21" s="61">
        <v>0</v>
      </c>
      <c r="X21" s="62">
        <v>1</v>
      </c>
      <c r="Y21" s="62">
        <v>0</v>
      </c>
      <c r="Z21" s="62">
        <v>0</v>
      </c>
      <c r="AA21" s="62">
        <v>0</v>
      </c>
      <c r="AB21" s="62">
        <v>0</v>
      </c>
      <c r="AC21" s="63">
        <f>2+(1/3)</f>
        <v>2.3333333333333335</v>
      </c>
      <c r="AD21" s="62">
        <v>1</v>
      </c>
      <c r="AE21" s="62">
        <v>0</v>
      </c>
      <c r="AF21" s="62">
        <v>0</v>
      </c>
      <c r="AG21" s="62">
        <v>1</v>
      </c>
      <c r="AH21" s="62">
        <v>2</v>
      </c>
      <c r="AI21" s="62">
        <v>0</v>
      </c>
      <c r="AJ21" s="62">
        <v>0</v>
      </c>
      <c r="AK21" s="62">
        <v>9</v>
      </c>
      <c r="AL21" s="62">
        <v>25</v>
      </c>
      <c r="AM21" s="62">
        <v>15</v>
      </c>
      <c r="AN21" s="1" t="s">
        <v>384</v>
      </c>
      <c r="AO21" s="65">
        <v>5</v>
      </c>
      <c r="AP21" s="65">
        <v>1</v>
      </c>
      <c r="AQ21" s="65">
        <v>2</v>
      </c>
      <c r="AR21" s="65">
        <v>2</v>
      </c>
      <c r="AS21" s="65">
        <v>0</v>
      </c>
      <c r="AT21" s="65">
        <v>0</v>
      </c>
      <c r="AU21" s="65">
        <v>0</v>
      </c>
      <c r="AV21" s="65">
        <v>0</v>
      </c>
      <c r="AW21" s="66">
        <v>2</v>
      </c>
      <c r="AX21" s="1" t="s">
        <v>391</v>
      </c>
      <c r="AY21" s="65">
        <v>5</v>
      </c>
      <c r="AZ21" s="65">
        <v>0</v>
      </c>
      <c r="BA21" s="65">
        <v>1</v>
      </c>
      <c r="BB21" s="65">
        <v>0</v>
      </c>
      <c r="BC21" s="65">
        <v>0</v>
      </c>
      <c r="BD21" s="65">
        <v>1</v>
      </c>
      <c r="BE21" s="65">
        <v>0</v>
      </c>
      <c r="BF21" s="65">
        <v>0</v>
      </c>
      <c r="BG21" s="66">
        <v>2</v>
      </c>
      <c r="BH21" s="1" t="s">
        <v>389</v>
      </c>
      <c r="BI21" s="65">
        <v>4</v>
      </c>
      <c r="BJ21" s="65">
        <v>0</v>
      </c>
      <c r="BK21" s="65">
        <v>2</v>
      </c>
      <c r="BL21" s="65">
        <v>2</v>
      </c>
      <c r="BM21" s="65">
        <v>0</v>
      </c>
      <c r="BN21" s="65">
        <v>0</v>
      </c>
      <c r="BO21" s="65">
        <v>0</v>
      </c>
      <c r="BP21" s="65">
        <v>0</v>
      </c>
      <c r="BQ21" s="66">
        <v>2</v>
      </c>
      <c r="BR21" s="1" t="s">
        <v>390</v>
      </c>
      <c r="BS21" s="65">
        <v>3</v>
      </c>
      <c r="BT21" s="65">
        <v>1</v>
      </c>
      <c r="BU21" s="65">
        <v>2</v>
      </c>
      <c r="BV21" s="65">
        <v>0</v>
      </c>
      <c r="BW21" s="65">
        <v>2</v>
      </c>
      <c r="BX21" s="65">
        <v>0</v>
      </c>
      <c r="BY21" s="65">
        <v>0</v>
      </c>
      <c r="BZ21" s="65">
        <v>0</v>
      </c>
      <c r="CA21" s="66">
        <v>2</v>
      </c>
      <c r="CB21" s="1" t="s">
        <v>274</v>
      </c>
      <c r="CC21" s="65">
        <v>4</v>
      </c>
      <c r="CD21" s="65">
        <v>1</v>
      </c>
      <c r="CE21" s="65">
        <v>0</v>
      </c>
      <c r="CF21" s="65">
        <v>0</v>
      </c>
      <c r="CG21" s="65">
        <v>1</v>
      </c>
      <c r="CH21" s="65">
        <v>2</v>
      </c>
      <c r="CI21" s="65">
        <v>0</v>
      </c>
      <c r="CJ21" s="65">
        <v>0</v>
      </c>
      <c r="CK21" s="66">
        <v>0</v>
      </c>
      <c r="CL21" s="1" t="s">
        <v>273</v>
      </c>
      <c r="CM21" s="65">
        <v>4</v>
      </c>
      <c r="CN21" s="65">
        <v>1</v>
      </c>
      <c r="CO21" s="65">
        <v>1</v>
      </c>
      <c r="CP21" s="65">
        <v>1</v>
      </c>
      <c r="CQ21" s="65">
        <v>0</v>
      </c>
      <c r="CR21" s="65">
        <v>0</v>
      </c>
      <c r="CS21" s="65">
        <v>0</v>
      </c>
      <c r="CT21" s="65">
        <v>0</v>
      </c>
      <c r="CU21" s="66">
        <v>1</v>
      </c>
      <c r="CV21" s="1" t="s">
        <v>272</v>
      </c>
      <c r="CW21" s="65">
        <v>4</v>
      </c>
      <c r="CX21" s="65">
        <v>1</v>
      </c>
      <c r="CY21" s="65">
        <v>1</v>
      </c>
      <c r="CZ21" s="65">
        <v>0</v>
      </c>
      <c r="DA21" s="65">
        <v>0</v>
      </c>
      <c r="DB21" s="65">
        <v>0</v>
      </c>
      <c r="DC21" s="65">
        <v>0</v>
      </c>
      <c r="DD21" s="65">
        <v>0</v>
      </c>
      <c r="DE21" s="66">
        <v>1</v>
      </c>
      <c r="DF21" s="1" t="s">
        <v>386</v>
      </c>
      <c r="DG21" s="65">
        <v>3</v>
      </c>
      <c r="DH21" s="65">
        <v>2</v>
      </c>
      <c r="DI21" s="65">
        <v>1</v>
      </c>
      <c r="DJ21" s="65">
        <v>1</v>
      </c>
      <c r="DK21" s="65">
        <v>1</v>
      </c>
      <c r="DL21" s="65">
        <v>0</v>
      </c>
      <c r="DM21" s="65">
        <v>0</v>
      </c>
      <c r="DN21" s="65">
        <v>0</v>
      </c>
      <c r="DO21" s="66">
        <v>2</v>
      </c>
      <c r="DP21" s="1" t="s">
        <v>275</v>
      </c>
      <c r="DQ21" s="65">
        <v>2</v>
      </c>
      <c r="DR21" s="65">
        <v>2</v>
      </c>
      <c r="DS21" s="65">
        <v>1</v>
      </c>
      <c r="DT21" s="65">
        <v>3</v>
      </c>
      <c r="DU21" s="65">
        <v>1</v>
      </c>
      <c r="DV21" s="65">
        <v>0</v>
      </c>
      <c r="DW21" s="65">
        <v>1</v>
      </c>
      <c r="DX21" s="65">
        <v>0</v>
      </c>
      <c r="DY21" s="66">
        <v>4</v>
      </c>
      <c r="DZ21" s="67">
        <v>7</v>
      </c>
      <c r="EA21" s="68">
        <v>0</v>
      </c>
      <c r="EB21" s="68">
        <v>0</v>
      </c>
      <c r="EC21" s="69">
        <v>1</v>
      </c>
      <c r="ED21" s="68">
        <v>0</v>
      </c>
      <c r="EE21" s="70">
        <v>0</v>
      </c>
      <c r="EF21" s="71">
        <v>0</v>
      </c>
      <c r="EG21" s="72">
        <v>0</v>
      </c>
      <c r="EH21" s="72">
        <v>0</v>
      </c>
      <c r="EI21" s="72">
        <v>0</v>
      </c>
      <c r="EJ21" s="72">
        <v>2</v>
      </c>
      <c r="EK21" s="72">
        <v>0</v>
      </c>
      <c r="EL21" s="72">
        <v>0</v>
      </c>
      <c r="EM21" s="72">
        <v>7</v>
      </c>
      <c r="EN21" s="72"/>
      <c r="EO21" s="72"/>
      <c r="EP21" s="72"/>
      <c r="EQ21" s="72"/>
      <c r="ER21" s="72"/>
      <c r="ES21" s="44">
        <f t="shared" si="0"/>
        <v>9</v>
      </c>
      <c r="ET21" s="43">
        <v>0</v>
      </c>
      <c r="EU21" s="43">
        <v>0</v>
      </c>
      <c r="EV21" s="43">
        <v>0</v>
      </c>
      <c r="EW21" s="43">
        <v>0</v>
      </c>
      <c r="EX21" s="43">
        <v>1</v>
      </c>
      <c r="EY21" s="43">
        <v>2</v>
      </c>
      <c r="EZ21" s="43">
        <v>0</v>
      </c>
      <c r="FA21" s="43">
        <v>0</v>
      </c>
      <c r="FB21" s="43">
        <v>0</v>
      </c>
      <c r="FC21" s="43"/>
      <c r="FD21" s="43"/>
      <c r="FE21" s="43"/>
      <c r="FF21" s="43"/>
      <c r="FG21" s="43">
        <f t="shared" si="1"/>
        <v>3</v>
      </c>
      <c r="FH21" s="73">
        <v>34</v>
      </c>
      <c r="FI21" s="73">
        <v>9</v>
      </c>
      <c r="FJ21" s="73">
        <v>11</v>
      </c>
      <c r="FK21" s="73">
        <v>9</v>
      </c>
      <c r="FL21" s="73">
        <v>5</v>
      </c>
      <c r="FM21" s="73">
        <v>3</v>
      </c>
      <c r="FN21" s="73">
        <f t="shared" si="2"/>
        <v>0</v>
      </c>
      <c r="FO21" s="73">
        <f t="shared" si="3"/>
        <v>0</v>
      </c>
      <c r="FP21" s="73">
        <f t="shared" si="4"/>
        <v>0</v>
      </c>
      <c r="FQ21" s="73">
        <f t="shared" si="5"/>
        <v>0</v>
      </c>
      <c r="FR21" s="73">
        <f t="shared" si="6"/>
        <v>0</v>
      </c>
      <c r="FS21" s="73">
        <f t="shared" si="7"/>
        <v>0</v>
      </c>
      <c r="FT21" s="73">
        <f t="shared" si="8"/>
        <v>0</v>
      </c>
      <c r="FU21" s="73">
        <f t="shared" si="9"/>
        <v>0</v>
      </c>
      <c r="FV21" s="73">
        <f t="shared" si="10"/>
        <v>0</v>
      </c>
      <c r="FW21" s="73">
        <f t="shared" si="11"/>
        <v>0</v>
      </c>
      <c r="FX21" s="73">
        <f t="shared" si="12"/>
        <v>0</v>
      </c>
      <c r="FY21" s="73">
        <f t="shared" si="13"/>
        <v>0</v>
      </c>
      <c r="FZ21" s="73">
        <f t="shared" si="14"/>
        <v>1</v>
      </c>
      <c r="GA21" s="73">
        <f t="shared" si="15"/>
        <v>-2</v>
      </c>
      <c r="GB21" s="73">
        <f t="shared" si="16"/>
        <v>0</v>
      </c>
      <c r="GC21" s="73">
        <f t="shared" si="17"/>
        <v>7</v>
      </c>
      <c r="GD21" s="73">
        <f t="shared" si="18"/>
        <v>0</v>
      </c>
      <c r="GE21" s="73">
        <f t="shared" si="19"/>
        <v>0</v>
      </c>
      <c r="GF21" s="73">
        <f t="shared" si="20"/>
        <v>0</v>
      </c>
      <c r="GG21" s="73">
        <f t="shared" si="21"/>
        <v>0</v>
      </c>
      <c r="GH21" s="73">
        <f t="shared" si="22"/>
        <v>0</v>
      </c>
      <c r="GI21" s="73">
        <f t="shared" si="23"/>
        <v>6</v>
      </c>
      <c r="GJ21" s="38"/>
      <c r="GK21" s="367" t="s">
        <v>691</v>
      </c>
      <c r="GL21" s="376" t="s">
        <v>691</v>
      </c>
      <c r="GM21" s="376" t="s">
        <v>692</v>
      </c>
      <c r="GP21" s="52"/>
    </row>
    <row r="22" spans="1:198" x14ac:dyDescent="0.25">
      <c r="A22" s="53">
        <v>40293</v>
      </c>
      <c r="B22" s="53" t="s">
        <v>19</v>
      </c>
      <c r="C22" s="53" t="s">
        <v>129</v>
      </c>
      <c r="D22" s="53" t="s">
        <v>136</v>
      </c>
      <c r="E22" s="54">
        <v>23520</v>
      </c>
      <c r="F22" s="62">
        <v>158</v>
      </c>
      <c r="G22" s="58">
        <v>4</v>
      </c>
      <c r="H22" s="59" t="s">
        <v>394</v>
      </c>
      <c r="I22" s="6">
        <v>1</v>
      </c>
      <c r="J22" s="6">
        <v>0</v>
      </c>
      <c r="K22" s="60">
        <v>9</v>
      </c>
      <c r="L22" s="6">
        <v>4</v>
      </c>
      <c r="M22" s="6">
        <v>0</v>
      </c>
      <c r="N22" s="6">
        <v>0</v>
      </c>
      <c r="O22" s="6">
        <v>1</v>
      </c>
      <c r="P22" s="6">
        <v>9</v>
      </c>
      <c r="Q22" s="6">
        <v>0</v>
      </c>
      <c r="R22" s="6">
        <v>0</v>
      </c>
      <c r="S22" s="6">
        <v>31</v>
      </c>
      <c r="T22" s="6">
        <v>108</v>
      </c>
      <c r="U22" s="6">
        <v>76</v>
      </c>
      <c r="V22" s="6">
        <v>0</v>
      </c>
      <c r="W22" s="61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3">
        <v>0</v>
      </c>
      <c r="AD22" s="62">
        <v>0</v>
      </c>
      <c r="AE22" s="62">
        <v>0</v>
      </c>
      <c r="AF22" s="62">
        <v>0</v>
      </c>
      <c r="AG22" s="62">
        <v>0</v>
      </c>
      <c r="AH22" s="62">
        <v>0</v>
      </c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1" t="s">
        <v>385</v>
      </c>
      <c r="AO22" s="65">
        <v>3</v>
      </c>
      <c r="AP22" s="65">
        <v>0</v>
      </c>
      <c r="AQ22" s="65">
        <v>0</v>
      </c>
      <c r="AR22" s="65">
        <v>0</v>
      </c>
      <c r="AS22" s="65">
        <v>1</v>
      </c>
      <c r="AT22" s="65">
        <v>1</v>
      </c>
      <c r="AU22" s="65">
        <v>0</v>
      </c>
      <c r="AV22" s="65">
        <v>0</v>
      </c>
      <c r="AW22" s="66">
        <v>0</v>
      </c>
      <c r="AX22" s="1" t="s">
        <v>391</v>
      </c>
      <c r="AY22" s="65">
        <v>3</v>
      </c>
      <c r="AZ22" s="65">
        <v>1</v>
      </c>
      <c r="BA22" s="65">
        <v>1</v>
      </c>
      <c r="BB22" s="65">
        <v>0</v>
      </c>
      <c r="BC22" s="65">
        <v>1</v>
      </c>
      <c r="BD22" s="65">
        <v>0</v>
      </c>
      <c r="BE22" s="65">
        <v>0</v>
      </c>
      <c r="BF22" s="65">
        <v>0</v>
      </c>
      <c r="BG22" s="66">
        <v>1</v>
      </c>
      <c r="BH22" s="1" t="s">
        <v>389</v>
      </c>
      <c r="BI22" s="65">
        <v>2</v>
      </c>
      <c r="BJ22" s="65">
        <v>1</v>
      </c>
      <c r="BK22" s="65">
        <v>0</v>
      </c>
      <c r="BL22" s="65">
        <v>0</v>
      </c>
      <c r="BM22" s="65">
        <v>2</v>
      </c>
      <c r="BN22" s="65">
        <v>1</v>
      </c>
      <c r="BO22" s="65">
        <v>0</v>
      </c>
      <c r="BP22" s="65">
        <v>0</v>
      </c>
      <c r="BQ22" s="66">
        <v>0</v>
      </c>
      <c r="BR22" s="1" t="s">
        <v>390</v>
      </c>
      <c r="BS22" s="65">
        <v>4</v>
      </c>
      <c r="BT22" s="65">
        <v>1</v>
      </c>
      <c r="BU22" s="65">
        <v>2</v>
      </c>
      <c r="BV22" s="65">
        <v>1</v>
      </c>
      <c r="BW22" s="65">
        <v>0</v>
      </c>
      <c r="BX22" s="65">
        <v>1</v>
      </c>
      <c r="BY22" s="65">
        <v>1</v>
      </c>
      <c r="BZ22" s="65">
        <v>0</v>
      </c>
      <c r="CA22" s="66">
        <v>2</v>
      </c>
      <c r="CB22" s="1" t="s">
        <v>274</v>
      </c>
      <c r="CC22" s="65">
        <v>3</v>
      </c>
      <c r="CD22" s="65">
        <v>2</v>
      </c>
      <c r="CE22" s="65">
        <v>1</v>
      </c>
      <c r="CF22" s="65">
        <v>1</v>
      </c>
      <c r="CG22" s="65">
        <v>1</v>
      </c>
      <c r="CH22" s="65">
        <v>2</v>
      </c>
      <c r="CI22" s="65">
        <v>0</v>
      </c>
      <c r="CJ22" s="65">
        <v>0</v>
      </c>
      <c r="CK22" s="66">
        <v>2</v>
      </c>
      <c r="CL22" s="1" t="s">
        <v>273</v>
      </c>
      <c r="CM22" s="65">
        <v>3</v>
      </c>
      <c r="CN22" s="65">
        <v>1</v>
      </c>
      <c r="CO22" s="65">
        <v>1</v>
      </c>
      <c r="CP22" s="65">
        <v>0</v>
      </c>
      <c r="CQ22" s="65">
        <v>1</v>
      </c>
      <c r="CR22" s="65">
        <v>1</v>
      </c>
      <c r="CS22" s="65">
        <v>0</v>
      </c>
      <c r="CT22" s="65">
        <v>0</v>
      </c>
      <c r="CU22" s="66">
        <v>2</v>
      </c>
      <c r="CV22" s="1" t="s">
        <v>408</v>
      </c>
      <c r="CW22" s="65">
        <v>3</v>
      </c>
      <c r="CX22" s="65">
        <v>0</v>
      </c>
      <c r="CY22" s="65">
        <v>1</v>
      </c>
      <c r="CZ22" s="65">
        <v>2</v>
      </c>
      <c r="DA22" s="65">
        <v>0</v>
      </c>
      <c r="DB22" s="65">
        <v>2</v>
      </c>
      <c r="DC22" s="65">
        <v>0</v>
      </c>
      <c r="DD22" s="65">
        <v>0</v>
      </c>
      <c r="DE22" s="66">
        <v>2</v>
      </c>
      <c r="DF22" s="1" t="s">
        <v>275</v>
      </c>
      <c r="DG22" s="65">
        <v>3</v>
      </c>
      <c r="DH22" s="65">
        <v>0</v>
      </c>
      <c r="DI22" s="65">
        <v>2</v>
      </c>
      <c r="DJ22" s="65">
        <v>2</v>
      </c>
      <c r="DK22" s="65">
        <v>1</v>
      </c>
      <c r="DL22" s="65">
        <v>0</v>
      </c>
      <c r="DM22" s="65">
        <v>0</v>
      </c>
      <c r="DN22" s="65">
        <v>0</v>
      </c>
      <c r="DO22" s="66">
        <v>2</v>
      </c>
      <c r="DP22" s="1" t="s">
        <v>271</v>
      </c>
      <c r="DQ22" s="65">
        <v>3</v>
      </c>
      <c r="DR22" s="65">
        <v>0</v>
      </c>
      <c r="DS22" s="65">
        <v>0</v>
      </c>
      <c r="DT22" s="65">
        <v>0</v>
      </c>
      <c r="DU22" s="65">
        <v>1</v>
      </c>
      <c r="DV22" s="65">
        <v>1</v>
      </c>
      <c r="DW22" s="65">
        <v>0</v>
      </c>
      <c r="DX22" s="65">
        <v>0</v>
      </c>
      <c r="DY22" s="66">
        <v>0</v>
      </c>
      <c r="DZ22" s="67">
        <v>0</v>
      </c>
      <c r="EA22" s="68">
        <v>0</v>
      </c>
      <c r="EB22" s="68">
        <v>0</v>
      </c>
      <c r="EC22" s="69">
        <v>8</v>
      </c>
      <c r="ED22" s="68">
        <v>0</v>
      </c>
      <c r="EE22" s="70">
        <v>4</v>
      </c>
      <c r="EF22" s="71">
        <v>0</v>
      </c>
      <c r="EG22" s="72">
        <v>0</v>
      </c>
      <c r="EH22" s="72">
        <v>0</v>
      </c>
      <c r="EI22" s="72">
        <v>0</v>
      </c>
      <c r="EJ22" s="72">
        <v>2</v>
      </c>
      <c r="EK22" s="72">
        <v>0</v>
      </c>
      <c r="EL22" s="72">
        <v>0</v>
      </c>
      <c r="EM22" s="72">
        <v>4</v>
      </c>
      <c r="EN22" s="72"/>
      <c r="EO22" s="72"/>
      <c r="EP22" s="72"/>
      <c r="EQ22" s="72"/>
      <c r="ER22" s="72"/>
      <c r="ES22" s="44">
        <f t="shared" si="0"/>
        <v>6</v>
      </c>
      <c r="ET22" s="43">
        <v>0</v>
      </c>
      <c r="EU22" s="43">
        <v>0</v>
      </c>
      <c r="EV22" s="43">
        <v>0</v>
      </c>
      <c r="EW22" s="43">
        <v>0</v>
      </c>
      <c r="EX22" s="43">
        <v>0</v>
      </c>
      <c r="EY22" s="43">
        <v>0</v>
      </c>
      <c r="EZ22" s="43">
        <v>0</v>
      </c>
      <c r="FA22" s="43">
        <v>0</v>
      </c>
      <c r="FB22" s="43">
        <v>0</v>
      </c>
      <c r="FC22" s="43"/>
      <c r="FD22" s="43"/>
      <c r="FE22" s="43"/>
      <c r="FF22" s="43"/>
      <c r="FG22" s="43">
        <f t="shared" si="1"/>
        <v>0</v>
      </c>
      <c r="FH22" s="73">
        <v>27</v>
      </c>
      <c r="FI22" s="73">
        <v>6</v>
      </c>
      <c r="FJ22" s="73">
        <v>8</v>
      </c>
      <c r="FK22" s="73">
        <v>6</v>
      </c>
      <c r="FL22" s="73">
        <v>8</v>
      </c>
      <c r="FM22" s="73">
        <v>9</v>
      </c>
      <c r="FN22" s="73">
        <f t="shared" si="2"/>
        <v>0</v>
      </c>
      <c r="FO22" s="73">
        <f t="shared" si="3"/>
        <v>0</v>
      </c>
      <c r="FP22" s="73">
        <f t="shared" si="4"/>
        <v>0</v>
      </c>
      <c r="FQ22" s="73">
        <f t="shared" si="5"/>
        <v>0</v>
      </c>
      <c r="FR22" s="73">
        <f t="shared" si="6"/>
        <v>0</v>
      </c>
      <c r="FS22" s="73">
        <f t="shared" si="7"/>
        <v>0</v>
      </c>
      <c r="FT22" s="73">
        <f t="shared" si="8"/>
        <v>0</v>
      </c>
      <c r="FU22" s="73">
        <f t="shared" si="9"/>
        <v>0</v>
      </c>
      <c r="FV22" s="73">
        <f t="shared" si="10"/>
        <v>0</v>
      </c>
      <c r="FW22" s="73">
        <f t="shared" si="11"/>
        <v>0</v>
      </c>
      <c r="FX22" s="73">
        <f t="shared" si="12"/>
        <v>0</v>
      </c>
      <c r="FY22" s="73">
        <f t="shared" si="13"/>
        <v>0</v>
      </c>
      <c r="FZ22" s="73">
        <f t="shared" si="14"/>
        <v>2</v>
      </c>
      <c r="GA22" s="73">
        <f t="shared" si="15"/>
        <v>0</v>
      </c>
      <c r="GB22" s="73">
        <f t="shared" si="16"/>
        <v>0</v>
      </c>
      <c r="GC22" s="73">
        <f t="shared" si="17"/>
        <v>4</v>
      </c>
      <c r="GD22" s="73">
        <f t="shared" si="18"/>
        <v>0</v>
      </c>
      <c r="GE22" s="73">
        <f t="shared" si="19"/>
        <v>0</v>
      </c>
      <c r="GF22" s="73">
        <f t="shared" si="20"/>
        <v>0</v>
      </c>
      <c r="GG22" s="73">
        <f t="shared" si="21"/>
        <v>0</v>
      </c>
      <c r="GH22" s="73">
        <f t="shared" si="22"/>
        <v>0</v>
      </c>
      <c r="GI22" s="73">
        <f t="shared" si="23"/>
        <v>6</v>
      </c>
      <c r="GJ22" s="38"/>
      <c r="GK22" s="367" t="s">
        <v>693</v>
      </c>
      <c r="GL22" s="376" t="s">
        <v>691</v>
      </c>
      <c r="GM22" s="376" t="s">
        <v>692</v>
      </c>
      <c r="GP22" s="52"/>
    </row>
    <row r="23" spans="1:198" x14ac:dyDescent="0.25">
      <c r="A23" s="53">
        <v>40295</v>
      </c>
      <c r="B23" s="53" t="s">
        <v>19</v>
      </c>
      <c r="C23" s="53" t="s">
        <v>129</v>
      </c>
      <c r="D23" s="53" t="s">
        <v>137</v>
      </c>
      <c r="E23" s="54">
        <v>10825</v>
      </c>
      <c r="F23" s="62">
        <v>169</v>
      </c>
      <c r="G23" s="58">
        <v>5</v>
      </c>
      <c r="H23" s="89" t="s">
        <v>393</v>
      </c>
      <c r="I23" s="6">
        <v>1</v>
      </c>
      <c r="J23" s="6">
        <v>0</v>
      </c>
      <c r="K23" s="60">
        <v>5</v>
      </c>
      <c r="L23" s="6">
        <v>7</v>
      </c>
      <c r="M23" s="6">
        <v>4</v>
      </c>
      <c r="N23" s="6">
        <v>4</v>
      </c>
      <c r="O23" s="6">
        <v>2</v>
      </c>
      <c r="P23" s="6">
        <v>4</v>
      </c>
      <c r="Q23" s="6">
        <v>1</v>
      </c>
      <c r="R23" s="6">
        <v>0</v>
      </c>
      <c r="S23" s="6">
        <v>23</v>
      </c>
      <c r="T23" s="6">
        <v>95</v>
      </c>
      <c r="U23" s="6">
        <v>58</v>
      </c>
      <c r="V23" s="6">
        <v>0</v>
      </c>
      <c r="W23" s="61">
        <v>0</v>
      </c>
      <c r="X23" s="62">
        <v>0</v>
      </c>
      <c r="Y23" s="62">
        <v>0</v>
      </c>
      <c r="Z23" s="62">
        <v>2</v>
      </c>
      <c r="AA23" s="62">
        <v>1</v>
      </c>
      <c r="AB23" s="62">
        <v>0</v>
      </c>
      <c r="AC23" s="63">
        <v>4</v>
      </c>
      <c r="AD23" s="62">
        <v>6</v>
      </c>
      <c r="AE23" s="62">
        <v>2</v>
      </c>
      <c r="AF23" s="62">
        <v>2</v>
      </c>
      <c r="AG23" s="62">
        <v>0</v>
      </c>
      <c r="AH23" s="62">
        <v>5</v>
      </c>
      <c r="AI23" s="62">
        <v>0</v>
      </c>
      <c r="AJ23" s="62">
        <v>0</v>
      </c>
      <c r="AK23" s="62">
        <v>18</v>
      </c>
      <c r="AL23" s="62">
        <v>73</v>
      </c>
      <c r="AM23" s="62">
        <v>52</v>
      </c>
      <c r="AN23" s="1" t="s">
        <v>384</v>
      </c>
      <c r="AO23" s="65">
        <v>5</v>
      </c>
      <c r="AP23" s="65">
        <v>0</v>
      </c>
      <c r="AQ23" s="65">
        <v>3</v>
      </c>
      <c r="AR23" s="65">
        <v>2</v>
      </c>
      <c r="AS23" s="65">
        <v>0</v>
      </c>
      <c r="AT23" s="65">
        <v>0</v>
      </c>
      <c r="AU23" s="65">
        <v>0</v>
      </c>
      <c r="AV23" s="65">
        <v>0</v>
      </c>
      <c r="AW23" s="66">
        <v>3</v>
      </c>
      <c r="AX23" s="1" t="s">
        <v>391</v>
      </c>
      <c r="AY23" s="65">
        <v>4</v>
      </c>
      <c r="AZ23" s="65">
        <v>0</v>
      </c>
      <c r="BA23" s="65">
        <v>0</v>
      </c>
      <c r="BB23" s="65">
        <v>0</v>
      </c>
      <c r="BC23" s="65">
        <v>0</v>
      </c>
      <c r="BD23" s="65">
        <v>1</v>
      </c>
      <c r="BE23" s="65">
        <v>0</v>
      </c>
      <c r="BF23" s="65">
        <v>0</v>
      </c>
      <c r="BG23" s="66">
        <v>0</v>
      </c>
      <c r="BH23" s="1" t="s">
        <v>389</v>
      </c>
      <c r="BI23" s="65">
        <v>4</v>
      </c>
      <c r="BJ23" s="65">
        <v>0</v>
      </c>
      <c r="BK23" s="65">
        <v>0</v>
      </c>
      <c r="BL23" s="65">
        <v>0</v>
      </c>
      <c r="BM23" s="65">
        <v>0</v>
      </c>
      <c r="BN23" s="65">
        <v>0</v>
      </c>
      <c r="BO23" s="65">
        <v>0</v>
      </c>
      <c r="BP23" s="65">
        <v>0</v>
      </c>
      <c r="BQ23" s="66">
        <v>0</v>
      </c>
      <c r="BR23" s="1" t="s">
        <v>390</v>
      </c>
      <c r="BS23" s="65">
        <v>4</v>
      </c>
      <c r="BT23" s="65">
        <v>1</v>
      </c>
      <c r="BU23" s="65">
        <v>1</v>
      </c>
      <c r="BV23" s="65">
        <v>0</v>
      </c>
      <c r="BW23" s="65">
        <v>0</v>
      </c>
      <c r="BX23" s="65">
        <v>2</v>
      </c>
      <c r="BY23" s="65">
        <v>0</v>
      </c>
      <c r="BZ23" s="65">
        <v>0</v>
      </c>
      <c r="CA23" s="66">
        <v>2</v>
      </c>
      <c r="CB23" s="1" t="s">
        <v>274</v>
      </c>
      <c r="CC23" s="65">
        <v>3</v>
      </c>
      <c r="CD23" s="65">
        <v>2</v>
      </c>
      <c r="CE23" s="65">
        <v>1</v>
      </c>
      <c r="CF23" s="65">
        <v>1</v>
      </c>
      <c r="CG23" s="65">
        <v>1</v>
      </c>
      <c r="CH23" s="65">
        <v>1</v>
      </c>
      <c r="CI23" s="65">
        <v>0</v>
      </c>
      <c r="CJ23" s="65">
        <v>0</v>
      </c>
      <c r="CK23" s="66">
        <v>1</v>
      </c>
      <c r="CL23" s="1" t="s">
        <v>273</v>
      </c>
      <c r="CM23" s="65">
        <v>3</v>
      </c>
      <c r="CN23" s="65">
        <v>2</v>
      </c>
      <c r="CO23" s="65">
        <v>2</v>
      </c>
      <c r="CP23" s="65">
        <v>0</v>
      </c>
      <c r="CQ23" s="65">
        <v>1</v>
      </c>
      <c r="CR23" s="65">
        <v>0</v>
      </c>
      <c r="CS23" s="65">
        <v>0</v>
      </c>
      <c r="CT23" s="65">
        <v>0</v>
      </c>
      <c r="CU23" s="66">
        <v>2</v>
      </c>
      <c r="CV23" s="1" t="s">
        <v>408</v>
      </c>
      <c r="CW23" s="65">
        <v>4</v>
      </c>
      <c r="CX23" s="65">
        <v>1</v>
      </c>
      <c r="CY23" s="65">
        <v>1</v>
      </c>
      <c r="CZ23" s="65">
        <v>3</v>
      </c>
      <c r="DA23" s="65">
        <v>0</v>
      </c>
      <c r="DB23" s="65">
        <v>0</v>
      </c>
      <c r="DC23" s="65">
        <v>0</v>
      </c>
      <c r="DD23" s="65">
        <v>0</v>
      </c>
      <c r="DE23" s="66">
        <v>4</v>
      </c>
      <c r="DF23" s="1" t="s">
        <v>275</v>
      </c>
      <c r="DG23" s="65">
        <v>4</v>
      </c>
      <c r="DH23" s="65">
        <v>1</v>
      </c>
      <c r="DI23" s="65">
        <v>3</v>
      </c>
      <c r="DJ23" s="65">
        <v>1</v>
      </c>
      <c r="DK23" s="65">
        <v>0</v>
      </c>
      <c r="DL23" s="65">
        <v>0</v>
      </c>
      <c r="DM23" s="65">
        <v>0</v>
      </c>
      <c r="DN23" s="65">
        <v>0</v>
      </c>
      <c r="DO23" s="66">
        <v>4</v>
      </c>
      <c r="DP23" s="1" t="s">
        <v>385</v>
      </c>
      <c r="DQ23" s="65">
        <v>4</v>
      </c>
      <c r="DR23" s="65">
        <v>1</v>
      </c>
      <c r="DS23" s="65">
        <v>1</v>
      </c>
      <c r="DT23" s="65">
        <v>1</v>
      </c>
      <c r="DU23" s="65">
        <v>0</v>
      </c>
      <c r="DV23" s="65">
        <v>1</v>
      </c>
      <c r="DW23" s="65">
        <v>0</v>
      </c>
      <c r="DX23" s="65">
        <v>0</v>
      </c>
      <c r="DY23" s="66">
        <v>4</v>
      </c>
      <c r="DZ23" s="67">
        <v>2</v>
      </c>
      <c r="EA23" s="68">
        <v>0</v>
      </c>
      <c r="EB23" s="68">
        <v>0</v>
      </c>
      <c r="EC23" s="69">
        <v>6</v>
      </c>
      <c r="ED23" s="68">
        <v>0</v>
      </c>
      <c r="EE23" s="70">
        <v>1</v>
      </c>
      <c r="EF23" s="71">
        <v>0</v>
      </c>
      <c r="EG23" s="72">
        <v>4</v>
      </c>
      <c r="EH23" s="72">
        <v>3</v>
      </c>
      <c r="EI23" s="72">
        <v>1</v>
      </c>
      <c r="EJ23" s="72">
        <v>0</v>
      </c>
      <c r="EK23" s="72">
        <v>0</v>
      </c>
      <c r="EL23" s="72">
        <v>0</v>
      </c>
      <c r="EM23" s="72">
        <v>0</v>
      </c>
      <c r="EN23" s="72"/>
      <c r="EO23" s="72"/>
      <c r="EP23" s="72"/>
      <c r="EQ23" s="72"/>
      <c r="ER23" s="72"/>
      <c r="ES23" s="44">
        <f t="shared" si="0"/>
        <v>8</v>
      </c>
      <c r="ET23" s="43">
        <v>0</v>
      </c>
      <c r="EU23" s="43">
        <v>0</v>
      </c>
      <c r="EV23" s="43">
        <v>4</v>
      </c>
      <c r="EW23" s="43">
        <v>0</v>
      </c>
      <c r="EX23" s="43">
        <v>0</v>
      </c>
      <c r="EY23" s="43">
        <v>1</v>
      </c>
      <c r="EZ23" s="43">
        <v>0</v>
      </c>
      <c r="FA23" s="43">
        <v>1</v>
      </c>
      <c r="FB23" s="43">
        <v>0</v>
      </c>
      <c r="FC23" s="43"/>
      <c r="FD23" s="43"/>
      <c r="FE23" s="43"/>
      <c r="FF23" s="43"/>
      <c r="FG23" s="43">
        <f t="shared" si="1"/>
        <v>6</v>
      </c>
      <c r="FH23" s="73">
        <v>35</v>
      </c>
      <c r="FI23" s="73">
        <v>8</v>
      </c>
      <c r="FJ23" s="73">
        <v>12</v>
      </c>
      <c r="FK23" s="73">
        <v>8</v>
      </c>
      <c r="FL23" s="73">
        <v>2</v>
      </c>
      <c r="FM23" s="73">
        <v>5</v>
      </c>
      <c r="FN23" s="73">
        <f t="shared" si="2"/>
        <v>0</v>
      </c>
      <c r="FO23" s="73">
        <f t="shared" si="3"/>
        <v>0</v>
      </c>
      <c r="FP23" s="73">
        <f t="shared" si="4"/>
        <v>0</v>
      </c>
      <c r="FQ23" s="73">
        <f t="shared" si="5"/>
        <v>0</v>
      </c>
      <c r="FR23" s="73">
        <f t="shared" si="6"/>
        <v>0</v>
      </c>
      <c r="FS23" s="73">
        <f t="shared" si="7"/>
        <v>0</v>
      </c>
      <c r="FT23" s="73">
        <f t="shared" si="8"/>
        <v>0</v>
      </c>
      <c r="FU23" s="73">
        <f t="shared" si="9"/>
        <v>0</v>
      </c>
      <c r="FV23" s="73">
        <f t="shared" si="10"/>
        <v>0</v>
      </c>
      <c r="FW23" s="73">
        <f t="shared" si="11"/>
        <v>4</v>
      </c>
      <c r="FX23" s="73">
        <f t="shared" si="12"/>
        <v>-1</v>
      </c>
      <c r="FY23" s="73">
        <f t="shared" si="13"/>
        <v>1</v>
      </c>
      <c r="FZ23" s="73">
        <f t="shared" si="14"/>
        <v>0</v>
      </c>
      <c r="GA23" s="73">
        <f t="shared" si="15"/>
        <v>-1</v>
      </c>
      <c r="GB23" s="73">
        <f t="shared" si="16"/>
        <v>0</v>
      </c>
      <c r="GC23" s="73">
        <f t="shared" si="17"/>
        <v>-1</v>
      </c>
      <c r="GD23" s="73">
        <f t="shared" si="18"/>
        <v>0</v>
      </c>
      <c r="GE23" s="73">
        <f t="shared" si="19"/>
        <v>0</v>
      </c>
      <c r="GF23" s="73">
        <f t="shared" si="20"/>
        <v>0</v>
      </c>
      <c r="GG23" s="73">
        <f t="shared" si="21"/>
        <v>0</v>
      </c>
      <c r="GH23" s="73">
        <f t="shared" si="22"/>
        <v>0</v>
      </c>
      <c r="GI23" s="73">
        <f t="shared" si="23"/>
        <v>2</v>
      </c>
      <c r="GJ23" s="38"/>
      <c r="GK23" s="367" t="s">
        <v>691</v>
      </c>
      <c r="GL23" s="376" t="s">
        <v>691</v>
      </c>
      <c r="GM23" s="376" t="s">
        <v>692</v>
      </c>
      <c r="GP23" s="52"/>
    </row>
    <row r="24" spans="1:198" x14ac:dyDescent="0.25">
      <c r="A24" s="53">
        <v>40296</v>
      </c>
      <c r="B24" s="53" t="s">
        <v>19</v>
      </c>
      <c r="C24" s="53" t="s">
        <v>129</v>
      </c>
      <c r="D24" s="53" t="s">
        <v>137</v>
      </c>
      <c r="E24" s="54">
        <v>10691</v>
      </c>
      <c r="F24" s="62">
        <v>177</v>
      </c>
      <c r="G24" s="58">
        <v>1</v>
      </c>
      <c r="H24" s="59" t="s">
        <v>392</v>
      </c>
      <c r="I24" s="6">
        <v>1</v>
      </c>
      <c r="J24" s="6">
        <v>0</v>
      </c>
      <c r="K24" s="60">
        <v>7</v>
      </c>
      <c r="L24" s="6">
        <v>6</v>
      </c>
      <c r="M24" s="6">
        <v>2</v>
      </c>
      <c r="N24" s="6">
        <v>1</v>
      </c>
      <c r="O24" s="6">
        <v>1</v>
      </c>
      <c r="P24" s="6">
        <v>12</v>
      </c>
      <c r="Q24" s="6">
        <v>1</v>
      </c>
      <c r="R24" s="6">
        <v>0</v>
      </c>
      <c r="S24" s="6">
        <v>29</v>
      </c>
      <c r="T24" s="6">
        <v>101</v>
      </c>
      <c r="U24" s="6">
        <v>68</v>
      </c>
      <c r="V24" s="6">
        <v>0</v>
      </c>
      <c r="W24" s="61">
        <v>0</v>
      </c>
      <c r="X24" s="62">
        <v>0</v>
      </c>
      <c r="Y24" s="62">
        <v>0</v>
      </c>
      <c r="Z24" s="62">
        <v>0</v>
      </c>
      <c r="AA24" s="62">
        <v>0</v>
      </c>
      <c r="AB24" s="62">
        <v>0</v>
      </c>
      <c r="AC24" s="63">
        <v>2</v>
      </c>
      <c r="AD24" s="62">
        <v>4</v>
      </c>
      <c r="AE24" s="62">
        <v>1</v>
      </c>
      <c r="AF24" s="62">
        <v>1</v>
      </c>
      <c r="AG24" s="62">
        <v>0</v>
      </c>
      <c r="AH24" s="62">
        <v>0</v>
      </c>
      <c r="AI24" s="62">
        <v>1</v>
      </c>
      <c r="AJ24" s="62">
        <v>0</v>
      </c>
      <c r="AK24" s="62">
        <v>11</v>
      </c>
      <c r="AL24" s="62">
        <v>33</v>
      </c>
      <c r="AM24" s="62">
        <v>23</v>
      </c>
      <c r="AN24" s="1" t="s">
        <v>384</v>
      </c>
      <c r="AO24" s="65">
        <v>4</v>
      </c>
      <c r="AP24" s="65">
        <v>0</v>
      </c>
      <c r="AQ24" s="65">
        <v>1</v>
      </c>
      <c r="AR24" s="65">
        <v>1</v>
      </c>
      <c r="AS24" s="65">
        <v>1</v>
      </c>
      <c r="AT24" s="65">
        <v>1</v>
      </c>
      <c r="AU24" s="65">
        <v>0</v>
      </c>
      <c r="AV24" s="65">
        <v>0</v>
      </c>
      <c r="AW24" s="66">
        <v>2</v>
      </c>
      <c r="AX24" s="1" t="s">
        <v>391</v>
      </c>
      <c r="AY24" s="65">
        <v>4</v>
      </c>
      <c r="AZ24" s="65">
        <v>1</v>
      </c>
      <c r="BA24" s="65">
        <v>2</v>
      </c>
      <c r="BB24" s="65">
        <v>0</v>
      </c>
      <c r="BC24" s="65">
        <v>1</v>
      </c>
      <c r="BD24" s="65">
        <v>1</v>
      </c>
      <c r="BE24" s="65">
        <v>0</v>
      </c>
      <c r="BF24" s="65">
        <v>0</v>
      </c>
      <c r="BG24" s="66">
        <v>2</v>
      </c>
      <c r="BH24" s="1" t="s">
        <v>389</v>
      </c>
      <c r="BI24" s="65">
        <v>4</v>
      </c>
      <c r="BJ24" s="65">
        <v>1</v>
      </c>
      <c r="BK24" s="65">
        <v>1</v>
      </c>
      <c r="BL24" s="65">
        <v>0</v>
      </c>
      <c r="BM24" s="65">
        <v>1</v>
      </c>
      <c r="BN24" s="65">
        <v>0</v>
      </c>
      <c r="BO24" s="65">
        <v>0</v>
      </c>
      <c r="BP24" s="65">
        <v>0</v>
      </c>
      <c r="BQ24" s="66">
        <v>1</v>
      </c>
      <c r="BR24" s="1" t="s">
        <v>390</v>
      </c>
      <c r="BS24" s="65">
        <v>5</v>
      </c>
      <c r="BT24" s="65">
        <v>2</v>
      </c>
      <c r="BU24" s="65">
        <v>2</v>
      </c>
      <c r="BV24" s="65">
        <v>2</v>
      </c>
      <c r="BW24" s="65">
        <v>0</v>
      </c>
      <c r="BX24" s="65">
        <v>1</v>
      </c>
      <c r="BY24" s="65">
        <v>0</v>
      </c>
      <c r="BZ24" s="65">
        <v>0</v>
      </c>
      <c r="CA24" s="66">
        <v>6</v>
      </c>
      <c r="CB24" s="1" t="s">
        <v>274</v>
      </c>
      <c r="CC24" s="65">
        <v>5</v>
      </c>
      <c r="CD24" s="65">
        <v>2</v>
      </c>
      <c r="CE24" s="65">
        <v>2</v>
      </c>
      <c r="CF24" s="65">
        <v>2</v>
      </c>
      <c r="CG24" s="65">
        <v>0</v>
      </c>
      <c r="CH24" s="65">
        <v>0</v>
      </c>
      <c r="CI24" s="65">
        <v>0</v>
      </c>
      <c r="CJ24" s="65">
        <v>0</v>
      </c>
      <c r="CK24" s="66">
        <v>5</v>
      </c>
      <c r="CL24" s="1" t="s">
        <v>273</v>
      </c>
      <c r="CM24" s="65">
        <v>5</v>
      </c>
      <c r="CN24" s="65">
        <v>2</v>
      </c>
      <c r="CO24" s="65">
        <v>2</v>
      </c>
      <c r="CP24" s="65">
        <v>0</v>
      </c>
      <c r="CQ24" s="65">
        <v>0</v>
      </c>
      <c r="CR24" s="65">
        <v>2</v>
      </c>
      <c r="CS24" s="65">
        <v>0</v>
      </c>
      <c r="CT24" s="65">
        <v>0</v>
      </c>
      <c r="CU24" s="66">
        <v>3</v>
      </c>
      <c r="CV24" s="1" t="s">
        <v>272</v>
      </c>
      <c r="CW24" s="65">
        <v>4</v>
      </c>
      <c r="CX24" s="65">
        <v>1</v>
      </c>
      <c r="CY24" s="65">
        <v>3</v>
      </c>
      <c r="CZ24" s="65">
        <v>0</v>
      </c>
      <c r="DA24" s="65">
        <v>0</v>
      </c>
      <c r="DB24" s="65">
        <v>0</v>
      </c>
      <c r="DC24" s="65">
        <v>0</v>
      </c>
      <c r="DD24" s="65">
        <v>0</v>
      </c>
      <c r="DE24" s="66">
        <v>3</v>
      </c>
      <c r="DF24" s="1" t="s">
        <v>386</v>
      </c>
      <c r="DG24" s="65">
        <v>4</v>
      </c>
      <c r="DH24" s="65">
        <v>1</v>
      </c>
      <c r="DI24" s="65">
        <v>1</v>
      </c>
      <c r="DJ24" s="65">
        <v>1</v>
      </c>
      <c r="DK24" s="65">
        <v>0</v>
      </c>
      <c r="DL24" s="65">
        <v>0</v>
      </c>
      <c r="DM24" s="65">
        <v>0</v>
      </c>
      <c r="DN24" s="65">
        <v>0</v>
      </c>
      <c r="DO24" s="66">
        <v>1</v>
      </c>
      <c r="DP24" s="1" t="s">
        <v>275</v>
      </c>
      <c r="DQ24" s="65">
        <v>2</v>
      </c>
      <c r="DR24" s="65">
        <v>0</v>
      </c>
      <c r="DS24" s="65">
        <v>0</v>
      </c>
      <c r="DT24" s="65">
        <v>2</v>
      </c>
      <c r="DU24" s="65">
        <v>1</v>
      </c>
      <c r="DV24" s="65">
        <v>0</v>
      </c>
      <c r="DW24" s="65">
        <v>0</v>
      </c>
      <c r="DX24" s="65">
        <v>1</v>
      </c>
      <c r="DY24" s="66">
        <v>0</v>
      </c>
      <c r="DZ24" s="67">
        <f>6+1/3</f>
        <v>6.333333333333333</v>
      </c>
      <c r="EA24" s="68">
        <v>0</v>
      </c>
      <c r="EB24" s="68">
        <v>0</v>
      </c>
      <c r="EC24" s="69">
        <f>1+2/3</f>
        <v>1.6666666666666665</v>
      </c>
      <c r="ED24" s="68">
        <v>0</v>
      </c>
      <c r="EE24" s="70">
        <v>0</v>
      </c>
      <c r="EF24" s="71">
        <v>0</v>
      </c>
      <c r="EG24" s="72">
        <v>2</v>
      </c>
      <c r="EH24" s="72">
        <v>0</v>
      </c>
      <c r="EI24" s="72">
        <v>0</v>
      </c>
      <c r="EJ24" s="72">
        <v>6</v>
      </c>
      <c r="EK24" s="72">
        <v>2</v>
      </c>
      <c r="EL24" s="72">
        <v>0</v>
      </c>
      <c r="EM24" s="72">
        <v>0</v>
      </c>
      <c r="EN24" s="72"/>
      <c r="EO24" s="72"/>
      <c r="EP24" s="72"/>
      <c r="EQ24" s="72"/>
      <c r="ER24" s="72"/>
      <c r="ES24" s="44">
        <f t="shared" si="0"/>
        <v>10</v>
      </c>
      <c r="ET24" s="43">
        <v>1</v>
      </c>
      <c r="EU24" s="43">
        <v>0</v>
      </c>
      <c r="EV24" s="43">
        <v>0</v>
      </c>
      <c r="EW24" s="43">
        <v>1</v>
      </c>
      <c r="EX24" s="43">
        <v>0</v>
      </c>
      <c r="EY24" s="43">
        <v>0</v>
      </c>
      <c r="EZ24" s="43">
        <v>0</v>
      </c>
      <c r="FA24" s="43">
        <v>0</v>
      </c>
      <c r="FB24" s="43">
        <v>1</v>
      </c>
      <c r="FC24" s="43"/>
      <c r="FD24" s="43"/>
      <c r="FE24" s="43"/>
      <c r="FF24" s="43"/>
      <c r="FG24" s="43">
        <f t="shared" si="1"/>
        <v>3</v>
      </c>
      <c r="FH24" s="73">
        <v>37</v>
      </c>
      <c r="FI24" s="73">
        <v>10</v>
      </c>
      <c r="FJ24" s="73">
        <v>14</v>
      </c>
      <c r="FK24" s="73">
        <v>8</v>
      </c>
      <c r="FL24" s="73">
        <v>4</v>
      </c>
      <c r="FM24" s="73">
        <v>5</v>
      </c>
      <c r="FN24" s="73">
        <f t="shared" si="2"/>
        <v>0</v>
      </c>
      <c r="FO24" s="73">
        <f t="shared" si="3"/>
        <v>0</v>
      </c>
      <c r="FP24" s="73">
        <f t="shared" si="4"/>
        <v>0</v>
      </c>
      <c r="FQ24" s="73">
        <f t="shared" si="5"/>
        <v>0</v>
      </c>
      <c r="FR24" s="73">
        <f t="shared" si="6"/>
        <v>0</v>
      </c>
      <c r="FS24" s="73">
        <f t="shared" si="7"/>
        <v>0</v>
      </c>
      <c r="FT24" s="73">
        <f t="shared" si="8"/>
        <v>0</v>
      </c>
      <c r="FU24" s="73">
        <f t="shared" si="9"/>
        <v>0</v>
      </c>
      <c r="FV24" s="73">
        <f t="shared" si="10"/>
        <v>-1</v>
      </c>
      <c r="FW24" s="73">
        <f t="shared" si="11"/>
        <v>2</v>
      </c>
      <c r="FX24" s="73">
        <f t="shared" si="12"/>
        <v>0</v>
      </c>
      <c r="FY24" s="73">
        <f t="shared" si="13"/>
        <v>-1</v>
      </c>
      <c r="FZ24" s="73">
        <f t="shared" si="14"/>
        <v>6</v>
      </c>
      <c r="GA24" s="73">
        <f t="shared" si="15"/>
        <v>2</v>
      </c>
      <c r="GB24" s="73">
        <f t="shared" si="16"/>
        <v>0</v>
      </c>
      <c r="GC24" s="73">
        <f t="shared" si="17"/>
        <v>0</v>
      </c>
      <c r="GD24" s="73">
        <f t="shared" si="18"/>
        <v>-1</v>
      </c>
      <c r="GE24" s="73">
        <f t="shared" si="19"/>
        <v>0</v>
      </c>
      <c r="GF24" s="73">
        <f t="shared" si="20"/>
        <v>0</v>
      </c>
      <c r="GG24" s="73">
        <f t="shared" si="21"/>
        <v>0</v>
      </c>
      <c r="GH24" s="73">
        <f t="shared" si="22"/>
        <v>0</v>
      </c>
      <c r="GI24" s="73">
        <f t="shared" si="23"/>
        <v>7</v>
      </c>
      <c r="GJ24" s="38"/>
      <c r="GK24" s="367" t="s">
        <v>691</v>
      </c>
      <c r="GL24" s="376" t="s">
        <v>691</v>
      </c>
      <c r="GM24" s="376" t="s">
        <v>692</v>
      </c>
      <c r="GP24" s="52"/>
    </row>
    <row r="25" spans="1:198" x14ac:dyDescent="0.25">
      <c r="A25" s="53">
        <v>40297</v>
      </c>
      <c r="B25" s="53" t="s">
        <v>19</v>
      </c>
      <c r="C25" s="53" t="s">
        <v>129</v>
      </c>
      <c r="D25" s="53" t="s">
        <v>138</v>
      </c>
      <c r="E25" s="54">
        <v>12766</v>
      </c>
      <c r="F25" s="62">
        <v>193</v>
      </c>
      <c r="G25" s="58">
        <v>2</v>
      </c>
      <c r="H25" s="59" t="s">
        <v>396</v>
      </c>
      <c r="I25" s="6">
        <v>1</v>
      </c>
      <c r="J25" s="6">
        <v>0</v>
      </c>
      <c r="K25" s="60">
        <v>6</v>
      </c>
      <c r="L25" s="6">
        <v>5</v>
      </c>
      <c r="M25" s="6">
        <v>1</v>
      </c>
      <c r="N25" s="6">
        <v>1</v>
      </c>
      <c r="O25" s="6">
        <v>2</v>
      </c>
      <c r="P25" s="6">
        <v>9</v>
      </c>
      <c r="Q25" s="6">
        <v>1</v>
      </c>
      <c r="R25" s="6">
        <v>0</v>
      </c>
      <c r="S25" s="6">
        <v>24</v>
      </c>
      <c r="T25" s="6">
        <v>97</v>
      </c>
      <c r="U25" s="6">
        <v>61</v>
      </c>
      <c r="V25" s="6">
        <v>0</v>
      </c>
      <c r="W25" s="61">
        <v>0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3">
        <v>3</v>
      </c>
      <c r="AD25" s="62">
        <v>1</v>
      </c>
      <c r="AE25" s="62">
        <v>0</v>
      </c>
      <c r="AF25" s="62">
        <v>0</v>
      </c>
      <c r="AG25" s="62">
        <v>1</v>
      </c>
      <c r="AH25" s="62">
        <v>2</v>
      </c>
      <c r="AI25" s="62">
        <v>0</v>
      </c>
      <c r="AJ25" s="62">
        <v>0</v>
      </c>
      <c r="AK25" s="62">
        <v>11</v>
      </c>
      <c r="AL25" s="62">
        <v>48</v>
      </c>
      <c r="AM25" s="62">
        <v>32</v>
      </c>
      <c r="AN25" s="1" t="s">
        <v>384</v>
      </c>
      <c r="AO25" s="65">
        <v>4</v>
      </c>
      <c r="AP25" s="65">
        <v>1</v>
      </c>
      <c r="AQ25" s="65">
        <v>1</v>
      </c>
      <c r="AR25" s="65">
        <v>3</v>
      </c>
      <c r="AS25" s="65">
        <v>2</v>
      </c>
      <c r="AT25" s="65">
        <v>0</v>
      </c>
      <c r="AU25" s="65">
        <v>0</v>
      </c>
      <c r="AV25" s="65">
        <v>0</v>
      </c>
      <c r="AW25" s="66">
        <v>3</v>
      </c>
      <c r="AX25" s="1" t="s">
        <v>391</v>
      </c>
      <c r="AY25" s="65">
        <v>6</v>
      </c>
      <c r="AZ25" s="65">
        <v>1</v>
      </c>
      <c r="BA25" s="65">
        <v>4</v>
      </c>
      <c r="BB25" s="65">
        <v>1</v>
      </c>
      <c r="BC25" s="65">
        <v>0</v>
      </c>
      <c r="BD25" s="65">
        <v>1</v>
      </c>
      <c r="BE25" s="65">
        <v>0</v>
      </c>
      <c r="BF25" s="65">
        <v>0</v>
      </c>
      <c r="BG25" s="66">
        <v>8</v>
      </c>
      <c r="BH25" s="1" t="s">
        <v>389</v>
      </c>
      <c r="BI25" s="65">
        <v>4</v>
      </c>
      <c r="BJ25" s="65">
        <v>0</v>
      </c>
      <c r="BK25" s="65">
        <v>1</v>
      </c>
      <c r="BL25" s="65">
        <v>1</v>
      </c>
      <c r="BM25" s="65">
        <v>0</v>
      </c>
      <c r="BN25" s="65">
        <v>0</v>
      </c>
      <c r="BO25" s="65">
        <v>1</v>
      </c>
      <c r="BP25" s="65">
        <v>0</v>
      </c>
      <c r="BQ25" s="66">
        <v>1</v>
      </c>
      <c r="BR25" s="1" t="s">
        <v>390</v>
      </c>
      <c r="BS25" s="65">
        <v>5</v>
      </c>
      <c r="BT25" s="65">
        <v>2</v>
      </c>
      <c r="BU25" s="65">
        <v>2</v>
      </c>
      <c r="BV25" s="65">
        <v>0</v>
      </c>
      <c r="BW25" s="65">
        <v>0</v>
      </c>
      <c r="BX25" s="65">
        <v>1</v>
      </c>
      <c r="BY25" s="65">
        <v>0</v>
      </c>
      <c r="BZ25" s="65">
        <v>0</v>
      </c>
      <c r="CA25" s="66">
        <v>3</v>
      </c>
      <c r="CB25" s="1" t="s">
        <v>274</v>
      </c>
      <c r="CC25" s="65">
        <v>4</v>
      </c>
      <c r="CD25" s="65">
        <v>1</v>
      </c>
      <c r="CE25" s="65">
        <v>1</v>
      </c>
      <c r="CF25" s="65">
        <v>1</v>
      </c>
      <c r="CG25" s="65">
        <v>1</v>
      </c>
      <c r="CH25" s="65">
        <v>2</v>
      </c>
      <c r="CI25" s="65">
        <v>0</v>
      </c>
      <c r="CJ25" s="65">
        <v>0</v>
      </c>
      <c r="CK25" s="66">
        <v>1</v>
      </c>
      <c r="CL25" s="1" t="s">
        <v>273</v>
      </c>
      <c r="CM25" s="65">
        <v>5</v>
      </c>
      <c r="CN25" s="65">
        <v>1</v>
      </c>
      <c r="CO25" s="65">
        <v>1</v>
      </c>
      <c r="CP25" s="65">
        <v>0</v>
      </c>
      <c r="CQ25" s="65">
        <v>0</v>
      </c>
      <c r="CR25" s="65">
        <v>1</v>
      </c>
      <c r="CS25" s="65">
        <v>0</v>
      </c>
      <c r="CT25" s="65">
        <v>0</v>
      </c>
      <c r="CU25" s="66">
        <v>1</v>
      </c>
      <c r="CV25" s="1" t="s">
        <v>408</v>
      </c>
      <c r="CW25" s="65">
        <v>5</v>
      </c>
      <c r="CX25" s="65">
        <v>2</v>
      </c>
      <c r="CY25" s="65">
        <v>2</v>
      </c>
      <c r="CZ25" s="65">
        <v>1</v>
      </c>
      <c r="DA25" s="65">
        <v>0</v>
      </c>
      <c r="DB25" s="65">
        <v>2</v>
      </c>
      <c r="DC25" s="65">
        <v>0</v>
      </c>
      <c r="DD25" s="65">
        <v>0</v>
      </c>
      <c r="DE25" s="66">
        <v>3</v>
      </c>
      <c r="DF25" s="1" t="s">
        <v>275</v>
      </c>
      <c r="DG25" s="65">
        <v>2</v>
      </c>
      <c r="DH25" s="65">
        <v>2</v>
      </c>
      <c r="DI25" s="65">
        <v>1</v>
      </c>
      <c r="DJ25" s="65">
        <v>1</v>
      </c>
      <c r="DK25" s="65">
        <v>3</v>
      </c>
      <c r="DL25" s="65">
        <v>0</v>
      </c>
      <c r="DM25" s="65">
        <v>0</v>
      </c>
      <c r="DN25" s="65">
        <v>0</v>
      </c>
      <c r="DO25" s="66">
        <v>1</v>
      </c>
      <c r="DP25" s="1" t="s">
        <v>385</v>
      </c>
      <c r="DQ25" s="65">
        <v>5</v>
      </c>
      <c r="DR25" s="65">
        <v>1</v>
      </c>
      <c r="DS25" s="65">
        <v>2</v>
      </c>
      <c r="DT25" s="65">
        <v>3</v>
      </c>
      <c r="DU25" s="65">
        <v>0</v>
      </c>
      <c r="DV25" s="65">
        <v>0</v>
      </c>
      <c r="DW25" s="65">
        <v>0</v>
      </c>
      <c r="DX25" s="65">
        <v>0</v>
      </c>
      <c r="DY25" s="66">
        <v>2</v>
      </c>
      <c r="DZ25" s="67">
        <v>0</v>
      </c>
      <c r="EA25" s="68">
        <v>0</v>
      </c>
      <c r="EB25" s="68">
        <v>0</v>
      </c>
      <c r="EC25" s="69">
        <v>8</v>
      </c>
      <c r="ED25" s="68">
        <v>2</v>
      </c>
      <c r="EE25" s="70">
        <v>0</v>
      </c>
      <c r="EF25" s="71">
        <v>0</v>
      </c>
      <c r="EG25" s="72">
        <v>5</v>
      </c>
      <c r="EH25" s="72">
        <v>4</v>
      </c>
      <c r="EI25" s="72">
        <v>1</v>
      </c>
      <c r="EJ25" s="72">
        <v>0</v>
      </c>
      <c r="EK25" s="72">
        <v>0</v>
      </c>
      <c r="EL25" s="72">
        <v>1</v>
      </c>
      <c r="EM25" s="72">
        <v>0</v>
      </c>
      <c r="EN25" s="72"/>
      <c r="EO25" s="72"/>
      <c r="EP25" s="72"/>
      <c r="EQ25" s="72"/>
      <c r="ER25" s="72"/>
      <c r="ES25" s="44">
        <f t="shared" si="0"/>
        <v>11</v>
      </c>
      <c r="ET25" s="43">
        <v>0</v>
      </c>
      <c r="EU25" s="43">
        <v>0</v>
      </c>
      <c r="EV25" s="43">
        <v>0</v>
      </c>
      <c r="EW25" s="43">
        <v>1</v>
      </c>
      <c r="EX25" s="43">
        <v>0</v>
      </c>
      <c r="EY25" s="43">
        <v>0</v>
      </c>
      <c r="EZ25" s="43">
        <v>0</v>
      </c>
      <c r="FA25" s="43">
        <v>0</v>
      </c>
      <c r="FB25" s="43">
        <v>0</v>
      </c>
      <c r="FC25" s="43"/>
      <c r="FD25" s="43"/>
      <c r="FE25" s="43"/>
      <c r="FF25" s="43"/>
      <c r="FG25" s="43">
        <f t="shared" si="1"/>
        <v>1</v>
      </c>
      <c r="FH25" s="73">
        <v>40</v>
      </c>
      <c r="FI25" s="73">
        <v>11</v>
      </c>
      <c r="FJ25" s="73">
        <v>15</v>
      </c>
      <c r="FK25" s="73">
        <v>11</v>
      </c>
      <c r="FL25" s="73">
        <v>6</v>
      </c>
      <c r="FM25" s="73">
        <v>7</v>
      </c>
      <c r="FN25" s="73">
        <f t="shared" si="2"/>
        <v>0</v>
      </c>
      <c r="FO25" s="73">
        <f t="shared" si="3"/>
        <v>0</v>
      </c>
      <c r="FP25" s="73">
        <f t="shared" si="4"/>
        <v>0</v>
      </c>
      <c r="FQ25" s="73">
        <f t="shared" si="5"/>
        <v>0</v>
      </c>
      <c r="FR25" s="73">
        <f t="shared" si="6"/>
        <v>0</v>
      </c>
      <c r="FS25" s="73">
        <f t="shared" si="7"/>
        <v>0</v>
      </c>
      <c r="FT25" s="73">
        <f t="shared" si="8"/>
        <v>0</v>
      </c>
      <c r="FU25" s="73">
        <f t="shared" si="9"/>
        <v>0</v>
      </c>
      <c r="FV25" s="73">
        <f t="shared" si="10"/>
        <v>0</v>
      </c>
      <c r="FW25" s="73">
        <f t="shared" si="11"/>
        <v>5</v>
      </c>
      <c r="FX25" s="73">
        <f t="shared" si="12"/>
        <v>4</v>
      </c>
      <c r="FY25" s="73">
        <f t="shared" si="13"/>
        <v>0</v>
      </c>
      <c r="FZ25" s="73">
        <f t="shared" si="14"/>
        <v>0</v>
      </c>
      <c r="GA25" s="73">
        <f t="shared" si="15"/>
        <v>0</v>
      </c>
      <c r="GB25" s="73">
        <f t="shared" si="16"/>
        <v>1</v>
      </c>
      <c r="GC25" s="73">
        <f t="shared" si="17"/>
        <v>0</v>
      </c>
      <c r="GD25" s="73">
        <f t="shared" si="18"/>
        <v>0</v>
      </c>
      <c r="GE25" s="73">
        <f t="shared" si="19"/>
        <v>0</v>
      </c>
      <c r="GF25" s="73">
        <f t="shared" si="20"/>
        <v>0</v>
      </c>
      <c r="GG25" s="73">
        <f t="shared" si="21"/>
        <v>0</v>
      </c>
      <c r="GH25" s="73">
        <f t="shared" si="22"/>
        <v>0</v>
      </c>
      <c r="GI25" s="73">
        <f t="shared" si="23"/>
        <v>10</v>
      </c>
      <c r="GJ25" s="38"/>
      <c r="GK25" s="367" t="s">
        <v>691</v>
      </c>
      <c r="GL25" s="376" t="s">
        <v>691</v>
      </c>
      <c r="GM25" s="376" t="s">
        <v>692</v>
      </c>
      <c r="GP25" s="52"/>
    </row>
    <row r="26" spans="1:198" x14ac:dyDescent="0.25">
      <c r="A26" s="53">
        <v>40298</v>
      </c>
      <c r="B26" s="53" t="s">
        <v>19</v>
      </c>
      <c r="C26" s="53" t="s">
        <v>131</v>
      </c>
      <c r="D26" s="53" t="s">
        <v>138</v>
      </c>
      <c r="E26" s="54">
        <v>25195</v>
      </c>
      <c r="F26" s="62">
        <v>157</v>
      </c>
      <c r="G26" s="58">
        <v>3</v>
      </c>
      <c r="H26" s="59" t="s">
        <v>395</v>
      </c>
      <c r="I26" s="6">
        <v>0</v>
      </c>
      <c r="J26" s="6">
        <v>0</v>
      </c>
      <c r="K26" s="60">
        <f>7+1/3</f>
        <v>7.333333333333333</v>
      </c>
      <c r="L26" s="6">
        <v>3</v>
      </c>
      <c r="M26" s="6">
        <v>1</v>
      </c>
      <c r="N26" s="6">
        <v>1</v>
      </c>
      <c r="O26" s="6">
        <v>4</v>
      </c>
      <c r="P26" s="6">
        <v>3</v>
      </c>
      <c r="Q26" s="6">
        <v>0</v>
      </c>
      <c r="R26" s="6">
        <v>0</v>
      </c>
      <c r="S26" s="6">
        <v>26</v>
      </c>
      <c r="T26" s="6">
        <v>88</v>
      </c>
      <c r="U26" s="6">
        <v>51</v>
      </c>
      <c r="V26" s="6">
        <v>1</v>
      </c>
      <c r="W26" s="61">
        <v>0</v>
      </c>
      <c r="X26" s="62">
        <v>0</v>
      </c>
      <c r="Y26" s="62">
        <v>1</v>
      </c>
      <c r="Z26" s="62">
        <v>0</v>
      </c>
      <c r="AA26" s="62">
        <v>0</v>
      </c>
      <c r="AB26" s="62">
        <v>0</v>
      </c>
      <c r="AC26" s="63">
        <f>1+(2/3)</f>
        <v>1.6666666666666665</v>
      </c>
      <c r="AD26" s="62">
        <v>3</v>
      </c>
      <c r="AE26" s="62">
        <v>2</v>
      </c>
      <c r="AF26" s="62">
        <v>1</v>
      </c>
      <c r="AG26" s="62">
        <v>0</v>
      </c>
      <c r="AH26" s="62">
        <v>1</v>
      </c>
      <c r="AI26" s="62">
        <v>0</v>
      </c>
      <c r="AJ26" s="62">
        <v>1</v>
      </c>
      <c r="AK26" s="62">
        <v>9</v>
      </c>
      <c r="AL26" s="62">
        <v>36</v>
      </c>
      <c r="AM26" s="62">
        <v>25</v>
      </c>
      <c r="AN26" s="1" t="s">
        <v>384</v>
      </c>
      <c r="AO26" s="65">
        <v>4</v>
      </c>
      <c r="AP26" s="65">
        <v>0</v>
      </c>
      <c r="AQ26" s="65">
        <v>0</v>
      </c>
      <c r="AR26" s="65">
        <v>0</v>
      </c>
      <c r="AS26" s="65">
        <v>0</v>
      </c>
      <c r="AT26" s="65">
        <v>1</v>
      </c>
      <c r="AU26" s="65">
        <v>0</v>
      </c>
      <c r="AV26" s="65">
        <v>0</v>
      </c>
      <c r="AW26" s="66">
        <v>0</v>
      </c>
      <c r="AX26" s="1" t="s">
        <v>391</v>
      </c>
      <c r="AY26" s="65">
        <v>4</v>
      </c>
      <c r="AZ26" s="65">
        <v>1</v>
      </c>
      <c r="BA26" s="65">
        <v>1</v>
      </c>
      <c r="BB26" s="65">
        <v>0</v>
      </c>
      <c r="BC26" s="65">
        <v>0</v>
      </c>
      <c r="BD26" s="65">
        <v>1</v>
      </c>
      <c r="BE26" s="65">
        <v>0</v>
      </c>
      <c r="BF26" s="65">
        <v>0</v>
      </c>
      <c r="BG26" s="66">
        <v>1</v>
      </c>
      <c r="BH26" s="1" t="s">
        <v>389</v>
      </c>
      <c r="BI26" s="65">
        <v>3</v>
      </c>
      <c r="BJ26" s="65">
        <v>0</v>
      </c>
      <c r="BK26" s="65">
        <v>0</v>
      </c>
      <c r="BL26" s="65">
        <v>0</v>
      </c>
      <c r="BM26" s="65">
        <v>1</v>
      </c>
      <c r="BN26" s="65">
        <v>0</v>
      </c>
      <c r="BO26" s="65">
        <v>0</v>
      </c>
      <c r="BP26" s="65">
        <v>0</v>
      </c>
      <c r="BQ26" s="66">
        <v>0</v>
      </c>
      <c r="BR26" s="1" t="s">
        <v>390</v>
      </c>
      <c r="BS26" s="65">
        <v>3</v>
      </c>
      <c r="BT26" s="65">
        <v>1</v>
      </c>
      <c r="BU26" s="65">
        <v>2</v>
      </c>
      <c r="BV26" s="65">
        <v>2</v>
      </c>
      <c r="BW26" s="65">
        <v>0</v>
      </c>
      <c r="BX26" s="65">
        <v>0</v>
      </c>
      <c r="BY26" s="65">
        <v>0</v>
      </c>
      <c r="BZ26" s="65">
        <v>1</v>
      </c>
      <c r="CA26" s="66">
        <v>5</v>
      </c>
      <c r="CB26" s="1" t="s">
        <v>274</v>
      </c>
      <c r="CC26" s="65">
        <v>2</v>
      </c>
      <c r="CD26" s="65">
        <v>0</v>
      </c>
      <c r="CE26" s="65">
        <v>0</v>
      </c>
      <c r="CF26" s="65">
        <v>0</v>
      </c>
      <c r="CG26" s="65">
        <v>2</v>
      </c>
      <c r="CH26" s="65">
        <v>1</v>
      </c>
      <c r="CI26" s="65">
        <v>0</v>
      </c>
      <c r="CJ26" s="65">
        <v>0</v>
      </c>
      <c r="CK26" s="66">
        <v>0</v>
      </c>
      <c r="CL26" s="1" t="s">
        <v>273</v>
      </c>
      <c r="CM26" s="65">
        <v>4</v>
      </c>
      <c r="CN26" s="65">
        <v>0</v>
      </c>
      <c r="CO26" s="65">
        <v>0</v>
      </c>
      <c r="CP26" s="65">
        <v>0</v>
      </c>
      <c r="CQ26" s="65">
        <v>0</v>
      </c>
      <c r="CR26" s="65">
        <v>0</v>
      </c>
      <c r="CS26" s="65">
        <v>0</v>
      </c>
      <c r="CT26" s="65">
        <v>0</v>
      </c>
      <c r="CU26" s="66">
        <v>0</v>
      </c>
      <c r="CV26" s="1" t="s">
        <v>408</v>
      </c>
      <c r="CW26" s="65">
        <v>2</v>
      </c>
      <c r="CX26" s="65">
        <v>0</v>
      </c>
      <c r="CY26" s="65">
        <v>1</v>
      </c>
      <c r="CZ26" s="65">
        <v>0</v>
      </c>
      <c r="DA26" s="65">
        <v>1</v>
      </c>
      <c r="DB26" s="65">
        <v>1</v>
      </c>
      <c r="DC26" s="65">
        <v>0</v>
      </c>
      <c r="DD26" s="65">
        <v>0</v>
      </c>
      <c r="DE26" s="66">
        <v>0</v>
      </c>
      <c r="DF26" s="1" t="s">
        <v>275</v>
      </c>
      <c r="DG26" s="65">
        <v>3</v>
      </c>
      <c r="DH26" s="65">
        <v>0</v>
      </c>
      <c r="DI26" s="65">
        <v>0</v>
      </c>
      <c r="DJ26" s="65">
        <v>0</v>
      </c>
      <c r="DK26" s="65">
        <v>0</v>
      </c>
      <c r="DL26" s="65">
        <v>0</v>
      </c>
      <c r="DM26" s="65">
        <v>0</v>
      </c>
      <c r="DN26" s="65">
        <v>0</v>
      </c>
      <c r="DO26" s="66">
        <v>0</v>
      </c>
      <c r="DP26" s="1" t="s">
        <v>271</v>
      </c>
      <c r="DQ26" s="65">
        <v>3</v>
      </c>
      <c r="DR26" s="65">
        <v>0</v>
      </c>
      <c r="DS26" s="65">
        <v>0</v>
      </c>
      <c r="DT26" s="65">
        <v>0</v>
      </c>
      <c r="DU26" s="65">
        <v>0</v>
      </c>
      <c r="DV26" s="65">
        <v>0</v>
      </c>
      <c r="DW26" s="65">
        <v>0</v>
      </c>
      <c r="DX26" s="65">
        <v>0</v>
      </c>
      <c r="DY26" s="66">
        <v>0</v>
      </c>
      <c r="DZ26" s="67">
        <v>0</v>
      </c>
      <c r="EA26" s="68">
        <v>0</v>
      </c>
      <c r="EB26" s="68">
        <v>0</v>
      </c>
      <c r="EC26" s="69">
        <v>9</v>
      </c>
      <c r="ED26" s="68">
        <v>0</v>
      </c>
      <c r="EE26" s="70">
        <v>1</v>
      </c>
      <c r="EF26" s="71">
        <v>0</v>
      </c>
      <c r="EG26" s="72">
        <v>1</v>
      </c>
      <c r="EH26" s="72">
        <v>0</v>
      </c>
      <c r="EI26" s="72">
        <v>0</v>
      </c>
      <c r="EJ26" s="72">
        <v>0</v>
      </c>
      <c r="EK26" s="72">
        <v>0</v>
      </c>
      <c r="EL26" s="72">
        <v>0</v>
      </c>
      <c r="EM26" s="72">
        <v>0</v>
      </c>
      <c r="EN26" s="72">
        <v>1</v>
      </c>
      <c r="EO26" s="72"/>
      <c r="EP26" s="72"/>
      <c r="EQ26" s="72"/>
      <c r="ER26" s="72"/>
      <c r="ES26" s="44">
        <f t="shared" si="0"/>
        <v>2</v>
      </c>
      <c r="ET26" s="43">
        <v>0</v>
      </c>
      <c r="EU26" s="43">
        <v>0</v>
      </c>
      <c r="EV26" s="43">
        <v>0</v>
      </c>
      <c r="EW26" s="43">
        <v>0</v>
      </c>
      <c r="EX26" s="43">
        <v>0</v>
      </c>
      <c r="EY26" s="43">
        <v>0</v>
      </c>
      <c r="EZ26" s="43">
        <v>1</v>
      </c>
      <c r="FA26" s="43">
        <v>0</v>
      </c>
      <c r="FB26" s="43">
        <v>2</v>
      </c>
      <c r="FC26" s="43"/>
      <c r="FD26" s="43"/>
      <c r="FE26" s="43"/>
      <c r="FF26" s="43"/>
      <c r="FG26" s="43">
        <f t="shared" si="1"/>
        <v>3</v>
      </c>
      <c r="FH26" s="73">
        <v>28</v>
      </c>
      <c r="FI26" s="73">
        <v>2</v>
      </c>
      <c r="FJ26" s="73">
        <v>4</v>
      </c>
      <c r="FK26" s="73">
        <v>2</v>
      </c>
      <c r="FL26" s="73">
        <v>4</v>
      </c>
      <c r="FM26" s="73">
        <v>4</v>
      </c>
      <c r="FN26" s="73">
        <f t="shared" si="2"/>
        <v>0</v>
      </c>
      <c r="FO26" s="73">
        <f t="shared" si="3"/>
        <v>0</v>
      </c>
      <c r="FP26" s="73">
        <f t="shared" si="4"/>
        <v>0</v>
      </c>
      <c r="FQ26" s="73">
        <f t="shared" si="5"/>
        <v>0</v>
      </c>
      <c r="FR26" s="73">
        <f t="shared" si="6"/>
        <v>0</v>
      </c>
      <c r="FS26" s="73">
        <f t="shared" si="7"/>
        <v>0</v>
      </c>
      <c r="FT26" s="73">
        <f t="shared" si="8"/>
        <v>0</v>
      </c>
      <c r="FU26" s="73">
        <f t="shared" si="9"/>
        <v>0</v>
      </c>
      <c r="FV26" s="73">
        <f t="shared" si="10"/>
        <v>0</v>
      </c>
      <c r="FW26" s="73">
        <f t="shared" si="11"/>
        <v>1</v>
      </c>
      <c r="FX26" s="73">
        <f t="shared" si="12"/>
        <v>0</v>
      </c>
      <c r="FY26" s="73">
        <f t="shared" si="13"/>
        <v>0</v>
      </c>
      <c r="FZ26" s="73">
        <f t="shared" si="14"/>
        <v>0</v>
      </c>
      <c r="GA26" s="73">
        <f t="shared" si="15"/>
        <v>0</v>
      </c>
      <c r="GB26" s="73">
        <f t="shared" si="16"/>
        <v>-1</v>
      </c>
      <c r="GC26" s="73">
        <f t="shared" si="17"/>
        <v>0</v>
      </c>
      <c r="GD26" s="73">
        <f t="shared" si="18"/>
        <v>-1</v>
      </c>
      <c r="GE26" s="73">
        <f t="shared" si="19"/>
        <v>0</v>
      </c>
      <c r="GF26" s="73">
        <f t="shared" si="20"/>
        <v>0</v>
      </c>
      <c r="GG26" s="73">
        <f t="shared" si="21"/>
        <v>0</v>
      </c>
      <c r="GH26" s="73">
        <f t="shared" si="22"/>
        <v>0</v>
      </c>
      <c r="GI26" s="73">
        <f t="shared" si="23"/>
        <v>-1</v>
      </c>
      <c r="GJ26" s="38"/>
      <c r="GK26" s="367" t="s">
        <v>691</v>
      </c>
      <c r="GL26" s="376" t="s">
        <v>691</v>
      </c>
      <c r="GM26" s="376" t="s">
        <v>692</v>
      </c>
      <c r="GP26" s="52"/>
    </row>
    <row r="27" spans="1:198" x14ac:dyDescent="0.25">
      <c r="A27" s="53">
        <v>40299</v>
      </c>
      <c r="B27" s="53" t="s">
        <v>19</v>
      </c>
      <c r="C27" s="53" t="s">
        <v>131</v>
      </c>
      <c r="D27" s="53" t="s">
        <v>138</v>
      </c>
      <c r="E27" s="54">
        <v>34813</v>
      </c>
      <c r="F27" s="62">
        <v>216</v>
      </c>
      <c r="G27" s="58">
        <v>4</v>
      </c>
      <c r="H27" s="59" t="s">
        <v>394</v>
      </c>
      <c r="I27" s="6">
        <v>0</v>
      </c>
      <c r="J27" s="6">
        <v>0</v>
      </c>
      <c r="K27" s="60">
        <v>6</v>
      </c>
      <c r="L27" s="6">
        <v>4</v>
      </c>
      <c r="M27" s="6">
        <v>2</v>
      </c>
      <c r="N27" s="6">
        <v>2</v>
      </c>
      <c r="O27" s="6">
        <v>1</v>
      </c>
      <c r="P27" s="6">
        <v>1</v>
      </c>
      <c r="Q27" s="6">
        <v>0</v>
      </c>
      <c r="R27" s="6">
        <v>0</v>
      </c>
      <c r="S27" s="6">
        <v>23</v>
      </c>
      <c r="T27" s="6">
        <v>107</v>
      </c>
      <c r="U27" s="6">
        <v>72</v>
      </c>
      <c r="V27" s="6">
        <v>0</v>
      </c>
      <c r="W27" s="61">
        <v>0</v>
      </c>
      <c r="X27" s="62">
        <v>0</v>
      </c>
      <c r="Y27" s="62">
        <v>1</v>
      </c>
      <c r="Z27" s="62">
        <v>0</v>
      </c>
      <c r="AA27" s="62">
        <v>0</v>
      </c>
      <c r="AB27" s="62">
        <v>0</v>
      </c>
      <c r="AC27" s="63">
        <v>5</v>
      </c>
      <c r="AD27" s="62">
        <v>3</v>
      </c>
      <c r="AE27" s="62">
        <v>2</v>
      </c>
      <c r="AF27" s="62">
        <v>2</v>
      </c>
      <c r="AG27" s="62">
        <v>3</v>
      </c>
      <c r="AH27" s="62">
        <v>5</v>
      </c>
      <c r="AI27" s="62">
        <v>0</v>
      </c>
      <c r="AJ27" s="62">
        <v>0</v>
      </c>
      <c r="AK27" s="62">
        <v>20</v>
      </c>
      <c r="AL27" s="62">
        <v>78</v>
      </c>
      <c r="AM27" s="62">
        <v>46</v>
      </c>
      <c r="AN27" s="1" t="s">
        <v>384</v>
      </c>
      <c r="AO27" s="65">
        <v>5</v>
      </c>
      <c r="AP27" s="65">
        <v>0</v>
      </c>
      <c r="AQ27" s="65">
        <v>1</v>
      </c>
      <c r="AR27" s="65">
        <v>0</v>
      </c>
      <c r="AS27" s="65">
        <v>0</v>
      </c>
      <c r="AT27" s="65">
        <v>0</v>
      </c>
      <c r="AU27" s="65">
        <v>0</v>
      </c>
      <c r="AV27" s="65">
        <v>0</v>
      </c>
      <c r="AW27" s="66">
        <v>1</v>
      </c>
      <c r="AX27" s="1" t="s">
        <v>391</v>
      </c>
      <c r="AY27" s="65">
        <v>3</v>
      </c>
      <c r="AZ27" s="65">
        <v>1</v>
      </c>
      <c r="BA27" s="65">
        <v>0</v>
      </c>
      <c r="BB27" s="65">
        <v>0</v>
      </c>
      <c r="BC27" s="65">
        <v>2</v>
      </c>
      <c r="BD27" s="65">
        <v>2</v>
      </c>
      <c r="BE27" s="65">
        <v>0</v>
      </c>
      <c r="BF27" s="65">
        <v>0</v>
      </c>
      <c r="BG27" s="66">
        <v>0</v>
      </c>
      <c r="BH27" s="1" t="s">
        <v>389</v>
      </c>
      <c r="BI27" s="65">
        <v>4</v>
      </c>
      <c r="BJ27" s="65">
        <v>0</v>
      </c>
      <c r="BK27" s="65">
        <v>3</v>
      </c>
      <c r="BL27" s="65">
        <v>0</v>
      </c>
      <c r="BM27" s="65">
        <v>1</v>
      </c>
      <c r="BN27" s="65">
        <v>0</v>
      </c>
      <c r="BO27" s="65">
        <v>0</v>
      </c>
      <c r="BP27" s="65">
        <v>0</v>
      </c>
      <c r="BQ27" s="66">
        <v>3</v>
      </c>
      <c r="BR27" s="1" t="s">
        <v>390</v>
      </c>
      <c r="BS27" s="65">
        <v>4</v>
      </c>
      <c r="BT27" s="65">
        <v>0</v>
      </c>
      <c r="BU27" s="65">
        <v>1</v>
      </c>
      <c r="BV27" s="65">
        <v>0</v>
      </c>
      <c r="BW27" s="65">
        <v>1</v>
      </c>
      <c r="BX27" s="65">
        <v>1</v>
      </c>
      <c r="BY27" s="65">
        <v>0</v>
      </c>
      <c r="BZ27" s="65">
        <v>0</v>
      </c>
      <c r="CA27" s="66">
        <v>1</v>
      </c>
      <c r="CB27" s="1" t="s">
        <v>274</v>
      </c>
      <c r="CC27" s="65">
        <v>5</v>
      </c>
      <c r="CD27" s="65">
        <v>0</v>
      </c>
      <c r="CE27" s="65">
        <v>0</v>
      </c>
      <c r="CF27" s="65">
        <v>0</v>
      </c>
      <c r="CG27" s="65">
        <v>0</v>
      </c>
      <c r="CH27" s="65">
        <v>3</v>
      </c>
      <c r="CI27" s="65">
        <v>0</v>
      </c>
      <c r="CJ27" s="65">
        <v>0</v>
      </c>
      <c r="CK27" s="66">
        <v>0</v>
      </c>
      <c r="CL27" s="1" t="s">
        <v>273</v>
      </c>
      <c r="CM27" s="65">
        <v>4</v>
      </c>
      <c r="CN27" s="65">
        <v>1</v>
      </c>
      <c r="CO27" s="65">
        <v>0</v>
      </c>
      <c r="CP27" s="65">
        <v>0</v>
      </c>
      <c r="CQ27" s="65">
        <v>1</v>
      </c>
      <c r="CR27" s="65">
        <v>3</v>
      </c>
      <c r="CS27" s="65">
        <v>0</v>
      </c>
      <c r="CT27" s="65">
        <v>0</v>
      </c>
      <c r="CU27" s="66">
        <v>0</v>
      </c>
      <c r="CV27" s="1" t="s">
        <v>408</v>
      </c>
      <c r="CW27" s="65">
        <v>4</v>
      </c>
      <c r="CX27" s="65">
        <v>0</v>
      </c>
      <c r="CY27" s="65">
        <v>0</v>
      </c>
      <c r="CZ27" s="65">
        <v>0</v>
      </c>
      <c r="DA27" s="65">
        <v>1</v>
      </c>
      <c r="DB27" s="65">
        <v>2</v>
      </c>
      <c r="DC27" s="65">
        <v>0</v>
      </c>
      <c r="DD27" s="65">
        <v>0</v>
      </c>
      <c r="DE27" s="66">
        <v>0</v>
      </c>
      <c r="DF27" s="1" t="s">
        <v>385</v>
      </c>
      <c r="DG27" s="65">
        <v>4</v>
      </c>
      <c r="DH27" s="65">
        <v>0</v>
      </c>
      <c r="DI27" s="65">
        <v>1</v>
      </c>
      <c r="DJ27" s="65">
        <v>1</v>
      </c>
      <c r="DK27" s="65">
        <v>0</v>
      </c>
      <c r="DL27" s="65">
        <v>0</v>
      </c>
      <c r="DM27" s="65">
        <v>0</v>
      </c>
      <c r="DN27" s="65">
        <v>0</v>
      </c>
      <c r="DO27" s="66">
        <v>1</v>
      </c>
      <c r="DP27" s="1" t="s">
        <v>406</v>
      </c>
      <c r="DQ27" s="65">
        <v>4</v>
      </c>
      <c r="DR27" s="65">
        <v>0</v>
      </c>
      <c r="DS27" s="65">
        <v>1</v>
      </c>
      <c r="DT27" s="65">
        <v>0</v>
      </c>
      <c r="DU27" s="65">
        <v>0</v>
      </c>
      <c r="DV27" s="65">
        <v>1</v>
      </c>
      <c r="DW27" s="65">
        <v>0</v>
      </c>
      <c r="DX27" s="65">
        <v>0</v>
      </c>
      <c r="DY27" s="66">
        <v>2</v>
      </c>
      <c r="DZ27" s="67">
        <v>0</v>
      </c>
      <c r="EA27" s="68">
        <v>0</v>
      </c>
      <c r="EB27" s="68">
        <v>0</v>
      </c>
      <c r="EC27" s="69">
        <v>11</v>
      </c>
      <c r="ED27" s="68">
        <v>2</v>
      </c>
      <c r="EE27" s="70">
        <v>1</v>
      </c>
      <c r="EF27" s="71">
        <v>0</v>
      </c>
      <c r="EG27" s="72">
        <v>1</v>
      </c>
      <c r="EH27" s="72">
        <v>1</v>
      </c>
      <c r="EI27" s="72">
        <v>0</v>
      </c>
      <c r="EJ27" s="72">
        <v>0</v>
      </c>
      <c r="EK27" s="72">
        <v>0</v>
      </c>
      <c r="EL27" s="72">
        <v>0</v>
      </c>
      <c r="EM27" s="72">
        <v>0</v>
      </c>
      <c r="EN27" s="72">
        <v>0</v>
      </c>
      <c r="EO27" s="72">
        <v>0</v>
      </c>
      <c r="EP27" s="72">
        <v>0</v>
      </c>
      <c r="EQ27" s="72"/>
      <c r="ER27" s="72"/>
      <c r="ES27" s="44">
        <f t="shared" si="0"/>
        <v>2</v>
      </c>
      <c r="ET27" s="43">
        <v>0</v>
      </c>
      <c r="EU27" s="43">
        <v>2</v>
      </c>
      <c r="EV27" s="43">
        <v>0</v>
      </c>
      <c r="EW27" s="43">
        <v>0</v>
      </c>
      <c r="EX27" s="43">
        <v>0</v>
      </c>
      <c r="EY27" s="43">
        <v>0</v>
      </c>
      <c r="EZ27" s="43">
        <v>0</v>
      </c>
      <c r="FA27" s="43">
        <v>0</v>
      </c>
      <c r="FB27" s="43">
        <v>0</v>
      </c>
      <c r="FC27" s="43">
        <v>0</v>
      </c>
      <c r="FD27" s="43">
        <v>2</v>
      </c>
      <c r="FE27" s="43"/>
      <c r="FF27" s="43"/>
      <c r="FG27" s="43">
        <f t="shared" si="1"/>
        <v>4</v>
      </c>
      <c r="FH27" s="73">
        <v>37</v>
      </c>
      <c r="FI27" s="73">
        <v>2</v>
      </c>
      <c r="FJ27" s="73">
        <v>7</v>
      </c>
      <c r="FK27" s="73">
        <v>1</v>
      </c>
      <c r="FL27" s="73">
        <v>6</v>
      </c>
      <c r="FM27" s="73">
        <v>12</v>
      </c>
      <c r="FN27" s="73">
        <f t="shared" si="2"/>
        <v>0</v>
      </c>
      <c r="FO27" s="73">
        <f t="shared" si="3"/>
        <v>0</v>
      </c>
      <c r="FP27" s="73">
        <f t="shared" si="4"/>
        <v>0</v>
      </c>
      <c r="FQ27" s="73">
        <f t="shared" si="5"/>
        <v>0</v>
      </c>
      <c r="FR27" s="73">
        <f t="shared" si="6"/>
        <v>0</v>
      </c>
      <c r="FS27" s="73">
        <f t="shared" si="7"/>
        <v>0</v>
      </c>
      <c r="FT27" s="73">
        <f t="shared" si="8"/>
        <v>0</v>
      </c>
      <c r="FU27" s="73">
        <f t="shared" si="9"/>
        <v>0</v>
      </c>
      <c r="FV27" s="73">
        <f t="shared" si="10"/>
        <v>0</v>
      </c>
      <c r="FW27" s="73">
        <f t="shared" si="11"/>
        <v>-1</v>
      </c>
      <c r="FX27" s="73">
        <f t="shared" si="12"/>
        <v>1</v>
      </c>
      <c r="FY27" s="73">
        <f t="shared" si="13"/>
        <v>0</v>
      </c>
      <c r="FZ27" s="73">
        <f t="shared" si="14"/>
        <v>0</v>
      </c>
      <c r="GA27" s="73">
        <f t="shared" si="15"/>
        <v>0</v>
      </c>
      <c r="GB27" s="73">
        <f t="shared" si="16"/>
        <v>0</v>
      </c>
      <c r="GC27" s="73">
        <f t="shared" si="17"/>
        <v>0</v>
      </c>
      <c r="GD27" s="73">
        <f t="shared" si="18"/>
        <v>0</v>
      </c>
      <c r="GE27" s="73">
        <f t="shared" si="19"/>
        <v>0</v>
      </c>
      <c r="GF27" s="73">
        <f t="shared" si="20"/>
        <v>-2</v>
      </c>
      <c r="GG27" s="73">
        <f t="shared" si="21"/>
        <v>0</v>
      </c>
      <c r="GH27" s="73">
        <f t="shared" si="22"/>
        <v>0</v>
      </c>
      <c r="GI27" s="73">
        <f t="shared" si="23"/>
        <v>-2</v>
      </c>
      <c r="GJ27" s="38"/>
      <c r="GK27" s="367" t="s">
        <v>691</v>
      </c>
      <c r="GL27" s="376" t="s">
        <v>691</v>
      </c>
      <c r="GM27" s="376" t="s">
        <v>692</v>
      </c>
      <c r="GP27" s="52"/>
    </row>
    <row r="28" spans="1:198" x14ac:dyDescent="0.25">
      <c r="A28" s="53">
        <v>40300</v>
      </c>
      <c r="B28" s="53" t="s">
        <v>19</v>
      </c>
      <c r="C28" s="53" t="s">
        <v>129</v>
      </c>
      <c r="D28" s="53" t="s">
        <v>138</v>
      </c>
      <c r="E28" s="54">
        <v>19757</v>
      </c>
      <c r="F28" s="62">
        <v>135</v>
      </c>
      <c r="G28" s="58">
        <v>5</v>
      </c>
      <c r="H28" s="89" t="s">
        <v>393</v>
      </c>
      <c r="I28" s="6">
        <v>1</v>
      </c>
      <c r="J28" s="6">
        <v>0</v>
      </c>
      <c r="K28" s="60">
        <v>7</v>
      </c>
      <c r="L28" s="6">
        <v>3</v>
      </c>
      <c r="M28" s="6">
        <v>0</v>
      </c>
      <c r="N28" s="6">
        <v>0</v>
      </c>
      <c r="O28" s="6">
        <v>3</v>
      </c>
      <c r="P28" s="6">
        <v>5</v>
      </c>
      <c r="Q28" s="6">
        <v>0</v>
      </c>
      <c r="R28" s="6">
        <v>0</v>
      </c>
      <c r="S28" s="6">
        <v>27</v>
      </c>
      <c r="T28" s="6">
        <v>102</v>
      </c>
      <c r="U28" s="6">
        <v>67</v>
      </c>
      <c r="V28" s="6">
        <v>0</v>
      </c>
      <c r="W28" s="61">
        <v>0</v>
      </c>
      <c r="X28" s="62">
        <v>0</v>
      </c>
      <c r="Y28" s="62">
        <v>0</v>
      </c>
      <c r="Z28" s="62">
        <v>2</v>
      </c>
      <c r="AA28" s="62">
        <v>1</v>
      </c>
      <c r="AB28" s="62">
        <v>0</v>
      </c>
      <c r="AC28" s="63">
        <v>2</v>
      </c>
      <c r="AD28" s="62">
        <v>0</v>
      </c>
      <c r="AE28" s="62">
        <v>0</v>
      </c>
      <c r="AF28" s="62">
        <v>0</v>
      </c>
      <c r="AG28" s="62">
        <v>1</v>
      </c>
      <c r="AH28" s="62">
        <v>2</v>
      </c>
      <c r="AI28" s="62">
        <v>0</v>
      </c>
      <c r="AJ28" s="62">
        <v>0</v>
      </c>
      <c r="AK28" s="62">
        <v>6</v>
      </c>
      <c r="AL28" s="62">
        <v>28</v>
      </c>
      <c r="AM28" s="62">
        <v>19</v>
      </c>
      <c r="AN28" s="1" t="s">
        <v>384</v>
      </c>
      <c r="AO28" s="65">
        <v>4</v>
      </c>
      <c r="AP28" s="65">
        <v>0</v>
      </c>
      <c r="AQ28" s="65">
        <v>0</v>
      </c>
      <c r="AR28" s="65">
        <v>0</v>
      </c>
      <c r="AS28" s="65">
        <v>0</v>
      </c>
      <c r="AT28" s="65">
        <v>0</v>
      </c>
      <c r="AU28" s="65">
        <v>0</v>
      </c>
      <c r="AV28" s="65">
        <v>0</v>
      </c>
      <c r="AW28" s="66">
        <v>0</v>
      </c>
      <c r="AX28" s="1" t="s">
        <v>389</v>
      </c>
      <c r="AY28" s="65">
        <v>4</v>
      </c>
      <c r="AZ28" s="65">
        <v>0</v>
      </c>
      <c r="BA28" s="65">
        <v>0</v>
      </c>
      <c r="BB28" s="65">
        <v>0</v>
      </c>
      <c r="BC28" s="65">
        <v>0</v>
      </c>
      <c r="BD28" s="65">
        <v>2</v>
      </c>
      <c r="BE28" s="65">
        <v>0</v>
      </c>
      <c r="BF28" s="65">
        <v>0</v>
      </c>
      <c r="BG28" s="66">
        <v>0</v>
      </c>
      <c r="BH28" s="1" t="s">
        <v>390</v>
      </c>
      <c r="BI28" s="65">
        <v>3</v>
      </c>
      <c r="BJ28" s="65">
        <v>1</v>
      </c>
      <c r="BK28" s="65">
        <v>2</v>
      </c>
      <c r="BL28" s="65">
        <v>1</v>
      </c>
      <c r="BM28" s="65">
        <v>0</v>
      </c>
      <c r="BN28" s="65">
        <v>0</v>
      </c>
      <c r="BO28" s="65">
        <v>0</v>
      </c>
      <c r="BP28" s="65">
        <v>0</v>
      </c>
      <c r="BQ28" s="66">
        <v>5</v>
      </c>
      <c r="BR28" s="1" t="s">
        <v>274</v>
      </c>
      <c r="BS28" s="65">
        <v>3</v>
      </c>
      <c r="BT28" s="65">
        <v>0</v>
      </c>
      <c r="BU28" s="65">
        <v>0</v>
      </c>
      <c r="BV28" s="65">
        <v>0</v>
      </c>
      <c r="BW28" s="65">
        <v>0</v>
      </c>
      <c r="BX28" s="65">
        <v>2</v>
      </c>
      <c r="BY28" s="65">
        <v>0</v>
      </c>
      <c r="BZ28" s="65">
        <v>0</v>
      </c>
      <c r="CA28" s="66">
        <v>0</v>
      </c>
      <c r="CB28" s="1" t="s">
        <v>272</v>
      </c>
      <c r="CC28" s="65">
        <v>3</v>
      </c>
      <c r="CD28" s="65">
        <v>0</v>
      </c>
      <c r="CE28" s="65">
        <v>0</v>
      </c>
      <c r="CF28" s="65">
        <v>0</v>
      </c>
      <c r="CG28" s="65">
        <v>0</v>
      </c>
      <c r="CH28" s="65">
        <v>1</v>
      </c>
      <c r="CI28" s="65">
        <v>0</v>
      </c>
      <c r="CJ28" s="65">
        <v>0</v>
      </c>
      <c r="CK28" s="66">
        <v>0</v>
      </c>
      <c r="CL28" s="1" t="s">
        <v>273</v>
      </c>
      <c r="CM28" s="65">
        <v>3</v>
      </c>
      <c r="CN28" s="65">
        <v>0</v>
      </c>
      <c r="CO28" s="65">
        <v>0</v>
      </c>
      <c r="CP28" s="65">
        <v>0</v>
      </c>
      <c r="CQ28" s="65">
        <v>0</v>
      </c>
      <c r="CR28" s="65">
        <v>1</v>
      </c>
      <c r="CS28" s="65">
        <v>0</v>
      </c>
      <c r="CT28" s="65">
        <v>0</v>
      </c>
      <c r="CU28" s="66">
        <v>0</v>
      </c>
      <c r="CV28" s="1" t="s">
        <v>275</v>
      </c>
      <c r="CW28" s="65">
        <v>3</v>
      </c>
      <c r="CX28" s="65">
        <v>0</v>
      </c>
      <c r="CY28" s="65">
        <v>0</v>
      </c>
      <c r="CZ28" s="65">
        <v>0</v>
      </c>
      <c r="DA28" s="65">
        <v>0</v>
      </c>
      <c r="DB28" s="65">
        <v>0</v>
      </c>
      <c r="DC28" s="65">
        <v>0</v>
      </c>
      <c r="DD28" s="65">
        <v>0</v>
      </c>
      <c r="DE28" s="66">
        <v>0</v>
      </c>
      <c r="DF28" s="1" t="s">
        <v>385</v>
      </c>
      <c r="DG28" s="65">
        <v>2</v>
      </c>
      <c r="DH28" s="65">
        <v>0</v>
      </c>
      <c r="DI28" s="65">
        <v>0</v>
      </c>
      <c r="DJ28" s="65">
        <v>0</v>
      </c>
      <c r="DK28" s="65">
        <v>0</v>
      </c>
      <c r="DL28" s="65">
        <v>0</v>
      </c>
      <c r="DM28" s="65">
        <v>1</v>
      </c>
      <c r="DN28" s="65">
        <v>0</v>
      </c>
      <c r="DO28" s="66">
        <v>0</v>
      </c>
      <c r="DP28" s="1" t="s">
        <v>271</v>
      </c>
      <c r="DQ28" s="65">
        <v>3</v>
      </c>
      <c r="DR28" s="65">
        <v>0</v>
      </c>
      <c r="DS28" s="65">
        <v>2</v>
      </c>
      <c r="DT28" s="65">
        <v>0</v>
      </c>
      <c r="DU28" s="65">
        <v>0</v>
      </c>
      <c r="DV28" s="65">
        <v>0</v>
      </c>
      <c r="DW28" s="65">
        <v>0</v>
      </c>
      <c r="DX28" s="65">
        <v>0</v>
      </c>
      <c r="DY28" s="66">
        <v>2</v>
      </c>
      <c r="DZ28" s="67">
        <v>0</v>
      </c>
      <c r="EA28" s="68">
        <v>0</v>
      </c>
      <c r="EB28" s="68">
        <v>0</v>
      </c>
      <c r="EC28" s="69">
        <v>8</v>
      </c>
      <c r="ED28" s="68">
        <v>0</v>
      </c>
      <c r="EE28" s="70">
        <v>0</v>
      </c>
      <c r="EF28" s="71">
        <v>0</v>
      </c>
      <c r="EG28" s="72">
        <v>0</v>
      </c>
      <c r="EH28" s="72">
        <v>0</v>
      </c>
      <c r="EI28" s="72">
        <v>1</v>
      </c>
      <c r="EJ28" s="72">
        <v>0</v>
      </c>
      <c r="EK28" s="72">
        <v>0</v>
      </c>
      <c r="EL28" s="72">
        <v>0</v>
      </c>
      <c r="EM28" s="72">
        <v>0</v>
      </c>
      <c r="EN28" s="72"/>
      <c r="EO28" s="72"/>
      <c r="EP28" s="72"/>
      <c r="EQ28" s="72"/>
      <c r="ER28" s="72"/>
      <c r="ES28" s="44">
        <f t="shared" si="0"/>
        <v>1</v>
      </c>
      <c r="ET28" s="43">
        <v>0</v>
      </c>
      <c r="EU28" s="43">
        <v>0</v>
      </c>
      <c r="EV28" s="43">
        <v>0</v>
      </c>
      <c r="EW28" s="43">
        <v>0</v>
      </c>
      <c r="EX28" s="43">
        <v>0</v>
      </c>
      <c r="EY28" s="43">
        <v>0</v>
      </c>
      <c r="EZ28" s="43">
        <v>0</v>
      </c>
      <c r="FA28" s="43">
        <v>0</v>
      </c>
      <c r="FB28" s="43">
        <v>0</v>
      </c>
      <c r="FC28" s="43"/>
      <c r="FD28" s="43"/>
      <c r="FE28" s="43"/>
      <c r="FF28" s="43"/>
      <c r="FG28" s="43">
        <f t="shared" si="1"/>
        <v>0</v>
      </c>
      <c r="FH28" s="73">
        <v>28</v>
      </c>
      <c r="FI28" s="73">
        <v>1</v>
      </c>
      <c r="FJ28" s="73">
        <v>4</v>
      </c>
      <c r="FK28" s="73">
        <v>1</v>
      </c>
      <c r="FL28" s="73">
        <v>0</v>
      </c>
      <c r="FM28" s="73">
        <v>6</v>
      </c>
      <c r="FN28" s="73">
        <f t="shared" si="2"/>
        <v>0</v>
      </c>
      <c r="FO28" s="73">
        <f t="shared" si="3"/>
        <v>0</v>
      </c>
      <c r="FP28" s="73">
        <f t="shared" si="4"/>
        <v>0</v>
      </c>
      <c r="FQ28" s="73">
        <f t="shared" si="5"/>
        <v>0</v>
      </c>
      <c r="FR28" s="73">
        <f t="shared" si="6"/>
        <v>0</v>
      </c>
      <c r="FS28" s="73">
        <f t="shared" si="7"/>
        <v>0</v>
      </c>
      <c r="FT28" s="73">
        <f t="shared" si="8"/>
        <v>0</v>
      </c>
      <c r="FU28" s="73">
        <f t="shared" si="9"/>
        <v>0</v>
      </c>
      <c r="FV28" s="73">
        <f t="shared" si="10"/>
        <v>0</v>
      </c>
      <c r="FW28" s="73">
        <f t="shared" si="11"/>
        <v>0</v>
      </c>
      <c r="FX28" s="73">
        <f t="shared" si="12"/>
        <v>0</v>
      </c>
      <c r="FY28" s="73">
        <f t="shared" si="13"/>
        <v>1</v>
      </c>
      <c r="FZ28" s="73">
        <f t="shared" si="14"/>
        <v>0</v>
      </c>
      <c r="GA28" s="73">
        <f t="shared" si="15"/>
        <v>0</v>
      </c>
      <c r="GB28" s="73">
        <f t="shared" si="16"/>
        <v>0</v>
      </c>
      <c r="GC28" s="73">
        <f t="shared" si="17"/>
        <v>0</v>
      </c>
      <c r="GD28" s="73">
        <f t="shared" si="18"/>
        <v>0</v>
      </c>
      <c r="GE28" s="73">
        <f t="shared" si="19"/>
        <v>0</v>
      </c>
      <c r="GF28" s="73">
        <f t="shared" si="20"/>
        <v>0</v>
      </c>
      <c r="GG28" s="73">
        <f t="shared" si="21"/>
        <v>0</v>
      </c>
      <c r="GH28" s="73">
        <f t="shared" si="22"/>
        <v>0</v>
      </c>
      <c r="GI28" s="73">
        <f t="shared" si="23"/>
        <v>1</v>
      </c>
      <c r="GJ28" s="38"/>
      <c r="GK28" s="367" t="s">
        <v>693</v>
      </c>
      <c r="GL28" s="376" t="s">
        <v>691</v>
      </c>
      <c r="GM28" s="376" t="s">
        <v>692</v>
      </c>
      <c r="GP28" s="52"/>
    </row>
    <row r="29" spans="1:198" ht="15" customHeight="1" x14ac:dyDescent="0.25">
      <c r="A29" s="53">
        <v>40302</v>
      </c>
      <c r="B29" s="53" t="s">
        <v>133</v>
      </c>
      <c r="C29" s="53" t="s">
        <v>129</v>
      </c>
      <c r="D29" s="53" t="s">
        <v>139</v>
      </c>
      <c r="E29" s="54">
        <v>15589</v>
      </c>
      <c r="F29" s="62">
        <v>172</v>
      </c>
      <c r="G29" s="58">
        <v>1</v>
      </c>
      <c r="H29" s="59" t="s">
        <v>392</v>
      </c>
      <c r="I29" s="6">
        <v>1</v>
      </c>
      <c r="J29" s="6">
        <v>0</v>
      </c>
      <c r="K29" s="60">
        <v>8</v>
      </c>
      <c r="L29" s="6">
        <v>8</v>
      </c>
      <c r="M29" s="6">
        <v>2</v>
      </c>
      <c r="N29" s="6">
        <v>2</v>
      </c>
      <c r="O29" s="6">
        <v>0</v>
      </c>
      <c r="P29" s="6">
        <v>10</v>
      </c>
      <c r="Q29" s="6">
        <v>0</v>
      </c>
      <c r="R29" s="6">
        <v>0</v>
      </c>
      <c r="S29" s="6">
        <v>31</v>
      </c>
      <c r="T29" s="6">
        <v>110</v>
      </c>
      <c r="U29" s="6">
        <v>77</v>
      </c>
      <c r="V29" s="6">
        <v>2</v>
      </c>
      <c r="W29" s="61">
        <v>1</v>
      </c>
      <c r="X29" s="62">
        <v>0</v>
      </c>
      <c r="Y29" s="62">
        <v>0</v>
      </c>
      <c r="Z29" s="62">
        <v>0</v>
      </c>
      <c r="AA29" s="62">
        <v>1</v>
      </c>
      <c r="AB29" s="62">
        <v>0</v>
      </c>
      <c r="AC29" s="63">
        <v>1</v>
      </c>
      <c r="AD29" s="62">
        <v>0</v>
      </c>
      <c r="AE29" s="62">
        <v>0</v>
      </c>
      <c r="AF29" s="62">
        <v>0</v>
      </c>
      <c r="AG29" s="62">
        <v>1</v>
      </c>
      <c r="AH29" s="62">
        <v>2</v>
      </c>
      <c r="AI29" s="62">
        <v>0</v>
      </c>
      <c r="AJ29" s="62">
        <v>0</v>
      </c>
      <c r="AK29" s="62">
        <v>4</v>
      </c>
      <c r="AL29" s="62">
        <v>12</v>
      </c>
      <c r="AM29" s="62">
        <v>7</v>
      </c>
      <c r="AN29" s="1" t="s">
        <v>271</v>
      </c>
      <c r="AO29" s="65">
        <v>4</v>
      </c>
      <c r="AP29" s="65">
        <v>0</v>
      </c>
      <c r="AQ29" s="65">
        <v>0</v>
      </c>
      <c r="AR29" s="65">
        <v>1</v>
      </c>
      <c r="AS29" s="65">
        <v>0</v>
      </c>
      <c r="AT29" s="65">
        <v>3</v>
      </c>
      <c r="AU29" s="65">
        <v>0</v>
      </c>
      <c r="AV29" s="65">
        <v>1</v>
      </c>
      <c r="AW29" s="66">
        <v>0</v>
      </c>
      <c r="AX29" s="1" t="s">
        <v>391</v>
      </c>
      <c r="AY29" s="65">
        <v>4</v>
      </c>
      <c r="AZ29" s="65">
        <v>1</v>
      </c>
      <c r="BA29" s="65">
        <v>1</v>
      </c>
      <c r="BB29" s="65">
        <v>0</v>
      </c>
      <c r="BC29" s="65">
        <v>1</v>
      </c>
      <c r="BD29" s="65">
        <v>1</v>
      </c>
      <c r="BE29" s="65">
        <v>0</v>
      </c>
      <c r="BF29" s="65">
        <v>0</v>
      </c>
      <c r="BG29" s="66">
        <v>2</v>
      </c>
      <c r="BH29" s="1" t="s">
        <v>389</v>
      </c>
      <c r="BI29" s="65">
        <v>5</v>
      </c>
      <c r="BJ29" s="65">
        <v>0</v>
      </c>
      <c r="BK29" s="65">
        <v>1</v>
      </c>
      <c r="BL29" s="65">
        <v>1</v>
      </c>
      <c r="BM29" s="65">
        <v>0</v>
      </c>
      <c r="BN29" s="65">
        <v>0</v>
      </c>
      <c r="BO29" s="65">
        <v>0</v>
      </c>
      <c r="BP29" s="65">
        <v>0</v>
      </c>
      <c r="BQ29" s="66">
        <v>2</v>
      </c>
      <c r="BR29" s="1" t="s">
        <v>390</v>
      </c>
      <c r="BS29" s="65">
        <v>4</v>
      </c>
      <c r="BT29" s="65">
        <v>2</v>
      </c>
      <c r="BU29" s="65">
        <v>3</v>
      </c>
      <c r="BV29" s="65">
        <v>1</v>
      </c>
      <c r="BW29" s="65">
        <v>1</v>
      </c>
      <c r="BX29" s="65">
        <v>1</v>
      </c>
      <c r="BY29" s="65">
        <v>0</v>
      </c>
      <c r="BZ29" s="65">
        <v>0</v>
      </c>
      <c r="CA29" s="66">
        <v>6</v>
      </c>
      <c r="CB29" s="1" t="s">
        <v>274</v>
      </c>
      <c r="CC29" s="65">
        <v>5</v>
      </c>
      <c r="CD29" s="65">
        <v>0</v>
      </c>
      <c r="CE29" s="65">
        <v>0</v>
      </c>
      <c r="CF29" s="65">
        <v>0</v>
      </c>
      <c r="CG29" s="65">
        <v>0</v>
      </c>
      <c r="CH29" s="65">
        <v>1</v>
      </c>
      <c r="CI29" s="65">
        <v>0</v>
      </c>
      <c r="CJ29" s="65">
        <v>0</v>
      </c>
      <c r="CK29" s="66">
        <v>0</v>
      </c>
      <c r="CL29" s="1" t="s">
        <v>386</v>
      </c>
      <c r="CM29" s="65">
        <v>5</v>
      </c>
      <c r="CN29" s="65">
        <v>0</v>
      </c>
      <c r="CO29" s="65">
        <v>1</v>
      </c>
      <c r="CP29" s="65">
        <v>1</v>
      </c>
      <c r="CQ29" s="65">
        <v>0</v>
      </c>
      <c r="CR29" s="65">
        <v>2</v>
      </c>
      <c r="CS29" s="65">
        <v>0</v>
      </c>
      <c r="CT29" s="65">
        <v>0</v>
      </c>
      <c r="CU29" s="66">
        <v>1</v>
      </c>
      <c r="CV29" s="1" t="s">
        <v>408</v>
      </c>
      <c r="CW29" s="65">
        <v>3</v>
      </c>
      <c r="CX29" s="65">
        <v>1</v>
      </c>
      <c r="CY29" s="65">
        <v>0</v>
      </c>
      <c r="CZ29" s="65">
        <v>0</v>
      </c>
      <c r="DA29" s="65">
        <v>2</v>
      </c>
      <c r="DB29" s="65">
        <v>1</v>
      </c>
      <c r="DC29" s="65">
        <v>0</v>
      </c>
      <c r="DD29" s="65">
        <v>0</v>
      </c>
      <c r="DE29" s="66">
        <v>0</v>
      </c>
      <c r="DF29" s="1" t="s">
        <v>406</v>
      </c>
      <c r="DG29" s="65">
        <v>4</v>
      </c>
      <c r="DH29" s="65">
        <v>1</v>
      </c>
      <c r="DI29" s="65">
        <v>1</v>
      </c>
      <c r="DJ29" s="65">
        <v>0</v>
      </c>
      <c r="DK29" s="65">
        <v>1</v>
      </c>
      <c r="DL29" s="65">
        <v>1</v>
      </c>
      <c r="DM29" s="65">
        <v>0</v>
      </c>
      <c r="DN29" s="65">
        <v>0</v>
      </c>
      <c r="DO29" s="66">
        <v>1</v>
      </c>
      <c r="DP29" s="1" t="s">
        <v>385</v>
      </c>
      <c r="DQ29" s="65">
        <v>4</v>
      </c>
      <c r="DR29" s="65">
        <v>0</v>
      </c>
      <c r="DS29" s="65">
        <v>1</v>
      </c>
      <c r="DT29" s="65">
        <v>1</v>
      </c>
      <c r="DU29" s="65">
        <v>0</v>
      </c>
      <c r="DV29" s="65">
        <v>1</v>
      </c>
      <c r="DW29" s="65">
        <v>0</v>
      </c>
      <c r="DX29" s="65">
        <v>0</v>
      </c>
      <c r="DY29" s="66">
        <v>1</v>
      </c>
      <c r="DZ29" s="67">
        <f>6+2/3</f>
        <v>6.666666666666667</v>
      </c>
      <c r="EA29" s="68">
        <v>0</v>
      </c>
      <c r="EB29" s="68">
        <v>0</v>
      </c>
      <c r="EC29" s="69">
        <f>2+(1/3)</f>
        <v>2.3333333333333335</v>
      </c>
      <c r="ED29" s="68">
        <v>0</v>
      </c>
      <c r="EE29" s="70">
        <v>0</v>
      </c>
      <c r="EF29" s="71">
        <v>0</v>
      </c>
      <c r="EG29" s="72">
        <v>0</v>
      </c>
      <c r="EH29" s="72">
        <v>1</v>
      </c>
      <c r="EI29" s="72">
        <v>1</v>
      </c>
      <c r="EJ29" s="72">
        <v>1</v>
      </c>
      <c r="EK29" s="72">
        <v>0</v>
      </c>
      <c r="EL29" s="72">
        <v>1</v>
      </c>
      <c r="EM29" s="72">
        <v>1</v>
      </c>
      <c r="EN29" s="72">
        <v>0</v>
      </c>
      <c r="EO29" s="72"/>
      <c r="EP29" s="72"/>
      <c r="EQ29" s="72"/>
      <c r="ER29" s="72"/>
      <c r="ES29" s="44">
        <f t="shared" si="0"/>
        <v>5</v>
      </c>
      <c r="ET29" s="43">
        <v>0</v>
      </c>
      <c r="EU29" s="43">
        <v>0</v>
      </c>
      <c r="EV29" s="43">
        <v>0</v>
      </c>
      <c r="EW29" s="43">
        <v>0</v>
      </c>
      <c r="EX29" s="43">
        <v>0</v>
      </c>
      <c r="EY29" s="43">
        <v>1</v>
      </c>
      <c r="EZ29" s="43">
        <v>0</v>
      </c>
      <c r="FA29" s="43">
        <v>0</v>
      </c>
      <c r="FB29" s="43">
        <v>1</v>
      </c>
      <c r="FC29" s="43"/>
      <c r="FD29" s="43"/>
      <c r="FE29" s="43"/>
      <c r="FF29" s="43"/>
      <c r="FG29" s="43">
        <f t="shared" si="1"/>
        <v>2</v>
      </c>
      <c r="FH29" s="73">
        <v>38</v>
      </c>
      <c r="FI29" s="73">
        <v>5</v>
      </c>
      <c r="FJ29" s="73">
        <v>8</v>
      </c>
      <c r="FK29" s="73">
        <v>5</v>
      </c>
      <c r="FL29" s="73">
        <v>5</v>
      </c>
      <c r="FM29" s="73">
        <v>11</v>
      </c>
      <c r="FN29" s="73">
        <f t="shared" si="2"/>
        <v>0</v>
      </c>
      <c r="FO29" s="73">
        <f t="shared" si="3"/>
        <v>0</v>
      </c>
      <c r="FP29" s="73">
        <f t="shared" si="4"/>
        <v>0</v>
      </c>
      <c r="FQ29" s="73">
        <f t="shared" si="5"/>
        <v>0</v>
      </c>
      <c r="FR29" s="73">
        <f t="shared" si="6"/>
        <v>0</v>
      </c>
      <c r="FS29" s="73">
        <f t="shared" si="7"/>
        <v>0</v>
      </c>
      <c r="FT29" s="73">
        <f t="shared" si="8"/>
        <v>0</v>
      </c>
      <c r="FU29" s="73">
        <f t="shared" si="9"/>
        <v>0</v>
      </c>
      <c r="FV29" s="73">
        <f t="shared" si="10"/>
        <v>0</v>
      </c>
      <c r="FW29" s="73">
        <f t="shared" si="11"/>
        <v>0</v>
      </c>
      <c r="FX29" s="73">
        <f t="shared" si="12"/>
        <v>1</v>
      </c>
      <c r="FY29" s="73">
        <f t="shared" si="13"/>
        <v>1</v>
      </c>
      <c r="FZ29" s="73">
        <f t="shared" si="14"/>
        <v>1</v>
      </c>
      <c r="GA29" s="73">
        <f t="shared" si="15"/>
        <v>-1</v>
      </c>
      <c r="GB29" s="73">
        <f t="shared" si="16"/>
        <v>1</v>
      </c>
      <c r="GC29" s="73">
        <f t="shared" si="17"/>
        <v>1</v>
      </c>
      <c r="GD29" s="73">
        <f t="shared" si="18"/>
        <v>-1</v>
      </c>
      <c r="GE29" s="73">
        <f t="shared" si="19"/>
        <v>0</v>
      </c>
      <c r="GF29" s="73">
        <f t="shared" si="20"/>
        <v>0</v>
      </c>
      <c r="GG29" s="73">
        <f t="shared" si="21"/>
        <v>0</v>
      </c>
      <c r="GH29" s="73">
        <f t="shared" si="22"/>
        <v>0</v>
      </c>
      <c r="GI29" s="73">
        <f t="shared" si="23"/>
        <v>3</v>
      </c>
      <c r="GJ29" s="38"/>
      <c r="GK29" s="367" t="s">
        <v>694</v>
      </c>
      <c r="GL29" s="376" t="s">
        <v>694</v>
      </c>
      <c r="GM29" s="376" t="s">
        <v>692</v>
      </c>
      <c r="GP29" s="52"/>
    </row>
    <row r="30" spans="1:198" ht="15" customHeight="1" x14ac:dyDescent="0.25">
      <c r="A30" s="53">
        <v>40303</v>
      </c>
      <c r="B30" s="53" t="s">
        <v>133</v>
      </c>
      <c r="C30" s="53" t="s">
        <v>129</v>
      </c>
      <c r="D30" s="53" t="s">
        <v>139</v>
      </c>
      <c r="E30" s="54">
        <v>14627</v>
      </c>
      <c r="F30" s="62">
        <v>171</v>
      </c>
      <c r="G30" s="58">
        <v>2</v>
      </c>
      <c r="H30" s="59" t="s">
        <v>396</v>
      </c>
      <c r="I30" s="6">
        <v>1</v>
      </c>
      <c r="J30" s="6">
        <v>0</v>
      </c>
      <c r="K30" s="60">
        <v>8</v>
      </c>
      <c r="L30" s="6">
        <v>5</v>
      </c>
      <c r="M30" s="6">
        <v>2</v>
      </c>
      <c r="N30" s="6">
        <v>2</v>
      </c>
      <c r="O30" s="6">
        <v>1</v>
      </c>
      <c r="P30" s="6">
        <v>5</v>
      </c>
      <c r="Q30" s="6">
        <v>1</v>
      </c>
      <c r="R30" s="6">
        <v>0</v>
      </c>
      <c r="S30" s="6">
        <v>30</v>
      </c>
      <c r="T30" s="6">
        <v>109</v>
      </c>
      <c r="U30" s="6">
        <v>69</v>
      </c>
      <c r="V30" s="6">
        <v>0</v>
      </c>
      <c r="W30" s="61">
        <v>0</v>
      </c>
      <c r="X30" s="62">
        <v>0</v>
      </c>
      <c r="Y30" s="62">
        <v>0</v>
      </c>
      <c r="Z30" s="62">
        <v>0</v>
      </c>
      <c r="AA30" s="62">
        <v>0</v>
      </c>
      <c r="AB30" s="62">
        <v>0</v>
      </c>
      <c r="AC30" s="63">
        <v>1</v>
      </c>
      <c r="AD30" s="62">
        <v>1</v>
      </c>
      <c r="AE30" s="62">
        <v>1</v>
      </c>
      <c r="AF30" s="62">
        <v>0</v>
      </c>
      <c r="AG30" s="62">
        <v>1</v>
      </c>
      <c r="AH30" s="62">
        <v>1</v>
      </c>
      <c r="AI30" s="62">
        <v>0</v>
      </c>
      <c r="AJ30" s="62">
        <v>0</v>
      </c>
      <c r="AK30" s="62">
        <v>6</v>
      </c>
      <c r="AL30" s="62">
        <v>22</v>
      </c>
      <c r="AM30" s="62">
        <v>11</v>
      </c>
      <c r="AN30" s="1" t="s">
        <v>384</v>
      </c>
      <c r="AO30" s="65">
        <v>4</v>
      </c>
      <c r="AP30" s="65">
        <v>1</v>
      </c>
      <c r="AQ30" s="65">
        <v>2</v>
      </c>
      <c r="AR30" s="65">
        <v>1</v>
      </c>
      <c r="AS30" s="65">
        <v>1</v>
      </c>
      <c r="AT30" s="65">
        <v>1</v>
      </c>
      <c r="AU30" s="65">
        <v>0</v>
      </c>
      <c r="AV30" s="65">
        <v>0</v>
      </c>
      <c r="AW30" s="66">
        <v>3</v>
      </c>
      <c r="AX30" s="1" t="s">
        <v>391</v>
      </c>
      <c r="AY30" s="65">
        <v>4</v>
      </c>
      <c r="AZ30" s="65">
        <v>1</v>
      </c>
      <c r="BA30" s="65">
        <v>2</v>
      </c>
      <c r="BB30" s="65">
        <v>0</v>
      </c>
      <c r="BC30" s="65">
        <v>1</v>
      </c>
      <c r="BD30" s="65">
        <v>0</v>
      </c>
      <c r="BE30" s="65">
        <v>0</v>
      </c>
      <c r="BF30" s="65">
        <v>0</v>
      </c>
      <c r="BG30" s="66">
        <v>2</v>
      </c>
      <c r="BH30" s="1" t="s">
        <v>389</v>
      </c>
      <c r="BI30" s="65">
        <v>4</v>
      </c>
      <c r="BJ30" s="65">
        <v>1</v>
      </c>
      <c r="BK30" s="65">
        <v>1</v>
      </c>
      <c r="BL30" s="65">
        <v>1</v>
      </c>
      <c r="BM30" s="65">
        <v>0</v>
      </c>
      <c r="BN30" s="65">
        <v>0</v>
      </c>
      <c r="BO30" s="65">
        <v>0</v>
      </c>
      <c r="BP30" s="65">
        <v>1</v>
      </c>
      <c r="BQ30" s="66">
        <v>1</v>
      </c>
      <c r="BR30" s="1" t="s">
        <v>390</v>
      </c>
      <c r="BS30" s="65">
        <v>5</v>
      </c>
      <c r="BT30" s="65">
        <v>1</v>
      </c>
      <c r="BU30" s="65">
        <v>1</v>
      </c>
      <c r="BV30" s="65">
        <v>2</v>
      </c>
      <c r="BW30" s="65">
        <v>0</v>
      </c>
      <c r="BX30" s="65">
        <v>0</v>
      </c>
      <c r="BY30" s="65">
        <v>0</v>
      </c>
      <c r="BZ30" s="65">
        <v>0</v>
      </c>
      <c r="CA30" s="66">
        <v>1</v>
      </c>
      <c r="CB30" s="1" t="s">
        <v>274</v>
      </c>
      <c r="CC30" s="65">
        <v>5</v>
      </c>
      <c r="CD30" s="65">
        <v>0</v>
      </c>
      <c r="CE30" s="65">
        <v>0</v>
      </c>
      <c r="CF30" s="65">
        <v>0</v>
      </c>
      <c r="CG30" s="65">
        <v>0</v>
      </c>
      <c r="CH30" s="65">
        <v>2</v>
      </c>
      <c r="CI30" s="65">
        <v>0</v>
      </c>
      <c r="CJ30" s="65">
        <v>0</v>
      </c>
      <c r="CK30" s="66">
        <v>0</v>
      </c>
      <c r="CL30" s="1" t="s">
        <v>273</v>
      </c>
      <c r="CM30" s="65">
        <v>4</v>
      </c>
      <c r="CN30" s="65">
        <v>0</v>
      </c>
      <c r="CO30" s="65">
        <v>1</v>
      </c>
      <c r="CP30" s="65">
        <v>1</v>
      </c>
      <c r="CQ30" s="65">
        <v>0</v>
      </c>
      <c r="CR30" s="65">
        <v>1</v>
      </c>
      <c r="CS30" s="65">
        <v>0</v>
      </c>
      <c r="CT30" s="65">
        <v>0</v>
      </c>
      <c r="CU30" s="66">
        <v>1</v>
      </c>
      <c r="CV30" s="1" t="s">
        <v>408</v>
      </c>
      <c r="CW30" s="65">
        <v>4</v>
      </c>
      <c r="CX30" s="65">
        <v>0</v>
      </c>
      <c r="CY30" s="65">
        <v>1</v>
      </c>
      <c r="CZ30" s="65">
        <v>0</v>
      </c>
      <c r="DA30" s="65">
        <v>0</v>
      </c>
      <c r="DB30" s="65">
        <v>1</v>
      </c>
      <c r="DC30" s="65">
        <v>0</v>
      </c>
      <c r="DD30" s="65">
        <v>0</v>
      </c>
      <c r="DE30" s="66">
        <v>1</v>
      </c>
      <c r="DF30" s="1" t="s">
        <v>406</v>
      </c>
      <c r="DG30" s="65">
        <v>3</v>
      </c>
      <c r="DH30" s="65">
        <v>2</v>
      </c>
      <c r="DI30" s="65">
        <v>1</v>
      </c>
      <c r="DJ30" s="65">
        <v>0</v>
      </c>
      <c r="DK30" s="65">
        <v>1</v>
      </c>
      <c r="DL30" s="65">
        <v>0</v>
      </c>
      <c r="DM30" s="65">
        <v>0</v>
      </c>
      <c r="DN30" s="65">
        <v>0</v>
      </c>
      <c r="DO30" s="66">
        <v>2</v>
      </c>
      <c r="DP30" s="1" t="s">
        <v>386</v>
      </c>
      <c r="DQ30" s="65">
        <v>4</v>
      </c>
      <c r="DR30" s="65">
        <v>2</v>
      </c>
      <c r="DS30" s="65">
        <v>2</v>
      </c>
      <c r="DT30" s="65">
        <v>2</v>
      </c>
      <c r="DU30" s="65">
        <v>0</v>
      </c>
      <c r="DV30" s="65">
        <v>1</v>
      </c>
      <c r="DW30" s="65">
        <v>0</v>
      </c>
      <c r="DX30" s="65">
        <v>0</v>
      </c>
      <c r="DY30" s="66">
        <v>3</v>
      </c>
      <c r="DZ30" s="67">
        <v>8</v>
      </c>
      <c r="EA30" s="68">
        <v>0</v>
      </c>
      <c r="EB30" s="68">
        <v>0</v>
      </c>
      <c r="EC30" s="69">
        <v>1</v>
      </c>
      <c r="ED30" s="68">
        <v>0</v>
      </c>
      <c r="EE30" s="70">
        <v>0</v>
      </c>
      <c r="EF30" s="71">
        <v>0</v>
      </c>
      <c r="EG30" s="72">
        <v>0</v>
      </c>
      <c r="EH30" s="72">
        <v>0</v>
      </c>
      <c r="EI30" s="72">
        <v>0</v>
      </c>
      <c r="EJ30" s="72">
        <v>2</v>
      </c>
      <c r="EK30" s="72">
        <v>0</v>
      </c>
      <c r="EL30" s="72">
        <v>0</v>
      </c>
      <c r="EM30" s="72">
        <v>3</v>
      </c>
      <c r="EN30" s="72">
        <v>3</v>
      </c>
      <c r="EO30" s="72"/>
      <c r="EP30" s="72"/>
      <c r="EQ30" s="72"/>
      <c r="ER30" s="72"/>
      <c r="ES30" s="44">
        <f t="shared" si="0"/>
        <v>8</v>
      </c>
      <c r="ET30" s="43">
        <v>0</v>
      </c>
      <c r="EU30" s="43">
        <v>0</v>
      </c>
      <c r="EV30" s="43">
        <v>0</v>
      </c>
      <c r="EW30" s="43">
        <v>2</v>
      </c>
      <c r="EX30" s="43">
        <v>0</v>
      </c>
      <c r="EY30" s="43">
        <v>0</v>
      </c>
      <c r="EZ30" s="43">
        <v>0</v>
      </c>
      <c r="FA30" s="43">
        <v>0</v>
      </c>
      <c r="FB30" s="43">
        <v>1</v>
      </c>
      <c r="FC30" s="43"/>
      <c r="FD30" s="43"/>
      <c r="FE30" s="43"/>
      <c r="FF30" s="43"/>
      <c r="FG30" s="43">
        <f t="shared" si="1"/>
        <v>3</v>
      </c>
      <c r="FH30" s="73">
        <v>37</v>
      </c>
      <c r="FI30" s="73">
        <v>8</v>
      </c>
      <c r="FJ30" s="73">
        <v>11</v>
      </c>
      <c r="FK30" s="73">
        <v>7</v>
      </c>
      <c r="FL30" s="73">
        <v>3</v>
      </c>
      <c r="FM30" s="73">
        <v>6</v>
      </c>
      <c r="FN30" s="73">
        <f t="shared" si="2"/>
        <v>0</v>
      </c>
      <c r="FO30" s="73">
        <f t="shared" si="3"/>
        <v>0</v>
      </c>
      <c r="FP30" s="73">
        <f t="shared" si="4"/>
        <v>0</v>
      </c>
      <c r="FQ30" s="73">
        <f t="shared" si="5"/>
        <v>0</v>
      </c>
      <c r="FR30" s="73">
        <f t="shared" si="6"/>
        <v>0</v>
      </c>
      <c r="FS30" s="73">
        <f t="shared" si="7"/>
        <v>0</v>
      </c>
      <c r="FT30" s="73">
        <f t="shared" si="8"/>
        <v>0</v>
      </c>
      <c r="FU30" s="73">
        <f t="shared" si="9"/>
        <v>0</v>
      </c>
      <c r="FV30" s="73">
        <f t="shared" si="10"/>
        <v>0</v>
      </c>
      <c r="FW30" s="73">
        <f t="shared" si="11"/>
        <v>0</v>
      </c>
      <c r="FX30" s="73">
        <f t="shared" si="12"/>
        <v>0</v>
      </c>
      <c r="FY30" s="73">
        <f t="shared" si="13"/>
        <v>-2</v>
      </c>
      <c r="FZ30" s="73">
        <f t="shared" si="14"/>
        <v>2</v>
      </c>
      <c r="GA30" s="73">
        <f t="shared" si="15"/>
        <v>0</v>
      </c>
      <c r="GB30" s="73">
        <f t="shared" si="16"/>
        <v>0</v>
      </c>
      <c r="GC30" s="73">
        <f t="shared" si="17"/>
        <v>3</v>
      </c>
      <c r="GD30" s="73">
        <f t="shared" si="18"/>
        <v>2</v>
      </c>
      <c r="GE30" s="73">
        <f t="shared" si="19"/>
        <v>0</v>
      </c>
      <c r="GF30" s="73">
        <f t="shared" si="20"/>
        <v>0</v>
      </c>
      <c r="GG30" s="73">
        <f t="shared" si="21"/>
        <v>0</v>
      </c>
      <c r="GH30" s="73">
        <f t="shared" si="22"/>
        <v>0</v>
      </c>
      <c r="GI30" s="73">
        <f t="shared" si="23"/>
        <v>5</v>
      </c>
      <c r="GJ30" s="38"/>
      <c r="GK30" s="367" t="s">
        <v>694</v>
      </c>
      <c r="GL30" s="376" t="s">
        <v>694</v>
      </c>
      <c r="GM30" s="376" t="s">
        <v>692</v>
      </c>
      <c r="GP30" s="52"/>
    </row>
    <row r="31" spans="1:198" ht="15" customHeight="1" x14ac:dyDescent="0.25">
      <c r="A31" s="53">
        <v>40304</v>
      </c>
      <c r="B31" s="53" t="s">
        <v>133</v>
      </c>
      <c r="C31" s="53" t="s">
        <v>129</v>
      </c>
      <c r="D31" s="53" t="s">
        <v>139</v>
      </c>
      <c r="E31" s="54">
        <v>17617</v>
      </c>
      <c r="F31" s="62">
        <v>167</v>
      </c>
      <c r="G31" s="58">
        <v>3</v>
      </c>
      <c r="H31" s="59" t="s">
        <v>395</v>
      </c>
      <c r="I31" s="6">
        <v>1</v>
      </c>
      <c r="J31" s="6">
        <v>0</v>
      </c>
      <c r="K31" s="60">
        <v>7</v>
      </c>
      <c r="L31" s="6">
        <v>4</v>
      </c>
      <c r="M31" s="6">
        <v>0</v>
      </c>
      <c r="N31" s="6">
        <v>0</v>
      </c>
      <c r="O31" s="6">
        <v>2</v>
      </c>
      <c r="P31" s="6">
        <v>6</v>
      </c>
      <c r="Q31" s="6">
        <v>0</v>
      </c>
      <c r="R31" s="6">
        <v>0</v>
      </c>
      <c r="S31" s="6">
        <v>26</v>
      </c>
      <c r="T31" s="6">
        <v>99</v>
      </c>
      <c r="U31" s="6">
        <v>58</v>
      </c>
      <c r="V31" s="6">
        <v>0</v>
      </c>
      <c r="W31" s="61">
        <v>0</v>
      </c>
      <c r="X31" s="62">
        <v>0</v>
      </c>
      <c r="Y31" s="62">
        <v>0</v>
      </c>
      <c r="Z31" s="62">
        <v>0</v>
      </c>
      <c r="AA31" s="62">
        <v>0</v>
      </c>
      <c r="AB31" s="62">
        <v>0</v>
      </c>
      <c r="AC31" s="63">
        <v>2</v>
      </c>
      <c r="AD31" s="62">
        <v>0</v>
      </c>
      <c r="AE31" s="62">
        <v>0</v>
      </c>
      <c r="AF31" s="62">
        <v>0</v>
      </c>
      <c r="AG31" s="62">
        <v>0</v>
      </c>
      <c r="AH31" s="62">
        <v>3</v>
      </c>
      <c r="AI31" s="62">
        <v>0</v>
      </c>
      <c r="AJ31" s="62">
        <v>0</v>
      </c>
      <c r="AK31" s="62">
        <v>6</v>
      </c>
      <c r="AL31" s="62">
        <v>34</v>
      </c>
      <c r="AM31" s="62">
        <v>25</v>
      </c>
      <c r="AN31" s="1" t="s">
        <v>384</v>
      </c>
      <c r="AO31" s="65">
        <v>5</v>
      </c>
      <c r="AP31" s="65">
        <v>1</v>
      </c>
      <c r="AQ31" s="65">
        <v>1</v>
      </c>
      <c r="AR31" s="65">
        <v>0</v>
      </c>
      <c r="AS31" s="65">
        <v>0</v>
      </c>
      <c r="AT31" s="65">
        <v>1</v>
      </c>
      <c r="AU31" s="65">
        <v>0</v>
      </c>
      <c r="AV31" s="65">
        <v>0</v>
      </c>
      <c r="AW31" s="66">
        <v>2</v>
      </c>
      <c r="AX31" s="1" t="s">
        <v>391</v>
      </c>
      <c r="AY31" s="65">
        <v>5</v>
      </c>
      <c r="AZ31" s="65">
        <v>2</v>
      </c>
      <c r="BA31" s="65">
        <v>3</v>
      </c>
      <c r="BB31" s="65">
        <v>2</v>
      </c>
      <c r="BC31" s="65">
        <v>0</v>
      </c>
      <c r="BD31" s="65">
        <v>0</v>
      </c>
      <c r="BE31" s="65">
        <v>0</v>
      </c>
      <c r="BF31" s="65">
        <v>0</v>
      </c>
      <c r="BG31" s="66">
        <v>7</v>
      </c>
      <c r="BH31" s="1" t="s">
        <v>389</v>
      </c>
      <c r="BI31" s="65">
        <v>4</v>
      </c>
      <c r="BJ31" s="65">
        <v>0</v>
      </c>
      <c r="BK31" s="65">
        <v>2</v>
      </c>
      <c r="BL31" s="65">
        <v>1</v>
      </c>
      <c r="BM31" s="65">
        <v>1</v>
      </c>
      <c r="BN31" s="65">
        <v>1</v>
      </c>
      <c r="BO31" s="65">
        <v>0</v>
      </c>
      <c r="BP31" s="65">
        <v>0</v>
      </c>
      <c r="BQ31" s="66">
        <v>2</v>
      </c>
      <c r="BR31" s="1" t="s">
        <v>390</v>
      </c>
      <c r="BS31" s="65">
        <v>5</v>
      </c>
      <c r="BT31" s="65">
        <v>1</v>
      </c>
      <c r="BU31" s="65">
        <v>1</v>
      </c>
      <c r="BV31" s="65">
        <v>1</v>
      </c>
      <c r="BW31" s="65">
        <v>0</v>
      </c>
      <c r="BX31" s="65">
        <v>0</v>
      </c>
      <c r="BY31" s="65">
        <v>0</v>
      </c>
      <c r="BZ31" s="65">
        <v>0</v>
      </c>
      <c r="CA31" s="66">
        <v>2</v>
      </c>
      <c r="CB31" s="1" t="s">
        <v>274</v>
      </c>
      <c r="CC31" s="65">
        <v>3</v>
      </c>
      <c r="CD31" s="65">
        <v>1</v>
      </c>
      <c r="CE31" s="65">
        <v>1</v>
      </c>
      <c r="CF31" s="65">
        <v>0</v>
      </c>
      <c r="CG31" s="65">
        <v>2</v>
      </c>
      <c r="CH31" s="65">
        <v>1</v>
      </c>
      <c r="CI31" s="65">
        <v>0</v>
      </c>
      <c r="CJ31" s="65">
        <v>0</v>
      </c>
      <c r="CK31" s="66">
        <v>2</v>
      </c>
      <c r="CL31" s="1" t="s">
        <v>273</v>
      </c>
      <c r="CM31" s="65">
        <v>4</v>
      </c>
      <c r="CN31" s="65">
        <v>2</v>
      </c>
      <c r="CO31" s="65">
        <v>1</v>
      </c>
      <c r="CP31" s="65">
        <v>1</v>
      </c>
      <c r="CQ31" s="65">
        <v>1</v>
      </c>
      <c r="CR31" s="65">
        <v>1</v>
      </c>
      <c r="CS31" s="65">
        <v>0</v>
      </c>
      <c r="CT31" s="65">
        <v>0</v>
      </c>
      <c r="CU31" s="66">
        <v>2</v>
      </c>
      <c r="CV31" s="1" t="s">
        <v>272</v>
      </c>
      <c r="CW31" s="65">
        <v>5</v>
      </c>
      <c r="CX31" s="65">
        <v>0</v>
      </c>
      <c r="CY31" s="65">
        <v>2</v>
      </c>
      <c r="CZ31" s="65">
        <v>2</v>
      </c>
      <c r="DA31" s="65">
        <v>0</v>
      </c>
      <c r="DB31" s="65">
        <v>0</v>
      </c>
      <c r="DC31" s="65">
        <v>0</v>
      </c>
      <c r="DD31" s="65">
        <v>0</v>
      </c>
      <c r="DE31" s="66">
        <v>3</v>
      </c>
      <c r="DF31" s="1" t="s">
        <v>275</v>
      </c>
      <c r="DG31" s="65">
        <v>4</v>
      </c>
      <c r="DH31" s="65">
        <v>1</v>
      </c>
      <c r="DI31" s="65">
        <v>0</v>
      </c>
      <c r="DJ31" s="65">
        <v>0</v>
      </c>
      <c r="DK31" s="65">
        <v>1</v>
      </c>
      <c r="DL31" s="65">
        <v>1</v>
      </c>
      <c r="DM31" s="65">
        <v>0</v>
      </c>
      <c r="DN31" s="65">
        <v>0</v>
      </c>
      <c r="DO31" s="66">
        <v>0</v>
      </c>
      <c r="DP31" s="1" t="s">
        <v>386</v>
      </c>
      <c r="DQ31" s="65">
        <v>4</v>
      </c>
      <c r="DR31" s="65">
        <v>0</v>
      </c>
      <c r="DS31" s="65">
        <v>1</v>
      </c>
      <c r="DT31" s="65">
        <v>1</v>
      </c>
      <c r="DU31" s="65">
        <v>0</v>
      </c>
      <c r="DV31" s="65">
        <v>0</v>
      </c>
      <c r="DW31" s="65">
        <v>0</v>
      </c>
      <c r="DX31" s="65">
        <v>0</v>
      </c>
      <c r="DY31" s="66">
        <v>1</v>
      </c>
      <c r="DZ31" s="67">
        <f>4+1/3</f>
        <v>4.333333333333333</v>
      </c>
      <c r="EA31" s="68">
        <v>1</v>
      </c>
      <c r="EB31" s="68">
        <v>0</v>
      </c>
      <c r="EC31" s="69">
        <f>4+(2/3)</f>
        <v>4.666666666666667</v>
      </c>
      <c r="ED31" s="68">
        <v>0</v>
      </c>
      <c r="EE31" s="70">
        <v>0</v>
      </c>
      <c r="EF31" s="71">
        <v>0</v>
      </c>
      <c r="EG31" s="72">
        <v>2</v>
      </c>
      <c r="EH31" s="72">
        <v>0</v>
      </c>
      <c r="EI31" s="72">
        <v>1</v>
      </c>
      <c r="EJ31" s="72">
        <v>3</v>
      </c>
      <c r="EK31" s="72">
        <v>0</v>
      </c>
      <c r="EL31" s="72">
        <v>0</v>
      </c>
      <c r="EM31" s="72">
        <v>2</v>
      </c>
      <c r="EN31" s="72">
        <v>0</v>
      </c>
      <c r="EO31" s="72"/>
      <c r="EP31" s="72"/>
      <c r="EQ31" s="72"/>
      <c r="ER31" s="72"/>
      <c r="ES31" s="44">
        <f t="shared" si="0"/>
        <v>8</v>
      </c>
      <c r="ET31" s="43">
        <v>0</v>
      </c>
      <c r="EU31" s="43">
        <v>0</v>
      </c>
      <c r="EV31" s="43">
        <v>0</v>
      </c>
      <c r="EW31" s="43">
        <v>0</v>
      </c>
      <c r="EX31" s="43">
        <v>0</v>
      </c>
      <c r="EY31" s="43">
        <v>0</v>
      </c>
      <c r="EZ31" s="43">
        <v>0</v>
      </c>
      <c r="FA31" s="43">
        <v>0</v>
      </c>
      <c r="FB31" s="43">
        <v>0</v>
      </c>
      <c r="FC31" s="43"/>
      <c r="FD31" s="43"/>
      <c r="FE31" s="43"/>
      <c r="FF31" s="43"/>
      <c r="FG31" s="43">
        <f t="shared" si="1"/>
        <v>0</v>
      </c>
      <c r="FH31" s="73">
        <v>39</v>
      </c>
      <c r="FI31" s="73">
        <v>8</v>
      </c>
      <c r="FJ31" s="73">
        <v>12</v>
      </c>
      <c r="FK31" s="73">
        <v>8</v>
      </c>
      <c r="FL31" s="73">
        <v>5</v>
      </c>
      <c r="FM31" s="73">
        <v>5</v>
      </c>
      <c r="FN31" s="73">
        <f t="shared" si="2"/>
        <v>0</v>
      </c>
      <c r="FO31" s="73">
        <f t="shared" si="3"/>
        <v>0</v>
      </c>
      <c r="FP31" s="73">
        <f t="shared" si="4"/>
        <v>0</v>
      </c>
      <c r="FQ31" s="73">
        <f t="shared" si="5"/>
        <v>0</v>
      </c>
      <c r="FR31" s="73">
        <f t="shared" si="6"/>
        <v>0</v>
      </c>
      <c r="FS31" s="73">
        <f t="shared" si="7"/>
        <v>0</v>
      </c>
      <c r="FT31" s="73">
        <f t="shared" si="8"/>
        <v>0</v>
      </c>
      <c r="FU31" s="73">
        <f t="shared" si="9"/>
        <v>0</v>
      </c>
      <c r="FV31" s="73">
        <f t="shared" si="10"/>
        <v>0</v>
      </c>
      <c r="FW31" s="73">
        <f t="shared" si="11"/>
        <v>2</v>
      </c>
      <c r="FX31" s="73">
        <f t="shared" si="12"/>
        <v>0</v>
      </c>
      <c r="FY31" s="73">
        <f t="shared" si="13"/>
        <v>1</v>
      </c>
      <c r="FZ31" s="73">
        <f t="shared" si="14"/>
        <v>3</v>
      </c>
      <c r="GA31" s="73">
        <f t="shared" si="15"/>
        <v>0</v>
      </c>
      <c r="GB31" s="73">
        <f t="shared" si="16"/>
        <v>0</v>
      </c>
      <c r="GC31" s="73">
        <f t="shared" si="17"/>
        <v>2</v>
      </c>
      <c r="GD31" s="73">
        <f t="shared" si="18"/>
        <v>0</v>
      </c>
      <c r="GE31" s="73">
        <f t="shared" si="19"/>
        <v>0</v>
      </c>
      <c r="GF31" s="73">
        <f t="shared" si="20"/>
        <v>0</v>
      </c>
      <c r="GG31" s="73">
        <f t="shared" si="21"/>
        <v>0</v>
      </c>
      <c r="GH31" s="73">
        <f t="shared" si="22"/>
        <v>0</v>
      </c>
      <c r="GI31" s="73">
        <f t="shared" si="23"/>
        <v>8</v>
      </c>
      <c r="GJ31" s="38"/>
      <c r="GK31" s="367" t="s">
        <v>694</v>
      </c>
      <c r="GL31" s="376" t="s">
        <v>694</v>
      </c>
      <c r="GM31" s="376" t="s">
        <v>692</v>
      </c>
      <c r="GP31" s="52"/>
    </row>
    <row r="32" spans="1:198" ht="15" customHeight="1" x14ac:dyDescent="0.25">
      <c r="A32" s="53">
        <v>40305</v>
      </c>
      <c r="B32" s="53" t="s">
        <v>133</v>
      </c>
      <c r="C32" s="53" t="s">
        <v>129</v>
      </c>
      <c r="D32" s="53" t="s">
        <v>137</v>
      </c>
      <c r="E32" s="54">
        <v>19193</v>
      </c>
      <c r="F32" s="62">
        <v>162</v>
      </c>
      <c r="G32" s="58">
        <v>4</v>
      </c>
      <c r="H32" s="59" t="s">
        <v>394</v>
      </c>
      <c r="I32" s="6">
        <v>1</v>
      </c>
      <c r="J32" s="6">
        <v>0</v>
      </c>
      <c r="K32" s="60">
        <f>7+(2/3)</f>
        <v>7.666666666666667</v>
      </c>
      <c r="L32" s="6">
        <v>3</v>
      </c>
      <c r="M32" s="6">
        <v>1</v>
      </c>
      <c r="N32" s="6">
        <v>0</v>
      </c>
      <c r="O32" s="6">
        <v>4</v>
      </c>
      <c r="P32" s="6">
        <v>6</v>
      </c>
      <c r="Q32" s="6">
        <v>0</v>
      </c>
      <c r="R32" s="6">
        <v>0</v>
      </c>
      <c r="S32" s="6">
        <v>28</v>
      </c>
      <c r="T32" s="6">
        <v>119</v>
      </c>
      <c r="U32" s="6">
        <v>72</v>
      </c>
      <c r="V32" s="6">
        <v>3</v>
      </c>
      <c r="W32" s="61">
        <v>1</v>
      </c>
      <c r="X32" s="62">
        <v>0</v>
      </c>
      <c r="Y32" s="62">
        <v>0</v>
      </c>
      <c r="Z32" s="62">
        <v>1</v>
      </c>
      <c r="AA32" s="62">
        <v>1</v>
      </c>
      <c r="AB32" s="62">
        <v>0</v>
      </c>
      <c r="AC32" s="63">
        <f>1+(1/3)</f>
        <v>1.3333333333333333</v>
      </c>
      <c r="AD32" s="62">
        <v>0</v>
      </c>
      <c r="AE32" s="62">
        <v>0</v>
      </c>
      <c r="AF32" s="62">
        <v>0</v>
      </c>
      <c r="AG32" s="62">
        <v>0</v>
      </c>
      <c r="AH32" s="62">
        <v>2</v>
      </c>
      <c r="AI32" s="62">
        <v>0</v>
      </c>
      <c r="AJ32" s="62">
        <v>0</v>
      </c>
      <c r="AK32" s="62">
        <v>5</v>
      </c>
      <c r="AL32" s="62">
        <v>25</v>
      </c>
      <c r="AM32" s="62">
        <v>19</v>
      </c>
      <c r="AN32" s="1" t="s">
        <v>384</v>
      </c>
      <c r="AO32" s="65">
        <v>3</v>
      </c>
      <c r="AP32" s="65">
        <v>0</v>
      </c>
      <c r="AQ32" s="65">
        <v>0</v>
      </c>
      <c r="AR32" s="65">
        <v>0</v>
      </c>
      <c r="AS32" s="65">
        <v>2</v>
      </c>
      <c r="AT32" s="65">
        <v>0</v>
      </c>
      <c r="AU32" s="65">
        <v>0</v>
      </c>
      <c r="AV32" s="65">
        <v>0</v>
      </c>
      <c r="AW32" s="66">
        <v>0</v>
      </c>
      <c r="AX32" s="1" t="s">
        <v>391</v>
      </c>
      <c r="AY32" s="65">
        <v>5</v>
      </c>
      <c r="AZ32" s="65">
        <v>0</v>
      </c>
      <c r="BA32" s="65">
        <v>0</v>
      </c>
      <c r="BB32" s="65">
        <v>0</v>
      </c>
      <c r="BC32" s="65">
        <v>0</v>
      </c>
      <c r="BD32" s="65">
        <v>2</v>
      </c>
      <c r="BE32" s="65">
        <v>0</v>
      </c>
      <c r="BF32" s="65">
        <v>0</v>
      </c>
      <c r="BG32" s="66">
        <v>0</v>
      </c>
      <c r="BH32" s="1" t="s">
        <v>390</v>
      </c>
      <c r="BI32" s="65">
        <v>1</v>
      </c>
      <c r="BJ32" s="65">
        <v>1</v>
      </c>
      <c r="BK32" s="65">
        <v>0</v>
      </c>
      <c r="BL32" s="65">
        <v>0</v>
      </c>
      <c r="BM32" s="65">
        <v>3</v>
      </c>
      <c r="BN32" s="65">
        <v>0</v>
      </c>
      <c r="BO32" s="65">
        <v>0</v>
      </c>
      <c r="BP32" s="65">
        <v>0</v>
      </c>
      <c r="BQ32" s="66">
        <v>0</v>
      </c>
      <c r="BR32" s="1" t="s">
        <v>274</v>
      </c>
      <c r="BS32" s="65">
        <v>4</v>
      </c>
      <c r="BT32" s="65">
        <v>0</v>
      </c>
      <c r="BU32" s="65">
        <v>0</v>
      </c>
      <c r="BV32" s="65">
        <v>0</v>
      </c>
      <c r="BW32" s="65">
        <v>0</v>
      </c>
      <c r="BX32" s="65">
        <v>2</v>
      </c>
      <c r="BY32" s="65">
        <v>0</v>
      </c>
      <c r="BZ32" s="65">
        <v>0</v>
      </c>
      <c r="CA32" s="66">
        <v>0</v>
      </c>
      <c r="CB32" s="1" t="s">
        <v>272</v>
      </c>
      <c r="CC32" s="65">
        <v>4</v>
      </c>
      <c r="CD32" s="65">
        <v>0</v>
      </c>
      <c r="CE32" s="65">
        <v>1</v>
      </c>
      <c r="CF32" s="65">
        <v>1</v>
      </c>
      <c r="CG32" s="65">
        <v>0</v>
      </c>
      <c r="CH32" s="65">
        <v>0</v>
      </c>
      <c r="CI32" s="65">
        <v>0</v>
      </c>
      <c r="CJ32" s="65">
        <v>0</v>
      </c>
      <c r="CK32" s="66">
        <v>1</v>
      </c>
      <c r="CL32" s="1" t="s">
        <v>273</v>
      </c>
      <c r="CM32" s="65">
        <v>4</v>
      </c>
      <c r="CN32" s="65">
        <v>0</v>
      </c>
      <c r="CO32" s="65">
        <v>0</v>
      </c>
      <c r="CP32" s="65">
        <v>0</v>
      </c>
      <c r="CQ32" s="65">
        <v>0</v>
      </c>
      <c r="CR32" s="65">
        <v>2</v>
      </c>
      <c r="CS32" s="65">
        <v>0</v>
      </c>
      <c r="CT32" s="65">
        <v>0</v>
      </c>
      <c r="CU32" s="66">
        <v>0</v>
      </c>
      <c r="CV32" s="1" t="s">
        <v>386</v>
      </c>
      <c r="CW32" s="65">
        <v>4</v>
      </c>
      <c r="CX32" s="65">
        <v>2</v>
      </c>
      <c r="CY32" s="65">
        <v>2</v>
      </c>
      <c r="CZ32" s="65">
        <v>0</v>
      </c>
      <c r="DA32" s="65">
        <v>0</v>
      </c>
      <c r="DB32" s="65">
        <v>1</v>
      </c>
      <c r="DC32" s="65">
        <v>0</v>
      </c>
      <c r="DD32" s="65">
        <v>0</v>
      </c>
      <c r="DE32" s="66">
        <v>2</v>
      </c>
      <c r="DF32" s="1" t="s">
        <v>406</v>
      </c>
      <c r="DG32" s="65">
        <v>2</v>
      </c>
      <c r="DH32" s="65">
        <v>1</v>
      </c>
      <c r="DI32" s="65">
        <v>0</v>
      </c>
      <c r="DJ32" s="65">
        <v>0</v>
      </c>
      <c r="DK32" s="65">
        <v>2</v>
      </c>
      <c r="DL32" s="65">
        <v>1</v>
      </c>
      <c r="DM32" s="65">
        <v>0</v>
      </c>
      <c r="DN32" s="65">
        <v>0</v>
      </c>
      <c r="DO32" s="66">
        <v>0</v>
      </c>
      <c r="DP32" s="1" t="s">
        <v>271</v>
      </c>
      <c r="DQ32" s="65">
        <v>4</v>
      </c>
      <c r="DR32" s="65">
        <v>0</v>
      </c>
      <c r="DS32" s="65">
        <v>2</v>
      </c>
      <c r="DT32" s="65">
        <v>3</v>
      </c>
      <c r="DU32" s="65">
        <v>0</v>
      </c>
      <c r="DV32" s="65">
        <v>2</v>
      </c>
      <c r="DW32" s="65">
        <v>0</v>
      </c>
      <c r="DX32" s="65">
        <v>0</v>
      </c>
      <c r="DY32" s="66">
        <v>3</v>
      </c>
      <c r="DZ32" s="67">
        <v>8</v>
      </c>
      <c r="EA32" s="68">
        <v>1</v>
      </c>
      <c r="EB32" s="68">
        <v>0</v>
      </c>
      <c r="EC32" s="69">
        <v>1</v>
      </c>
      <c r="ED32" s="68">
        <v>1</v>
      </c>
      <c r="EE32" s="70">
        <v>0</v>
      </c>
      <c r="EF32" s="71">
        <v>0</v>
      </c>
      <c r="EG32" s="72">
        <v>0</v>
      </c>
      <c r="EH32" s="72">
        <v>0</v>
      </c>
      <c r="EI32" s="72">
        <v>1</v>
      </c>
      <c r="EJ32" s="72">
        <v>0</v>
      </c>
      <c r="EK32" s="72">
        <v>0</v>
      </c>
      <c r="EL32" s="72">
        <v>2</v>
      </c>
      <c r="EM32" s="72">
        <v>0</v>
      </c>
      <c r="EN32" s="72">
        <v>1</v>
      </c>
      <c r="EO32" s="72"/>
      <c r="EP32" s="72"/>
      <c r="EQ32" s="72"/>
      <c r="ER32" s="72"/>
      <c r="ES32" s="44">
        <f t="shared" si="0"/>
        <v>4</v>
      </c>
      <c r="ET32" s="43">
        <v>0</v>
      </c>
      <c r="EU32" s="43">
        <v>0</v>
      </c>
      <c r="EV32" s="43">
        <v>0</v>
      </c>
      <c r="EW32" s="43">
        <v>0</v>
      </c>
      <c r="EX32" s="43">
        <v>0</v>
      </c>
      <c r="EY32" s="43">
        <v>0</v>
      </c>
      <c r="EZ32" s="43">
        <v>0</v>
      </c>
      <c r="FA32" s="43">
        <v>1</v>
      </c>
      <c r="FB32" s="43">
        <v>0</v>
      </c>
      <c r="FC32" s="43"/>
      <c r="FD32" s="43"/>
      <c r="FE32" s="43"/>
      <c r="FF32" s="43"/>
      <c r="FG32" s="43">
        <f t="shared" si="1"/>
        <v>1</v>
      </c>
      <c r="FH32" s="73">
        <v>31</v>
      </c>
      <c r="FI32" s="73">
        <v>4</v>
      </c>
      <c r="FJ32" s="73">
        <v>5</v>
      </c>
      <c r="FK32" s="73">
        <v>4</v>
      </c>
      <c r="FL32" s="73">
        <v>7</v>
      </c>
      <c r="FM32" s="73">
        <v>10</v>
      </c>
      <c r="FN32" s="73">
        <f t="shared" si="2"/>
        <v>0</v>
      </c>
      <c r="FO32" s="73">
        <f t="shared" si="3"/>
        <v>0</v>
      </c>
      <c r="FP32" s="73">
        <f t="shared" si="4"/>
        <v>0</v>
      </c>
      <c r="FQ32" s="73">
        <f t="shared" si="5"/>
        <v>0</v>
      </c>
      <c r="FR32" s="73">
        <f t="shared" si="6"/>
        <v>0</v>
      </c>
      <c r="FS32" s="73">
        <f t="shared" si="7"/>
        <v>0</v>
      </c>
      <c r="FT32" s="73">
        <f t="shared" si="8"/>
        <v>0</v>
      </c>
      <c r="FU32" s="73">
        <f t="shared" si="9"/>
        <v>0</v>
      </c>
      <c r="FV32" s="73">
        <f t="shared" si="10"/>
        <v>0</v>
      </c>
      <c r="FW32" s="73">
        <f t="shared" si="11"/>
        <v>0</v>
      </c>
      <c r="FX32" s="73">
        <f t="shared" si="12"/>
        <v>0</v>
      </c>
      <c r="FY32" s="73">
        <f t="shared" si="13"/>
        <v>1</v>
      </c>
      <c r="FZ32" s="73">
        <f t="shared" si="14"/>
        <v>0</v>
      </c>
      <c r="GA32" s="73">
        <f t="shared" si="15"/>
        <v>0</v>
      </c>
      <c r="GB32" s="73">
        <f t="shared" si="16"/>
        <v>2</v>
      </c>
      <c r="GC32" s="73">
        <f t="shared" si="17"/>
        <v>-1</v>
      </c>
      <c r="GD32" s="73">
        <f t="shared" si="18"/>
        <v>1</v>
      </c>
      <c r="GE32" s="73">
        <f t="shared" si="19"/>
        <v>0</v>
      </c>
      <c r="GF32" s="73">
        <f t="shared" si="20"/>
        <v>0</v>
      </c>
      <c r="GG32" s="73">
        <f t="shared" si="21"/>
        <v>0</v>
      </c>
      <c r="GH32" s="73">
        <f t="shared" si="22"/>
        <v>0</v>
      </c>
      <c r="GI32" s="73">
        <f t="shared" si="23"/>
        <v>3</v>
      </c>
      <c r="GJ32" s="38"/>
      <c r="GK32" s="367" t="s">
        <v>694</v>
      </c>
      <c r="GL32" s="376" t="s">
        <v>694</v>
      </c>
      <c r="GM32" s="376" t="s">
        <v>692</v>
      </c>
      <c r="GP32" s="52"/>
    </row>
    <row r="33" spans="1:198" ht="15" customHeight="1" x14ac:dyDescent="0.25">
      <c r="A33" s="53">
        <v>40306</v>
      </c>
      <c r="B33" s="53" t="s">
        <v>133</v>
      </c>
      <c r="C33" s="53" t="s">
        <v>131</v>
      </c>
      <c r="D33" s="53" t="s">
        <v>137</v>
      </c>
      <c r="E33" s="54">
        <v>15493</v>
      </c>
      <c r="F33" s="62">
        <v>151</v>
      </c>
      <c r="G33" s="58">
        <v>5</v>
      </c>
      <c r="H33" s="89" t="s">
        <v>393</v>
      </c>
      <c r="I33" s="6">
        <v>0</v>
      </c>
      <c r="J33" s="6">
        <v>1</v>
      </c>
      <c r="K33" s="60">
        <v>5</v>
      </c>
      <c r="L33" s="6">
        <v>6</v>
      </c>
      <c r="M33" s="6">
        <v>3</v>
      </c>
      <c r="N33" s="6">
        <v>3</v>
      </c>
      <c r="O33" s="6">
        <v>2</v>
      </c>
      <c r="P33" s="6">
        <v>3</v>
      </c>
      <c r="Q33" s="6">
        <v>0</v>
      </c>
      <c r="R33" s="6">
        <v>0</v>
      </c>
      <c r="S33" s="6">
        <v>23</v>
      </c>
      <c r="T33" s="6">
        <v>99</v>
      </c>
      <c r="U33" s="6">
        <v>59</v>
      </c>
      <c r="V33" s="6">
        <v>0</v>
      </c>
      <c r="W33" s="61">
        <v>0</v>
      </c>
      <c r="X33" s="62">
        <v>0</v>
      </c>
      <c r="Y33" s="62">
        <v>0</v>
      </c>
      <c r="Z33" s="62">
        <v>0</v>
      </c>
      <c r="AA33" s="62">
        <v>0</v>
      </c>
      <c r="AB33" s="62">
        <v>0</v>
      </c>
      <c r="AC33" s="63">
        <v>3</v>
      </c>
      <c r="AD33" s="62">
        <v>3</v>
      </c>
      <c r="AE33" s="62">
        <v>1</v>
      </c>
      <c r="AF33" s="62">
        <v>1</v>
      </c>
      <c r="AG33" s="62">
        <v>0</v>
      </c>
      <c r="AH33" s="62">
        <v>1</v>
      </c>
      <c r="AI33" s="62">
        <v>0</v>
      </c>
      <c r="AJ33" s="62">
        <v>0</v>
      </c>
      <c r="AK33" s="62">
        <v>11</v>
      </c>
      <c r="AL33" s="62">
        <v>37</v>
      </c>
      <c r="AM33" s="62">
        <v>25</v>
      </c>
      <c r="AN33" s="1" t="s">
        <v>384</v>
      </c>
      <c r="AO33" s="65">
        <v>4</v>
      </c>
      <c r="AP33" s="65">
        <v>0</v>
      </c>
      <c r="AQ33" s="65">
        <v>1</v>
      </c>
      <c r="AR33" s="65">
        <v>1</v>
      </c>
      <c r="AS33" s="65">
        <v>0</v>
      </c>
      <c r="AT33" s="65">
        <v>0</v>
      </c>
      <c r="AU33" s="65">
        <v>0</v>
      </c>
      <c r="AV33" s="65">
        <v>0</v>
      </c>
      <c r="AW33" s="66">
        <v>2</v>
      </c>
      <c r="AX33" s="1" t="s">
        <v>391</v>
      </c>
      <c r="AY33" s="65">
        <v>4</v>
      </c>
      <c r="AZ33" s="65">
        <v>0</v>
      </c>
      <c r="BA33" s="65">
        <v>0</v>
      </c>
      <c r="BB33" s="65">
        <v>0</v>
      </c>
      <c r="BC33" s="65">
        <v>0</v>
      </c>
      <c r="BD33" s="65">
        <v>2</v>
      </c>
      <c r="BE33" s="65">
        <v>0</v>
      </c>
      <c r="BF33" s="65">
        <v>0</v>
      </c>
      <c r="BG33" s="66">
        <v>0</v>
      </c>
      <c r="BH33" s="1" t="s">
        <v>389</v>
      </c>
      <c r="BI33" s="65">
        <v>4</v>
      </c>
      <c r="BJ33" s="65">
        <v>0</v>
      </c>
      <c r="BK33" s="65">
        <v>1</v>
      </c>
      <c r="BL33" s="65">
        <v>0</v>
      </c>
      <c r="BM33" s="65">
        <v>0</v>
      </c>
      <c r="BN33" s="65">
        <v>1</v>
      </c>
      <c r="BO33" s="65">
        <v>0</v>
      </c>
      <c r="BP33" s="65">
        <v>0</v>
      </c>
      <c r="BQ33" s="66">
        <v>1</v>
      </c>
      <c r="BR33" s="1" t="s">
        <v>390</v>
      </c>
      <c r="BS33" s="65">
        <v>4</v>
      </c>
      <c r="BT33" s="65">
        <v>0</v>
      </c>
      <c r="BU33" s="65">
        <v>0</v>
      </c>
      <c r="BV33" s="65">
        <v>0</v>
      </c>
      <c r="BW33" s="65">
        <v>0</v>
      </c>
      <c r="BX33" s="65">
        <v>1</v>
      </c>
      <c r="BY33" s="65">
        <v>0</v>
      </c>
      <c r="BZ33" s="65">
        <v>0</v>
      </c>
      <c r="CA33" s="66">
        <v>0</v>
      </c>
      <c r="CB33" s="1" t="s">
        <v>274</v>
      </c>
      <c r="CC33" s="65">
        <v>4</v>
      </c>
      <c r="CD33" s="65">
        <v>0</v>
      </c>
      <c r="CE33" s="65">
        <v>0</v>
      </c>
      <c r="CF33" s="65">
        <v>0</v>
      </c>
      <c r="CG33" s="65">
        <v>0</v>
      </c>
      <c r="CH33" s="65">
        <v>2</v>
      </c>
      <c r="CI33" s="65">
        <v>0</v>
      </c>
      <c r="CJ33" s="65">
        <v>0</v>
      </c>
      <c r="CK33" s="66">
        <v>0</v>
      </c>
      <c r="CL33" s="1" t="s">
        <v>273</v>
      </c>
      <c r="CM33" s="65">
        <v>4</v>
      </c>
      <c r="CN33" s="65">
        <v>1</v>
      </c>
      <c r="CO33" s="65">
        <v>1</v>
      </c>
      <c r="CP33" s="65">
        <v>0</v>
      </c>
      <c r="CQ33" s="65">
        <v>0</v>
      </c>
      <c r="CR33" s="65">
        <v>2</v>
      </c>
      <c r="CS33" s="65">
        <v>0</v>
      </c>
      <c r="CT33" s="65">
        <v>0</v>
      </c>
      <c r="CU33" s="66">
        <v>1</v>
      </c>
      <c r="CV33" s="1" t="s">
        <v>408</v>
      </c>
      <c r="CW33" s="65">
        <v>3</v>
      </c>
      <c r="CX33" s="65">
        <v>0</v>
      </c>
      <c r="CY33" s="65">
        <v>0</v>
      </c>
      <c r="CZ33" s="65">
        <v>0</v>
      </c>
      <c r="DA33" s="65">
        <v>1</v>
      </c>
      <c r="DB33" s="65">
        <v>1</v>
      </c>
      <c r="DC33" s="65">
        <v>0</v>
      </c>
      <c r="DD33" s="65">
        <v>0</v>
      </c>
      <c r="DE33" s="66">
        <v>0</v>
      </c>
      <c r="DF33" s="1" t="s">
        <v>275</v>
      </c>
      <c r="DG33" s="65">
        <v>3</v>
      </c>
      <c r="DH33" s="65">
        <v>1</v>
      </c>
      <c r="DI33" s="65">
        <v>1</v>
      </c>
      <c r="DJ33" s="65">
        <v>1</v>
      </c>
      <c r="DK33" s="65">
        <v>1</v>
      </c>
      <c r="DL33" s="65">
        <v>0</v>
      </c>
      <c r="DM33" s="65">
        <v>0</v>
      </c>
      <c r="DN33" s="65">
        <v>0</v>
      </c>
      <c r="DO33" s="66">
        <v>1</v>
      </c>
      <c r="DP33" s="1" t="s">
        <v>385</v>
      </c>
      <c r="DQ33" s="65">
        <v>2</v>
      </c>
      <c r="DR33" s="65">
        <v>0</v>
      </c>
      <c r="DS33" s="65">
        <v>1</v>
      </c>
      <c r="DT33" s="65">
        <v>0</v>
      </c>
      <c r="DU33" s="65">
        <v>1</v>
      </c>
      <c r="DV33" s="65">
        <v>1</v>
      </c>
      <c r="DW33" s="65">
        <v>0</v>
      </c>
      <c r="DX33" s="65">
        <v>0</v>
      </c>
      <c r="DY33" s="66">
        <v>2</v>
      </c>
      <c r="DZ33" s="67">
        <f>1/3</f>
        <v>0.33333333333333331</v>
      </c>
      <c r="EA33" s="68">
        <v>0</v>
      </c>
      <c r="EB33" s="68">
        <v>0</v>
      </c>
      <c r="EC33" s="69">
        <f>8+2/3</f>
        <v>8.6666666666666661</v>
      </c>
      <c r="ED33" s="68">
        <v>1</v>
      </c>
      <c r="EE33" s="70">
        <v>0</v>
      </c>
      <c r="EF33" s="71">
        <v>0</v>
      </c>
      <c r="EG33" s="72">
        <v>2</v>
      </c>
      <c r="EH33" s="72">
        <v>0</v>
      </c>
      <c r="EI33" s="72">
        <v>0</v>
      </c>
      <c r="EJ33" s="72">
        <v>0</v>
      </c>
      <c r="EK33" s="72">
        <v>0</v>
      </c>
      <c r="EL33" s="72">
        <v>0</v>
      </c>
      <c r="EM33" s="72">
        <v>0</v>
      </c>
      <c r="EN33" s="72">
        <v>0</v>
      </c>
      <c r="EO33" s="72"/>
      <c r="EP33" s="72"/>
      <c r="EQ33" s="72"/>
      <c r="ER33" s="72"/>
      <c r="ES33" s="44">
        <f t="shared" si="0"/>
        <v>2</v>
      </c>
      <c r="ET33" s="43">
        <v>2</v>
      </c>
      <c r="EU33" s="43">
        <v>1</v>
      </c>
      <c r="EV33" s="43">
        <v>0</v>
      </c>
      <c r="EW33" s="43">
        <v>0</v>
      </c>
      <c r="EX33" s="43">
        <v>0</v>
      </c>
      <c r="EY33" s="43">
        <v>0</v>
      </c>
      <c r="EZ33" s="43">
        <v>1</v>
      </c>
      <c r="FA33" s="43">
        <v>0</v>
      </c>
      <c r="FB33" s="43"/>
      <c r="FC33" s="43"/>
      <c r="FD33" s="43"/>
      <c r="FE33" s="43"/>
      <c r="FF33" s="43"/>
      <c r="FG33" s="43">
        <f t="shared" si="1"/>
        <v>4</v>
      </c>
      <c r="FH33" s="73">
        <v>32</v>
      </c>
      <c r="FI33" s="73">
        <v>2</v>
      </c>
      <c r="FJ33" s="73">
        <v>5</v>
      </c>
      <c r="FK33" s="73">
        <v>2</v>
      </c>
      <c r="FL33" s="73">
        <v>3</v>
      </c>
      <c r="FM33" s="73">
        <v>10</v>
      </c>
      <c r="FN33" s="73">
        <f t="shared" si="2"/>
        <v>0</v>
      </c>
      <c r="FO33" s="73">
        <f t="shared" si="3"/>
        <v>0</v>
      </c>
      <c r="FP33" s="73">
        <f t="shared" si="4"/>
        <v>0</v>
      </c>
      <c r="FQ33" s="73">
        <f t="shared" si="5"/>
        <v>0</v>
      </c>
      <c r="FR33" s="73">
        <f t="shared" si="6"/>
        <v>0</v>
      </c>
      <c r="FS33" s="73">
        <f t="shared" si="7"/>
        <v>0</v>
      </c>
      <c r="FT33" s="73">
        <f t="shared" si="8"/>
        <v>0</v>
      </c>
      <c r="FU33" s="73">
        <f t="shared" si="9"/>
        <v>0</v>
      </c>
      <c r="FV33" s="73">
        <f t="shared" si="10"/>
        <v>-2</v>
      </c>
      <c r="FW33" s="73">
        <f t="shared" si="11"/>
        <v>1</v>
      </c>
      <c r="FX33" s="73">
        <f t="shared" si="12"/>
        <v>0</v>
      </c>
      <c r="FY33" s="73">
        <f t="shared" si="13"/>
        <v>0</v>
      </c>
      <c r="FZ33" s="73">
        <f t="shared" si="14"/>
        <v>0</v>
      </c>
      <c r="GA33" s="73">
        <f t="shared" si="15"/>
        <v>0</v>
      </c>
      <c r="GB33" s="73">
        <f t="shared" si="16"/>
        <v>-1</v>
      </c>
      <c r="GC33" s="73">
        <f t="shared" si="17"/>
        <v>0</v>
      </c>
      <c r="GD33" s="73">
        <f t="shared" si="18"/>
        <v>0</v>
      </c>
      <c r="GE33" s="73">
        <f t="shared" si="19"/>
        <v>0</v>
      </c>
      <c r="GF33" s="73">
        <f t="shared" si="20"/>
        <v>0</v>
      </c>
      <c r="GG33" s="73">
        <f t="shared" si="21"/>
        <v>0</v>
      </c>
      <c r="GH33" s="73">
        <f t="shared" si="22"/>
        <v>0</v>
      </c>
      <c r="GI33" s="73">
        <f t="shared" si="23"/>
        <v>-2</v>
      </c>
      <c r="GJ33" s="38"/>
      <c r="GK33" s="367" t="s">
        <v>694</v>
      </c>
      <c r="GL33" s="376" t="s">
        <v>694</v>
      </c>
      <c r="GM33" s="376" t="s">
        <v>692</v>
      </c>
      <c r="GP33" s="52"/>
    </row>
    <row r="34" spans="1:198" ht="15" customHeight="1" x14ac:dyDescent="0.25">
      <c r="A34" s="53">
        <v>40307</v>
      </c>
      <c r="B34" s="53" t="s">
        <v>133</v>
      </c>
      <c r="C34" s="53" t="s">
        <v>131</v>
      </c>
      <c r="D34" s="53" t="s">
        <v>137</v>
      </c>
      <c r="E34" s="54">
        <v>12228</v>
      </c>
      <c r="F34" s="62">
        <v>127</v>
      </c>
      <c r="G34" s="58">
        <v>1</v>
      </c>
      <c r="H34" s="59" t="s">
        <v>392</v>
      </c>
      <c r="I34" s="6">
        <v>0</v>
      </c>
      <c r="J34" s="6">
        <v>1</v>
      </c>
      <c r="K34" s="60">
        <v>6</v>
      </c>
      <c r="L34" s="6">
        <v>11</v>
      </c>
      <c r="M34" s="6">
        <v>4</v>
      </c>
      <c r="N34" s="6">
        <v>2</v>
      </c>
      <c r="O34" s="6">
        <v>1</v>
      </c>
      <c r="P34" s="6">
        <v>6</v>
      </c>
      <c r="Q34" s="6">
        <v>0</v>
      </c>
      <c r="R34" s="6">
        <v>0</v>
      </c>
      <c r="S34" s="6">
        <v>30</v>
      </c>
      <c r="T34" s="6">
        <v>108</v>
      </c>
      <c r="U34" s="6">
        <v>72</v>
      </c>
      <c r="V34" s="6">
        <v>0</v>
      </c>
      <c r="W34" s="61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3">
        <v>2</v>
      </c>
      <c r="AD34" s="62">
        <v>1</v>
      </c>
      <c r="AE34" s="62">
        <v>0</v>
      </c>
      <c r="AF34" s="62">
        <v>0</v>
      </c>
      <c r="AG34" s="62">
        <v>1</v>
      </c>
      <c r="AH34" s="62">
        <v>3</v>
      </c>
      <c r="AI34" s="62">
        <v>0</v>
      </c>
      <c r="AJ34" s="62">
        <v>0</v>
      </c>
      <c r="AK34" s="62">
        <v>8</v>
      </c>
      <c r="AL34" s="62">
        <v>32</v>
      </c>
      <c r="AM34" s="62">
        <v>20</v>
      </c>
      <c r="AN34" s="1" t="s">
        <v>384</v>
      </c>
      <c r="AO34" s="65">
        <v>3</v>
      </c>
      <c r="AP34" s="65">
        <v>0</v>
      </c>
      <c r="AQ34" s="65">
        <v>0</v>
      </c>
      <c r="AR34" s="65">
        <v>0</v>
      </c>
      <c r="AS34" s="65">
        <v>0</v>
      </c>
      <c r="AT34" s="65">
        <v>0</v>
      </c>
      <c r="AU34" s="65">
        <v>0</v>
      </c>
      <c r="AV34" s="65">
        <v>0</v>
      </c>
      <c r="AW34" s="66">
        <v>0</v>
      </c>
      <c r="AX34" s="1" t="s">
        <v>391</v>
      </c>
      <c r="AY34" s="65">
        <v>3</v>
      </c>
      <c r="AZ34" s="65">
        <v>0</v>
      </c>
      <c r="BA34" s="65">
        <v>0</v>
      </c>
      <c r="BB34" s="65">
        <v>0</v>
      </c>
      <c r="BC34" s="65">
        <v>0</v>
      </c>
      <c r="BD34" s="65">
        <v>1</v>
      </c>
      <c r="BE34" s="65">
        <v>0</v>
      </c>
      <c r="BF34" s="65">
        <v>0</v>
      </c>
      <c r="BG34" s="66">
        <v>0</v>
      </c>
      <c r="BH34" s="1" t="s">
        <v>389</v>
      </c>
      <c r="BI34" s="65">
        <v>3</v>
      </c>
      <c r="BJ34" s="65">
        <v>0</v>
      </c>
      <c r="BK34" s="65">
        <v>0</v>
      </c>
      <c r="BL34" s="65">
        <v>0</v>
      </c>
      <c r="BM34" s="65">
        <v>0</v>
      </c>
      <c r="BN34" s="65">
        <v>0</v>
      </c>
      <c r="BO34" s="65">
        <v>0</v>
      </c>
      <c r="BP34" s="65">
        <v>0</v>
      </c>
      <c r="BQ34" s="66">
        <v>0</v>
      </c>
      <c r="BR34" s="1" t="s">
        <v>390</v>
      </c>
      <c r="BS34" s="65">
        <v>3</v>
      </c>
      <c r="BT34" s="65">
        <v>0</v>
      </c>
      <c r="BU34" s="65">
        <v>0</v>
      </c>
      <c r="BV34" s="65">
        <v>0</v>
      </c>
      <c r="BW34" s="65">
        <v>0</v>
      </c>
      <c r="BX34" s="65">
        <v>1</v>
      </c>
      <c r="BY34" s="65">
        <v>0</v>
      </c>
      <c r="BZ34" s="65">
        <v>0</v>
      </c>
      <c r="CA34" s="66">
        <v>0</v>
      </c>
      <c r="CB34" s="1" t="s">
        <v>274</v>
      </c>
      <c r="CC34" s="65">
        <v>3</v>
      </c>
      <c r="CD34" s="65">
        <v>0</v>
      </c>
      <c r="CE34" s="65">
        <v>0</v>
      </c>
      <c r="CF34" s="65">
        <v>0</v>
      </c>
      <c r="CG34" s="65">
        <v>0</v>
      </c>
      <c r="CH34" s="65">
        <v>0</v>
      </c>
      <c r="CI34" s="65">
        <v>0</v>
      </c>
      <c r="CJ34" s="65">
        <v>0</v>
      </c>
      <c r="CK34" s="66">
        <v>0</v>
      </c>
      <c r="CL34" s="1" t="s">
        <v>273</v>
      </c>
      <c r="CM34" s="65">
        <v>3</v>
      </c>
      <c r="CN34" s="65">
        <v>0</v>
      </c>
      <c r="CO34" s="65">
        <v>0</v>
      </c>
      <c r="CP34" s="65">
        <v>0</v>
      </c>
      <c r="CQ34" s="65">
        <v>0</v>
      </c>
      <c r="CR34" s="65">
        <v>2</v>
      </c>
      <c r="CS34" s="65">
        <v>0</v>
      </c>
      <c r="CT34" s="65">
        <v>0</v>
      </c>
      <c r="CU34" s="66">
        <v>0</v>
      </c>
      <c r="CV34" s="1" t="s">
        <v>272</v>
      </c>
      <c r="CW34" s="65">
        <v>3</v>
      </c>
      <c r="CX34" s="65">
        <v>0</v>
      </c>
      <c r="CY34" s="65">
        <v>0</v>
      </c>
      <c r="CZ34" s="65">
        <v>0</v>
      </c>
      <c r="DA34" s="65">
        <v>0</v>
      </c>
      <c r="DB34" s="65">
        <v>2</v>
      </c>
      <c r="DC34" s="65">
        <v>0</v>
      </c>
      <c r="DD34" s="65">
        <v>0</v>
      </c>
      <c r="DE34" s="66">
        <v>0</v>
      </c>
      <c r="DF34" s="1" t="s">
        <v>406</v>
      </c>
      <c r="DG34" s="65">
        <v>3</v>
      </c>
      <c r="DH34" s="65">
        <v>0</v>
      </c>
      <c r="DI34" s="65">
        <v>0</v>
      </c>
      <c r="DJ34" s="65">
        <v>0</v>
      </c>
      <c r="DK34" s="65">
        <v>0</v>
      </c>
      <c r="DL34" s="65">
        <v>0</v>
      </c>
      <c r="DM34" s="65">
        <v>0</v>
      </c>
      <c r="DN34" s="65">
        <v>0</v>
      </c>
      <c r="DO34" s="66">
        <v>0</v>
      </c>
      <c r="DP34" s="1" t="s">
        <v>386</v>
      </c>
      <c r="DQ34" s="65">
        <v>3</v>
      </c>
      <c r="DR34" s="65">
        <v>0</v>
      </c>
      <c r="DS34" s="65">
        <v>0</v>
      </c>
      <c r="DT34" s="65">
        <v>0</v>
      </c>
      <c r="DU34" s="65">
        <v>0</v>
      </c>
      <c r="DV34" s="65">
        <v>0</v>
      </c>
      <c r="DW34" s="65">
        <v>0</v>
      </c>
      <c r="DX34" s="65">
        <v>0</v>
      </c>
      <c r="DY34" s="66">
        <v>0</v>
      </c>
      <c r="DZ34" s="67">
        <v>9</v>
      </c>
      <c r="EA34" s="68">
        <v>0</v>
      </c>
      <c r="EB34" s="68">
        <v>0</v>
      </c>
      <c r="EC34" s="69">
        <v>0</v>
      </c>
      <c r="ED34" s="68">
        <v>0</v>
      </c>
      <c r="EE34" s="70">
        <v>0</v>
      </c>
      <c r="EF34" s="71">
        <v>0</v>
      </c>
      <c r="EG34" s="72">
        <v>0</v>
      </c>
      <c r="EH34" s="72">
        <v>0</v>
      </c>
      <c r="EI34" s="72">
        <v>0</v>
      </c>
      <c r="EJ34" s="72">
        <v>0</v>
      </c>
      <c r="EK34" s="72">
        <v>0</v>
      </c>
      <c r="EL34" s="72">
        <v>0</v>
      </c>
      <c r="EM34" s="72">
        <v>0</v>
      </c>
      <c r="EN34" s="72">
        <v>0</v>
      </c>
      <c r="EO34" s="72"/>
      <c r="EP34" s="72"/>
      <c r="EQ34" s="72"/>
      <c r="ER34" s="72"/>
      <c r="ES34" s="44">
        <f t="shared" si="0"/>
        <v>0</v>
      </c>
      <c r="ET34" s="43">
        <v>0</v>
      </c>
      <c r="EU34" s="43">
        <v>1</v>
      </c>
      <c r="EV34" s="43">
        <v>1</v>
      </c>
      <c r="EW34" s="43">
        <v>2</v>
      </c>
      <c r="EX34" s="43">
        <v>0</v>
      </c>
      <c r="EY34" s="43">
        <v>0</v>
      </c>
      <c r="EZ34" s="43">
        <v>0</v>
      </c>
      <c r="FA34" s="43">
        <v>0</v>
      </c>
      <c r="FB34" s="43"/>
      <c r="FC34" s="43"/>
      <c r="FD34" s="43"/>
      <c r="FE34" s="43"/>
      <c r="FF34" s="43"/>
      <c r="FG34" s="43">
        <f t="shared" si="1"/>
        <v>4</v>
      </c>
      <c r="FH34" s="73">
        <v>27</v>
      </c>
      <c r="FI34" s="73">
        <v>0</v>
      </c>
      <c r="FJ34" s="73">
        <v>0</v>
      </c>
      <c r="FK34" s="73">
        <v>0</v>
      </c>
      <c r="FL34" s="73">
        <v>0</v>
      </c>
      <c r="FM34" s="73">
        <v>6</v>
      </c>
      <c r="FN34" s="73">
        <f t="shared" si="2"/>
        <v>0</v>
      </c>
      <c r="FO34" s="73">
        <f t="shared" si="3"/>
        <v>0</v>
      </c>
      <c r="FP34" s="73">
        <f t="shared" si="4"/>
        <v>0</v>
      </c>
      <c r="FQ34" s="73">
        <f t="shared" si="5"/>
        <v>0</v>
      </c>
      <c r="FR34" s="73">
        <f t="shared" si="6"/>
        <v>0</v>
      </c>
      <c r="FS34" s="73">
        <f t="shared" si="7"/>
        <v>0</v>
      </c>
      <c r="FT34" s="73">
        <f t="shared" si="8"/>
        <v>0</v>
      </c>
      <c r="FU34" s="73">
        <f t="shared" si="9"/>
        <v>0</v>
      </c>
      <c r="FV34" s="73">
        <f t="shared" si="10"/>
        <v>0</v>
      </c>
      <c r="FW34" s="73">
        <f t="shared" si="11"/>
        <v>-1</v>
      </c>
      <c r="FX34" s="73">
        <f t="shared" si="12"/>
        <v>-1</v>
      </c>
      <c r="FY34" s="73">
        <f t="shared" si="13"/>
        <v>-2</v>
      </c>
      <c r="FZ34" s="73">
        <f t="shared" si="14"/>
        <v>0</v>
      </c>
      <c r="GA34" s="73">
        <f t="shared" si="15"/>
        <v>0</v>
      </c>
      <c r="GB34" s="73">
        <f t="shared" si="16"/>
        <v>0</v>
      </c>
      <c r="GC34" s="73">
        <f t="shared" si="17"/>
        <v>0</v>
      </c>
      <c r="GD34" s="73">
        <f t="shared" si="18"/>
        <v>0</v>
      </c>
      <c r="GE34" s="73">
        <f t="shared" si="19"/>
        <v>0</v>
      </c>
      <c r="GF34" s="73">
        <f t="shared" si="20"/>
        <v>0</v>
      </c>
      <c r="GG34" s="73">
        <f t="shared" si="21"/>
        <v>0</v>
      </c>
      <c r="GH34" s="73">
        <f t="shared" si="22"/>
        <v>0</v>
      </c>
      <c r="GI34" s="73">
        <f t="shared" si="23"/>
        <v>-4</v>
      </c>
      <c r="GJ34" s="38"/>
      <c r="GK34" s="367"/>
      <c r="GL34" s="376"/>
      <c r="GM34" s="376"/>
      <c r="GP34" s="52"/>
    </row>
    <row r="35" spans="1:198" x14ac:dyDescent="0.25">
      <c r="A35" s="53">
        <v>40308</v>
      </c>
      <c r="B35" s="53" t="s">
        <v>133</v>
      </c>
      <c r="C35" s="53" t="s">
        <v>131</v>
      </c>
      <c r="D35" s="53" t="s">
        <v>140</v>
      </c>
      <c r="E35" s="54">
        <v>36798</v>
      </c>
      <c r="F35" s="62">
        <v>244</v>
      </c>
      <c r="G35" s="58">
        <v>2</v>
      </c>
      <c r="H35" s="89" t="s">
        <v>396</v>
      </c>
      <c r="I35" s="6">
        <v>0</v>
      </c>
      <c r="J35" s="6">
        <v>0</v>
      </c>
      <c r="K35" s="60">
        <f>7+(2/3)</f>
        <v>7.666666666666667</v>
      </c>
      <c r="L35" s="6">
        <v>7</v>
      </c>
      <c r="M35" s="6">
        <v>4</v>
      </c>
      <c r="N35" s="6">
        <v>4</v>
      </c>
      <c r="O35" s="6">
        <v>1</v>
      </c>
      <c r="P35" s="6">
        <v>7</v>
      </c>
      <c r="Q35" s="6">
        <v>2</v>
      </c>
      <c r="R35" s="6">
        <v>1</v>
      </c>
      <c r="S35" s="6">
        <v>32</v>
      </c>
      <c r="T35" s="6">
        <v>117</v>
      </c>
      <c r="U35" s="6">
        <v>74</v>
      </c>
      <c r="V35" s="6">
        <v>1</v>
      </c>
      <c r="W35" s="61">
        <v>0</v>
      </c>
      <c r="X35" s="62">
        <v>0</v>
      </c>
      <c r="Y35" s="62">
        <v>1</v>
      </c>
      <c r="Z35" s="62">
        <v>0</v>
      </c>
      <c r="AA35" s="62">
        <v>0</v>
      </c>
      <c r="AB35" s="62">
        <v>0</v>
      </c>
      <c r="AC35" s="63">
        <v>3</v>
      </c>
      <c r="AD35" s="62">
        <v>1</v>
      </c>
      <c r="AE35" s="62">
        <v>1</v>
      </c>
      <c r="AF35" s="62">
        <v>1</v>
      </c>
      <c r="AG35" s="62">
        <v>0</v>
      </c>
      <c r="AH35" s="62">
        <v>3</v>
      </c>
      <c r="AI35" s="62">
        <v>0</v>
      </c>
      <c r="AJ35" s="62">
        <v>0</v>
      </c>
      <c r="AK35" s="62">
        <v>10</v>
      </c>
      <c r="AL35" s="62">
        <v>46</v>
      </c>
      <c r="AM35" s="62">
        <v>31</v>
      </c>
      <c r="AN35" s="1" t="s">
        <v>384</v>
      </c>
      <c r="AO35" s="65">
        <v>5</v>
      </c>
      <c r="AP35" s="65">
        <v>1</v>
      </c>
      <c r="AQ35" s="65">
        <v>1</v>
      </c>
      <c r="AR35" s="65">
        <v>0</v>
      </c>
      <c r="AS35" s="65">
        <v>1</v>
      </c>
      <c r="AT35" s="65">
        <v>3</v>
      </c>
      <c r="AU35" s="65">
        <v>0</v>
      </c>
      <c r="AV35" s="65">
        <v>0</v>
      </c>
      <c r="AW35" s="66">
        <v>1</v>
      </c>
      <c r="AX35" s="1" t="s">
        <v>391</v>
      </c>
      <c r="AY35" s="65">
        <v>6</v>
      </c>
      <c r="AZ35" s="65">
        <v>0</v>
      </c>
      <c r="BA35" s="65">
        <v>1</v>
      </c>
      <c r="BB35" s="65">
        <v>0</v>
      </c>
      <c r="BC35" s="65">
        <v>0</v>
      </c>
      <c r="BD35" s="65">
        <v>2</v>
      </c>
      <c r="BE35" s="65">
        <v>0</v>
      </c>
      <c r="BF35" s="65">
        <v>0</v>
      </c>
      <c r="BG35" s="66">
        <v>1</v>
      </c>
      <c r="BH35" s="1" t="s">
        <v>389</v>
      </c>
      <c r="BI35" s="65">
        <v>4</v>
      </c>
      <c r="BJ35" s="65">
        <v>1</v>
      </c>
      <c r="BK35" s="65">
        <v>2</v>
      </c>
      <c r="BL35" s="65">
        <v>0</v>
      </c>
      <c r="BM35" s="65">
        <v>2</v>
      </c>
      <c r="BN35" s="65">
        <v>1</v>
      </c>
      <c r="BO35" s="65">
        <v>0</v>
      </c>
      <c r="BP35" s="65">
        <v>0</v>
      </c>
      <c r="BQ35" s="66">
        <v>2</v>
      </c>
      <c r="BR35" s="1" t="s">
        <v>390</v>
      </c>
      <c r="BS35" s="65">
        <v>6</v>
      </c>
      <c r="BT35" s="65">
        <v>1</v>
      </c>
      <c r="BU35" s="65">
        <v>2</v>
      </c>
      <c r="BV35" s="65">
        <v>2</v>
      </c>
      <c r="BW35" s="65">
        <v>0</v>
      </c>
      <c r="BX35" s="65">
        <v>2</v>
      </c>
      <c r="BY35" s="65">
        <v>0</v>
      </c>
      <c r="BZ35" s="65">
        <v>0</v>
      </c>
      <c r="CA35" s="66">
        <v>4</v>
      </c>
      <c r="CB35" s="1" t="s">
        <v>274</v>
      </c>
      <c r="CC35" s="65">
        <v>3</v>
      </c>
      <c r="CD35" s="65">
        <v>0</v>
      </c>
      <c r="CE35" s="65">
        <v>0</v>
      </c>
      <c r="CF35" s="65">
        <v>0</v>
      </c>
      <c r="CG35" s="65">
        <v>1</v>
      </c>
      <c r="CH35" s="65">
        <v>2</v>
      </c>
      <c r="CI35" s="65">
        <v>1</v>
      </c>
      <c r="CJ35" s="65">
        <v>0</v>
      </c>
      <c r="CK35" s="66">
        <v>0</v>
      </c>
      <c r="CL35" s="1" t="s">
        <v>275</v>
      </c>
      <c r="CM35" s="65">
        <v>5</v>
      </c>
      <c r="CN35" s="65">
        <v>0</v>
      </c>
      <c r="CO35" s="65">
        <v>3</v>
      </c>
      <c r="CP35" s="65">
        <v>1</v>
      </c>
      <c r="CQ35" s="65">
        <v>0</v>
      </c>
      <c r="CR35" s="65">
        <v>0</v>
      </c>
      <c r="CS35" s="65">
        <v>0</v>
      </c>
      <c r="CT35" s="65">
        <v>0</v>
      </c>
      <c r="CU35" s="66">
        <v>3</v>
      </c>
      <c r="CV35" s="1" t="s">
        <v>408</v>
      </c>
      <c r="CW35" s="65">
        <v>5</v>
      </c>
      <c r="CX35" s="65">
        <v>0</v>
      </c>
      <c r="CY35" s="65">
        <v>1</v>
      </c>
      <c r="CZ35" s="65">
        <v>0</v>
      </c>
      <c r="DA35" s="65">
        <v>0</v>
      </c>
      <c r="DB35" s="65">
        <v>1</v>
      </c>
      <c r="DC35" s="65">
        <v>0</v>
      </c>
      <c r="DD35" s="65">
        <v>0</v>
      </c>
      <c r="DE35" s="66">
        <v>1</v>
      </c>
      <c r="DF35" s="1" t="s">
        <v>385</v>
      </c>
      <c r="DG35" s="65">
        <v>5</v>
      </c>
      <c r="DH35" s="65">
        <v>0</v>
      </c>
      <c r="DI35" s="65">
        <v>1</v>
      </c>
      <c r="DJ35" s="65">
        <v>0</v>
      </c>
      <c r="DK35" s="65">
        <v>0</v>
      </c>
      <c r="DL35" s="65">
        <v>1</v>
      </c>
      <c r="DM35" s="65">
        <v>0</v>
      </c>
      <c r="DN35" s="65">
        <v>0</v>
      </c>
      <c r="DO35" s="66">
        <v>1</v>
      </c>
      <c r="DP35" s="1" t="s">
        <v>271</v>
      </c>
      <c r="DQ35" s="65">
        <v>5</v>
      </c>
      <c r="DR35" s="65">
        <v>1</v>
      </c>
      <c r="DS35" s="65">
        <v>1</v>
      </c>
      <c r="DT35" s="65">
        <v>1</v>
      </c>
      <c r="DU35" s="65">
        <v>0</v>
      </c>
      <c r="DV35" s="65">
        <v>0</v>
      </c>
      <c r="DW35" s="65">
        <v>0</v>
      </c>
      <c r="DX35" s="65">
        <v>0</v>
      </c>
      <c r="DY35" s="66">
        <v>4</v>
      </c>
      <c r="DZ35" s="67">
        <v>1</v>
      </c>
      <c r="EA35" s="68">
        <v>0</v>
      </c>
      <c r="EB35" s="68">
        <v>0</v>
      </c>
      <c r="EC35" s="69">
        <v>10</v>
      </c>
      <c r="ED35" s="68">
        <v>0</v>
      </c>
      <c r="EE35" s="70">
        <v>1</v>
      </c>
      <c r="EF35" s="71">
        <v>0</v>
      </c>
      <c r="EG35" s="72">
        <v>0</v>
      </c>
      <c r="EH35" s="72">
        <v>0</v>
      </c>
      <c r="EI35" s="72">
        <v>0</v>
      </c>
      <c r="EJ35" s="72">
        <v>0</v>
      </c>
      <c r="EK35" s="72">
        <v>0</v>
      </c>
      <c r="EL35" s="72">
        <v>0</v>
      </c>
      <c r="EM35" s="72">
        <v>1</v>
      </c>
      <c r="EN35" s="72">
        <v>3</v>
      </c>
      <c r="EO35" s="72">
        <v>0</v>
      </c>
      <c r="EP35" s="72">
        <v>0</v>
      </c>
      <c r="EQ35" s="72"/>
      <c r="ER35" s="72"/>
      <c r="ES35" s="44">
        <f t="shared" si="0"/>
        <v>4</v>
      </c>
      <c r="ET35" s="43">
        <v>1</v>
      </c>
      <c r="EU35" s="43">
        <v>0</v>
      </c>
      <c r="EV35" s="43">
        <v>1</v>
      </c>
      <c r="EW35" s="43">
        <v>2</v>
      </c>
      <c r="EX35" s="43">
        <v>0</v>
      </c>
      <c r="EY35" s="43">
        <v>0</v>
      </c>
      <c r="EZ35" s="43">
        <v>0</v>
      </c>
      <c r="FA35" s="43">
        <v>0</v>
      </c>
      <c r="FB35" s="43">
        <v>0</v>
      </c>
      <c r="FC35" s="43">
        <v>0</v>
      </c>
      <c r="FD35" s="43">
        <v>1</v>
      </c>
      <c r="FE35" s="43"/>
      <c r="FF35" s="43"/>
      <c r="FG35" s="43">
        <f t="shared" si="1"/>
        <v>5</v>
      </c>
      <c r="FH35" s="73">
        <v>44</v>
      </c>
      <c r="FI35" s="73">
        <v>4</v>
      </c>
      <c r="FJ35" s="73">
        <v>12</v>
      </c>
      <c r="FK35" s="73">
        <v>4</v>
      </c>
      <c r="FL35" s="73">
        <v>4</v>
      </c>
      <c r="FM35" s="73">
        <v>12</v>
      </c>
      <c r="FN35" s="73">
        <f t="shared" si="2"/>
        <v>0</v>
      </c>
      <c r="FO35" s="73">
        <f t="shared" si="3"/>
        <v>0</v>
      </c>
      <c r="FP35" s="73">
        <f t="shared" si="4"/>
        <v>0</v>
      </c>
      <c r="FQ35" s="73">
        <f t="shared" si="5"/>
        <v>0</v>
      </c>
      <c r="FR35" s="73">
        <f t="shared" si="6"/>
        <v>0</v>
      </c>
      <c r="FS35" s="73">
        <f t="shared" si="7"/>
        <v>0</v>
      </c>
      <c r="FT35" s="73">
        <f t="shared" si="8"/>
        <v>0</v>
      </c>
      <c r="FU35" s="73">
        <f t="shared" si="9"/>
        <v>0</v>
      </c>
      <c r="FV35" s="73">
        <f t="shared" si="10"/>
        <v>-1</v>
      </c>
      <c r="FW35" s="73">
        <f t="shared" si="11"/>
        <v>0</v>
      </c>
      <c r="FX35" s="73">
        <f t="shared" si="12"/>
        <v>-1</v>
      </c>
      <c r="FY35" s="73">
        <f t="shared" si="13"/>
        <v>-2</v>
      </c>
      <c r="FZ35" s="73">
        <f t="shared" si="14"/>
        <v>0</v>
      </c>
      <c r="GA35" s="73">
        <f t="shared" si="15"/>
        <v>0</v>
      </c>
      <c r="GB35" s="73">
        <f t="shared" si="16"/>
        <v>0</v>
      </c>
      <c r="GC35" s="73">
        <f t="shared" si="17"/>
        <v>1</v>
      </c>
      <c r="GD35" s="73">
        <f t="shared" si="18"/>
        <v>3</v>
      </c>
      <c r="GE35" s="73">
        <f t="shared" si="19"/>
        <v>0</v>
      </c>
      <c r="GF35" s="73">
        <f t="shared" si="20"/>
        <v>-1</v>
      </c>
      <c r="GG35" s="73">
        <f t="shared" si="21"/>
        <v>0</v>
      </c>
      <c r="GH35" s="73">
        <f t="shared" si="22"/>
        <v>0</v>
      </c>
      <c r="GI35" s="73">
        <f t="shared" si="23"/>
        <v>-1</v>
      </c>
      <c r="GJ35" s="38"/>
      <c r="GK35" s="367"/>
      <c r="GL35" s="376"/>
      <c r="GM35" s="376"/>
      <c r="GP35" s="52"/>
    </row>
    <row r="36" spans="1:198" x14ac:dyDescent="0.25">
      <c r="A36" s="53">
        <v>40309</v>
      </c>
      <c r="B36" s="53" t="s">
        <v>133</v>
      </c>
      <c r="C36" s="53" t="s">
        <v>129</v>
      </c>
      <c r="D36" s="53" t="s">
        <v>140</v>
      </c>
      <c r="E36" s="54">
        <v>39007</v>
      </c>
      <c r="F36" s="62">
        <v>183</v>
      </c>
      <c r="G36" s="58">
        <v>3</v>
      </c>
      <c r="H36" s="89" t="s">
        <v>395</v>
      </c>
      <c r="I36" s="6">
        <v>1</v>
      </c>
      <c r="J36" s="6">
        <v>0</v>
      </c>
      <c r="K36" s="60">
        <f>7+(1/3)</f>
        <v>7.333333333333333</v>
      </c>
      <c r="L36" s="6">
        <v>6</v>
      </c>
      <c r="M36" s="6">
        <v>2</v>
      </c>
      <c r="N36" s="6">
        <v>2</v>
      </c>
      <c r="O36" s="6">
        <v>2</v>
      </c>
      <c r="P36" s="6">
        <v>4</v>
      </c>
      <c r="Q36" s="6">
        <v>0</v>
      </c>
      <c r="R36" s="6">
        <v>0</v>
      </c>
      <c r="S36" s="6">
        <v>29</v>
      </c>
      <c r="T36" s="6">
        <v>111</v>
      </c>
      <c r="U36" s="6">
        <v>74</v>
      </c>
      <c r="V36" s="6">
        <v>2</v>
      </c>
      <c r="W36" s="61">
        <v>2</v>
      </c>
      <c r="X36" s="62">
        <v>0</v>
      </c>
      <c r="Y36" s="62">
        <v>0</v>
      </c>
      <c r="Z36" s="62">
        <v>1</v>
      </c>
      <c r="AA36" s="62">
        <v>0</v>
      </c>
      <c r="AB36" s="62">
        <v>0</v>
      </c>
      <c r="AC36" s="63">
        <f>1+(2/3)</f>
        <v>1.6666666666666665</v>
      </c>
      <c r="AD36" s="62">
        <v>2</v>
      </c>
      <c r="AE36" s="62">
        <v>0</v>
      </c>
      <c r="AF36" s="62">
        <v>0</v>
      </c>
      <c r="AG36" s="62">
        <v>1</v>
      </c>
      <c r="AH36" s="62">
        <v>2</v>
      </c>
      <c r="AI36" s="62">
        <v>0</v>
      </c>
      <c r="AJ36" s="62">
        <v>0</v>
      </c>
      <c r="AK36" s="62">
        <v>8</v>
      </c>
      <c r="AL36" s="62">
        <v>27</v>
      </c>
      <c r="AM36" s="62">
        <v>14</v>
      </c>
      <c r="AN36" s="1" t="s">
        <v>384</v>
      </c>
      <c r="AO36" s="65">
        <v>3</v>
      </c>
      <c r="AP36" s="65">
        <v>2</v>
      </c>
      <c r="AQ36" s="65">
        <v>1</v>
      </c>
      <c r="AR36" s="65">
        <v>0</v>
      </c>
      <c r="AS36" s="65">
        <v>2</v>
      </c>
      <c r="AT36" s="65">
        <v>1</v>
      </c>
      <c r="AU36" s="65">
        <v>0</v>
      </c>
      <c r="AV36" s="65">
        <v>0</v>
      </c>
      <c r="AW36" s="66">
        <v>1</v>
      </c>
      <c r="AX36" s="1" t="s">
        <v>391</v>
      </c>
      <c r="AY36" s="65">
        <v>5</v>
      </c>
      <c r="AZ36" s="65">
        <v>1</v>
      </c>
      <c r="BA36" s="65">
        <v>3</v>
      </c>
      <c r="BB36" s="65">
        <v>1</v>
      </c>
      <c r="BC36" s="65">
        <v>0</v>
      </c>
      <c r="BD36" s="65">
        <v>0</v>
      </c>
      <c r="BE36" s="65">
        <v>0</v>
      </c>
      <c r="BF36" s="65">
        <v>0</v>
      </c>
      <c r="BG36" s="66">
        <v>3</v>
      </c>
      <c r="BH36" s="1" t="s">
        <v>389</v>
      </c>
      <c r="BI36" s="65">
        <v>3</v>
      </c>
      <c r="BJ36" s="65">
        <v>2</v>
      </c>
      <c r="BK36" s="65">
        <v>1</v>
      </c>
      <c r="BL36" s="65">
        <v>1</v>
      </c>
      <c r="BM36" s="65">
        <v>1</v>
      </c>
      <c r="BN36" s="65">
        <v>0</v>
      </c>
      <c r="BO36" s="65">
        <v>0</v>
      </c>
      <c r="BP36" s="65">
        <v>0</v>
      </c>
      <c r="BQ36" s="66">
        <v>2</v>
      </c>
      <c r="BR36" s="1" t="s">
        <v>390</v>
      </c>
      <c r="BS36" s="65">
        <v>5</v>
      </c>
      <c r="BT36" s="65">
        <v>1</v>
      </c>
      <c r="BU36" s="65">
        <v>2</v>
      </c>
      <c r="BV36" s="65">
        <v>4</v>
      </c>
      <c r="BW36" s="65">
        <v>0</v>
      </c>
      <c r="BX36" s="65">
        <v>1</v>
      </c>
      <c r="BY36" s="65">
        <v>0</v>
      </c>
      <c r="BZ36" s="65">
        <v>0</v>
      </c>
      <c r="CA36" s="66">
        <v>5</v>
      </c>
      <c r="CB36" s="1" t="s">
        <v>272</v>
      </c>
      <c r="CC36" s="65">
        <v>3</v>
      </c>
      <c r="CD36" s="65">
        <v>0</v>
      </c>
      <c r="CE36" s="65">
        <v>0</v>
      </c>
      <c r="CF36" s="65">
        <v>1</v>
      </c>
      <c r="CG36" s="65">
        <v>1</v>
      </c>
      <c r="CH36" s="65">
        <v>0</v>
      </c>
      <c r="CI36" s="65">
        <v>0</v>
      </c>
      <c r="CJ36" s="65">
        <v>1</v>
      </c>
      <c r="CK36" s="66">
        <v>0</v>
      </c>
      <c r="CL36" s="1" t="s">
        <v>273</v>
      </c>
      <c r="CM36" s="65">
        <v>4</v>
      </c>
      <c r="CN36" s="65">
        <v>0</v>
      </c>
      <c r="CO36" s="65">
        <v>0</v>
      </c>
      <c r="CP36" s="65">
        <v>0</v>
      </c>
      <c r="CQ36" s="65">
        <v>1</v>
      </c>
      <c r="CR36" s="65">
        <v>3</v>
      </c>
      <c r="CS36" s="65">
        <v>0</v>
      </c>
      <c r="CT36" s="65">
        <v>0</v>
      </c>
      <c r="CU36" s="66">
        <v>0</v>
      </c>
      <c r="CV36" s="1" t="s">
        <v>386</v>
      </c>
      <c r="CW36" s="65">
        <v>4</v>
      </c>
      <c r="CX36" s="65">
        <v>0</v>
      </c>
      <c r="CY36" s="65">
        <v>1</v>
      </c>
      <c r="CZ36" s="65">
        <v>0</v>
      </c>
      <c r="DA36" s="65">
        <v>0</v>
      </c>
      <c r="DB36" s="65">
        <v>1</v>
      </c>
      <c r="DC36" s="65">
        <v>0</v>
      </c>
      <c r="DD36" s="65">
        <v>0</v>
      </c>
      <c r="DE36" s="66">
        <v>1</v>
      </c>
      <c r="DF36" s="1" t="s">
        <v>406</v>
      </c>
      <c r="DG36" s="65">
        <v>4</v>
      </c>
      <c r="DH36" s="65">
        <v>0</v>
      </c>
      <c r="DI36" s="65">
        <v>2</v>
      </c>
      <c r="DJ36" s="65">
        <v>0</v>
      </c>
      <c r="DK36" s="65">
        <v>0</v>
      </c>
      <c r="DL36" s="65">
        <v>1</v>
      </c>
      <c r="DM36" s="65">
        <v>0</v>
      </c>
      <c r="DN36" s="65">
        <v>0</v>
      </c>
      <c r="DO36" s="66">
        <v>2</v>
      </c>
      <c r="DP36" s="1" t="s">
        <v>271</v>
      </c>
      <c r="DQ36" s="65">
        <v>4</v>
      </c>
      <c r="DR36" s="65">
        <v>1</v>
      </c>
      <c r="DS36" s="65">
        <v>2</v>
      </c>
      <c r="DT36" s="65">
        <v>0</v>
      </c>
      <c r="DU36" s="65">
        <v>0</v>
      </c>
      <c r="DV36" s="65">
        <v>1</v>
      </c>
      <c r="DW36" s="65">
        <v>0</v>
      </c>
      <c r="DX36" s="65">
        <v>0</v>
      </c>
      <c r="DY36" s="66">
        <v>3</v>
      </c>
      <c r="DZ36" s="67">
        <v>5</v>
      </c>
      <c r="EA36" s="68">
        <v>1</v>
      </c>
      <c r="EB36" s="68">
        <v>1</v>
      </c>
      <c r="EC36" s="69">
        <v>4</v>
      </c>
      <c r="ED36" s="68">
        <v>1</v>
      </c>
      <c r="EE36" s="70">
        <v>0</v>
      </c>
      <c r="EF36" s="71">
        <v>0</v>
      </c>
      <c r="EG36" s="72">
        <v>0</v>
      </c>
      <c r="EH36" s="72">
        <v>2</v>
      </c>
      <c r="EI36" s="72">
        <v>0</v>
      </c>
      <c r="EJ36" s="72">
        <v>1</v>
      </c>
      <c r="EK36" s="72">
        <v>0</v>
      </c>
      <c r="EL36" s="72">
        <v>3</v>
      </c>
      <c r="EM36" s="72">
        <v>0</v>
      </c>
      <c r="EN36" s="72">
        <v>1</v>
      </c>
      <c r="EO36" s="72"/>
      <c r="EP36" s="72"/>
      <c r="EQ36" s="72"/>
      <c r="ER36" s="72"/>
      <c r="ES36" s="44">
        <f t="shared" ref="ES36:ES67" si="24">SUM(EF36:ER36)</f>
        <v>7</v>
      </c>
      <c r="ET36" s="43">
        <v>0</v>
      </c>
      <c r="EU36" s="43">
        <v>0</v>
      </c>
      <c r="EV36" s="43">
        <v>0</v>
      </c>
      <c r="EW36" s="43">
        <v>0</v>
      </c>
      <c r="EX36" s="43">
        <v>0</v>
      </c>
      <c r="EY36" s="43">
        <v>0</v>
      </c>
      <c r="EZ36" s="43">
        <v>0</v>
      </c>
      <c r="FA36" s="43">
        <v>2</v>
      </c>
      <c r="FB36" s="43">
        <v>0</v>
      </c>
      <c r="FC36" s="43"/>
      <c r="FD36" s="43"/>
      <c r="FE36" s="43"/>
      <c r="FF36" s="43"/>
      <c r="FG36" s="43">
        <f t="shared" ref="FG36:FG67" si="25">SUM(ET36:FF36)</f>
        <v>2</v>
      </c>
      <c r="FH36" s="73">
        <v>35</v>
      </c>
      <c r="FI36" s="73">
        <v>7</v>
      </c>
      <c r="FJ36" s="73">
        <v>12</v>
      </c>
      <c r="FK36" s="73">
        <v>7</v>
      </c>
      <c r="FL36" s="73">
        <v>5</v>
      </c>
      <c r="FM36" s="73">
        <v>8</v>
      </c>
      <c r="FN36" s="73">
        <f t="shared" ref="FN36:FN67" si="26">((SUM(M36,AE36))-(FG36))</f>
        <v>0</v>
      </c>
      <c r="FO36" s="73">
        <f t="shared" ref="FO36:FO67" si="27">((SUM(AP36,AZ36,BJ36,BT36,CD36,CN36,CX36,DH36,DR36))-(ES36))</f>
        <v>0</v>
      </c>
      <c r="FP36" s="73">
        <f t="shared" ref="FP36:FP67" si="28">((SUM(AO36,AY36,BI36,BS36,CC36,CM36,CW36,DG36,DQ36))-(FH36))</f>
        <v>0</v>
      </c>
      <c r="FQ36" s="73">
        <f t="shared" ref="FQ36:FQ67" si="29">((SUM(AP36,AZ36,BJ36,BT36,CD36,CN36,CX36,DH36,DR36))-(FI36))</f>
        <v>0</v>
      </c>
      <c r="FR36" s="73">
        <f t="shared" ref="FR36:FR67" si="30">((SUM(AQ36,BA36,BK36,BU36,CE36,CO36,CY36,DI36,DS36))-(FJ36))</f>
        <v>0</v>
      </c>
      <c r="FS36" s="73">
        <f t="shared" ref="FS36:FS67" si="31">((SUM(AR36,BB36,BL36,BV36,CF36,CP36,CZ36,DJ36,DT36))-(FK36))</f>
        <v>0</v>
      </c>
      <c r="FT36" s="73">
        <f t="shared" ref="FT36:FT67" si="32">((SUM(AS36,BC36,BM36,BW36,CG36,CQ36,DA36,DK36,DU36))-(FL36))</f>
        <v>0</v>
      </c>
      <c r="FU36" s="73">
        <f t="shared" ref="FU36:FU67" si="33">((SUM(AT36,BD36,BN36,BX36,CH36,CR36,DB36,DL36,DV36))-(FM36))</f>
        <v>0</v>
      </c>
      <c r="FV36" s="73">
        <f t="shared" ref="FV36:FV67" si="34">(EF36-ET36)</f>
        <v>0</v>
      </c>
      <c r="FW36" s="73">
        <f t="shared" ref="FW36:FW67" si="35">(EG36-EU36)</f>
        <v>0</v>
      </c>
      <c r="FX36" s="73">
        <f t="shared" ref="FX36:FX67" si="36">(EH36-EV36)</f>
        <v>2</v>
      </c>
      <c r="FY36" s="73">
        <f t="shared" ref="FY36:FY67" si="37">(EI36-EW36)</f>
        <v>0</v>
      </c>
      <c r="FZ36" s="73">
        <f t="shared" ref="FZ36:FZ67" si="38">(EJ36-EX36)</f>
        <v>1</v>
      </c>
      <c r="GA36" s="73">
        <f t="shared" ref="GA36:GA67" si="39">(EK36-EY36)</f>
        <v>0</v>
      </c>
      <c r="GB36" s="73">
        <f t="shared" ref="GB36:GB67" si="40">(EL36-EZ36)</f>
        <v>3</v>
      </c>
      <c r="GC36" s="73">
        <f t="shared" ref="GC36:GC67" si="41">(EM36-FA36)</f>
        <v>-2</v>
      </c>
      <c r="GD36" s="73">
        <f t="shared" ref="GD36:GD67" si="42">(EN36-FB36)</f>
        <v>1</v>
      </c>
      <c r="GE36" s="73">
        <f t="shared" ref="GE36:GE67" si="43">(EO36-FC36)</f>
        <v>0</v>
      </c>
      <c r="GF36" s="73">
        <f t="shared" ref="GF36:GF67" si="44">(EP36-FD36)</f>
        <v>0</v>
      </c>
      <c r="GG36" s="73">
        <f t="shared" ref="GG36:GG67" si="45">(EQ36-FE36)</f>
        <v>0</v>
      </c>
      <c r="GH36" s="73">
        <f t="shared" ref="GH36:GH67" si="46">(ER36-FF36)</f>
        <v>0</v>
      </c>
      <c r="GI36" s="73">
        <f t="shared" ref="GI36:GI67" si="47">(ES36-FG36)</f>
        <v>5</v>
      </c>
      <c r="GJ36" s="38"/>
      <c r="GK36" s="367"/>
      <c r="GL36" s="376"/>
      <c r="GM36" s="376"/>
      <c r="GP36" s="52"/>
    </row>
    <row r="37" spans="1:198" x14ac:dyDescent="0.25">
      <c r="A37" s="53">
        <v>40310</v>
      </c>
      <c r="B37" s="53" t="s">
        <v>133</v>
      </c>
      <c r="C37" s="53" t="s">
        <v>129</v>
      </c>
      <c r="D37" s="53" t="s">
        <v>140</v>
      </c>
      <c r="E37" s="54">
        <v>35700</v>
      </c>
      <c r="F37" s="62">
        <v>189</v>
      </c>
      <c r="G37" s="58">
        <v>4</v>
      </c>
      <c r="H37" s="59" t="s">
        <v>394</v>
      </c>
      <c r="I37" s="6">
        <v>1</v>
      </c>
      <c r="J37" s="6">
        <v>0</v>
      </c>
      <c r="K37" s="60">
        <f>6+1/3</f>
        <v>6.333333333333333</v>
      </c>
      <c r="L37" s="6">
        <v>7</v>
      </c>
      <c r="M37" s="6">
        <v>3</v>
      </c>
      <c r="N37" s="6">
        <v>2</v>
      </c>
      <c r="O37" s="6">
        <v>3</v>
      </c>
      <c r="P37" s="6">
        <v>6</v>
      </c>
      <c r="Q37" s="6">
        <v>0</v>
      </c>
      <c r="R37" s="6">
        <v>0</v>
      </c>
      <c r="S37" s="6">
        <v>28</v>
      </c>
      <c r="T37" s="6">
        <v>111</v>
      </c>
      <c r="U37" s="6">
        <v>74</v>
      </c>
      <c r="V37" s="6">
        <v>2</v>
      </c>
      <c r="W37" s="61">
        <v>1</v>
      </c>
      <c r="X37" s="62">
        <v>0</v>
      </c>
      <c r="Y37" s="62">
        <v>0</v>
      </c>
      <c r="Z37" s="62">
        <v>4</v>
      </c>
      <c r="AA37" s="62">
        <v>1</v>
      </c>
      <c r="AB37" s="62">
        <v>0</v>
      </c>
      <c r="AC37" s="63">
        <f>2+2/3</f>
        <v>2.6666666666666665</v>
      </c>
      <c r="AD37" s="62">
        <v>1</v>
      </c>
      <c r="AE37" s="62">
        <v>0</v>
      </c>
      <c r="AF37" s="62">
        <v>0</v>
      </c>
      <c r="AG37" s="62">
        <v>0</v>
      </c>
      <c r="AH37" s="62">
        <v>0</v>
      </c>
      <c r="AI37" s="62">
        <v>0</v>
      </c>
      <c r="AJ37" s="62">
        <v>0</v>
      </c>
      <c r="AK37" s="62">
        <v>9</v>
      </c>
      <c r="AL37" s="62">
        <v>33</v>
      </c>
      <c r="AM37" s="62">
        <v>20</v>
      </c>
      <c r="AN37" s="1" t="s">
        <v>384</v>
      </c>
      <c r="AO37" s="65">
        <v>4</v>
      </c>
      <c r="AP37" s="65">
        <v>2</v>
      </c>
      <c r="AQ37" s="65">
        <v>1</v>
      </c>
      <c r="AR37" s="65">
        <v>0</v>
      </c>
      <c r="AS37" s="65">
        <v>1</v>
      </c>
      <c r="AT37" s="65">
        <v>0</v>
      </c>
      <c r="AU37" s="65">
        <v>0</v>
      </c>
      <c r="AV37" s="65">
        <v>0</v>
      </c>
      <c r="AW37" s="66">
        <v>2</v>
      </c>
      <c r="AX37" s="1" t="s">
        <v>391</v>
      </c>
      <c r="AY37" s="65">
        <v>5</v>
      </c>
      <c r="AZ37" s="65">
        <v>1</v>
      </c>
      <c r="BA37" s="65">
        <v>2</v>
      </c>
      <c r="BB37" s="65">
        <v>0</v>
      </c>
      <c r="BC37" s="65">
        <v>0</v>
      </c>
      <c r="BD37" s="65">
        <v>0</v>
      </c>
      <c r="BE37" s="65">
        <v>0</v>
      </c>
      <c r="BF37" s="65">
        <v>0</v>
      </c>
      <c r="BG37" s="66">
        <v>2</v>
      </c>
      <c r="BH37" s="1" t="s">
        <v>389</v>
      </c>
      <c r="BI37" s="65">
        <v>4</v>
      </c>
      <c r="BJ37" s="65">
        <v>0</v>
      </c>
      <c r="BK37" s="65">
        <v>1</v>
      </c>
      <c r="BL37" s="65">
        <v>1</v>
      </c>
      <c r="BM37" s="65">
        <v>0</v>
      </c>
      <c r="BN37" s="65">
        <v>2</v>
      </c>
      <c r="BO37" s="65">
        <v>0</v>
      </c>
      <c r="BP37" s="65">
        <v>0</v>
      </c>
      <c r="BQ37" s="66">
        <v>2</v>
      </c>
      <c r="BR37" s="1" t="s">
        <v>390</v>
      </c>
      <c r="BS37" s="65">
        <v>4</v>
      </c>
      <c r="BT37" s="65">
        <v>1</v>
      </c>
      <c r="BU37" s="65">
        <v>1</v>
      </c>
      <c r="BV37" s="65">
        <v>0</v>
      </c>
      <c r="BW37" s="65">
        <v>0</v>
      </c>
      <c r="BX37" s="65">
        <v>2</v>
      </c>
      <c r="BY37" s="65">
        <v>0</v>
      </c>
      <c r="BZ37" s="65">
        <v>0</v>
      </c>
      <c r="CA37" s="66">
        <v>2</v>
      </c>
      <c r="CB37" s="1" t="s">
        <v>274</v>
      </c>
      <c r="CC37" s="65">
        <v>3</v>
      </c>
      <c r="CD37" s="65">
        <v>0</v>
      </c>
      <c r="CE37" s="65">
        <v>1</v>
      </c>
      <c r="CF37" s="65">
        <v>0</v>
      </c>
      <c r="CG37" s="65">
        <v>1</v>
      </c>
      <c r="CH37" s="65">
        <v>2</v>
      </c>
      <c r="CI37" s="65">
        <v>0</v>
      </c>
      <c r="CJ37" s="65">
        <v>0</v>
      </c>
      <c r="CK37" s="66">
        <v>2</v>
      </c>
      <c r="CL37" s="1" t="s">
        <v>273</v>
      </c>
      <c r="CM37" s="65">
        <v>4</v>
      </c>
      <c r="CN37" s="65">
        <v>0</v>
      </c>
      <c r="CO37" s="65">
        <v>1</v>
      </c>
      <c r="CP37" s="65">
        <v>1</v>
      </c>
      <c r="CQ37" s="65">
        <v>0</v>
      </c>
      <c r="CR37" s="65">
        <v>3</v>
      </c>
      <c r="CS37" s="65">
        <v>0</v>
      </c>
      <c r="CT37" s="65">
        <v>0</v>
      </c>
      <c r="CU37" s="66">
        <v>1</v>
      </c>
      <c r="CV37" s="1" t="s">
        <v>408</v>
      </c>
      <c r="CW37" s="65">
        <v>4</v>
      </c>
      <c r="CX37" s="65">
        <v>0</v>
      </c>
      <c r="CY37" s="65">
        <v>0</v>
      </c>
      <c r="CZ37" s="65">
        <v>0</v>
      </c>
      <c r="DA37" s="65">
        <v>0</v>
      </c>
      <c r="DB37" s="65">
        <v>3</v>
      </c>
      <c r="DC37" s="65">
        <v>0</v>
      </c>
      <c r="DD37" s="65">
        <v>0</v>
      </c>
      <c r="DE37" s="66">
        <v>0</v>
      </c>
      <c r="DF37" s="1" t="s">
        <v>275</v>
      </c>
      <c r="DG37" s="65">
        <v>4</v>
      </c>
      <c r="DH37" s="65">
        <v>0</v>
      </c>
      <c r="DI37" s="65">
        <v>1</v>
      </c>
      <c r="DJ37" s="65">
        <v>0</v>
      </c>
      <c r="DK37" s="65">
        <v>0</v>
      </c>
      <c r="DL37" s="65">
        <v>1</v>
      </c>
      <c r="DM37" s="65">
        <v>0</v>
      </c>
      <c r="DN37" s="65">
        <v>0</v>
      </c>
      <c r="DO37" s="66">
        <v>1</v>
      </c>
      <c r="DP37" s="1" t="s">
        <v>385</v>
      </c>
      <c r="DQ37" s="65">
        <v>4</v>
      </c>
      <c r="DR37" s="65">
        <v>0</v>
      </c>
      <c r="DS37" s="65">
        <v>0</v>
      </c>
      <c r="DT37" s="65">
        <v>0</v>
      </c>
      <c r="DU37" s="65">
        <v>0</v>
      </c>
      <c r="DV37" s="65">
        <v>1</v>
      </c>
      <c r="DW37" s="65">
        <v>0</v>
      </c>
      <c r="DX37" s="65">
        <v>0</v>
      </c>
      <c r="DY37" s="66">
        <v>0</v>
      </c>
      <c r="DZ37" s="67">
        <v>0</v>
      </c>
      <c r="EA37" s="68">
        <v>0</v>
      </c>
      <c r="EB37" s="68">
        <v>0</v>
      </c>
      <c r="EC37" s="69">
        <v>9</v>
      </c>
      <c r="ED37" s="68">
        <v>2</v>
      </c>
      <c r="EE37" s="70">
        <v>0</v>
      </c>
      <c r="EF37" s="71">
        <v>2</v>
      </c>
      <c r="EG37" s="72">
        <v>0</v>
      </c>
      <c r="EH37" s="72">
        <v>0</v>
      </c>
      <c r="EI37" s="72">
        <v>0</v>
      </c>
      <c r="EJ37" s="72">
        <v>1</v>
      </c>
      <c r="EK37" s="72">
        <v>1</v>
      </c>
      <c r="EL37" s="72">
        <v>0</v>
      </c>
      <c r="EM37" s="72">
        <v>0</v>
      </c>
      <c r="EN37" s="72">
        <v>0</v>
      </c>
      <c r="EO37" s="72"/>
      <c r="EP37" s="72"/>
      <c r="EQ37" s="72"/>
      <c r="ER37" s="72"/>
      <c r="ES37" s="44">
        <f t="shared" si="24"/>
        <v>4</v>
      </c>
      <c r="ET37" s="43">
        <v>0</v>
      </c>
      <c r="EU37" s="43">
        <v>0</v>
      </c>
      <c r="EV37" s="43">
        <v>1</v>
      </c>
      <c r="EW37" s="43">
        <v>0</v>
      </c>
      <c r="EX37" s="43">
        <v>0</v>
      </c>
      <c r="EY37" s="43">
        <v>1</v>
      </c>
      <c r="EZ37" s="43">
        <v>1</v>
      </c>
      <c r="FA37" s="43">
        <v>0</v>
      </c>
      <c r="FB37" s="43">
        <v>0</v>
      </c>
      <c r="FC37" s="43"/>
      <c r="FD37" s="43"/>
      <c r="FE37" s="43"/>
      <c r="FF37" s="43"/>
      <c r="FG37" s="43">
        <f t="shared" si="25"/>
        <v>3</v>
      </c>
      <c r="FH37" s="73">
        <v>36</v>
      </c>
      <c r="FI37" s="73">
        <v>4</v>
      </c>
      <c r="FJ37" s="73">
        <v>8</v>
      </c>
      <c r="FK37" s="73">
        <v>2</v>
      </c>
      <c r="FL37" s="73">
        <v>2</v>
      </c>
      <c r="FM37" s="73">
        <v>14</v>
      </c>
      <c r="FN37" s="73">
        <f t="shared" si="26"/>
        <v>0</v>
      </c>
      <c r="FO37" s="73">
        <f t="shared" si="27"/>
        <v>0</v>
      </c>
      <c r="FP37" s="73">
        <f t="shared" si="28"/>
        <v>0</v>
      </c>
      <c r="FQ37" s="73">
        <f t="shared" si="29"/>
        <v>0</v>
      </c>
      <c r="FR37" s="73">
        <f t="shared" si="30"/>
        <v>0</v>
      </c>
      <c r="FS37" s="73">
        <f t="shared" si="31"/>
        <v>0</v>
      </c>
      <c r="FT37" s="73">
        <f t="shared" si="32"/>
        <v>0</v>
      </c>
      <c r="FU37" s="73">
        <f t="shared" si="33"/>
        <v>0</v>
      </c>
      <c r="FV37" s="73">
        <f t="shared" si="34"/>
        <v>2</v>
      </c>
      <c r="FW37" s="73">
        <f t="shared" si="35"/>
        <v>0</v>
      </c>
      <c r="FX37" s="73">
        <f t="shared" si="36"/>
        <v>-1</v>
      </c>
      <c r="FY37" s="73">
        <f t="shared" si="37"/>
        <v>0</v>
      </c>
      <c r="FZ37" s="73">
        <f t="shared" si="38"/>
        <v>1</v>
      </c>
      <c r="GA37" s="73">
        <f t="shared" si="39"/>
        <v>0</v>
      </c>
      <c r="GB37" s="73">
        <f t="shared" si="40"/>
        <v>-1</v>
      </c>
      <c r="GC37" s="73">
        <f t="shared" si="41"/>
        <v>0</v>
      </c>
      <c r="GD37" s="73">
        <f t="shared" si="42"/>
        <v>0</v>
      </c>
      <c r="GE37" s="73">
        <f t="shared" si="43"/>
        <v>0</v>
      </c>
      <c r="GF37" s="73">
        <f t="shared" si="44"/>
        <v>0</v>
      </c>
      <c r="GG37" s="73">
        <f t="shared" si="45"/>
        <v>0</v>
      </c>
      <c r="GH37" s="73">
        <f t="shared" si="46"/>
        <v>0</v>
      </c>
      <c r="GI37" s="73">
        <f t="shared" si="47"/>
        <v>1</v>
      </c>
      <c r="GJ37" s="38"/>
      <c r="GK37" s="367"/>
      <c r="GL37" s="376"/>
      <c r="GM37" s="376"/>
      <c r="GP37" s="52"/>
    </row>
    <row r="38" spans="1:198" x14ac:dyDescent="0.25">
      <c r="A38" s="53">
        <v>40312</v>
      </c>
      <c r="B38" s="53" t="s">
        <v>19</v>
      </c>
      <c r="C38" s="53" t="s">
        <v>131</v>
      </c>
      <c r="D38" s="53" t="s">
        <v>139</v>
      </c>
      <c r="E38" s="54">
        <v>27856</v>
      </c>
      <c r="F38" s="62">
        <v>179</v>
      </c>
      <c r="G38" s="58">
        <v>5</v>
      </c>
      <c r="H38" s="89" t="s">
        <v>393</v>
      </c>
      <c r="I38" s="6">
        <v>0</v>
      </c>
      <c r="J38" s="6">
        <v>1</v>
      </c>
      <c r="K38" s="60">
        <v>6</v>
      </c>
      <c r="L38" s="6">
        <v>5</v>
      </c>
      <c r="M38" s="6">
        <v>3</v>
      </c>
      <c r="N38" s="6">
        <v>3</v>
      </c>
      <c r="O38" s="6">
        <v>3</v>
      </c>
      <c r="P38" s="6">
        <v>2</v>
      </c>
      <c r="Q38" s="6">
        <v>2</v>
      </c>
      <c r="R38" s="6">
        <v>0</v>
      </c>
      <c r="S38" s="6">
        <v>25</v>
      </c>
      <c r="T38" s="6">
        <v>111</v>
      </c>
      <c r="U38" s="6">
        <v>70</v>
      </c>
      <c r="V38" s="6">
        <v>0</v>
      </c>
      <c r="W38" s="61">
        <v>0</v>
      </c>
      <c r="X38" s="62">
        <v>0</v>
      </c>
      <c r="Y38" s="62">
        <v>0</v>
      </c>
      <c r="Z38" s="62">
        <v>0</v>
      </c>
      <c r="AA38" s="62">
        <v>0</v>
      </c>
      <c r="AB38" s="62">
        <v>0</v>
      </c>
      <c r="AC38" s="63">
        <v>3</v>
      </c>
      <c r="AD38" s="62">
        <v>5</v>
      </c>
      <c r="AE38" s="62">
        <v>1</v>
      </c>
      <c r="AF38" s="62">
        <v>1</v>
      </c>
      <c r="AG38" s="62">
        <v>0</v>
      </c>
      <c r="AH38" s="62">
        <v>2</v>
      </c>
      <c r="AI38" s="62">
        <v>1</v>
      </c>
      <c r="AJ38" s="62">
        <v>0</v>
      </c>
      <c r="AK38" s="62">
        <v>14</v>
      </c>
      <c r="AL38" s="62">
        <v>50</v>
      </c>
      <c r="AM38" s="62">
        <v>36</v>
      </c>
      <c r="AN38" s="1" t="s">
        <v>384</v>
      </c>
      <c r="AO38" s="65">
        <v>4</v>
      </c>
      <c r="AP38" s="65">
        <v>0</v>
      </c>
      <c r="AQ38" s="65">
        <v>1</v>
      </c>
      <c r="AR38" s="65">
        <v>0</v>
      </c>
      <c r="AS38" s="65">
        <v>0</v>
      </c>
      <c r="AT38" s="65">
        <v>0</v>
      </c>
      <c r="AU38" s="65">
        <v>0</v>
      </c>
      <c r="AV38" s="65">
        <v>0</v>
      </c>
      <c r="AW38" s="66">
        <v>1</v>
      </c>
      <c r="AX38" s="1" t="s">
        <v>391</v>
      </c>
      <c r="AY38" s="65">
        <v>3</v>
      </c>
      <c r="AZ38" s="65">
        <v>1</v>
      </c>
      <c r="BA38" s="65">
        <v>1</v>
      </c>
      <c r="BB38" s="65">
        <v>0</v>
      </c>
      <c r="BC38" s="65">
        <v>1</v>
      </c>
      <c r="BD38" s="65">
        <v>1</v>
      </c>
      <c r="BE38" s="65">
        <v>0</v>
      </c>
      <c r="BF38" s="65">
        <v>0</v>
      </c>
      <c r="BG38" s="66">
        <v>1</v>
      </c>
      <c r="BH38" s="1" t="s">
        <v>389</v>
      </c>
      <c r="BI38" s="65">
        <v>4</v>
      </c>
      <c r="BJ38" s="65">
        <v>0</v>
      </c>
      <c r="BK38" s="65">
        <v>2</v>
      </c>
      <c r="BL38" s="65">
        <v>0</v>
      </c>
      <c r="BM38" s="65">
        <v>0</v>
      </c>
      <c r="BN38" s="65">
        <v>0</v>
      </c>
      <c r="BO38" s="65">
        <v>0</v>
      </c>
      <c r="BP38" s="65">
        <v>0</v>
      </c>
      <c r="BQ38" s="66">
        <v>2</v>
      </c>
      <c r="BR38" s="1" t="s">
        <v>390</v>
      </c>
      <c r="BS38" s="65">
        <v>3</v>
      </c>
      <c r="BT38" s="65">
        <v>1</v>
      </c>
      <c r="BU38" s="65">
        <v>1</v>
      </c>
      <c r="BV38" s="65">
        <v>2</v>
      </c>
      <c r="BW38" s="65">
        <v>1</v>
      </c>
      <c r="BX38" s="65">
        <v>2</v>
      </c>
      <c r="BY38" s="65">
        <v>0</v>
      </c>
      <c r="BZ38" s="65">
        <v>0</v>
      </c>
      <c r="CA38" s="66">
        <v>4</v>
      </c>
      <c r="CB38" s="1" t="s">
        <v>274</v>
      </c>
      <c r="CC38" s="65">
        <v>4</v>
      </c>
      <c r="CD38" s="65">
        <v>0</v>
      </c>
      <c r="CE38" s="65">
        <v>0</v>
      </c>
      <c r="CF38" s="65">
        <v>0</v>
      </c>
      <c r="CG38" s="65">
        <v>0</v>
      </c>
      <c r="CH38" s="65">
        <v>2</v>
      </c>
      <c r="CI38" s="65">
        <v>0</v>
      </c>
      <c r="CJ38" s="65">
        <v>0</v>
      </c>
      <c r="CK38" s="66">
        <v>0</v>
      </c>
      <c r="CL38" s="1" t="s">
        <v>273</v>
      </c>
      <c r="CM38" s="65">
        <v>4</v>
      </c>
      <c r="CN38" s="65">
        <v>0</v>
      </c>
      <c r="CO38" s="65">
        <v>0</v>
      </c>
      <c r="CP38" s="65">
        <v>0</v>
      </c>
      <c r="CQ38" s="65">
        <v>0</v>
      </c>
      <c r="CR38" s="65">
        <v>2</v>
      </c>
      <c r="CS38" s="65">
        <v>0</v>
      </c>
      <c r="CT38" s="65">
        <v>0</v>
      </c>
      <c r="CU38" s="66">
        <v>0</v>
      </c>
      <c r="CV38" s="1" t="s">
        <v>408</v>
      </c>
      <c r="CW38" s="65">
        <v>4</v>
      </c>
      <c r="CX38" s="65">
        <v>0</v>
      </c>
      <c r="CY38" s="65">
        <v>0</v>
      </c>
      <c r="CZ38" s="65">
        <v>0</v>
      </c>
      <c r="DA38" s="65">
        <v>0</v>
      </c>
      <c r="DB38" s="65">
        <v>0</v>
      </c>
      <c r="DC38" s="65">
        <v>0</v>
      </c>
      <c r="DD38" s="65">
        <v>0</v>
      </c>
      <c r="DE38" s="66">
        <v>0</v>
      </c>
      <c r="DF38" s="1" t="s">
        <v>275</v>
      </c>
      <c r="DG38" s="65">
        <v>4</v>
      </c>
      <c r="DH38" s="65">
        <v>0</v>
      </c>
      <c r="DI38" s="65">
        <v>0</v>
      </c>
      <c r="DJ38" s="65">
        <v>0</v>
      </c>
      <c r="DK38" s="65">
        <v>0</v>
      </c>
      <c r="DL38" s="65">
        <v>1</v>
      </c>
      <c r="DM38" s="65">
        <v>0</v>
      </c>
      <c r="DN38" s="65">
        <v>0</v>
      </c>
      <c r="DO38" s="66">
        <v>0</v>
      </c>
      <c r="DP38" s="1" t="s">
        <v>385</v>
      </c>
      <c r="DQ38" s="65">
        <v>2</v>
      </c>
      <c r="DR38" s="65">
        <v>1</v>
      </c>
      <c r="DS38" s="65">
        <v>1</v>
      </c>
      <c r="DT38" s="65">
        <v>0</v>
      </c>
      <c r="DU38" s="65">
        <v>2</v>
      </c>
      <c r="DV38" s="65">
        <v>1</v>
      </c>
      <c r="DW38" s="65">
        <v>0</v>
      </c>
      <c r="DX38" s="65">
        <v>0</v>
      </c>
      <c r="DY38" s="66">
        <v>2</v>
      </c>
      <c r="DZ38" s="67">
        <v>0</v>
      </c>
      <c r="EA38" s="68">
        <v>0</v>
      </c>
      <c r="EB38" s="68">
        <v>0</v>
      </c>
      <c r="EC38" s="69">
        <v>9</v>
      </c>
      <c r="ED38" s="68">
        <v>0</v>
      </c>
      <c r="EE38" s="70">
        <v>0</v>
      </c>
      <c r="EF38" s="71">
        <v>0</v>
      </c>
      <c r="EG38" s="72">
        <v>0</v>
      </c>
      <c r="EH38" s="72">
        <v>1</v>
      </c>
      <c r="EI38" s="72">
        <v>0</v>
      </c>
      <c r="EJ38" s="72">
        <v>0</v>
      </c>
      <c r="EK38" s="72">
        <v>0</v>
      </c>
      <c r="EL38" s="72">
        <v>0</v>
      </c>
      <c r="EM38" s="72">
        <v>2</v>
      </c>
      <c r="EN38" s="72">
        <v>0</v>
      </c>
      <c r="EO38" s="72"/>
      <c r="EP38" s="72"/>
      <c r="EQ38" s="72"/>
      <c r="ER38" s="72"/>
      <c r="ES38" s="44">
        <f t="shared" si="24"/>
        <v>3</v>
      </c>
      <c r="ET38" s="43">
        <v>2</v>
      </c>
      <c r="EU38" s="43">
        <v>0</v>
      </c>
      <c r="EV38" s="43">
        <v>0</v>
      </c>
      <c r="EW38" s="43">
        <v>0</v>
      </c>
      <c r="EX38" s="43">
        <v>1</v>
      </c>
      <c r="EY38" s="43">
        <v>0</v>
      </c>
      <c r="EZ38" s="43">
        <v>0</v>
      </c>
      <c r="FA38" s="43">
        <v>1</v>
      </c>
      <c r="FB38" s="43">
        <v>0</v>
      </c>
      <c r="FC38" s="43"/>
      <c r="FD38" s="43"/>
      <c r="FE38" s="43"/>
      <c r="FF38" s="43"/>
      <c r="FG38" s="43">
        <f t="shared" si="25"/>
        <v>4</v>
      </c>
      <c r="FH38" s="73">
        <v>32</v>
      </c>
      <c r="FI38" s="73">
        <v>3</v>
      </c>
      <c r="FJ38" s="73">
        <v>6</v>
      </c>
      <c r="FK38" s="73">
        <v>2</v>
      </c>
      <c r="FL38" s="73">
        <v>4</v>
      </c>
      <c r="FM38" s="73">
        <v>9</v>
      </c>
      <c r="FN38" s="73">
        <f t="shared" si="26"/>
        <v>0</v>
      </c>
      <c r="FO38" s="73">
        <f t="shared" si="27"/>
        <v>0</v>
      </c>
      <c r="FP38" s="73">
        <f t="shared" si="28"/>
        <v>0</v>
      </c>
      <c r="FQ38" s="73">
        <f t="shared" si="29"/>
        <v>0</v>
      </c>
      <c r="FR38" s="73">
        <f t="shared" si="30"/>
        <v>0</v>
      </c>
      <c r="FS38" s="73">
        <f t="shared" si="31"/>
        <v>0</v>
      </c>
      <c r="FT38" s="73">
        <f t="shared" si="32"/>
        <v>0</v>
      </c>
      <c r="FU38" s="73">
        <f t="shared" si="33"/>
        <v>0</v>
      </c>
      <c r="FV38" s="73">
        <f t="shared" si="34"/>
        <v>-2</v>
      </c>
      <c r="FW38" s="73">
        <f t="shared" si="35"/>
        <v>0</v>
      </c>
      <c r="FX38" s="73">
        <f t="shared" si="36"/>
        <v>1</v>
      </c>
      <c r="FY38" s="73">
        <f t="shared" si="37"/>
        <v>0</v>
      </c>
      <c r="FZ38" s="73">
        <f t="shared" si="38"/>
        <v>-1</v>
      </c>
      <c r="GA38" s="73">
        <f t="shared" si="39"/>
        <v>0</v>
      </c>
      <c r="GB38" s="73">
        <f t="shared" si="40"/>
        <v>0</v>
      </c>
      <c r="GC38" s="73">
        <f t="shared" si="41"/>
        <v>1</v>
      </c>
      <c r="GD38" s="73">
        <f t="shared" si="42"/>
        <v>0</v>
      </c>
      <c r="GE38" s="73">
        <f t="shared" si="43"/>
        <v>0</v>
      </c>
      <c r="GF38" s="73">
        <f t="shared" si="44"/>
        <v>0</v>
      </c>
      <c r="GG38" s="73">
        <f t="shared" si="45"/>
        <v>0</v>
      </c>
      <c r="GH38" s="73">
        <f t="shared" si="46"/>
        <v>0</v>
      </c>
      <c r="GI38" s="73">
        <f t="shared" si="47"/>
        <v>-1</v>
      </c>
      <c r="GJ38" s="38"/>
      <c r="GK38" s="367"/>
      <c r="GL38" s="376"/>
      <c r="GM38" s="376"/>
      <c r="GP38" s="52"/>
    </row>
    <row r="39" spans="1:198" x14ac:dyDescent="0.25">
      <c r="A39" s="53">
        <v>40313</v>
      </c>
      <c r="B39" s="53" t="s">
        <v>19</v>
      </c>
      <c r="C39" s="53" t="s">
        <v>129</v>
      </c>
      <c r="D39" s="53" t="s">
        <v>139</v>
      </c>
      <c r="E39" s="54">
        <v>23627</v>
      </c>
      <c r="F39" s="62">
        <v>159</v>
      </c>
      <c r="G39" s="58">
        <v>1</v>
      </c>
      <c r="H39" s="59" t="s">
        <v>392</v>
      </c>
      <c r="I39" s="6">
        <v>0</v>
      </c>
      <c r="J39" s="6">
        <v>0</v>
      </c>
      <c r="K39" s="60">
        <v>8</v>
      </c>
      <c r="L39" s="6">
        <v>6</v>
      </c>
      <c r="M39" s="6">
        <v>2</v>
      </c>
      <c r="N39" s="6">
        <v>2</v>
      </c>
      <c r="O39" s="6">
        <v>0</v>
      </c>
      <c r="P39" s="6">
        <v>10</v>
      </c>
      <c r="Q39" s="6">
        <v>1</v>
      </c>
      <c r="R39" s="6">
        <v>0</v>
      </c>
      <c r="S39" s="6">
        <v>29</v>
      </c>
      <c r="T39" s="6">
        <v>93</v>
      </c>
      <c r="U39" s="6">
        <v>64</v>
      </c>
      <c r="V39" s="6">
        <v>0</v>
      </c>
      <c r="W39" s="61">
        <v>0</v>
      </c>
      <c r="X39" s="62">
        <v>1</v>
      </c>
      <c r="Y39" s="62">
        <v>0</v>
      </c>
      <c r="Z39" s="62">
        <v>0</v>
      </c>
      <c r="AA39" s="62">
        <v>0</v>
      </c>
      <c r="AB39" s="62">
        <v>0</v>
      </c>
      <c r="AC39" s="63">
        <v>1</v>
      </c>
      <c r="AD39" s="62">
        <v>0</v>
      </c>
      <c r="AE39" s="62">
        <v>0</v>
      </c>
      <c r="AF39" s="62">
        <v>0</v>
      </c>
      <c r="AG39" s="62">
        <v>1</v>
      </c>
      <c r="AH39" s="62">
        <v>0</v>
      </c>
      <c r="AI39" s="62">
        <v>0</v>
      </c>
      <c r="AJ39" s="62">
        <v>0</v>
      </c>
      <c r="AK39" s="62">
        <v>4</v>
      </c>
      <c r="AL39" s="62">
        <v>18</v>
      </c>
      <c r="AM39" s="62">
        <v>11</v>
      </c>
      <c r="AN39" s="1" t="s">
        <v>384</v>
      </c>
      <c r="AO39" s="65">
        <v>3</v>
      </c>
      <c r="AP39" s="65">
        <v>0</v>
      </c>
      <c r="AQ39" s="65">
        <v>0</v>
      </c>
      <c r="AR39" s="65">
        <v>0</v>
      </c>
      <c r="AS39" s="65">
        <v>0</v>
      </c>
      <c r="AT39" s="65">
        <v>1</v>
      </c>
      <c r="AU39" s="65">
        <v>0</v>
      </c>
      <c r="AV39" s="65">
        <v>0</v>
      </c>
      <c r="AW39" s="66">
        <v>0</v>
      </c>
      <c r="AX39" s="1" t="s">
        <v>391</v>
      </c>
      <c r="AY39" s="65">
        <v>3</v>
      </c>
      <c r="AZ39" s="65">
        <v>0</v>
      </c>
      <c r="BA39" s="65">
        <v>0</v>
      </c>
      <c r="BB39" s="65">
        <v>0</v>
      </c>
      <c r="BC39" s="65">
        <v>1</v>
      </c>
      <c r="BD39" s="65">
        <v>1</v>
      </c>
      <c r="BE39" s="65">
        <v>0</v>
      </c>
      <c r="BF39" s="65">
        <v>0</v>
      </c>
      <c r="BG39" s="66">
        <v>0</v>
      </c>
      <c r="BH39" s="1" t="s">
        <v>389</v>
      </c>
      <c r="BI39" s="65">
        <v>3</v>
      </c>
      <c r="BJ39" s="65">
        <v>0</v>
      </c>
      <c r="BK39" s="65">
        <v>0</v>
      </c>
      <c r="BL39" s="65">
        <v>1</v>
      </c>
      <c r="BM39" s="65">
        <v>0</v>
      </c>
      <c r="BN39" s="65">
        <v>0</v>
      </c>
      <c r="BO39" s="65">
        <v>0</v>
      </c>
      <c r="BP39" s="65">
        <v>1</v>
      </c>
      <c r="BQ39" s="66">
        <v>0</v>
      </c>
      <c r="BR39" s="1" t="s">
        <v>390</v>
      </c>
      <c r="BS39" s="65">
        <v>4</v>
      </c>
      <c r="BT39" s="65">
        <v>0</v>
      </c>
      <c r="BU39" s="65">
        <v>1</v>
      </c>
      <c r="BV39" s="65">
        <v>0</v>
      </c>
      <c r="BW39" s="65">
        <v>0</v>
      </c>
      <c r="BX39" s="65">
        <v>0</v>
      </c>
      <c r="BY39" s="65">
        <v>0</v>
      </c>
      <c r="BZ39" s="65">
        <v>0</v>
      </c>
      <c r="CA39" s="66">
        <v>1</v>
      </c>
      <c r="CB39" s="1" t="s">
        <v>272</v>
      </c>
      <c r="CC39" s="65">
        <v>3</v>
      </c>
      <c r="CD39" s="65">
        <v>1</v>
      </c>
      <c r="CE39" s="65">
        <v>1</v>
      </c>
      <c r="CF39" s="65">
        <v>1</v>
      </c>
      <c r="CG39" s="65">
        <v>1</v>
      </c>
      <c r="CH39" s="65">
        <v>0</v>
      </c>
      <c r="CI39" s="65">
        <v>0</v>
      </c>
      <c r="CJ39" s="65">
        <v>0</v>
      </c>
      <c r="CK39" s="66">
        <v>4</v>
      </c>
      <c r="CL39" s="1" t="s">
        <v>274</v>
      </c>
      <c r="CM39" s="65">
        <v>3</v>
      </c>
      <c r="CN39" s="65">
        <v>0</v>
      </c>
      <c r="CO39" s="65">
        <v>1</v>
      </c>
      <c r="CP39" s="65">
        <v>0</v>
      </c>
      <c r="CQ39" s="65">
        <v>0</v>
      </c>
      <c r="CR39" s="65">
        <v>0</v>
      </c>
      <c r="CS39" s="65">
        <v>0</v>
      </c>
      <c r="CT39" s="65">
        <v>0</v>
      </c>
      <c r="CU39" s="66">
        <v>1</v>
      </c>
      <c r="CV39" s="1" t="s">
        <v>273</v>
      </c>
      <c r="CW39" s="65">
        <v>3</v>
      </c>
      <c r="CX39" s="65">
        <v>1</v>
      </c>
      <c r="CY39" s="65">
        <v>1</v>
      </c>
      <c r="CZ39" s="65">
        <v>0</v>
      </c>
      <c r="DA39" s="65">
        <v>0</v>
      </c>
      <c r="DB39" s="65">
        <v>0</v>
      </c>
      <c r="DC39" s="65">
        <v>0</v>
      </c>
      <c r="DD39" s="65">
        <v>0</v>
      </c>
      <c r="DE39" s="66">
        <v>1</v>
      </c>
      <c r="DF39" s="1" t="s">
        <v>406</v>
      </c>
      <c r="DG39" s="65">
        <v>2</v>
      </c>
      <c r="DH39" s="65">
        <v>1</v>
      </c>
      <c r="DI39" s="65">
        <v>1</v>
      </c>
      <c r="DJ39" s="65">
        <v>0</v>
      </c>
      <c r="DK39" s="65">
        <v>1</v>
      </c>
      <c r="DL39" s="65">
        <v>0</v>
      </c>
      <c r="DM39" s="65">
        <v>0</v>
      </c>
      <c r="DN39" s="65">
        <v>0</v>
      </c>
      <c r="DO39" s="66">
        <v>1</v>
      </c>
      <c r="DP39" s="1" t="s">
        <v>386</v>
      </c>
      <c r="DQ39" s="65">
        <v>3</v>
      </c>
      <c r="DR39" s="65">
        <v>0</v>
      </c>
      <c r="DS39" s="65">
        <v>1</v>
      </c>
      <c r="DT39" s="65">
        <v>1</v>
      </c>
      <c r="DU39" s="65">
        <v>0</v>
      </c>
      <c r="DV39" s="65">
        <v>0</v>
      </c>
      <c r="DW39" s="65">
        <v>0</v>
      </c>
      <c r="DX39" s="65">
        <v>0</v>
      </c>
      <c r="DY39" s="66">
        <v>1</v>
      </c>
      <c r="DZ39" s="67">
        <v>7</v>
      </c>
      <c r="EA39" s="68">
        <v>1</v>
      </c>
      <c r="EB39" s="68">
        <v>0</v>
      </c>
      <c r="EC39" s="69">
        <v>1</v>
      </c>
      <c r="ED39" s="68">
        <v>0</v>
      </c>
      <c r="EE39" s="70">
        <v>0</v>
      </c>
      <c r="EF39" s="71">
        <v>0</v>
      </c>
      <c r="EG39" s="72">
        <v>0</v>
      </c>
      <c r="EH39" s="72">
        <v>0</v>
      </c>
      <c r="EI39" s="72">
        <v>0</v>
      </c>
      <c r="EJ39" s="72">
        <v>0</v>
      </c>
      <c r="EK39" s="72">
        <v>0</v>
      </c>
      <c r="EL39" s="72">
        <v>0</v>
      </c>
      <c r="EM39" s="72">
        <v>2</v>
      </c>
      <c r="EN39" s="72">
        <v>1</v>
      </c>
      <c r="EO39" s="72"/>
      <c r="EP39" s="72"/>
      <c r="EQ39" s="72"/>
      <c r="ER39" s="72"/>
      <c r="ES39" s="44">
        <f t="shared" si="24"/>
        <v>3</v>
      </c>
      <c r="ET39" s="43">
        <v>1</v>
      </c>
      <c r="EU39" s="43">
        <v>0</v>
      </c>
      <c r="EV39" s="43">
        <v>0</v>
      </c>
      <c r="EW39" s="43">
        <v>1</v>
      </c>
      <c r="EX39" s="43">
        <v>0</v>
      </c>
      <c r="EY39" s="43">
        <v>0</v>
      </c>
      <c r="EZ39" s="43">
        <v>0</v>
      </c>
      <c r="FA39" s="43">
        <v>0</v>
      </c>
      <c r="FB39" s="43">
        <v>0</v>
      </c>
      <c r="FC39" s="43"/>
      <c r="FD39" s="43"/>
      <c r="FE39" s="43"/>
      <c r="FF39" s="43"/>
      <c r="FG39" s="43">
        <f t="shared" si="25"/>
        <v>2</v>
      </c>
      <c r="FH39" s="73">
        <v>27</v>
      </c>
      <c r="FI39" s="73">
        <v>3</v>
      </c>
      <c r="FJ39" s="73">
        <v>6</v>
      </c>
      <c r="FK39" s="73">
        <v>3</v>
      </c>
      <c r="FL39" s="73">
        <v>3</v>
      </c>
      <c r="FM39" s="73">
        <v>2</v>
      </c>
      <c r="FN39" s="73">
        <f t="shared" si="26"/>
        <v>0</v>
      </c>
      <c r="FO39" s="73">
        <f t="shared" si="27"/>
        <v>0</v>
      </c>
      <c r="FP39" s="73">
        <f t="shared" si="28"/>
        <v>0</v>
      </c>
      <c r="FQ39" s="73">
        <f t="shared" si="29"/>
        <v>0</v>
      </c>
      <c r="FR39" s="73">
        <f t="shared" si="30"/>
        <v>0</v>
      </c>
      <c r="FS39" s="73">
        <f t="shared" si="31"/>
        <v>0</v>
      </c>
      <c r="FT39" s="73">
        <f t="shared" si="32"/>
        <v>0</v>
      </c>
      <c r="FU39" s="73">
        <f t="shared" si="33"/>
        <v>0</v>
      </c>
      <c r="FV39" s="73">
        <f t="shared" si="34"/>
        <v>-1</v>
      </c>
      <c r="FW39" s="73">
        <f t="shared" si="35"/>
        <v>0</v>
      </c>
      <c r="FX39" s="73">
        <f t="shared" si="36"/>
        <v>0</v>
      </c>
      <c r="FY39" s="73">
        <f t="shared" si="37"/>
        <v>-1</v>
      </c>
      <c r="FZ39" s="73">
        <f t="shared" si="38"/>
        <v>0</v>
      </c>
      <c r="GA39" s="73">
        <f t="shared" si="39"/>
        <v>0</v>
      </c>
      <c r="GB39" s="73">
        <f t="shared" si="40"/>
        <v>0</v>
      </c>
      <c r="GC39" s="73">
        <f t="shared" si="41"/>
        <v>2</v>
      </c>
      <c r="GD39" s="73">
        <f t="shared" si="42"/>
        <v>1</v>
      </c>
      <c r="GE39" s="73">
        <f t="shared" si="43"/>
        <v>0</v>
      </c>
      <c r="GF39" s="73">
        <f t="shared" si="44"/>
        <v>0</v>
      </c>
      <c r="GG39" s="73">
        <f t="shared" si="45"/>
        <v>0</v>
      </c>
      <c r="GH39" s="73">
        <f t="shared" si="46"/>
        <v>0</v>
      </c>
      <c r="GI39" s="73">
        <f t="shared" si="47"/>
        <v>1</v>
      </c>
      <c r="GJ39" s="38"/>
      <c r="GK39" s="367"/>
      <c r="GL39" s="376"/>
      <c r="GM39" s="376"/>
      <c r="GP39" s="52"/>
    </row>
    <row r="40" spans="1:198" x14ac:dyDescent="0.25">
      <c r="A40" s="53">
        <v>40314</v>
      </c>
      <c r="B40" s="53" t="s">
        <v>19</v>
      </c>
      <c r="C40" s="53" t="s">
        <v>129</v>
      </c>
      <c r="D40" s="53" t="s">
        <v>139</v>
      </c>
      <c r="E40" s="54">
        <v>23005</v>
      </c>
      <c r="F40" s="62">
        <v>160</v>
      </c>
      <c r="G40" s="58">
        <v>2</v>
      </c>
      <c r="H40" s="89" t="s">
        <v>396</v>
      </c>
      <c r="I40" s="6">
        <v>0</v>
      </c>
      <c r="J40" s="6">
        <v>0</v>
      </c>
      <c r="K40" s="60">
        <v>6</v>
      </c>
      <c r="L40" s="6">
        <v>5</v>
      </c>
      <c r="M40" s="6">
        <v>1</v>
      </c>
      <c r="N40" s="6">
        <v>1</v>
      </c>
      <c r="O40" s="6">
        <v>2</v>
      </c>
      <c r="P40" s="6">
        <v>2</v>
      </c>
      <c r="Q40" s="6">
        <v>0</v>
      </c>
      <c r="R40" s="6">
        <v>1</v>
      </c>
      <c r="S40" s="6">
        <v>24</v>
      </c>
      <c r="T40" s="6">
        <v>100</v>
      </c>
      <c r="U40" s="6">
        <v>56</v>
      </c>
      <c r="V40" s="6">
        <v>0</v>
      </c>
      <c r="W40" s="61">
        <v>0</v>
      </c>
      <c r="X40" s="62">
        <v>1</v>
      </c>
      <c r="Y40" s="62">
        <v>0</v>
      </c>
      <c r="Z40" s="62">
        <v>0</v>
      </c>
      <c r="AA40" s="62">
        <v>1</v>
      </c>
      <c r="AB40" s="62">
        <v>0</v>
      </c>
      <c r="AC40" s="63">
        <v>3</v>
      </c>
      <c r="AD40" s="62">
        <v>1</v>
      </c>
      <c r="AE40" s="62">
        <v>0</v>
      </c>
      <c r="AF40" s="62">
        <v>0</v>
      </c>
      <c r="AG40" s="62">
        <v>1</v>
      </c>
      <c r="AH40" s="62">
        <v>2</v>
      </c>
      <c r="AI40" s="62">
        <v>0</v>
      </c>
      <c r="AJ40" s="62">
        <v>0</v>
      </c>
      <c r="AK40" s="62">
        <v>11</v>
      </c>
      <c r="AL40" s="62">
        <v>44</v>
      </c>
      <c r="AM40" s="62">
        <v>26</v>
      </c>
      <c r="AN40" s="1" t="s">
        <v>384</v>
      </c>
      <c r="AO40" s="65">
        <v>4</v>
      </c>
      <c r="AP40" s="65">
        <v>0</v>
      </c>
      <c r="AQ40" s="65">
        <v>0</v>
      </c>
      <c r="AR40" s="65">
        <v>0</v>
      </c>
      <c r="AS40" s="65">
        <v>0</v>
      </c>
      <c r="AT40" s="65">
        <v>1</v>
      </c>
      <c r="AU40" s="65">
        <v>0</v>
      </c>
      <c r="AV40" s="65">
        <v>0</v>
      </c>
      <c r="AW40" s="66">
        <v>0</v>
      </c>
      <c r="AX40" s="1" t="s">
        <v>391</v>
      </c>
      <c r="AY40" s="65">
        <v>3</v>
      </c>
      <c r="AZ40" s="65">
        <v>1</v>
      </c>
      <c r="BA40" s="65">
        <v>1</v>
      </c>
      <c r="BB40" s="65">
        <v>0</v>
      </c>
      <c r="BC40" s="65">
        <v>0</v>
      </c>
      <c r="BD40" s="65">
        <v>0</v>
      </c>
      <c r="BE40" s="65">
        <v>0</v>
      </c>
      <c r="BF40" s="65">
        <v>0</v>
      </c>
      <c r="BG40" s="66">
        <v>3</v>
      </c>
      <c r="BH40" s="1" t="s">
        <v>386</v>
      </c>
      <c r="BI40" s="65">
        <v>3</v>
      </c>
      <c r="BJ40" s="65">
        <v>0</v>
      </c>
      <c r="BK40" s="65">
        <v>0</v>
      </c>
      <c r="BL40" s="65">
        <v>1</v>
      </c>
      <c r="BM40" s="65">
        <v>0</v>
      </c>
      <c r="BN40" s="65">
        <v>2</v>
      </c>
      <c r="BO40" s="65">
        <v>0</v>
      </c>
      <c r="BP40" s="65">
        <v>1</v>
      </c>
      <c r="BQ40" s="66">
        <v>0</v>
      </c>
      <c r="BR40" s="1" t="s">
        <v>390</v>
      </c>
      <c r="BS40" s="65">
        <v>3</v>
      </c>
      <c r="BT40" s="65">
        <v>0</v>
      </c>
      <c r="BU40" s="65">
        <v>0</v>
      </c>
      <c r="BV40" s="65">
        <v>0</v>
      </c>
      <c r="BW40" s="65">
        <v>1</v>
      </c>
      <c r="BX40" s="65">
        <v>1</v>
      </c>
      <c r="BY40" s="65">
        <v>0</v>
      </c>
      <c r="BZ40" s="65">
        <v>0</v>
      </c>
      <c r="CA40" s="66">
        <v>0</v>
      </c>
      <c r="CB40" s="1" t="s">
        <v>272</v>
      </c>
      <c r="CC40" s="65">
        <v>4</v>
      </c>
      <c r="CD40" s="65">
        <v>0</v>
      </c>
      <c r="CE40" s="65">
        <v>1</v>
      </c>
      <c r="CF40" s="65">
        <v>0</v>
      </c>
      <c r="CG40" s="65">
        <v>0</v>
      </c>
      <c r="CH40" s="65">
        <v>2</v>
      </c>
      <c r="CI40" s="65">
        <v>0</v>
      </c>
      <c r="CJ40" s="65">
        <v>0</v>
      </c>
      <c r="CK40" s="66">
        <v>2</v>
      </c>
      <c r="CL40" s="1" t="s">
        <v>404</v>
      </c>
      <c r="CM40" s="65">
        <v>3</v>
      </c>
      <c r="CN40" s="65">
        <v>0</v>
      </c>
      <c r="CO40" s="65">
        <v>0</v>
      </c>
      <c r="CP40" s="65">
        <v>0</v>
      </c>
      <c r="CQ40" s="65">
        <v>0</v>
      </c>
      <c r="CR40" s="65">
        <v>2</v>
      </c>
      <c r="CS40" s="65">
        <v>0</v>
      </c>
      <c r="CT40" s="65">
        <v>0</v>
      </c>
      <c r="CU40" s="66">
        <v>0</v>
      </c>
      <c r="CV40" s="1" t="s">
        <v>273</v>
      </c>
      <c r="CW40" s="65">
        <v>3</v>
      </c>
      <c r="CX40" s="65">
        <v>1</v>
      </c>
      <c r="CY40" s="65">
        <v>2</v>
      </c>
      <c r="CZ40" s="65">
        <v>0</v>
      </c>
      <c r="DA40" s="65">
        <v>0</v>
      </c>
      <c r="DB40" s="65">
        <v>0</v>
      </c>
      <c r="DC40" s="65">
        <v>0</v>
      </c>
      <c r="DD40" s="65">
        <v>0</v>
      </c>
      <c r="DE40" s="66">
        <v>4</v>
      </c>
      <c r="DF40" s="1" t="s">
        <v>406</v>
      </c>
      <c r="DG40" s="65">
        <v>3</v>
      </c>
      <c r="DH40" s="65">
        <v>0</v>
      </c>
      <c r="DI40" s="65">
        <v>0</v>
      </c>
      <c r="DJ40" s="65">
        <v>0</v>
      </c>
      <c r="DK40" s="65">
        <v>0</v>
      </c>
      <c r="DL40" s="65">
        <v>0</v>
      </c>
      <c r="DM40" s="65">
        <v>0</v>
      </c>
      <c r="DN40" s="65">
        <v>0</v>
      </c>
      <c r="DO40" s="66">
        <v>0</v>
      </c>
      <c r="DP40" s="1" t="s">
        <v>271</v>
      </c>
      <c r="DQ40" s="65">
        <v>3</v>
      </c>
      <c r="DR40" s="65">
        <v>0</v>
      </c>
      <c r="DS40" s="65">
        <v>1</v>
      </c>
      <c r="DT40" s="65">
        <v>1</v>
      </c>
      <c r="DU40" s="65">
        <v>0</v>
      </c>
      <c r="DV40" s="65">
        <v>2</v>
      </c>
      <c r="DW40" s="65">
        <v>0</v>
      </c>
      <c r="DX40" s="65">
        <v>0</v>
      </c>
      <c r="DY40" s="66">
        <v>2</v>
      </c>
      <c r="DZ40" s="67">
        <v>8</v>
      </c>
      <c r="EA40" s="68">
        <v>1</v>
      </c>
      <c r="EB40" s="68">
        <v>0</v>
      </c>
      <c r="EC40" s="69">
        <v>0</v>
      </c>
      <c r="ED40" s="68">
        <v>0</v>
      </c>
      <c r="EE40" s="70">
        <v>0</v>
      </c>
      <c r="EF40" s="71">
        <v>0</v>
      </c>
      <c r="EG40" s="72">
        <v>0</v>
      </c>
      <c r="EH40" s="72">
        <v>0</v>
      </c>
      <c r="EI40" s="72">
        <v>0</v>
      </c>
      <c r="EJ40" s="72">
        <v>0</v>
      </c>
      <c r="EK40" s="72">
        <v>0</v>
      </c>
      <c r="EL40" s="72">
        <v>1</v>
      </c>
      <c r="EM40" s="72">
        <v>1</v>
      </c>
      <c r="EN40" s="72"/>
      <c r="EO40" s="72"/>
      <c r="EP40" s="72"/>
      <c r="EQ40" s="72"/>
      <c r="ER40" s="72"/>
      <c r="ES40" s="44">
        <f t="shared" si="24"/>
        <v>2</v>
      </c>
      <c r="ET40" s="43">
        <v>0</v>
      </c>
      <c r="EU40" s="43">
        <v>0</v>
      </c>
      <c r="EV40" s="43">
        <v>0</v>
      </c>
      <c r="EW40" s="43">
        <v>0</v>
      </c>
      <c r="EX40" s="43">
        <v>1</v>
      </c>
      <c r="EY40" s="43">
        <v>0</v>
      </c>
      <c r="EZ40" s="43">
        <v>0</v>
      </c>
      <c r="FA40" s="43">
        <v>0</v>
      </c>
      <c r="FB40" s="43">
        <v>0</v>
      </c>
      <c r="FC40" s="43"/>
      <c r="FD40" s="43"/>
      <c r="FE40" s="43"/>
      <c r="FF40" s="43"/>
      <c r="FG40" s="43">
        <f t="shared" si="25"/>
        <v>1</v>
      </c>
      <c r="FH40" s="73">
        <v>29</v>
      </c>
      <c r="FI40" s="73">
        <v>2</v>
      </c>
      <c r="FJ40" s="73">
        <v>5</v>
      </c>
      <c r="FK40" s="73">
        <v>2</v>
      </c>
      <c r="FL40" s="73">
        <v>1</v>
      </c>
      <c r="FM40" s="73">
        <v>10</v>
      </c>
      <c r="FN40" s="73">
        <f t="shared" si="26"/>
        <v>0</v>
      </c>
      <c r="FO40" s="73">
        <f t="shared" si="27"/>
        <v>0</v>
      </c>
      <c r="FP40" s="73">
        <f t="shared" si="28"/>
        <v>0</v>
      </c>
      <c r="FQ40" s="73">
        <f t="shared" si="29"/>
        <v>0</v>
      </c>
      <c r="FR40" s="73">
        <f t="shared" si="30"/>
        <v>0</v>
      </c>
      <c r="FS40" s="73">
        <f t="shared" si="31"/>
        <v>0</v>
      </c>
      <c r="FT40" s="73">
        <f t="shared" si="32"/>
        <v>0</v>
      </c>
      <c r="FU40" s="73">
        <f t="shared" si="33"/>
        <v>0</v>
      </c>
      <c r="FV40" s="73">
        <f t="shared" si="34"/>
        <v>0</v>
      </c>
      <c r="FW40" s="73">
        <f t="shared" si="35"/>
        <v>0</v>
      </c>
      <c r="FX40" s="73">
        <f t="shared" si="36"/>
        <v>0</v>
      </c>
      <c r="FY40" s="73">
        <f t="shared" si="37"/>
        <v>0</v>
      </c>
      <c r="FZ40" s="73">
        <f t="shared" si="38"/>
        <v>-1</v>
      </c>
      <c r="GA40" s="73">
        <f t="shared" si="39"/>
        <v>0</v>
      </c>
      <c r="GB40" s="73">
        <f t="shared" si="40"/>
        <v>1</v>
      </c>
      <c r="GC40" s="73">
        <f t="shared" si="41"/>
        <v>1</v>
      </c>
      <c r="GD40" s="73">
        <f t="shared" si="42"/>
        <v>0</v>
      </c>
      <c r="GE40" s="73">
        <f t="shared" si="43"/>
        <v>0</v>
      </c>
      <c r="GF40" s="73">
        <f t="shared" si="44"/>
        <v>0</v>
      </c>
      <c r="GG40" s="73">
        <f t="shared" si="45"/>
        <v>0</v>
      </c>
      <c r="GH40" s="73">
        <f t="shared" si="46"/>
        <v>0</v>
      </c>
      <c r="GI40" s="73">
        <f t="shared" si="47"/>
        <v>1</v>
      </c>
      <c r="GJ40" s="38"/>
      <c r="GK40" s="367"/>
      <c r="GL40" s="376"/>
      <c r="GM40" s="376"/>
      <c r="GP40" s="52"/>
    </row>
    <row r="41" spans="1:198" x14ac:dyDescent="0.25">
      <c r="A41" s="53">
        <v>40315</v>
      </c>
      <c r="B41" s="53" t="s">
        <v>19</v>
      </c>
      <c r="C41" s="53" t="s">
        <v>129</v>
      </c>
      <c r="D41" s="53" t="s">
        <v>141</v>
      </c>
      <c r="E41" s="54">
        <v>18879</v>
      </c>
      <c r="F41" s="62">
        <v>222</v>
      </c>
      <c r="G41" s="58">
        <v>3</v>
      </c>
      <c r="H41" s="59" t="s">
        <v>395</v>
      </c>
      <c r="I41" s="6">
        <v>0</v>
      </c>
      <c r="J41" s="6">
        <v>0</v>
      </c>
      <c r="K41" s="60">
        <v>6</v>
      </c>
      <c r="L41" s="6">
        <v>10</v>
      </c>
      <c r="M41" s="6">
        <v>3</v>
      </c>
      <c r="N41" s="6">
        <v>3</v>
      </c>
      <c r="O41" s="6">
        <v>3</v>
      </c>
      <c r="P41" s="6">
        <v>3</v>
      </c>
      <c r="Q41" s="6">
        <v>0</v>
      </c>
      <c r="R41" s="6">
        <v>0</v>
      </c>
      <c r="S41" s="6">
        <v>29</v>
      </c>
      <c r="T41" s="6">
        <v>94</v>
      </c>
      <c r="U41" s="6">
        <v>63</v>
      </c>
      <c r="V41" s="6">
        <v>1</v>
      </c>
      <c r="W41" s="61">
        <v>0</v>
      </c>
      <c r="X41" s="62">
        <v>1</v>
      </c>
      <c r="Y41" s="62">
        <v>0</v>
      </c>
      <c r="Z41" s="62">
        <v>0</v>
      </c>
      <c r="AA41" s="62">
        <v>0</v>
      </c>
      <c r="AB41" s="62">
        <v>0</v>
      </c>
      <c r="AC41" s="63">
        <v>5</v>
      </c>
      <c r="AD41" s="62">
        <v>1</v>
      </c>
      <c r="AE41" s="62">
        <v>0</v>
      </c>
      <c r="AF41" s="62">
        <v>0</v>
      </c>
      <c r="AG41" s="62">
        <v>1</v>
      </c>
      <c r="AH41" s="62">
        <v>10</v>
      </c>
      <c r="AI41" s="62">
        <v>0</v>
      </c>
      <c r="AJ41" s="62">
        <v>0</v>
      </c>
      <c r="AK41" s="62">
        <v>17</v>
      </c>
      <c r="AL41" s="62">
        <v>69</v>
      </c>
      <c r="AM41" s="62">
        <v>52</v>
      </c>
      <c r="AN41" s="1" t="s">
        <v>389</v>
      </c>
      <c r="AO41" s="65">
        <v>5</v>
      </c>
      <c r="AP41" s="65">
        <v>1</v>
      </c>
      <c r="AQ41" s="65">
        <v>1</v>
      </c>
      <c r="AR41" s="65">
        <v>0</v>
      </c>
      <c r="AS41" s="65">
        <v>0</v>
      </c>
      <c r="AT41" s="65">
        <v>2</v>
      </c>
      <c r="AU41" s="65">
        <v>0</v>
      </c>
      <c r="AV41" s="65">
        <v>0</v>
      </c>
      <c r="AW41" s="66">
        <v>1</v>
      </c>
      <c r="AX41" s="1" t="s">
        <v>391</v>
      </c>
      <c r="AY41" s="65">
        <v>5</v>
      </c>
      <c r="AZ41" s="65">
        <v>2</v>
      </c>
      <c r="BA41" s="65">
        <v>2</v>
      </c>
      <c r="BB41" s="65">
        <v>1</v>
      </c>
      <c r="BC41" s="65">
        <v>0</v>
      </c>
      <c r="BD41" s="65">
        <v>1</v>
      </c>
      <c r="BE41" s="65">
        <v>0</v>
      </c>
      <c r="BF41" s="65">
        <v>0</v>
      </c>
      <c r="BG41" s="66">
        <v>5</v>
      </c>
      <c r="BH41" s="1" t="s">
        <v>390</v>
      </c>
      <c r="BI41" s="65">
        <v>5</v>
      </c>
      <c r="BJ41" s="65">
        <v>0</v>
      </c>
      <c r="BK41" s="65">
        <v>1</v>
      </c>
      <c r="BL41" s="65">
        <v>1</v>
      </c>
      <c r="BM41" s="65">
        <v>0</v>
      </c>
      <c r="BN41" s="65">
        <v>2</v>
      </c>
      <c r="BO41" s="65">
        <v>0</v>
      </c>
      <c r="BP41" s="65">
        <v>0</v>
      </c>
      <c r="BQ41" s="66">
        <v>1</v>
      </c>
      <c r="BR41" s="1" t="s">
        <v>274</v>
      </c>
      <c r="BS41" s="65">
        <v>5</v>
      </c>
      <c r="BT41" s="65">
        <v>0</v>
      </c>
      <c r="BU41" s="65">
        <v>1</v>
      </c>
      <c r="BV41" s="65">
        <v>0</v>
      </c>
      <c r="BW41" s="65">
        <v>0</v>
      </c>
      <c r="BX41" s="65">
        <v>0</v>
      </c>
      <c r="BY41" s="65">
        <v>0</v>
      </c>
      <c r="BZ41" s="65">
        <v>0</v>
      </c>
      <c r="CA41" s="66">
        <v>1</v>
      </c>
      <c r="CB41" s="1" t="s">
        <v>404</v>
      </c>
      <c r="CC41" s="65">
        <v>5</v>
      </c>
      <c r="CD41" s="65">
        <v>0</v>
      </c>
      <c r="CE41" s="65">
        <v>2</v>
      </c>
      <c r="CF41" s="65">
        <v>1</v>
      </c>
      <c r="CG41" s="65">
        <v>0</v>
      </c>
      <c r="CH41" s="65">
        <v>1</v>
      </c>
      <c r="CI41" s="65">
        <v>0</v>
      </c>
      <c r="CJ41" s="65">
        <v>0</v>
      </c>
      <c r="CK41" s="66">
        <v>2</v>
      </c>
      <c r="CL41" s="1" t="s">
        <v>273</v>
      </c>
      <c r="CM41" s="65">
        <v>4</v>
      </c>
      <c r="CN41" s="65">
        <v>0</v>
      </c>
      <c r="CO41" s="65">
        <v>0</v>
      </c>
      <c r="CP41" s="65">
        <v>0</v>
      </c>
      <c r="CQ41" s="65">
        <v>1</v>
      </c>
      <c r="CR41" s="65">
        <v>1</v>
      </c>
      <c r="CS41" s="65">
        <v>0</v>
      </c>
      <c r="CT41" s="65">
        <v>0</v>
      </c>
      <c r="CU41" s="66">
        <v>0</v>
      </c>
      <c r="CV41" s="1" t="s">
        <v>275</v>
      </c>
      <c r="CW41" s="65">
        <v>5</v>
      </c>
      <c r="CX41" s="65">
        <v>1</v>
      </c>
      <c r="CY41" s="65">
        <v>1</v>
      </c>
      <c r="CZ41" s="65">
        <v>0</v>
      </c>
      <c r="DA41" s="65">
        <v>0</v>
      </c>
      <c r="DB41" s="65">
        <v>2</v>
      </c>
      <c r="DC41" s="65">
        <v>0</v>
      </c>
      <c r="DD41" s="65">
        <v>0</v>
      </c>
      <c r="DE41" s="66">
        <v>1</v>
      </c>
      <c r="DF41" s="1" t="s">
        <v>385</v>
      </c>
      <c r="DG41" s="65">
        <v>5</v>
      </c>
      <c r="DH41" s="65">
        <v>0</v>
      </c>
      <c r="DI41" s="65">
        <v>2</v>
      </c>
      <c r="DJ41" s="65">
        <v>0</v>
      </c>
      <c r="DK41" s="65">
        <v>0</v>
      </c>
      <c r="DL41" s="65">
        <v>0</v>
      </c>
      <c r="DM41" s="65">
        <v>0</v>
      </c>
      <c r="DN41" s="65">
        <v>0</v>
      </c>
      <c r="DO41" s="66">
        <v>2</v>
      </c>
      <c r="DP41" s="1" t="s">
        <v>271</v>
      </c>
      <c r="DQ41" s="65">
        <v>3</v>
      </c>
      <c r="DR41" s="65">
        <v>0</v>
      </c>
      <c r="DS41" s="65">
        <v>0</v>
      </c>
      <c r="DT41" s="65">
        <v>1</v>
      </c>
      <c r="DU41" s="65">
        <v>1</v>
      </c>
      <c r="DV41" s="65">
        <v>2</v>
      </c>
      <c r="DW41" s="65">
        <v>0</v>
      </c>
      <c r="DX41" s="65">
        <v>0</v>
      </c>
      <c r="DY41" s="66">
        <v>0</v>
      </c>
      <c r="DZ41" s="67">
        <f>1+1/3</f>
        <v>1.3333333333333333</v>
      </c>
      <c r="EA41" s="68">
        <v>0</v>
      </c>
      <c r="EB41" s="68">
        <v>0</v>
      </c>
      <c r="EC41" s="69">
        <v>9</v>
      </c>
      <c r="ED41" s="68">
        <v>1</v>
      </c>
      <c r="EE41" s="70">
        <v>0</v>
      </c>
      <c r="EF41" s="71">
        <v>2</v>
      </c>
      <c r="EG41" s="72">
        <v>0</v>
      </c>
      <c r="EH41" s="72">
        <v>0</v>
      </c>
      <c r="EI41" s="72">
        <v>0</v>
      </c>
      <c r="EJ41" s="72">
        <v>0</v>
      </c>
      <c r="EK41" s="72">
        <v>0</v>
      </c>
      <c r="EL41" s="72">
        <v>0</v>
      </c>
      <c r="EM41" s="72">
        <v>1</v>
      </c>
      <c r="EN41" s="72">
        <v>0</v>
      </c>
      <c r="EO41" s="72">
        <v>0</v>
      </c>
      <c r="EP41" s="72">
        <v>1</v>
      </c>
      <c r="EQ41" s="72"/>
      <c r="ER41" s="72"/>
      <c r="ES41" s="44">
        <f t="shared" si="24"/>
        <v>4</v>
      </c>
      <c r="ET41" s="43">
        <v>0</v>
      </c>
      <c r="EU41" s="43">
        <v>1</v>
      </c>
      <c r="EV41" s="43">
        <v>0</v>
      </c>
      <c r="EW41" s="43">
        <v>1</v>
      </c>
      <c r="EX41" s="43">
        <v>0</v>
      </c>
      <c r="EY41" s="43">
        <v>1</v>
      </c>
      <c r="EZ41" s="43">
        <v>0</v>
      </c>
      <c r="FA41" s="43">
        <v>0</v>
      </c>
      <c r="FB41" s="43">
        <v>0</v>
      </c>
      <c r="FC41" s="43">
        <v>0</v>
      </c>
      <c r="FD41" s="43">
        <v>0</v>
      </c>
      <c r="FE41" s="43"/>
      <c r="FF41" s="43"/>
      <c r="FG41" s="43">
        <f t="shared" si="25"/>
        <v>3</v>
      </c>
      <c r="FH41" s="73">
        <v>42</v>
      </c>
      <c r="FI41" s="73">
        <v>4</v>
      </c>
      <c r="FJ41" s="73">
        <v>10</v>
      </c>
      <c r="FK41" s="73">
        <v>4</v>
      </c>
      <c r="FL41" s="73">
        <v>2</v>
      </c>
      <c r="FM41" s="73">
        <v>11</v>
      </c>
      <c r="FN41" s="73">
        <f t="shared" si="26"/>
        <v>0</v>
      </c>
      <c r="FO41" s="73">
        <f t="shared" si="27"/>
        <v>0</v>
      </c>
      <c r="FP41" s="73">
        <f t="shared" si="28"/>
        <v>0</v>
      </c>
      <c r="FQ41" s="73">
        <f t="shared" si="29"/>
        <v>0</v>
      </c>
      <c r="FR41" s="73">
        <f t="shared" si="30"/>
        <v>0</v>
      </c>
      <c r="FS41" s="73">
        <f t="shared" si="31"/>
        <v>0</v>
      </c>
      <c r="FT41" s="73">
        <f t="shared" si="32"/>
        <v>0</v>
      </c>
      <c r="FU41" s="73">
        <f t="shared" si="33"/>
        <v>0</v>
      </c>
      <c r="FV41" s="73">
        <f t="shared" si="34"/>
        <v>2</v>
      </c>
      <c r="FW41" s="73">
        <f t="shared" si="35"/>
        <v>-1</v>
      </c>
      <c r="FX41" s="73">
        <f t="shared" si="36"/>
        <v>0</v>
      </c>
      <c r="FY41" s="73">
        <f t="shared" si="37"/>
        <v>-1</v>
      </c>
      <c r="FZ41" s="73">
        <f t="shared" si="38"/>
        <v>0</v>
      </c>
      <c r="GA41" s="73">
        <f t="shared" si="39"/>
        <v>-1</v>
      </c>
      <c r="GB41" s="73">
        <f t="shared" si="40"/>
        <v>0</v>
      </c>
      <c r="GC41" s="73">
        <f t="shared" si="41"/>
        <v>1</v>
      </c>
      <c r="GD41" s="73">
        <f t="shared" si="42"/>
        <v>0</v>
      </c>
      <c r="GE41" s="73">
        <f t="shared" si="43"/>
        <v>0</v>
      </c>
      <c r="GF41" s="73">
        <f t="shared" si="44"/>
        <v>1</v>
      </c>
      <c r="GG41" s="73">
        <f t="shared" si="45"/>
        <v>0</v>
      </c>
      <c r="GH41" s="73">
        <f t="shared" si="46"/>
        <v>0</v>
      </c>
      <c r="GI41" s="73">
        <f t="shared" si="47"/>
        <v>1</v>
      </c>
      <c r="GJ41" s="38"/>
      <c r="GK41" s="367"/>
      <c r="GL41" s="376"/>
      <c r="GM41" s="376"/>
      <c r="GP41" s="52"/>
    </row>
    <row r="42" spans="1:198" x14ac:dyDescent="0.25">
      <c r="A42" s="53">
        <v>40316</v>
      </c>
      <c r="B42" s="53" t="s">
        <v>19</v>
      </c>
      <c r="C42" s="53" t="s">
        <v>129</v>
      </c>
      <c r="D42" s="53" t="s">
        <v>141</v>
      </c>
      <c r="E42" s="54">
        <v>17093</v>
      </c>
      <c r="F42" s="62">
        <v>198</v>
      </c>
      <c r="G42" s="58">
        <v>4</v>
      </c>
      <c r="H42" s="59" t="s">
        <v>394</v>
      </c>
      <c r="I42" s="6">
        <v>1</v>
      </c>
      <c r="J42" s="6">
        <v>0</v>
      </c>
      <c r="K42" s="60">
        <v>6</v>
      </c>
      <c r="L42" s="6">
        <v>4</v>
      </c>
      <c r="M42" s="6">
        <v>1</v>
      </c>
      <c r="N42" s="6">
        <v>0</v>
      </c>
      <c r="O42" s="6">
        <v>3</v>
      </c>
      <c r="P42" s="6">
        <v>5</v>
      </c>
      <c r="Q42" s="6">
        <v>0</v>
      </c>
      <c r="R42" s="6">
        <v>0</v>
      </c>
      <c r="S42" s="6">
        <v>26</v>
      </c>
      <c r="T42" s="6">
        <v>97</v>
      </c>
      <c r="U42" s="6">
        <v>65</v>
      </c>
      <c r="V42" s="6">
        <v>0</v>
      </c>
      <c r="W42" s="61">
        <v>0</v>
      </c>
      <c r="X42" s="62">
        <v>0</v>
      </c>
      <c r="Y42" s="62">
        <v>0</v>
      </c>
      <c r="Z42" s="62">
        <v>0</v>
      </c>
      <c r="AA42" s="62">
        <v>0</v>
      </c>
      <c r="AB42" s="62">
        <v>0</v>
      </c>
      <c r="AC42" s="63">
        <v>3</v>
      </c>
      <c r="AD42" s="62">
        <v>2</v>
      </c>
      <c r="AE42" s="62">
        <v>1</v>
      </c>
      <c r="AF42" s="62">
        <v>1</v>
      </c>
      <c r="AG42" s="62">
        <v>2</v>
      </c>
      <c r="AH42" s="62">
        <v>3</v>
      </c>
      <c r="AI42" s="62">
        <v>0</v>
      </c>
      <c r="AJ42" s="62">
        <v>0</v>
      </c>
      <c r="AK42" s="62">
        <v>13</v>
      </c>
      <c r="AL42" s="62">
        <v>59</v>
      </c>
      <c r="AM42" s="62">
        <v>35</v>
      </c>
      <c r="AN42" s="1" t="s">
        <v>384</v>
      </c>
      <c r="AO42" s="65">
        <v>5</v>
      </c>
      <c r="AP42" s="65">
        <v>1</v>
      </c>
      <c r="AQ42" s="65">
        <v>2</v>
      </c>
      <c r="AR42" s="65">
        <v>1</v>
      </c>
      <c r="AS42" s="65">
        <v>0</v>
      </c>
      <c r="AT42" s="65">
        <v>0</v>
      </c>
      <c r="AU42" s="65">
        <v>0</v>
      </c>
      <c r="AV42" s="65">
        <v>0</v>
      </c>
      <c r="AW42" s="66">
        <v>2</v>
      </c>
      <c r="AX42" s="1" t="s">
        <v>389</v>
      </c>
      <c r="AY42" s="65">
        <v>4</v>
      </c>
      <c r="AZ42" s="65">
        <v>2</v>
      </c>
      <c r="BA42" s="65">
        <v>2</v>
      </c>
      <c r="BB42" s="65">
        <v>0</v>
      </c>
      <c r="BC42" s="65">
        <v>1</v>
      </c>
      <c r="BD42" s="65">
        <v>1</v>
      </c>
      <c r="BE42" s="65">
        <v>0</v>
      </c>
      <c r="BF42" s="65">
        <v>0</v>
      </c>
      <c r="BG42" s="66">
        <v>2</v>
      </c>
      <c r="BH42" s="1" t="s">
        <v>390</v>
      </c>
      <c r="BI42" s="65">
        <v>4</v>
      </c>
      <c r="BJ42" s="65">
        <v>0</v>
      </c>
      <c r="BK42" s="65">
        <v>2</v>
      </c>
      <c r="BL42" s="65">
        <v>3</v>
      </c>
      <c r="BM42" s="65">
        <v>1</v>
      </c>
      <c r="BN42" s="65">
        <v>1</v>
      </c>
      <c r="BO42" s="65">
        <v>0</v>
      </c>
      <c r="BP42" s="65">
        <v>0</v>
      </c>
      <c r="BQ42" s="66">
        <v>5</v>
      </c>
      <c r="BR42" s="1" t="s">
        <v>274</v>
      </c>
      <c r="BS42" s="65">
        <v>4</v>
      </c>
      <c r="BT42" s="65">
        <v>0</v>
      </c>
      <c r="BU42" s="65">
        <v>2</v>
      </c>
      <c r="BV42" s="65">
        <v>1</v>
      </c>
      <c r="BW42" s="65">
        <v>1</v>
      </c>
      <c r="BX42" s="65">
        <v>0</v>
      </c>
      <c r="BY42" s="65">
        <v>0</v>
      </c>
      <c r="BZ42" s="65">
        <v>0</v>
      </c>
      <c r="CA42" s="66">
        <v>2</v>
      </c>
      <c r="CB42" s="1" t="s">
        <v>272</v>
      </c>
      <c r="CC42" s="65">
        <v>5</v>
      </c>
      <c r="CD42" s="65">
        <v>0</v>
      </c>
      <c r="CE42" s="65">
        <v>1</v>
      </c>
      <c r="CF42" s="65">
        <v>0</v>
      </c>
      <c r="CG42" s="65">
        <v>0</v>
      </c>
      <c r="CH42" s="65">
        <v>1</v>
      </c>
      <c r="CI42" s="65">
        <v>0</v>
      </c>
      <c r="CJ42" s="65">
        <v>0</v>
      </c>
      <c r="CK42" s="66">
        <v>1</v>
      </c>
      <c r="CL42" s="1" t="s">
        <v>273</v>
      </c>
      <c r="CM42" s="65">
        <v>5</v>
      </c>
      <c r="CN42" s="65">
        <v>1</v>
      </c>
      <c r="CO42" s="65">
        <v>1</v>
      </c>
      <c r="CP42" s="65">
        <v>0</v>
      </c>
      <c r="CQ42" s="65">
        <v>0</v>
      </c>
      <c r="CR42" s="65">
        <v>0</v>
      </c>
      <c r="CS42" s="65">
        <v>0</v>
      </c>
      <c r="CT42" s="65">
        <v>0</v>
      </c>
      <c r="CU42" s="66">
        <v>2</v>
      </c>
      <c r="CV42" s="1" t="s">
        <v>386</v>
      </c>
      <c r="CW42" s="65">
        <v>2</v>
      </c>
      <c r="CX42" s="65">
        <v>1</v>
      </c>
      <c r="CY42" s="65">
        <v>1</v>
      </c>
      <c r="CZ42" s="65">
        <v>0</v>
      </c>
      <c r="DA42" s="65">
        <v>1</v>
      </c>
      <c r="DB42" s="65">
        <v>0</v>
      </c>
      <c r="DC42" s="65">
        <v>1</v>
      </c>
      <c r="DD42" s="65">
        <v>0</v>
      </c>
      <c r="DE42" s="66">
        <v>1</v>
      </c>
      <c r="DF42" s="1" t="s">
        <v>406</v>
      </c>
      <c r="DG42" s="65">
        <v>3</v>
      </c>
      <c r="DH42" s="65">
        <v>0</v>
      </c>
      <c r="DI42" s="65">
        <v>1</v>
      </c>
      <c r="DJ42" s="65">
        <v>0</v>
      </c>
      <c r="DK42" s="65">
        <v>0</v>
      </c>
      <c r="DL42" s="65">
        <v>1</v>
      </c>
      <c r="DM42" s="65">
        <v>0</v>
      </c>
      <c r="DN42" s="65">
        <v>0</v>
      </c>
      <c r="DO42" s="66">
        <v>1</v>
      </c>
      <c r="DP42" s="1" t="s">
        <v>271</v>
      </c>
      <c r="DQ42" s="65">
        <v>2</v>
      </c>
      <c r="DR42" s="65">
        <v>1</v>
      </c>
      <c r="DS42" s="65">
        <v>0</v>
      </c>
      <c r="DT42" s="65">
        <v>1</v>
      </c>
      <c r="DU42" s="65">
        <v>2</v>
      </c>
      <c r="DV42" s="65">
        <v>0</v>
      </c>
      <c r="DW42" s="65">
        <v>0</v>
      </c>
      <c r="DX42" s="65">
        <v>0</v>
      </c>
      <c r="DY42" s="66">
        <v>0</v>
      </c>
      <c r="DZ42" s="67">
        <v>6</v>
      </c>
      <c r="EA42" s="68">
        <v>2</v>
      </c>
      <c r="EB42" s="68">
        <v>0</v>
      </c>
      <c r="EC42" s="69">
        <v>2</v>
      </c>
      <c r="ED42" s="68">
        <v>1</v>
      </c>
      <c r="EE42" s="70">
        <v>0</v>
      </c>
      <c r="EF42" s="71">
        <v>0</v>
      </c>
      <c r="EG42" s="72">
        <v>0</v>
      </c>
      <c r="EH42" s="72">
        <v>1</v>
      </c>
      <c r="EI42" s="72">
        <v>0</v>
      </c>
      <c r="EJ42" s="72">
        <v>0</v>
      </c>
      <c r="EK42" s="72">
        <v>4</v>
      </c>
      <c r="EL42" s="72">
        <v>0</v>
      </c>
      <c r="EM42" s="72">
        <v>1</v>
      </c>
      <c r="EN42" s="72"/>
      <c r="EO42" s="72"/>
      <c r="EP42" s="72"/>
      <c r="EQ42" s="72"/>
      <c r="ER42" s="72"/>
      <c r="ES42" s="44">
        <f t="shared" si="24"/>
        <v>6</v>
      </c>
      <c r="ET42" s="43">
        <v>0</v>
      </c>
      <c r="EU42" s="43">
        <v>0</v>
      </c>
      <c r="EV42" s="43">
        <v>0</v>
      </c>
      <c r="EW42" s="43">
        <v>0</v>
      </c>
      <c r="EX42" s="43">
        <v>1</v>
      </c>
      <c r="EY42" s="43">
        <v>0</v>
      </c>
      <c r="EZ42" s="43">
        <v>0</v>
      </c>
      <c r="FA42" s="43">
        <v>1</v>
      </c>
      <c r="FB42" s="43">
        <v>0</v>
      </c>
      <c r="FC42" s="43"/>
      <c r="FD42" s="43"/>
      <c r="FE42" s="43"/>
      <c r="FF42" s="43"/>
      <c r="FG42" s="43">
        <f t="shared" si="25"/>
        <v>2</v>
      </c>
      <c r="FH42" s="73">
        <v>34</v>
      </c>
      <c r="FI42" s="73">
        <v>6</v>
      </c>
      <c r="FJ42" s="73">
        <v>12</v>
      </c>
      <c r="FK42" s="73">
        <v>6</v>
      </c>
      <c r="FL42" s="73">
        <v>6</v>
      </c>
      <c r="FM42" s="73">
        <v>4</v>
      </c>
      <c r="FN42" s="73">
        <f t="shared" si="26"/>
        <v>0</v>
      </c>
      <c r="FO42" s="73">
        <f t="shared" si="27"/>
        <v>0</v>
      </c>
      <c r="FP42" s="73">
        <f t="shared" si="28"/>
        <v>0</v>
      </c>
      <c r="FQ42" s="73">
        <f t="shared" si="29"/>
        <v>0</v>
      </c>
      <c r="FR42" s="73">
        <f t="shared" si="30"/>
        <v>0</v>
      </c>
      <c r="FS42" s="73">
        <f t="shared" si="31"/>
        <v>0</v>
      </c>
      <c r="FT42" s="73">
        <f t="shared" si="32"/>
        <v>0</v>
      </c>
      <c r="FU42" s="73">
        <f t="shared" si="33"/>
        <v>0</v>
      </c>
      <c r="FV42" s="73">
        <f t="shared" si="34"/>
        <v>0</v>
      </c>
      <c r="FW42" s="73">
        <f t="shared" si="35"/>
        <v>0</v>
      </c>
      <c r="FX42" s="73">
        <f t="shared" si="36"/>
        <v>1</v>
      </c>
      <c r="FY42" s="73">
        <f t="shared" si="37"/>
        <v>0</v>
      </c>
      <c r="FZ42" s="73">
        <f t="shared" si="38"/>
        <v>-1</v>
      </c>
      <c r="GA42" s="73">
        <f t="shared" si="39"/>
        <v>4</v>
      </c>
      <c r="GB42" s="73">
        <f t="shared" si="40"/>
        <v>0</v>
      </c>
      <c r="GC42" s="73">
        <f t="shared" si="41"/>
        <v>0</v>
      </c>
      <c r="GD42" s="73">
        <f t="shared" si="42"/>
        <v>0</v>
      </c>
      <c r="GE42" s="73">
        <f t="shared" si="43"/>
        <v>0</v>
      </c>
      <c r="GF42" s="73">
        <f t="shared" si="44"/>
        <v>0</v>
      </c>
      <c r="GG42" s="73">
        <f t="shared" si="45"/>
        <v>0</v>
      </c>
      <c r="GH42" s="73">
        <f t="shared" si="46"/>
        <v>0</v>
      </c>
      <c r="GI42" s="73">
        <f t="shared" si="47"/>
        <v>4</v>
      </c>
      <c r="GJ42" s="38"/>
      <c r="GK42" s="367"/>
      <c r="GL42" s="376"/>
      <c r="GM42" s="376"/>
      <c r="GP42" s="52"/>
    </row>
    <row r="43" spans="1:198" x14ac:dyDescent="0.25">
      <c r="A43" s="53">
        <v>40317</v>
      </c>
      <c r="B43" s="53" t="s">
        <v>133</v>
      </c>
      <c r="C43" s="53" t="s">
        <v>129</v>
      </c>
      <c r="D43" s="53" t="s">
        <v>132</v>
      </c>
      <c r="E43" s="54">
        <v>43283</v>
      </c>
      <c r="F43" s="62">
        <v>225</v>
      </c>
      <c r="G43" s="58">
        <v>5</v>
      </c>
      <c r="H43" s="89" t="s">
        <v>393</v>
      </c>
      <c r="I43" s="6">
        <v>1</v>
      </c>
      <c r="J43" s="6">
        <v>0</v>
      </c>
      <c r="K43" s="60">
        <f>5+2/3</f>
        <v>5.666666666666667</v>
      </c>
      <c r="L43" s="6">
        <v>7</v>
      </c>
      <c r="M43" s="6">
        <v>2</v>
      </c>
      <c r="N43" s="6">
        <v>2</v>
      </c>
      <c r="O43" s="6">
        <v>3</v>
      </c>
      <c r="P43" s="6">
        <v>7</v>
      </c>
      <c r="Q43" s="6">
        <v>1</v>
      </c>
      <c r="R43" s="6">
        <v>0</v>
      </c>
      <c r="S43" s="6">
        <v>25</v>
      </c>
      <c r="T43" s="6">
        <v>108</v>
      </c>
      <c r="U43" s="6">
        <v>67</v>
      </c>
      <c r="V43" s="6">
        <v>1</v>
      </c>
      <c r="W43" s="61">
        <v>0</v>
      </c>
      <c r="X43" s="62">
        <v>0</v>
      </c>
      <c r="Y43" s="62">
        <v>0</v>
      </c>
      <c r="Z43" s="62">
        <v>0</v>
      </c>
      <c r="AA43" s="62">
        <v>1</v>
      </c>
      <c r="AB43" s="62">
        <v>0</v>
      </c>
      <c r="AC43" s="63">
        <f>3+1/3</f>
        <v>3.3333333333333335</v>
      </c>
      <c r="AD43" s="62">
        <v>5</v>
      </c>
      <c r="AE43" s="62">
        <v>4</v>
      </c>
      <c r="AF43" s="62">
        <v>4</v>
      </c>
      <c r="AG43" s="62">
        <v>3</v>
      </c>
      <c r="AH43" s="62">
        <v>3</v>
      </c>
      <c r="AI43" s="62">
        <v>0</v>
      </c>
      <c r="AJ43" s="62">
        <v>0</v>
      </c>
      <c r="AK43" s="62">
        <v>19</v>
      </c>
      <c r="AL43" s="62">
        <v>70</v>
      </c>
      <c r="AM43" s="62">
        <v>39</v>
      </c>
      <c r="AN43" s="1" t="s">
        <v>384</v>
      </c>
      <c r="AO43" s="65">
        <v>4</v>
      </c>
      <c r="AP43" s="65">
        <v>2</v>
      </c>
      <c r="AQ43" s="65">
        <v>2</v>
      </c>
      <c r="AR43" s="65">
        <v>2</v>
      </c>
      <c r="AS43" s="65">
        <v>1</v>
      </c>
      <c r="AT43" s="65">
        <v>0</v>
      </c>
      <c r="AU43" s="65">
        <v>0</v>
      </c>
      <c r="AV43" s="65">
        <v>0</v>
      </c>
      <c r="AW43" s="66">
        <v>5</v>
      </c>
      <c r="AX43" s="1" t="s">
        <v>391</v>
      </c>
      <c r="AY43" s="65">
        <v>4</v>
      </c>
      <c r="AZ43" s="65">
        <v>1</v>
      </c>
      <c r="BA43" s="65">
        <v>1</v>
      </c>
      <c r="BB43" s="65">
        <v>1</v>
      </c>
      <c r="BC43" s="65">
        <v>0</v>
      </c>
      <c r="BD43" s="65">
        <v>0</v>
      </c>
      <c r="BE43" s="65">
        <v>1</v>
      </c>
      <c r="BF43" s="65">
        <v>0</v>
      </c>
      <c r="BG43" s="66">
        <v>2</v>
      </c>
      <c r="BH43" s="1" t="s">
        <v>389</v>
      </c>
      <c r="BI43" s="65">
        <v>3</v>
      </c>
      <c r="BJ43" s="65">
        <v>1</v>
      </c>
      <c r="BK43" s="65">
        <v>2</v>
      </c>
      <c r="BL43" s="65">
        <v>1</v>
      </c>
      <c r="BM43" s="65">
        <v>2</v>
      </c>
      <c r="BN43" s="65">
        <v>1</v>
      </c>
      <c r="BO43" s="65">
        <v>0</v>
      </c>
      <c r="BP43" s="65">
        <v>0</v>
      </c>
      <c r="BQ43" s="66">
        <v>2</v>
      </c>
      <c r="BR43" s="1" t="s">
        <v>390</v>
      </c>
      <c r="BS43" s="65">
        <v>4</v>
      </c>
      <c r="BT43" s="65">
        <v>0</v>
      </c>
      <c r="BU43" s="65">
        <v>3</v>
      </c>
      <c r="BV43" s="65">
        <v>2</v>
      </c>
      <c r="BW43" s="65">
        <v>0</v>
      </c>
      <c r="BX43" s="65">
        <v>0</v>
      </c>
      <c r="BY43" s="65">
        <v>0</v>
      </c>
      <c r="BZ43" s="65">
        <v>1</v>
      </c>
      <c r="CA43" s="66">
        <v>3</v>
      </c>
      <c r="CB43" s="1" t="s">
        <v>274</v>
      </c>
      <c r="CC43" s="65">
        <v>4</v>
      </c>
      <c r="CD43" s="65">
        <v>0</v>
      </c>
      <c r="CE43" s="65">
        <v>0</v>
      </c>
      <c r="CF43" s="65">
        <v>1</v>
      </c>
      <c r="CG43" s="65">
        <v>0</v>
      </c>
      <c r="CH43" s="65">
        <v>1</v>
      </c>
      <c r="CI43" s="65">
        <v>0</v>
      </c>
      <c r="CJ43" s="65">
        <v>1</v>
      </c>
      <c r="CK43" s="66">
        <v>0</v>
      </c>
      <c r="CL43" s="1" t="s">
        <v>273</v>
      </c>
      <c r="CM43" s="65">
        <v>5</v>
      </c>
      <c r="CN43" s="65">
        <v>1</v>
      </c>
      <c r="CO43" s="65">
        <v>2</v>
      </c>
      <c r="CP43" s="65">
        <v>0</v>
      </c>
      <c r="CQ43" s="65">
        <v>0</v>
      </c>
      <c r="CR43" s="65">
        <v>0</v>
      </c>
      <c r="CS43" s="65">
        <v>0</v>
      </c>
      <c r="CT43" s="65">
        <v>0</v>
      </c>
      <c r="CU43" s="66">
        <v>3</v>
      </c>
      <c r="CV43" s="1" t="s">
        <v>404</v>
      </c>
      <c r="CW43" s="65">
        <v>5</v>
      </c>
      <c r="CX43" s="65">
        <v>1</v>
      </c>
      <c r="CY43" s="65">
        <v>1</v>
      </c>
      <c r="CZ43" s="65">
        <v>0</v>
      </c>
      <c r="DA43" s="65">
        <v>0</v>
      </c>
      <c r="DB43" s="65">
        <v>2</v>
      </c>
      <c r="DC43" s="65">
        <v>0</v>
      </c>
      <c r="DD43" s="65">
        <v>0</v>
      </c>
      <c r="DE43" s="66">
        <v>1</v>
      </c>
      <c r="DF43" s="1" t="s">
        <v>275</v>
      </c>
      <c r="DG43" s="65">
        <v>4</v>
      </c>
      <c r="DH43" s="65">
        <v>2</v>
      </c>
      <c r="DI43" s="65">
        <v>3</v>
      </c>
      <c r="DJ43" s="65">
        <v>2</v>
      </c>
      <c r="DK43" s="65">
        <v>1</v>
      </c>
      <c r="DL43" s="65">
        <v>0</v>
      </c>
      <c r="DM43" s="65">
        <v>0</v>
      </c>
      <c r="DN43" s="65">
        <v>0</v>
      </c>
      <c r="DO43" s="66">
        <v>4</v>
      </c>
      <c r="DP43" s="1" t="s">
        <v>385</v>
      </c>
      <c r="DQ43" s="65">
        <v>4</v>
      </c>
      <c r="DR43" s="65">
        <v>2</v>
      </c>
      <c r="DS43" s="65">
        <v>1</v>
      </c>
      <c r="DT43" s="65">
        <v>1</v>
      </c>
      <c r="DU43" s="65">
        <v>1</v>
      </c>
      <c r="DV43" s="65">
        <v>2</v>
      </c>
      <c r="DW43" s="65">
        <v>0</v>
      </c>
      <c r="DX43" s="65">
        <v>0</v>
      </c>
      <c r="DY43" s="66">
        <v>2</v>
      </c>
      <c r="DZ43" s="67">
        <f>1/3</f>
        <v>0.33333333333333331</v>
      </c>
      <c r="EA43" s="68">
        <v>0</v>
      </c>
      <c r="EB43" s="68">
        <v>0</v>
      </c>
      <c r="EC43" s="69">
        <f>8+2/3</f>
        <v>8.6666666666666661</v>
      </c>
      <c r="ED43" s="68">
        <v>6</v>
      </c>
      <c r="EE43" s="70">
        <v>0</v>
      </c>
      <c r="EF43" s="71">
        <v>1</v>
      </c>
      <c r="EG43" s="72">
        <v>0</v>
      </c>
      <c r="EH43" s="72">
        <v>1</v>
      </c>
      <c r="EI43" s="72">
        <v>4</v>
      </c>
      <c r="EJ43" s="72">
        <v>0</v>
      </c>
      <c r="EK43" s="72">
        <v>0</v>
      </c>
      <c r="EL43" s="72">
        <v>0</v>
      </c>
      <c r="EM43" s="72">
        <v>4</v>
      </c>
      <c r="EN43" s="72">
        <v>0</v>
      </c>
      <c r="EO43" s="72"/>
      <c r="EP43" s="72"/>
      <c r="EQ43" s="72"/>
      <c r="ER43" s="72"/>
      <c r="ES43" s="44">
        <f t="shared" si="24"/>
        <v>10</v>
      </c>
      <c r="ET43" s="43">
        <v>0</v>
      </c>
      <c r="EU43" s="43">
        <v>0</v>
      </c>
      <c r="EV43" s="43">
        <v>0</v>
      </c>
      <c r="EW43" s="43">
        <v>1</v>
      </c>
      <c r="EX43" s="43">
        <v>0</v>
      </c>
      <c r="EY43" s="43">
        <v>1</v>
      </c>
      <c r="EZ43" s="43">
        <v>0</v>
      </c>
      <c r="FA43" s="43">
        <v>0</v>
      </c>
      <c r="FB43" s="43">
        <v>4</v>
      </c>
      <c r="FC43" s="43"/>
      <c r="FD43" s="43"/>
      <c r="FE43" s="43"/>
      <c r="FF43" s="43"/>
      <c r="FG43" s="43">
        <f t="shared" si="25"/>
        <v>6</v>
      </c>
      <c r="FH43" s="73">
        <v>37</v>
      </c>
      <c r="FI43" s="73">
        <v>10</v>
      </c>
      <c r="FJ43" s="73">
        <v>15</v>
      </c>
      <c r="FK43" s="73">
        <v>10</v>
      </c>
      <c r="FL43" s="73">
        <v>5</v>
      </c>
      <c r="FM43" s="73">
        <v>6</v>
      </c>
      <c r="FN43" s="73">
        <f t="shared" si="26"/>
        <v>0</v>
      </c>
      <c r="FO43" s="73">
        <f t="shared" si="27"/>
        <v>0</v>
      </c>
      <c r="FP43" s="73">
        <f t="shared" si="28"/>
        <v>0</v>
      </c>
      <c r="FQ43" s="73">
        <f t="shared" si="29"/>
        <v>0</v>
      </c>
      <c r="FR43" s="73">
        <f t="shared" si="30"/>
        <v>0</v>
      </c>
      <c r="FS43" s="73">
        <f t="shared" si="31"/>
        <v>0</v>
      </c>
      <c r="FT43" s="73">
        <f t="shared" si="32"/>
        <v>0</v>
      </c>
      <c r="FU43" s="73">
        <f t="shared" si="33"/>
        <v>0</v>
      </c>
      <c r="FV43" s="73">
        <f t="shared" si="34"/>
        <v>1</v>
      </c>
      <c r="FW43" s="73">
        <f t="shared" si="35"/>
        <v>0</v>
      </c>
      <c r="FX43" s="73">
        <f t="shared" si="36"/>
        <v>1</v>
      </c>
      <c r="FY43" s="73">
        <f t="shared" si="37"/>
        <v>3</v>
      </c>
      <c r="FZ43" s="73">
        <f t="shared" si="38"/>
        <v>0</v>
      </c>
      <c r="GA43" s="73">
        <f t="shared" si="39"/>
        <v>-1</v>
      </c>
      <c r="GB43" s="73">
        <f t="shared" si="40"/>
        <v>0</v>
      </c>
      <c r="GC43" s="73">
        <f t="shared" si="41"/>
        <v>4</v>
      </c>
      <c r="GD43" s="73">
        <f t="shared" si="42"/>
        <v>-4</v>
      </c>
      <c r="GE43" s="73">
        <f t="shared" si="43"/>
        <v>0</v>
      </c>
      <c r="GF43" s="73">
        <f t="shared" si="44"/>
        <v>0</v>
      </c>
      <c r="GG43" s="73">
        <f t="shared" si="45"/>
        <v>0</v>
      </c>
      <c r="GH43" s="73">
        <f t="shared" si="46"/>
        <v>0</v>
      </c>
      <c r="GI43" s="73">
        <f t="shared" si="47"/>
        <v>4</v>
      </c>
      <c r="GJ43" s="38"/>
      <c r="GK43" s="367"/>
      <c r="GL43" s="376"/>
      <c r="GM43" s="376"/>
      <c r="GP43" s="52"/>
    </row>
    <row r="44" spans="1:198" x14ac:dyDescent="0.25">
      <c r="A44" s="53">
        <v>40318</v>
      </c>
      <c r="B44" s="53" t="s">
        <v>133</v>
      </c>
      <c r="C44" s="53" t="s">
        <v>129</v>
      </c>
      <c r="D44" s="53" t="s">
        <v>132</v>
      </c>
      <c r="E44" s="54">
        <v>45483</v>
      </c>
      <c r="F44" s="62">
        <v>187</v>
      </c>
      <c r="G44" s="58">
        <v>1</v>
      </c>
      <c r="H44" s="59" t="s">
        <v>392</v>
      </c>
      <c r="I44" s="6">
        <v>1</v>
      </c>
      <c r="J44" s="6">
        <v>0</v>
      </c>
      <c r="K44" s="60">
        <f>7+1/3</f>
        <v>7.333333333333333</v>
      </c>
      <c r="L44" s="6">
        <v>8</v>
      </c>
      <c r="M44" s="6">
        <v>4</v>
      </c>
      <c r="N44" s="6">
        <v>3</v>
      </c>
      <c r="O44" s="6">
        <v>1</v>
      </c>
      <c r="P44" s="6">
        <v>7</v>
      </c>
      <c r="Q44" s="6">
        <v>1</v>
      </c>
      <c r="R44" s="6">
        <v>0</v>
      </c>
      <c r="S44" s="6">
        <v>30</v>
      </c>
      <c r="T44" s="6">
        <v>108</v>
      </c>
      <c r="U44" s="6">
        <v>73</v>
      </c>
      <c r="V44" s="6">
        <v>1</v>
      </c>
      <c r="W44" s="61">
        <v>0</v>
      </c>
      <c r="X44" s="62">
        <v>0</v>
      </c>
      <c r="Y44" s="62">
        <v>0</v>
      </c>
      <c r="Z44" s="62">
        <v>0</v>
      </c>
      <c r="AA44" s="62">
        <v>1</v>
      </c>
      <c r="AB44" s="62">
        <v>0</v>
      </c>
      <c r="AC44" s="63">
        <f>1+2/3</f>
        <v>1.6666666666666665</v>
      </c>
      <c r="AD44" s="62">
        <v>2</v>
      </c>
      <c r="AE44" s="62">
        <v>2</v>
      </c>
      <c r="AF44" s="62">
        <v>2</v>
      </c>
      <c r="AG44" s="62">
        <v>1</v>
      </c>
      <c r="AH44" s="62">
        <v>2</v>
      </c>
      <c r="AI44" s="62">
        <v>0</v>
      </c>
      <c r="AJ44" s="62">
        <v>0</v>
      </c>
      <c r="AK44" s="62">
        <v>8</v>
      </c>
      <c r="AL44" s="62">
        <v>30</v>
      </c>
      <c r="AM44" s="62">
        <v>20</v>
      </c>
      <c r="AN44" s="1" t="s">
        <v>384</v>
      </c>
      <c r="AO44" s="65">
        <v>4</v>
      </c>
      <c r="AP44" s="65">
        <v>2</v>
      </c>
      <c r="AQ44" s="65">
        <v>1</v>
      </c>
      <c r="AR44" s="65">
        <v>0</v>
      </c>
      <c r="AS44" s="65">
        <v>1</v>
      </c>
      <c r="AT44" s="65">
        <v>1</v>
      </c>
      <c r="AU44" s="65">
        <v>0</v>
      </c>
      <c r="AV44" s="65">
        <v>0</v>
      </c>
      <c r="AW44" s="66">
        <v>2</v>
      </c>
      <c r="AX44" s="1" t="s">
        <v>391</v>
      </c>
      <c r="AY44" s="65">
        <v>4</v>
      </c>
      <c r="AZ44" s="65">
        <v>1</v>
      </c>
      <c r="BA44" s="65">
        <v>2</v>
      </c>
      <c r="BB44" s="65">
        <v>2</v>
      </c>
      <c r="BC44" s="65">
        <v>0</v>
      </c>
      <c r="BD44" s="65">
        <v>1</v>
      </c>
      <c r="BE44" s="65">
        <v>0</v>
      </c>
      <c r="BF44" s="65">
        <v>0</v>
      </c>
      <c r="BG44" s="66">
        <v>2</v>
      </c>
      <c r="BH44" s="1" t="s">
        <v>389</v>
      </c>
      <c r="BI44" s="65">
        <v>3</v>
      </c>
      <c r="BJ44" s="65">
        <v>1</v>
      </c>
      <c r="BK44" s="65">
        <v>2</v>
      </c>
      <c r="BL44" s="65">
        <v>3</v>
      </c>
      <c r="BM44" s="65">
        <v>0</v>
      </c>
      <c r="BN44" s="65">
        <v>0</v>
      </c>
      <c r="BO44" s="65">
        <v>0</v>
      </c>
      <c r="BP44" s="65">
        <v>1</v>
      </c>
      <c r="BQ44" s="66">
        <v>5</v>
      </c>
      <c r="BR44" s="1" t="s">
        <v>390</v>
      </c>
      <c r="BS44" s="65">
        <v>3</v>
      </c>
      <c r="BT44" s="65">
        <v>0</v>
      </c>
      <c r="BU44" s="65">
        <v>0</v>
      </c>
      <c r="BV44" s="65">
        <v>0</v>
      </c>
      <c r="BW44" s="65">
        <v>1</v>
      </c>
      <c r="BX44" s="65">
        <v>1</v>
      </c>
      <c r="BY44" s="65">
        <v>0</v>
      </c>
      <c r="BZ44" s="65">
        <v>0</v>
      </c>
      <c r="CA44" s="66">
        <v>0</v>
      </c>
      <c r="CB44" s="1" t="s">
        <v>274</v>
      </c>
      <c r="CC44" s="65">
        <v>4</v>
      </c>
      <c r="CD44" s="65">
        <v>2</v>
      </c>
      <c r="CE44" s="65">
        <v>2</v>
      </c>
      <c r="CF44" s="65">
        <v>2</v>
      </c>
      <c r="CG44" s="65">
        <v>0</v>
      </c>
      <c r="CH44" s="65">
        <v>0</v>
      </c>
      <c r="CI44" s="65">
        <v>0</v>
      </c>
      <c r="CJ44" s="65">
        <v>0</v>
      </c>
      <c r="CK44" s="66">
        <v>8</v>
      </c>
      <c r="CL44" s="1" t="s">
        <v>273</v>
      </c>
      <c r="CM44" s="65">
        <v>4</v>
      </c>
      <c r="CN44" s="65">
        <v>1</v>
      </c>
      <c r="CO44" s="65">
        <v>1</v>
      </c>
      <c r="CP44" s="65">
        <v>1</v>
      </c>
      <c r="CQ44" s="65">
        <v>0</v>
      </c>
      <c r="CR44" s="65">
        <v>2</v>
      </c>
      <c r="CS44" s="65">
        <v>0</v>
      </c>
      <c r="CT44" s="65">
        <v>0</v>
      </c>
      <c r="CU44" s="66">
        <v>4</v>
      </c>
      <c r="CV44" s="1" t="s">
        <v>272</v>
      </c>
      <c r="CW44" s="65">
        <v>4</v>
      </c>
      <c r="CX44" s="65">
        <v>0</v>
      </c>
      <c r="CY44" s="65">
        <v>0</v>
      </c>
      <c r="CZ44" s="65">
        <v>0</v>
      </c>
      <c r="DA44" s="65">
        <v>0</v>
      </c>
      <c r="DB44" s="65">
        <v>2</v>
      </c>
      <c r="DC44" s="65">
        <v>0</v>
      </c>
      <c r="DD44" s="65">
        <v>0</v>
      </c>
      <c r="DE44" s="66">
        <v>0</v>
      </c>
      <c r="DF44" s="1" t="s">
        <v>406</v>
      </c>
      <c r="DG44" s="65">
        <v>4</v>
      </c>
      <c r="DH44" s="65">
        <v>0</v>
      </c>
      <c r="DI44" s="65">
        <v>1</v>
      </c>
      <c r="DJ44" s="65">
        <v>0</v>
      </c>
      <c r="DK44" s="65">
        <v>0</v>
      </c>
      <c r="DL44" s="65">
        <v>0</v>
      </c>
      <c r="DM44" s="65">
        <v>0</v>
      </c>
      <c r="DN44" s="65">
        <v>0</v>
      </c>
      <c r="DO44" s="66">
        <v>1</v>
      </c>
      <c r="DP44" s="1" t="s">
        <v>386</v>
      </c>
      <c r="DQ44" s="65">
        <v>4</v>
      </c>
      <c r="DR44" s="65">
        <v>1</v>
      </c>
      <c r="DS44" s="65">
        <v>2</v>
      </c>
      <c r="DT44" s="65">
        <v>0</v>
      </c>
      <c r="DU44" s="65">
        <v>0</v>
      </c>
      <c r="DV44" s="65">
        <v>1</v>
      </c>
      <c r="DW44" s="65">
        <v>0</v>
      </c>
      <c r="DX44" s="65">
        <v>0</v>
      </c>
      <c r="DY44" s="66">
        <v>2</v>
      </c>
      <c r="DZ44" s="67">
        <v>5</v>
      </c>
      <c r="EA44" s="68">
        <v>0</v>
      </c>
      <c r="EB44" s="68">
        <v>0</v>
      </c>
      <c r="EC44" s="69">
        <v>4</v>
      </c>
      <c r="ED44" s="68">
        <v>0</v>
      </c>
      <c r="EE44" s="70">
        <v>0</v>
      </c>
      <c r="EF44" s="71">
        <v>3</v>
      </c>
      <c r="EG44" s="72">
        <v>0</v>
      </c>
      <c r="EH44" s="72">
        <v>0</v>
      </c>
      <c r="EI44" s="72">
        <v>1</v>
      </c>
      <c r="EJ44" s="72">
        <v>2</v>
      </c>
      <c r="EK44" s="72">
        <v>1</v>
      </c>
      <c r="EL44" s="72">
        <v>0</v>
      </c>
      <c r="EM44" s="72">
        <v>1</v>
      </c>
      <c r="EN44" s="72">
        <v>0</v>
      </c>
      <c r="EO44" s="72"/>
      <c r="EP44" s="72"/>
      <c r="EQ44" s="72"/>
      <c r="ER44" s="72"/>
      <c r="ES44" s="44">
        <f t="shared" si="24"/>
        <v>8</v>
      </c>
      <c r="ET44" s="43">
        <v>0</v>
      </c>
      <c r="EU44" s="43">
        <v>2</v>
      </c>
      <c r="EV44" s="43">
        <v>1</v>
      </c>
      <c r="EW44" s="43">
        <v>1</v>
      </c>
      <c r="EX44" s="43">
        <v>0</v>
      </c>
      <c r="EY44" s="43">
        <v>0</v>
      </c>
      <c r="EZ44" s="43">
        <v>0</v>
      </c>
      <c r="FA44" s="43">
        <v>0</v>
      </c>
      <c r="FB44" s="43">
        <v>2</v>
      </c>
      <c r="FC44" s="43"/>
      <c r="FD44" s="43"/>
      <c r="FE44" s="43"/>
      <c r="FF44" s="43"/>
      <c r="FG44" s="43">
        <f t="shared" si="25"/>
        <v>6</v>
      </c>
      <c r="FH44" s="73">
        <v>34</v>
      </c>
      <c r="FI44" s="73">
        <v>8</v>
      </c>
      <c r="FJ44" s="73">
        <v>11</v>
      </c>
      <c r="FK44" s="73">
        <v>8</v>
      </c>
      <c r="FL44" s="73">
        <v>2</v>
      </c>
      <c r="FM44" s="73">
        <v>8</v>
      </c>
      <c r="FN44" s="73">
        <f t="shared" si="26"/>
        <v>0</v>
      </c>
      <c r="FO44" s="73">
        <f t="shared" si="27"/>
        <v>0</v>
      </c>
      <c r="FP44" s="73">
        <f t="shared" si="28"/>
        <v>0</v>
      </c>
      <c r="FQ44" s="73">
        <f t="shared" si="29"/>
        <v>0</v>
      </c>
      <c r="FR44" s="73">
        <f t="shared" si="30"/>
        <v>0</v>
      </c>
      <c r="FS44" s="73">
        <f t="shared" si="31"/>
        <v>0</v>
      </c>
      <c r="FT44" s="73">
        <f t="shared" si="32"/>
        <v>0</v>
      </c>
      <c r="FU44" s="73">
        <f t="shared" si="33"/>
        <v>0</v>
      </c>
      <c r="FV44" s="73">
        <f t="shared" si="34"/>
        <v>3</v>
      </c>
      <c r="FW44" s="73">
        <f t="shared" si="35"/>
        <v>-2</v>
      </c>
      <c r="FX44" s="73">
        <f t="shared" si="36"/>
        <v>-1</v>
      </c>
      <c r="FY44" s="73">
        <f t="shared" si="37"/>
        <v>0</v>
      </c>
      <c r="FZ44" s="73">
        <f t="shared" si="38"/>
        <v>2</v>
      </c>
      <c r="GA44" s="73">
        <f t="shared" si="39"/>
        <v>1</v>
      </c>
      <c r="GB44" s="73">
        <f t="shared" si="40"/>
        <v>0</v>
      </c>
      <c r="GC44" s="73">
        <f t="shared" si="41"/>
        <v>1</v>
      </c>
      <c r="GD44" s="73">
        <f t="shared" si="42"/>
        <v>-2</v>
      </c>
      <c r="GE44" s="73">
        <f t="shared" si="43"/>
        <v>0</v>
      </c>
      <c r="GF44" s="73">
        <f t="shared" si="44"/>
        <v>0</v>
      </c>
      <c r="GG44" s="73">
        <f t="shared" si="45"/>
        <v>0</v>
      </c>
      <c r="GH44" s="73">
        <f t="shared" si="46"/>
        <v>0</v>
      </c>
      <c r="GI44" s="73">
        <f t="shared" si="47"/>
        <v>2</v>
      </c>
      <c r="GJ44" s="38"/>
      <c r="GK44" s="367"/>
      <c r="GL44" s="376"/>
      <c r="GM44" s="376"/>
      <c r="GP44" s="52"/>
    </row>
    <row r="45" spans="1:198" x14ac:dyDescent="0.25">
      <c r="A45" s="53">
        <v>40319</v>
      </c>
      <c r="B45" s="53" t="s">
        <v>133</v>
      </c>
      <c r="C45" s="53" t="s">
        <v>131</v>
      </c>
      <c r="D45" s="53" t="s">
        <v>142</v>
      </c>
      <c r="E45" s="54">
        <v>27601</v>
      </c>
      <c r="F45" s="62">
        <v>161</v>
      </c>
      <c r="G45" s="58">
        <v>2</v>
      </c>
      <c r="H45" s="89" t="s">
        <v>396</v>
      </c>
      <c r="I45" s="6">
        <v>0</v>
      </c>
      <c r="J45" s="6">
        <v>1</v>
      </c>
      <c r="K45" s="60">
        <v>8</v>
      </c>
      <c r="L45" s="6">
        <v>6</v>
      </c>
      <c r="M45" s="6">
        <v>2</v>
      </c>
      <c r="N45" s="6">
        <v>2</v>
      </c>
      <c r="O45" s="6">
        <v>3</v>
      </c>
      <c r="P45" s="6">
        <v>6</v>
      </c>
      <c r="Q45" s="6">
        <v>0</v>
      </c>
      <c r="R45" s="6">
        <v>0</v>
      </c>
      <c r="S45" s="6">
        <v>33</v>
      </c>
      <c r="T45" s="6">
        <v>100</v>
      </c>
      <c r="U45" s="6">
        <v>67</v>
      </c>
      <c r="V45" s="6">
        <v>0</v>
      </c>
      <c r="W45" s="61">
        <v>0</v>
      </c>
      <c r="X45" s="62">
        <v>0</v>
      </c>
      <c r="Y45" s="62">
        <v>0</v>
      </c>
      <c r="Z45" s="62">
        <v>0</v>
      </c>
      <c r="AA45" s="62">
        <v>0</v>
      </c>
      <c r="AB45" s="62">
        <v>0</v>
      </c>
      <c r="AC45" s="63">
        <v>0</v>
      </c>
      <c r="AD45" s="62">
        <v>0</v>
      </c>
      <c r="AE45" s="62">
        <v>0</v>
      </c>
      <c r="AF45" s="62">
        <v>0</v>
      </c>
      <c r="AG45" s="62">
        <v>0</v>
      </c>
      <c r="AH45" s="62">
        <v>0</v>
      </c>
      <c r="AI45" s="62">
        <v>0</v>
      </c>
      <c r="AJ45" s="62">
        <v>0</v>
      </c>
      <c r="AK45" s="62">
        <v>0</v>
      </c>
      <c r="AL45" s="62">
        <v>0</v>
      </c>
      <c r="AM45" s="62">
        <v>0</v>
      </c>
      <c r="AN45" s="1" t="s">
        <v>384</v>
      </c>
      <c r="AO45" s="65">
        <v>4</v>
      </c>
      <c r="AP45" s="65">
        <v>0</v>
      </c>
      <c r="AQ45" s="65">
        <v>1</v>
      </c>
      <c r="AR45" s="65">
        <v>0</v>
      </c>
      <c r="AS45" s="65">
        <v>1</v>
      </c>
      <c r="AT45" s="65">
        <v>1</v>
      </c>
      <c r="AU45" s="65">
        <v>0</v>
      </c>
      <c r="AV45" s="65">
        <v>0</v>
      </c>
      <c r="AW45" s="66">
        <v>1</v>
      </c>
      <c r="AX45" s="1" t="s">
        <v>391</v>
      </c>
      <c r="AY45" s="65">
        <v>5</v>
      </c>
      <c r="AZ45" s="65">
        <v>1</v>
      </c>
      <c r="BA45" s="65">
        <v>0</v>
      </c>
      <c r="BB45" s="65">
        <v>0</v>
      </c>
      <c r="BC45" s="65">
        <v>0</v>
      </c>
      <c r="BD45" s="65">
        <v>0</v>
      </c>
      <c r="BE45" s="65">
        <v>0</v>
      </c>
      <c r="BF45" s="65">
        <v>0</v>
      </c>
      <c r="BG45" s="66">
        <v>0</v>
      </c>
      <c r="BH45" s="1" t="s">
        <v>389</v>
      </c>
      <c r="BI45" s="65">
        <v>5</v>
      </c>
      <c r="BJ45" s="65">
        <v>0</v>
      </c>
      <c r="BK45" s="65">
        <v>3</v>
      </c>
      <c r="BL45" s="65">
        <v>0</v>
      </c>
      <c r="BM45" s="65">
        <v>0</v>
      </c>
      <c r="BN45" s="65">
        <v>0</v>
      </c>
      <c r="BO45" s="65">
        <v>0</v>
      </c>
      <c r="BP45" s="65">
        <v>0</v>
      </c>
      <c r="BQ45" s="66">
        <v>5</v>
      </c>
      <c r="BR45" s="1" t="s">
        <v>390</v>
      </c>
      <c r="BS45" s="65">
        <v>3</v>
      </c>
      <c r="BT45" s="65">
        <v>0</v>
      </c>
      <c r="BU45" s="65">
        <v>1</v>
      </c>
      <c r="BV45" s="65">
        <v>0</v>
      </c>
      <c r="BW45" s="65">
        <v>1</v>
      </c>
      <c r="BX45" s="65">
        <v>1</v>
      </c>
      <c r="BY45" s="65">
        <v>0</v>
      </c>
      <c r="BZ45" s="65">
        <v>0</v>
      </c>
      <c r="CA45" s="66">
        <v>1</v>
      </c>
      <c r="CB45" s="1" t="s">
        <v>274</v>
      </c>
      <c r="CC45" s="65">
        <v>3</v>
      </c>
      <c r="CD45" s="65">
        <v>0</v>
      </c>
      <c r="CE45" s="65">
        <v>0</v>
      </c>
      <c r="CF45" s="65">
        <v>0</v>
      </c>
      <c r="CG45" s="65">
        <v>0</v>
      </c>
      <c r="CH45" s="65">
        <v>2</v>
      </c>
      <c r="CI45" s="65">
        <v>1</v>
      </c>
      <c r="CJ45" s="65">
        <v>0</v>
      </c>
      <c r="CK45" s="66">
        <v>0</v>
      </c>
      <c r="CL45" s="1" t="s">
        <v>275</v>
      </c>
      <c r="CM45" s="65">
        <v>2</v>
      </c>
      <c r="CN45" s="65">
        <v>0</v>
      </c>
      <c r="CO45" s="65">
        <v>1</v>
      </c>
      <c r="CP45" s="65">
        <v>0</v>
      </c>
      <c r="CQ45" s="65">
        <v>2</v>
      </c>
      <c r="CR45" s="65">
        <v>0</v>
      </c>
      <c r="CS45" s="65">
        <v>0</v>
      </c>
      <c r="CT45" s="65">
        <v>0</v>
      </c>
      <c r="CU45" s="66">
        <v>1</v>
      </c>
      <c r="CV45" s="1" t="s">
        <v>271</v>
      </c>
      <c r="CW45" s="65">
        <v>4</v>
      </c>
      <c r="CX45" s="65">
        <v>0</v>
      </c>
      <c r="CY45" s="65">
        <v>0</v>
      </c>
      <c r="CZ45" s="65">
        <v>0</v>
      </c>
      <c r="DA45" s="65">
        <v>0</v>
      </c>
      <c r="DB45" s="65">
        <v>2</v>
      </c>
      <c r="DC45" s="65">
        <v>0</v>
      </c>
      <c r="DD45" s="65">
        <v>0</v>
      </c>
      <c r="DE45" s="66">
        <v>0</v>
      </c>
      <c r="DF45" s="1" t="s">
        <v>385</v>
      </c>
      <c r="DG45" s="65">
        <v>4</v>
      </c>
      <c r="DH45" s="65">
        <v>0</v>
      </c>
      <c r="DI45" s="65">
        <v>3</v>
      </c>
      <c r="DJ45" s="65">
        <v>0</v>
      </c>
      <c r="DK45" s="65">
        <v>0</v>
      </c>
      <c r="DL45" s="65">
        <v>1</v>
      </c>
      <c r="DM45" s="65">
        <v>0</v>
      </c>
      <c r="DN45" s="65">
        <v>0</v>
      </c>
      <c r="DO45" s="66">
        <v>5</v>
      </c>
      <c r="DP45" s="1" t="s">
        <v>396</v>
      </c>
      <c r="DQ45" s="65">
        <v>3</v>
      </c>
      <c r="DR45" s="65">
        <v>0</v>
      </c>
      <c r="DS45" s="65">
        <v>0</v>
      </c>
      <c r="DT45" s="65">
        <v>0</v>
      </c>
      <c r="DU45" s="65">
        <v>0</v>
      </c>
      <c r="DV45" s="65">
        <v>2</v>
      </c>
      <c r="DW45" s="65">
        <v>0</v>
      </c>
      <c r="DX45" s="65">
        <v>0</v>
      </c>
      <c r="DY45" s="66">
        <v>0</v>
      </c>
      <c r="DZ45" s="67">
        <v>0</v>
      </c>
      <c r="EA45" s="68">
        <v>0</v>
      </c>
      <c r="EB45" s="68">
        <v>0</v>
      </c>
      <c r="EC45" s="69">
        <v>9</v>
      </c>
      <c r="ED45" s="68">
        <v>2</v>
      </c>
      <c r="EE45" s="70">
        <v>1</v>
      </c>
      <c r="EF45" s="71">
        <v>1</v>
      </c>
      <c r="EG45" s="72">
        <v>0</v>
      </c>
      <c r="EH45" s="72">
        <v>0</v>
      </c>
      <c r="EI45" s="72">
        <v>0</v>
      </c>
      <c r="EJ45" s="72">
        <v>0</v>
      </c>
      <c r="EK45" s="72">
        <v>0</v>
      </c>
      <c r="EL45" s="72">
        <v>0</v>
      </c>
      <c r="EM45" s="72">
        <v>0</v>
      </c>
      <c r="EN45" s="72">
        <v>0</v>
      </c>
      <c r="EO45" s="72"/>
      <c r="EP45" s="72"/>
      <c r="EQ45" s="72"/>
      <c r="ER45" s="72"/>
      <c r="ES45" s="44">
        <f t="shared" si="24"/>
        <v>1</v>
      </c>
      <c r="ET45" s="43">
        <v>0</v>
      </c>
      <c r="EU45" s="43">
        <v>0</v>
      </c>
      <c r="EV45" s="43">
        <v>1</v>
      </c>
      <c r="EW45" s="43">
        <v>0</v>
      </c>
      <c r="EX45" s="43">
        <v>0</v>
      </c>
      <c r="EY45" s="43">
        <v>1</v>
      </c>
      <c r="EZ45" s="43">
        <v>0</v>
      </c>
      <c r="FA45" s="43">
        <v>0</v>
      </c>
      <c r="FB45" s="43"/>
      <c r="FC45" s="43"/>
      <c r="FD45" s="43"/>
      <c r="FE45" s="43"/>
      <c r="FF45" s="43"/>
      <c r="FG45" s="43">
        <f t="shared" si="25"/>
        <v>2</v>
      </c>
      <c r="FH45" s="73">
        <v>33</v>
      </c>
      <c r="FI45" s="73">
        <v>1</v>
      </c>
      <c r="FJ45" s="73">
        <v>9</v>
      </c>
      <c r="FK45" s="73">
        <v>0</v>
      </c>
      <c r="FL45" s="73">
        <v>4</v>
      </c>
      <c r="FM45" s="73">
        <v>9</v>
      </c>
      <c r="FN45" s="73">
        <f t="shared" si="26"/>
        <v>0</v>
      </c>
      <c r="FO45" s="73">
        <f t="shared" si="27"/>
        <v>0</v>
      </c>
      <c r="FP45" s="73">
        <f t="shared" si="28"/>
        <v>0</v>
      </c>
      <c r="FQ45" s="73">
        <f t="shared" si="29"/>
        <v>0</v>
      </c>
      <c r="FR45" s="73">
        <f t="shared" si="30"/>
        <v>0</v>
      </c>
      <c r="FS45" s="73">
        <f t="shared" si="31"/>
        <v>0</v>
      </c>
      <c r="FT45" s="73">
        <f t="shared" si="32"/>
        <v>0</v>
      </c>
      <c r="FU45" s="73">
        <f t="shared" si="33"/>
        <v>0</v>
      </c>
      <c r="FV45" s="73">
        <f t="shared" si="34"/>
        <v>1</v>
      </c>
      <c r="FW45" s="73">
        <f t="shared" si="35"/>
        <v>0</v>
      </c>
      <c r="FX45" s="73">
        <f t="shared" si="36"/>
        <v>-1</v>
      </c>
      <c r="FY45" s="73">
        <f t="shared" si="37"/>
        <v>0</v>
      </c>
      <c r="FZ45" s="73">
        <f t="shared" si="38"/>
        <v>0</v>
      </c>
      <c r="GA45" s="73">
        <f t="shared" si="39"/>
        <v>-1</v>
      </c>
      <c r="GB45" s="73">
        <f t="shared" si="40"/>
        <v>0</v>
      </c>
      <c r="GC45" s="73">
        <f t="shared" si="41"/>
        <v>0</v>
      </c>
      <c r="GD45" s="73">
        <f t="shared" si="42"/>
        <v>0</v>
      </c>
      <c r="GE45" s="73">
        <f t="shared" si="43"/>
        <v>0</v>
      </c>
      <c r="GF45" s="73">
        <f t="shared" si="44"/>
        <v>0</v>
      </c>
      <c r="GG45" s="73">
        <f t="shared" si="45"/>
        <v>0</v>
      </c>
      <c r="GH45" s="73">
        <f t="shared" si="46"/>
        <v>0</v>
      </c>
      <c r="GI45" s="73">
        <f t="shared" si="47"/>
        <v>-1</v>
      </c>
      <c r="GJ45" s="38"/>
      <c r="GK45" s="367"/>
      <c r="GL45" s="376"/>
      <c r="GM45" s="376"/>
      <c r="GP45" s="52"/>
    </row>
    <row r="46" spans="1:198" x14ac:dyDescent="0.25">
      <c r="A46" s="53">
        <v>40320</v>
      </c>
      <c r="B46" s="53" t="s">
        <v>133</v>
      </c>
      <c r="C46" s="53" t="s">
        <v>129</v>
      </c>
      <c r="D46" s="53" t="s">
        <v>142</v>
      </c>
      <c r="E46" s="54">
        <v>33778</v>
      </c>
      <c r="F46" s="62">
        <v>168</v>
      </c>
      <c r="G46" s="58">
        <v>3</v>
      </c>
      <c r="H46" s="59" t="s">
        <v>395</v>
      </c>
      <c r="I46" s="6">
        <v>1</v>
      </c>
      <c r="J46" s="6">
        <v>0</v>
      </c>
      <c r="K46" s="60">
        <v>7</v>
      </c>
      <c r="L46" s="6">
        <v>4</v>
      </c>
      <c r="M46" s="6">
        <v>2</v>
      </c>
      <c r="N46" s="6">
        <v>2</v>
      </c>
      <c r="O46" s="6">
        <v>1</v>
      </c>
      <c r="P46" s="6">
        <v>5</v>
      </c>
      <c r="Q46" s="6">
        <v>1</v>
      </c>
      <c r="R46" s="6">
        <v>0</v>
      </c>
      <c r="S46" s="6">
        <v>27</v>
      </c>
      <c r="T46" s="6">
        <v>97</v>
      </c>
      <c r="U46" s="6">
        <v>61</v>
      </c>
      <c r="V46" s="6">
        <v>0</v>
      </c>
      <c r="W46" s="61">
        <v>0</v>
      </c>
      <c r="X46" s="62">
        <v>0</v>
      </c>
      <c r="Y46" s="62">
        <v>0</v>
      </c>
      <c r="Z46" s="62">
        <v>1</v>
      </c>
      <c r="AA46" s="62">
        <v>1</v>
      </c>
      <c r="AB46" s="62">
        <v>0</v>
      </c>
      <c r="AC46" s="63">
        <v>2</v>
      </c>
      <c r="AD46" s="62">
        <v>1</v>
      </c>
      <c r="AE46" s="62">
        <v>0</v>
      </c>
      <c r="AF46" s="62">
        <v>0</v>
      </c>
      <c r="AG46" s="62">
        <v>0</v>
      </c>
      <c r="AH46" s="62">
        <v>2</v>
      </c>
      <c r="AI46" s="62">
        <v>0</v>
      </c>
      <c r="AJ46" s="62">
        <v>0</v>
      </c>
      <c r="AK46" s="62">
        <v>7</v>
      </c>
      <c r="AL46" s="62">
        <v>25</v>
      </c>
      <c r="AM46" s="62">
        <v>20</v>
      </c>
      <c r="AN46" s="1" t="s">
        <v>384</v>
      </c>
      <c r="AO46" s="65">
        <v>5</v>
      </c>
      <c r="AP46" s="65">
        <v>0</v>
      </c>
      <c r="AQ46" s="65">
        <v>1</v>
      </c>
      <c r="AR46" s="65">
        <v>0</v>
      </c>
      <c r="AS46" s="65">
        <v>0</v>
      </c>
      <c r="AT46" s="65">
        <v>1</v>
      </c>
      <c r="AU46" s="65">
        <v>0</v>
      </c>
      <c r="AV46" s="65">
        <v>0</v>
      </c>
      <c r="AW46" s="66">
        <v>1</v>
      </c>
      <c r="AX46" s="1" t="s">
        <v>391</v>
      </c>
      <c r="AY46" s="65">
        <v>5</v>
      </c>
      <c r="AZ46" s="65">
        <v>1</v>
      </c>
      <c r="BA46" s="65">
        <v>4</v>
      </c>
      <c r="BB46" s="65">
        <v>0</v>
      </c>
      <c r="BC46" s="65">
        <v>0</v>
      </c>
      <c r="BD46" s="65">
        <v>0</v>
      </c>
      <c r="BE46" s="65">
        <v>0</v>
      </c>
      <c r="BF46" s="65">
        <v>0</v>
      </c>
      <c r="BG46" s="66">
        <v>5</v>
      </c>
      <c r="BH46" s="1" t="s">
        <v>389</v>
      </c>
      <c r="BI46" s="65">
        <v>2</v>
      </c>
      <c r="BJ46" s="65">
        <v>0</v>
      </c>
      <c r="BK46" s="65">
        <v>1</v>
      </c>
      <c r="BL46" s="65">
        <v>1</v>
      </c>
      <c r="BM46" s="65">
        <v>3</v>
      </c>
      <c r="BN46" s="65">
        <v>0</v>
      </c>
      <c r="BO46" s="65">
        <v>0</v>
      </c>
      <c r="BP46" s="65">
        <v>0</v>
      </c>
      <c r="BQ46" s="66">
        <v>1</v>
      </c>
      <c r="BR46" s="1" t="s">
        <v>390</v>
      </c>
      <c r="BS46" s="65">
        <v>5</v>
      </c>
      <c r="BT46" s="65">
        <v>0</v>
      </c>
      <c r="BU46" s="65">
        <v>1</v>
      </c>
      <c r="BV46" s="65">
        <v>1</v>
      </c>
      <c r="BW46" s="65">
        <v>0</v>
      </c>
      <c r="BX46" s="65">
        <v>0</v>
      </c>
      <c r="BY46" s="65">
        <v>0</v>
      </c>
      <c r="BZ46" s="65">
        <v>0</v>
      </c>
      <c r="CA46" s="66">
        <v>2</v>
      </c>
      <c r="CB46" s="1" t="s">
        <v>274</v>
      </c>
      <c r="CC46" s="65">
        <v>3</v>
      </c>
      <c r="CD46" s="65">
        <v>0</v>
      </c>
      <c r="CE46" s="65">
        <v>0</v>
      </c>
      <c r="CF46" s="65">
        <v>0</v>
      </c>
      <c r="CG46" s="65">
        <v>2</v>
      </c>
      <c r="CH46" s="65">
        <v>2</v>
      </c>
      <c r="CI46" s="65">
        <v>0</v>
      </c>
      <c r="CJ46" s="65">
        <v>0</v>
      </c>
      <c r="CK46" s="66">
        <v>0</v>
      </c>
      <c r="CL46" s="1" t="s">
        <v>273</v>
      </c>
      <c r="CM46" s="65">
        <v>3</v>
      </c>
      <c r="CN46" s="65">
        <v>1</v>
      </c>
      <c r="CO46" s="65">
        <v>0</v>
      </c>
      <c r="CP46" s="65">
        <v>0</v>
      </c>
      <c r="CQ46" s="65">
        <v>2</v>
      </c>
      <c r="CR46" s="65">
        <v>1</v>
      </c>
      <c r="CS46" s="65">
        <v>0</v>
      </c>
      <c r="CT46" s="65">
        <v>0</v>
      </c>
      <c r="CU46" s="66">
        <v>0</v>
      </c>
      <c r="CV46" s="1" t="s">
        <v>386</v>
      </c>
      <c r="CW46" s="65">
        <v>3</v>
      </c>
      <c r="CX46" s="65">
        <v>1</v>
      </c>
      <c r="CY46" s="65">
        <v>1</v>
      </c>
      <c r="CZ46" s="65">
        <v>0</v>
      </c>
      <c r="DA46" s="65">
        <v>0</v>
      </c>
      <c r="DB46" s="65">
        <v>0</v>
      </c>
      <c r="DC46" s="65">
        <v>1</v>
      </c>
      <c r="DD46" s="65">
        <v>0</v>
      </c>
      <c r="DE46" s="66">
        <v>1</v>
      </c>
      <c r="DF46" s="1" t="s">
        <v>406</v>
      </c>
      <c r="DG46" s="65">
        <v>4</v>
      </c>
      <c r="DH46" s="65">
        <v>0</v>
      </c>
      <c r="DI46" s="65">
        <v>1</v>
      </c>
      <c r="DJ46" s="65">
        <v>2</v>
      </c>
      <c r="DK46" s="65">
        <v>0</v>
      </c>
      <c r="DL46" s="65">
        <v>0</v>
      </c>
      <c r="DM46" s="65">
        <v>0</v>
      </c>
      <c r="DN46" s="65">
        <v>0</v>
      </c>
      <c r="DO46" s="66">
        <v>2</v>
      </c>
      <c r="DP46" s="1" t="s">
        <v>395</v>
      </c>
      <c r="DQ46" s="65">
        <v>4</v>
      </c>
      <c r="DR46" s="65">
        <v>1</v>
      </c>
      <c r="DS46" s="65">
        <v>1</v>
      </c>
      <c r="DT46" s="65">
        <v>0</v>
      </c>
      <c r="DU46" s="65">
        <v>0</v>
      </c>
      <c r="DV46" s="65">
        <v>1</v>
      </c>
      <c r="DW46" s="65">
        <v>0</v>
      </c>
      <c r="DX46" s="65">
        <v>0</v>
      </c>
      <c r="DY46" s="66">
        <v>1</v>
      </c>
      <c r="DZ46" s="67">
        <v>6</v>
      </c>
      <c r="EA46" s="68">
        <v>1</v>
      </c>
      <c r="EB46" s="68">
        <v>1</v>
      </c>
      <c r="EC46" s="69">
        <v>3</v>
      </c>
      <c r="ED46" s="68">
        <v>0</v>
      </c>
      <c r="EE46" s="70">
        <v>0</v>
      </c>
      <c r="EF46" s="71">
        <v>0</v>
      </c>
      <c r="EG46" s="72">
        <v>0</v>
      </c>
      <c r="EH46" s="72">
        <v>0</v>
      </c>
      <c r="EI46" s="72">
        <v>2</v>
      </c>
      <c r="EJ46" s="72">
        <v>1</v>
      </c>
      <c r="EK46" s="72">
        <v>0</v>
      </c>
      <c r="EL46" s="72">
        <v>0</v>
      </c>
      <c r="EM46" s="72">
        <v>0</v>
      </c>
      <c r="EN46" s="72">
        <v>1</v>
      </c>
      <c r="EO46" s="72"/>
      <c r="EP46" s="72"/>
      <c r="EQ46" s="72"/>
      <c r="ER46" s="72"/>
      <c r="ES46" s="44">
        <f t="shared" si="24"/>
        <v>4</v>
      </c>
      <c r="ET46" s="43">
        <v>1</v>
      </c>
      <c r="EU46" s="43">
        <v>0</v>
      </c>
      <c r="EV46" s="43">
        <v>0</v>
      </c>
      <c r="EW46" s="43">
        <v>0</v>
      </c>
      <c r="EX46" s="43">
        <v>0</v>
      </c>
      <c r="EY46" s="43">
        <v>1</v>
      </c>
      <c r="EZ46" s="43">
        <v>0</v>
      </c>
      <c r="FA46" s="43">
        <v>0</v>
      </c>
      <c r="FB46" s="43">
        <v>0</v>
      </c>
      <c r="FC46" s="43"/>
      <c r="FD46" s="43"/>
      <c r="FE46" s="43"/>
      <c r="FF46" s="43"/>
      <c r="FG46" s="43">
        <f t="shared" si="25"/>
        <v>2</v>
      </c>
      <c r="FH46" s="73">
        <v>34</v>
      </c>
      <c r="FI46" s="73">
        <v>4</v>
      </c>
      <c r="FJ46" s="73">
        <v>10</v>
      </c>
      <c r="FK46" s="73">
        <v>4</v>
      </c>
      <c r="FL46" s="73">
        <v>7</v>
      </c>
      <c r="FM46" s="73">
        <v>5</v>
      </c>
      <c r="FN46" s="73">
        <f t="shared" si="26"/>
        <v>0</v>
      </c>
      <c r="FO46" s="73">
        <f t="shared" si="27"/>
        <v>0</v>
      </c>
      <c r="FP46" s="73">
        <f t="shared" si="28"/>
        <v>0</v>
      </c>
      <c r="FQ46" s="73">
        <f t="shared" si="29"/>
        <v>0</v>
      </c>
      <c r="FR46" s="73">
        <f t="shared" si="30"/>
        <v>0</v>
      </c>
      <c r="FS46" s="73">
        <f t="shared" si="31"/>
        <v>0</v>
      </c>
      <c r="FT46" s="73">
        <f t="shared" si="32"/>
        <v>0</v>
      </c>
      <c r="FU46" s="73">
        <f t="shared" si="33"/>
        <v>0</v>
      </c>
      <c r="FV46" s="73">
        <f t="shared" si="34"/>
        <v>-1</v>
      </c>
      <c r="FW46" s="73">
        <f t="shared" si="35"/>
        <v>0</v>
      </c>
      <c r="FX46" s="73">
        <f t="shared" si="36"/>
        <v>0</v>
      </c>
      <c r="FY46" s="73">
        <f t="shared" si="37"/>
        <v>2</v>
      </c>
      <c r="FZ46" s="73">
        <f t="shared" si="38"/>
        <v>1</v>
      </c>
      <c r="GA46" s="73">
        <f t="shared" si="39"/>
        <v>-1</v>
      </c>
      <c r="GB46" s="73">
        <f t="shared" si="40"/>
        <v>0</v>
      </c>
      <c r="GC46" s="73">
        <f t="shared" si="41"/>
        <v>0</v>
      </c>
      <c r="GD46" s="73">
        <f t="shared" si="42"/>
        <v>1</v>
      </c>
      <c r="GE46" s="73">
        <f t="shared" si="43"/>
        <v>0</v>
      </c>
      <c r="GF46" s="73">
        <f t="shared" si="44"/>
        <v>0</v>
      </c>
      <c r="GG46" s="73">
        <f t="shared" si="45"/>
        <v>0</v>
      </c>
      <c r="GH46" s="73">
        <f t="shared" si="46"/>
        <v>0</v>
      </c>
      <c r="GI46" s="73">
        <f t="shared" si="47"/>
        <v>2</v>
      </c>
      <c r="GJ46" s="38"/>
      <c r="GK46" s="367"/>
      <c r="GL46" s="376"/>
      <c r="GM46" s="376"/>
      <c r="GP46" s="52"/>
    </row>
    <row r="47" spans="1:198" x14ac:dyDescent="0.25">
      <c r="A47" s="53">
        <v>40321</v>
      </c>
      <c r="B47" s="53" t="s">
        <v>133</v>
      </c>
      <c r="C47" s="53" t="s">
        <v>129</v>
      </c>
      <c r="D47" s="53" t="s">
        <v>142</v>
      </c>
      <c r="E47" s="54">
        <v>28801</v>
      </c>
      <c r="F47" s="62">
        <v>209</v>
      </c>
      <c r="G47" s="58">
        <v>4</v>
      </c>
      <c r="H47" s="59" t="s">
        <v>394</v>
      </c>
      <c r="I47" s="6">
        <v>1</v>
      </c>
      <c r="J47" s="6">
        <v>0</v>
      </c>
      <c r="K47" s="60">
        <v>5</v>
      </c>
      <c r="L47" s="6">
        <v>6</v>
      </c>
      <c r="M47" s="6">
        <v>5</v>
      </c>
      <c r="N47" s="6">
        <v>5</v>
      </c>
      <c r="O47" s="6">
        <v>3</v>
      </c>
      <c r="P47" s="6">
        <v>2</v>
      </c>
      <c r="Q47" s="6">
        <v>2</v>
      </c>
      <c r="R47" s="6">
        <v>0</v>
      </c>
      <c r="S47" s="6">
        <v>24</v>
      </c>
      <c r="T47" s="6">
        <v>88</v>
      </c>
      <c r="U47" s="6">
        <v>57</v>
      </c>
      <c r="V47" s="6">
        <v>0</v>
      </c>
      <c r="W47" s="61">
        <v>0</v>
      </c>
      <c r="X47" s="62">
        <v>0</v>
      </c>
      <c r="Y47" s="62">
        <v>0</v>
      </c>
      <c r="Z47" s="62">
        <v>2</v>
      </c>
      <c r="AA47" s="62">
        <v>1</v>
      </c>
      <c r="AB47" s="62">
        <v>0</v>
      </c>
      <c r="AC47" s="63">
        <v>4</v>
      </c>
      <c r="AD47" s="62">
        <v>4</v>
      </c>
      <c r="AE47" s="62">
        <v>1</v>
      </c>
      <c r="AF47" s="62">
        <v>1</v>
      </c>
      <c r="AG47" s="62">
        <v>0</v>
      </c>
      <c r="AH47" s="62">
        <v>4</v>
      </c>
      <c r="AI47" s="62">
        <v>0</v>
      </c>
      <c r="AJ47" s="62">
        <v>0</v>
      </c>
      <c r="AK47" s="62">
        <v>15</v>
      </c>
      <c r="AL47" s="62">
        <v>74</v>
      </c>
      <c r="AM47" s="62">
        <v>46</v>
      </c>
      <c r="AN47" s="1" t="s">
        <v>389</v>
      </c>
      <c r="AO47" s="65">
        <v>6</v>
      </c>
      <c r="AP47" s="65">
        <v>2</v>
      </c>
      <c r="AQ47" s="65">
        <v>3</v>
      </c>
      <c r="AR47" s="65">
        <v>2</v>
      </c>
      <c r="AS47" s="65">
        <v>0</v>
      </c>
      <c r="AT47" s="65">
        <v>1</v>
      </c>
      <c r="AU47" s="65">
        <v>0</v>
      </c>
      <c r="AV47" s="65">
        <v>0</v>
      </c>
      <c r="AW47" s="66">
        <v>6</v>
      </c>
      <c r="AX47" s="1" t="s">
        <v>391</v>
      </c>
      <c r="AY47" s="65">
        <v>5</v>
      </c>
      <c r="AZ47" s="65">
        <v>3</v>
      </c>
      <c r="BA47" s="65">
        <v>2</v>
      </c>
      <c r="BB47" s="65">
        <v>1</v>
      </c>
      <c r="BC47" s="65">
        <v>1</v>
      </c>
      <c r="BD47" s="65">
        <v>1</v>
      </c>
      <c r="BE47" s="65">
        <v>0</v>
      </c>
      <c r="BF47" s="65">
        <v>0</v>
      </c>
      <c r="BG47" s="66">
        <v>2</v>
      </c>
      <c r="BH47" s="1" t="s">
        <v>275</v>
      </c>
      <c r="BI47" s="65">
        <v>4</v>
      </c>
      <c r="BJ47" s="65">
        <v>1</v>
      </c>
      <c r="BK47" s="65">
        <v>2</v>
      </c>
      <c r="BL47" s="65">
        <v>4</v>
      </c>
      <c r="BM47" s="65">
        <v>1</v>
      </c>
      <c r="BN47" s="65">
        <v>0</v>
      </c>
      <c r="BO47" s="65">
        <v>0</v>
      </c>
      <c r="BP47" s="65">
        <v>0</v>
      </c>
      <c r="BQ47" s="66">
        <v>7</v>
      </c>
      <c r="BR47" s="1" t="s">
        <v>274</v>
      </c>
      <c r="BS47" s="65">
        <v>5</v>
      </c>
      <c r="BT47" s="65">
        <v>0</v>
      </c>
      <c r="BU47" s="65">
        <v>1</v>
      </c>
      <c r="BV47" s="65">
        <v>1</v>
      </c>
      <c r="BW47" s="65">
        <v>0</v>
      </c>
      <c r="BX47" s="65">
        <v>2</v>
      </c>
      <c r="BY47" s="65">
        <v>0</v>
      </c>
      <c r="BZ47" s="65">
        <v>0</v>
      </c>
      <c r="CA47" s="66">
        <v>1</v>
      </c>
      <c r="CB47" s="1" t="s">
        <v>404</v>
      </c>
      <c r="CC47" s="65">
        <v>3</v>
      </c>
      <c r="CD47" s="65">
        <v>1</v>
      </c>
      <c r="CE47" s="65">
        <v>1</v>
      </c>
      <c r="CF47" s="65">
        <v>1</v>
      </c>
      <c r="CG47" s="65">
        <v>2</v>
      </c>
      <c r="CH47" s="65">
        <v>1</v>
      </c>
      <c r="CI47" s="65">
        <v>0</v>
      </c>
      <c r="CJ47" s="65">
        <v>0</v>
      </c>
      <c r="CK47" s="66">
        <v>4</v>
      </c>
      <c r="CL47" s="1" t="s">
        <v>273</v>
      </c>
      <c r="CM47" s="65">
        <v>5</v>
      </c>
      <c r="CN47" s="65">
        <v>0</v>
      </c>
      <c r="CO47" s="65">
        <v>0</v>
      </c>
      <c r="CP47" s="65">
        <v>0</v>
      </c>
      <c r="CQ47" s="65">
        <v>0</v>
      </c>
      <c r="CR47" s="65">
        <v>3</v>
      </c>
      <c r="CS47" s="65">
        <v>0</v>
      </c>
      <c r="CT47" s="65">
        <v>0</v>
      </c>
      <c r="CU47" s="66">
        <v>0</v>
      </c>
      <c r="CV47" s="1" t="s">
        <v>385</v>
      </c>
      <c r="CW47" s="65">
        <v>4</v>
      </c>
      <c r="CX47" s="65">
        <v>1</v>
      </c>
      <c r="CY47" s="65">
        <v>3</v>
      </c>
      <c r="CZ47" s="65">
        <v>0</v>
      </c>
      <c r="DA47" s="65">
        <v>1</v>
      </c>
      <c r="DB47" s="65">
        <v>1</v>
      </c>
      <c r="DC47" s="65">
        <v>0</v>
      </c>
      <c r="DD47" s="65">
        <v>0</v>
      </c>
      <c r="DE47" s="66">
        <v>3</v>
      </c>
      <c r="DF47" s="1" t="s">
        <v>271</v>
      </c>
      <c r="DG47" s="65">
        <v>5</v>
      </c>
      <c r="DH47" s="65">
        <v>1</v>
      </c>
      <c r="DI47" s="65">
        <v>1</v>
      </c>
      <c r="DJ47" s="65">
        <v>0</v>
      </c>
      <c r="DK47" s="65">
        <v>0</v>
      </c>
      <c r="DL47" s="65">
        <v>1</v>
      </c>
      <c r="DM47" s="65">
        <v>0</v>
      </c>
      <c r="DN47" s="65">
        <v>0</v>
      </c>
      <c r="DO47" s="66">
        <v>2</v>
      </c>
      <c r="DP47" s="1" t="s">
        <v>394</v>
      </c>
      <c r="DQ47" s="65">
        <v>5</v>
      </c>
      <c r="DR47" s="65">
        <v>1</v>
      </c>
      <c r="DS47" s="65">
        <v>2</v>
      </c>
      <c r="DT47" s="65">
        <v>1</v>
      </c>
      <c r="DU47" s="65">
        <v>0</v>
      </c>
      <c r="DV47" s="65">
        <v>2</v>
      </c>
      <c r="DW47" s="65">
        <v>0</v>
      </c>
      <c r="DX47" s="65">
        <v>0</v>
      </c>
      <c r="DY47" s="66">
        <v>3</v>
      </c>
      <c r="DZ47" s="67">
        <v>1</v>
      </c>
      <c r="EA47" s="68">
        <v>0</v>
      </c>
      <c r="EB47" s="68">
        <v>0</v>
      </c>
      <c r="EC47" s="69">
        <v>8</v>
      </c>
      <c r="ED47" s="68">
        <v>3</v>
      </c>
      <c r="EE47" s="70">
        <v>0</v>
      </c>
      <c r="EF47" s="71">
        <v>0</v>
      </c>
      <c r="EG47" s="72">
        <v>0</v>
      </c>
      <c r="EH47" s="72">
        <v>2</v>
      </c>
      <c r="EI47" s="72">
        <v>0</v>
      </c>
      <c r="EJ47" s="72">
        <v>3</v>
      </c>
      <c r="EK47" s="72">
        <v>2</v>
      </c>
      <c r="EL47" s="72">
        <v>0</v>
      </c>
      <c r="EM47" s="72">
        <v>3</v>
      </c>
      <c r="EN47" s="72">
        <v>0</v>
      </c>
      <c r="EO47" s="72"/>
      <c r="EP47" s="72"/>
      <c r="EQ47" s="72"/>
      <c r="ER47" s="72"/>
      <c r="ES47" s="44">
        <f t="shared" si="24"/>
        <v>10</v>
      </c>
      <c r="ET47" s="43">
        <v>4</v>
      </c>
      <c r="EU47" s="43">
        <v>0</v>
      </c>
      <c r="EV47" s="43">
        <v>0</v>
      </c>
      <c r="EW47" s="43">
        <v>0</v>
      </c>
      <c r="EX47" s="43">
        <v>1</v>
      </c>
      <c r="EY47" s="43">
        <v>0</v>
      </c>
      <c r="EZ47" s="43">
        <v>1</v>
      </c>
      <c r="FA47" s="43">
        <v>0</v>
      </c>
      <c r="FB47" s="43">
        <v>0</v>
      </c>
      <c r="FC47" s="43"/>
      <c r="FD47" s="43"/>
      <c r="FE47" s="43"/>
      <c r="FF47" s="43"/>
      <c r="FG47" s="43">
        <f t="shared" si="25"/>
        <v>6</v>
      </c>
      <c r="FH47" s="73">
        <v>42</v>
      </c>
      <c r="FI47" s="73">
        <v>10</v>
      </c>
      <c r="FJ47" s="73">
        <v>15</v>
      </c>
      <c r="FK47" s="73">
        <v>10</v>
      </c>
      <c r="FL47" s="73">
        <v>5</v>
      </c>
      <c r="FM47" s="73">
        <v>12</v>
      </c>
      <c r="FN47" s="73">
        <f t="shared" si="26"/>
        <v>0</v>
      </c>
      <c r="FO47" s="73">
        <f t="shared" si="27"/>
        <v>0</v>
      </c>
      <c r="FP47" s="73">
        <f t="shared" si="28"/>
        <v>0</v>
      </c>
      <c r="FQ47" s="73">
        <f t="shared" si="29"/>
        <v>0</v>
      </c>
      <c r="FR47" s="73">
        <f t="shared" si="30"/>
        <v>0</v>
      </c>
      <c r="FS47" s="73">
        <f t="shared" si="31"/>
        <v>0</v>
      </c>
      <c r="FT47" s="73">
        <f t="shared" si="32"/>
        <v>0</v>
      </c>
      <c r="FU47" s="73">
        <f t="shared" si="33"/>
        <v>0</v>
      </c>
      <c r="FV47" s="73">
        <f t="shared" si="34"/>
        <v>-4</v>
      </c>
      <c r="FW47" s="73">
        <f t="shared" si="35"/>
        <v>0</v>
      </c>
      <c r="FX47" s="73">
        <f t="shared" si="36"/>
        <v>2</v>
      </c>
      <c r="FY47" s="73">
        <f t="shared" si="37"/>
        <v>0</v>
      </c>
      <c r="FZ47" s="73">
        <f t="shared" si="38"/>
        <v>2</v>
      </c>
      <c r="GA47" s="73">
        <f t="shared" si="39"/>
        <v>2</v>
      </c>
      <c r="GB47" s="73">
        <f t="shared" si="40"/>
        <v>-1</v>
      </c>
      <c r="GC47" s="73">
        <f t="shared" si="41"/>
        <v>3</v>
      </c>
      <c r="GD47" s="73">
        <f t="shared" si="42"/>
        <v>0</v>
      </c>
      <c r="GE47" s="73">
        <f t="shared" si="43"/>
        <v>0</v>
      </c>
      <c r="GF47" s="73">
        <f t="shared" si="44"/>
        <v>0</v>
      </c>
      <c r="GG47" s="73">
        <f t="shared" si="45"/>
        <v>0</v>
      </c>
      <c r="GH47" s="73">
        <f t="shared" si="46"/>
        <v>0</v>
      </c>
      <c r="GI47" s="73">
        <f t="shared" si="47"/>
        <v>4</v>
      </c>
      <c r="GJ47" s="38"/>
      <c r="GK47" s="367"/>
      <c r="GL47" s="376"/>
      <c r="GM47" s="376"/>
      <c r="GP47" s="52"/>
    </row>
    <row r="48" spans="1:198" x14ac:dyDescent="0.25">
      <c r="A48" s="53">
        <v>40322</v>
      </c>
      <c r="B48" s="53" t="s">
        <v>19</v>
      </c>
      <c r="C48" s="53" t="s">
        <v>131</v>
      </c>
      <c r="D48" s="53" t="s">
        <v>134</v>
      </c>
      <c r="E48" s="54">
        <v>21430</v>
      </c>
      <c r="F48" s="62">
        <v>188</v>
      </c>
      <c r="G48" s="58">
        <v>5</v>
      </c>
      <c r="H48" s="89" t="s">
        <v>393</v>
      </c>
      <c r="I48" s="6">
        <v>0</v>
      </c>
      <c r="J48" s="6">
        <v>1</v>
      </c>
      <c r="K48" s="60">
        <f>3+2/3</f>
        <v>3.6666666666666665</v>
      </c>
      <c r="L48" s="6">
        <v>7</v>
      </c>
      <c r="M48" s="6">
        <v>5</v>
      </c>
      <c r="N48" s="6">
        <v>5</v>
      </c>
      <c r="O48" s="6">
        <v>3</v>
      </c>
      <c r="P48" s="6">
        <v>0</v>
      </c>
      <c r="Q48" s="6">
        <v>1</v>
      </c>
      <c r="R48" s="6">
        <v>0</v>
      </c>
      <c r="S48" s="6">
        <v>21</v>
      </c>
      <c r="T48" s="6">
        <v>97</v>
      </c>
      <c r="U48" s="6">
        <v>58</v>
      </c>
      <c r="V48" s="6">
        <v>1</v>
      </c>
      <c r="W48" s="61">
        <v>1</v>
      </c>
      <c r="X48" s="62">
        <v>0</v>
      </c>
      <c r="Y48" s="62">
        <v>0</v>
      </c>
      <c r="Z48" s="62">
        <v>0</v>
      </c>
      <c r="AA48" s="62">
        <v>0</v>
      </c>
      <c r="AB48" s="62">
        <v>0</v>
      </c>
      <c r="AC48" s="63">
        <f>5+1/3</f>
        <v>5.333333333333333</v>
      </c>
      <c r="AD48" s="62">
        <v>5</v>
      </c>
      <c r="AE48" s="62">
        <v>1</v>
      </c>
      <c r="AF48" s="62">
        <v>1</v>
      </c>
      <c r="AG48" s="62">
        <v>0</v>
      </c>
      <c r="AH48" s="62">
        <v>4</v>
      </c>
      <c r="AI48" s="62">
        <v>0</v>
      </c>
      <c r="AJ48" s="62">
        <v>0</v>
      </c>
      <c r="AK48" s="62">
        <v>19</v>
      </c>
      <c r="AL48" s="62">
        <v>75</v>
      </c>
      <c r="AM48" s="62">
        <v>53</v>
      </c>
      <c r="AN48" s="1" t="s">
        <v>384</v>
      </c>
      <c r="AO48" s="65">
        <v>4</v>
      </c>
      <c r="AP48" s="65">
        <v>0</v>
      </c>
      <c r="AQ48" s="65">
        <v>1</v>
      </c>
      <c r="AR48" s="65">
        <v>0</v>
      </c>
      <c r="AS48" s="65">
        <v>0</v>
      </c>
      <c r="AT48" s="65">
        <v>1</v>
      </c>
      <c r="AU48" s="65">
        <v>0</v>
      </c>
      <c r="AV48" s="65">
        <v>0</v>
      </c>
      <c r="AW48" s="66">
        <v>2</v>
      </c>
      <c r="AX48" s="1" t="s">
        <v>391</v>
      </c>
      <c r="AY48" s="65">
        <v>4</v>
      </c>
      <c r="AZ48" s="65">
        <v>0</v>
      </c>
      <c r="BA48" s="65">
        <v>1</v>
      </c>
      <c r="BB48" s="65">
        <v>0</v>
      </c>
      <c r="BC48" s="65">
        <v>0</v>
      </c>
      <c r="BD48" s="65">
        <v>0</v>
      </c>
      <c r="BE48" s="65">
        <v>0</v>
      </c>
      <c r="BF48" s="65">
        <v>0</v>
      </c>
      <c r="BG48" s="66">
        <v>1</v>
      </c>
      <c r="BH48" s="1" t="s">
        <v>389</v>
      </c>
      <c r="BI48" s="65">
        <v>4</v>
      </c>
      <c r="BJ48" s="65">
        <v>0</v>
      </c>
      <c r="BK48" s="65">
        <v>1</v>
      </c>
      <c r="BL48" s="65">
        <v>0</v>
      </c>
      <c r="BM48" s="65">
        <v>0</v>
      </c>
      <c r="BN48" s="65">
        <v>2</v>
      </c>
      <c r="BO48" s="65">
        <v>0</v>
      </c>
      <c r="BP48" s="65">
        <v>0</v>
      </c>
      <c r="BQ48" s="66">
        <v>1</v>
      </c>
      <c r="BR48" s="1" t="s">
        <v>390</v>
      </c>
      <c r="BS48" s="65">
        <v>4</v>
      </c>
      <c r="BT48" s="65">
        <v>0</v>
      </c>
      <c r="BU48" s="65">
        <v>1</v>
      </c>
      <c r="BV48" s="65">
        <v>0</v>
      </c>
      <c r="BW48" s="65">
        <v>0</v>
      </c>
      <c r="BX48" s="65">
        <v>2</v>
      </c>
      <c r="BY48" s="65">
        <v>0</v>
      </c>
      <c r="BZ48" s="65">
        <v>0</v>
      </c>
      <c r="CA48" s="66">
        <v>1</v>
      </c>
      <c r="CB48" s="1" t="s">
        <v>275</v>
      </c>
      <c r="CC48" s="65">
        <v>4</v>
      </c>
      <c r="CD48" s="65">
        <v>0</v>
      </c>
      <c r="CE48" s="65">
        <v>0</v>
      </c>
      <c r="CF48" s="65">
        <v>0</v>
      </c>
      <c r="CG48" s="65">
        <v>0</v>
      </c>
      <c r="CH48" s="65">
        <v>0</v>
      </c>
      <c r="CI48" s="65">
        <v>0</v>
      </c>
      <c r="CJ48" s="65">
        <v>0</v>
      </c>
      <c r="CK48" s="66">
        <v>0</v>
      </c>
      <c r="CL48" s="1" t="s">
        <v>404</v>
      </c>
      <c r="CM48" s="65">
        <v>4</v>
      </c>
      <c r="CN48" s="65">
        <v>0</v>
      </c>
      <c r="CO48" s="65">
        <v>0</v>
      </c>
      <c r="CP48" s="65">
        <v>0</v>
      </c>
      <c r="CQ48" s="65">
        <v>0</v>
      </c>
      <c r="CR48" s="65">
        <v>1</v>
      </c>
      <c r="CS48" s="65">
        <v>0</v>
      </c>
      <c r="CT48" s="65">
        <v>0</v>
      </c>
      <c r="CU48" s="66">
        <v>0</v>
      </c>
      <c r="CV48" s="1" t="s">
        <v>274</v>
      </c>
      <c r="CW48" s="65">
        <v>2</v>
      </c>
      <c r="CX48" s="65">
        <v>1</v>
      </c>
      <c r="CY48" s="65">
        <v>1</v>
      </c>
      <c r="CZ48" s="65">
        <v>1</v>
      </c>
      <c r="DA48" s="65">
        <v>1</v>
      </c>
      <c r="DB48" s="65">
        <v>0</v>
      </c>
      <c r="DC48" s="65">
        <v>0</v>
      </c>
      <c r="DD48" s="65">
        <v>0</v>
      </c>
      <c r="DE48" s="66">
        <v>4</v>
      </c>
      <c r="DF48" s="1" t="s">
        <v>273</v>
      </c>
      <c r="DG48" s="65">
        <v>3</v>
      </c>
      <c r="DH48" s="65">
        <v>0</v>
      </c>
      <c r="DI48" s="65">
        <v>1</v>
      </c>
      <c r="DJ48" s="65">
        <v>0</v>
      </c>
      <c r="DK48" s="65">
        <v>0</v>
      </c>
      <c r="DL48" s="65">
        <v>1</v>
      </c>
      <c r="DM48" s="65">
        <v>0</v>
      </c>
      <c r="DN48" s="65">
        <v>0</v>
      </c>
      <c r="DO48" s="66">
        <v>1</v>
      </c>
      <c r="DP48" s="1" t="s">
        <v>385</v>
      </c>
      <c r="DQ48" s="65">
        <v>3</v>
      </c>
      <c r="DR48" s="65">
        <v>0</v>
      </c>
      <c r="DS48" s="65">
        <v>0</v>
      </c>
      <c r="DT48" s="65">
        <v>0</v>
      </c>
      <c r="DU48" s="65">
        <v>0</v>
      </c>
      <c r="DV48" s="65">
        <v>2</v>
      </c>
      <c r="DW48" s="65">
        <v>0</v>
      </c>
      <c r="DX48" s="65">
        <v>0</v>
      </c>
      <c r="DY48" s="66">
        <v>0</v>
      </c>
      <c r="DZ48" s="67">
        <v>2</v>
      </c>
      <c r="EA48" s="68">
        <v>0</v>
      </c>
      <c r="EB48" s="68">
        <v>0</v>
      </c>
      <c r="EC48" s="69">
        <v>7</v>
      </c>
      <c r="ED48" s="68">
        <v>0</v>
      </c>
      <c r="EE48" s="70">
        <v>0</v>
      </c>
      <c r="EF48" s="71">
        <v>0</v>
      </c>
      <c r="EG48" s="72">
        <v>0</v>
      </c>
      <c r="EH48" s="72">
        <v>0</v>
      </c>
      <c r="EI48" s="72">
        <v>1</v>
      </c>
      <c r="EJ48" s="72">
        <v>0</v>
      </c>
      <c r="EK48" s="72">
        <v>0</v>
      </c>
      <c r="EL48" s="72">
        <v>0</v>
      </c>
      <c r="EM48" s="72">
        <v>0</v>
      </c>
      <c r="EN48" s="72">
        <v>0</v>
      </c>
      <c r="EO48" s="72"/>
      <c r="EP48" s="72"/>
      <c r="EQ48" s="72"/>
      <c r="ER48" s="72"/>
      <c r="ES48" s="44">
        <f t="shared" si="24"/>
        <v>1</v>
      </c>
      <c r="ET48" s="43">
        <v>0</v>
      </c>
      <c r="EU48" s="43">
        <v>1</v>
      </c>
      <c r="EV48" s="43">
        <v>3</v>
      </c>
      <c r="EW48" s="43">
        <v>2</v>
      </c>
      <c r="EX48" s="43">
        <v>0</v>
      </c>
      <c r="EY48" s="43">
        <v>0</v>
      </c>
      <c r="EZ48" s="43">
        <v>0</v>
      </c>
      <c r="FA48" s="43">
        <v>0</v>
      </c>
      <c r="FB48" s="43">
        <v>0</v>
      </c>
      <c r="FC48" s="43"/>
      <c r="FD48" s="43"/>
      <c r="FE48" s="43"/>
      <c r="FF48" s="43"/>
      <c r="FG48" s="43">
        <f t="shared" si="25"/>
        <v>6</v>
      </c>
      <c r="FH48" s="73">
        <v>32</v>
      </c>
      <c r="FI48" s="73">
        <v>1</v>
      </c>
      <c r="FJ48" s="73">
        <v>6</v>
      </c>
      <c r="FK48" s="73">
        <v>1</v>
      </c>
      <c r="FL48" s="73">
        <v>1</v>
      </c>
      <c r="FM48" s="73">
        <v>9</v>
      </c>
      <c r="FN48" s="73">
        <f t="shared" si="26"/>
        <v>0</v>
      </c>
      <c r="FO48" s="73">
        <f t="shared" si="27"/>
        <v>0</v>
      </c>
      <c r="FP48" s="73">
        <f t="shared" si="28"/>
        <v>0</v>
      </c>
      <c r="FQ48" s="73">
        <f t="shared" si="29"/>
        <v>0</v>
      </c>
      <c r="FR48" s="73">
        <f t="shared" si="30"/>
        <v>0</v>
      </c>
      <c r="FS48" s="73">
        <f t="shared" si="31"/>
        <v>0</v>
      </c>
      <c r="FT48" s="73">
        <f t="shared" si="32"/>
        <v>0</v>
      </c>
      <c r="FU48" s="73">
        <f t="shared" si="33"/>
        <v>0</v>
      </c>
      <c r="FV48" s="73">
        <f t="shared" si="34"/>
        <v>0</v>
      </c>
      <c r="FW48" s="73">
        <f t="shared" si="35"/>
        <v>-1</v>
      </c>
      <c r="FX48" s="73">
        <f t="shared" si="36"/>
        <v>-3</v>
      </c>
      <c r="FY48" s="73">
        <f t="shared" si="37"/>
        <v>-1</v>
      </c>
      <c r="FZ48" s="73">
        <f t="shared" si="38"/>
        <v>0</v>
      </c>
      <c r="GA48" s="73">
        <f t="shared" si="39"/>
        <v>0</v>
      </c>
      <c r="GB48" s="73">
        <f t="shared" si="40"/>
        <v>0</v>
      </c>
      <c r="GC48" s="73">
        <f t="shared" si="41"/>
        <v>0</v>
      </c>
      <c r="GD48" s="73">
        <f t="shared" si="42"/>
        <v>0</v>
      </c>
      <c r="GE48" s="73">
        <f t="shared" si="43"/>
        <v>0</v>
      </c>
      <c r="GF48" s="73">
        <f t="shared" si="44"/>
        <v>0</v>
      </c>
      <c r="GG48" s="73">
        <f t="shared" si="45"/>
        <v>0</v>
      </c>
      <c r="GH48" s="73">
        <f t="shared" si="46"/>
        <v>0</v>
      </c>
      <c r="GI48" s="73">
        <f t="shared" si="47"/>
        <v>-5</v>
      </c>
      <c r="GJ48" s="38"/>
      <c r="GK48" s="367"/>
      <c r="GL48" s="376"/>
      <c r="GM48" s="376"/>
      <c r="GP48" s="52"/>
    </row>
    <row r="49" spans="1:198" x14ac:dyDescent="0.25">
      <c r="A49" s="53">
        <v>40323</v>
      </c>
      <c r="B49" s="53" t="s">
        <v>19</v>
      </c>
      <c r="C49" s="53" t="s">
        <v>131</v>
      </c>
      <c r="D49" s="53" t="s">
        <v>134</v>
      </c>
      <c r="E49" s="54">
        <v>24310</v>
      </c>
      <c r="F49" s="62">
        <v>173</v>
      </c>
      <c r="G49" s="58">
        <v>1</v>
      </c>
      <c r="H49" s="59" t="s">
        <v>392</v>
      </c>
      <c r="I49" s="6">
        <v>0</v>
      </c>
      <c r="J49" s="6">
        <v>1</v>
      </c>
      <c r="K49" s="60">
        <v>8</v>
      </c>
      <c r="L49" s="6">
        <v>4</v>
      </c>
      <c r="M49" s="6">
        <v>2</v>
      </c>
      <c r="N49" s="6">
        <v>2</v>
      </c>
      <c r="O49" s="6">
        <v>2</v>
      </c>
      <c r="P49" s="6">
        <v>5</v>
      </c>
      <c r="Q49" s="6">
        <v>0</v>
      </c>
      <c r="R49" s="6">
        <v>0</v>
      </c>
      <c r="S49" s="6">
        <v>30</v>
      </c>
      <c r="T49" s="6">
        <v>107</v>
      </c>
      <c r="U49" s="6">
        <v>74</v>
      </c>
      <c r="V49" s="6">
        <v>0</v>
      </c>
      <c r="W49" s="61">
        <v>0</v>
      </c>
      <c r="X49" s="62">
        <v>0</v>
      </c>
      <c r="Y49" s="62">
        <v>0</v>
      </c>
      <c r="Z49" s="62">
        <v>0</v>
      </c>
      <c r="AA49" s="62">
        <v>0</v>
      </c>
      <c r="AB49" s="62">
        <v>0</v>
      </c>
      <c r="AC49" s="63">
        <v>1</v>
      </c>
      <c r="AD49" s="62">
        <v>0</v>
      </c>
      <c r="AE49" s="62">
        <v>0</v>
      </c>
      <c r="AF49" s="62">
        <v>0</v>
      </c>
      <c r="AG49" s="62">
        <v>1</v>
      </c>
      <c r="AH49" s="62">
        <v>1</v>
      </c>
      <c r="AI49" s="62">
        <v>0</v>
      </c>
      <c r="AJ49" s="62">
        <v>0</v>
      </c>
      <c r="AK49" s="62">
        <v>4</v>
      </c>
      <c r="AL49" s="62">
        <v>16</v>
      </c>
      <c r="AM49" s="62">
        <v>7</v>
      </c>
      <c r="AN49" s="1" t="s">
        <v>384</v>
      </c>
      <c r="AO49" s="65">
        <v>1</v>
      </c>
      <c r="AP49" s="65">
        <v>0</v>
      </c>
      <c r="AQ49" s="65">
        <v>0</v>
      </c>
      <c r="AR49" s="65">
        <v>0</v>
      </c>
      <c r="AS49" s="65">
        <v>3</v>
      </c>
      <c r="AT49" s="65">
        <v>0</v>
      </c>
      <c r="AU49" s="65">
        <v>0</v>
      </c>
      <c r="AV49" s="65">
        <v>0</v>
      </c>
      <c r="AW49" s="66">
        <v>0</v>
      </c>
      <c r="AX49" s="1" t="s">
        <v>391</v>
      </c>
      <c r="AY49" s="65">
        <v>3</v>
      </c>
      <c r="AZ49" s="65">
        <v>0</v>
      </c>
      <c r="BA49" s="65">
        <v>0</v>
      </c>
      <c r="BB49" s="65">
        <v>0</v>
      </c>
      <c r="BC49" s="65">
        <v>1</v>
      </c>
      <c r="BD49" s="65">
        <v>3</v>
      </c>
      <c r="BE49" s="65">
        <v>0</v>
      </c>
      <c r="BF49" s="65">
        <v>0</v>
      </c>
      <c r="BG49" s="66">
        <v>0</v>
      </c>
      <c r="BH49" s="1" t="s">
        <v>389</v>
      </c>
      <c r="BI49" s="65">
        <v>4</v>
      </c>
      <c r="BJ49" s="65">
        <v>0</v>
      </c>
      <c r="BK49" s="65">
        <v>0</v>
      </c>
      <c r="BL49" s="65">
        <v>0</v>
      </c>
      <c r="BM49" s="65">
        <v>0</v>
      </c>
      <c r="BN49" s="65">
        <v>3</v>
      </c>
      <c r="BO49" s="65">
        <v>0</v>
      </c>
      <c r="BP49" s="65">
        <v>0</v>
      </c>
      <c r="BQ49" s="66">
        <v>0</v>
      </c>
      <c r="BR49" s="1" t="s">
        <v>390</v>
      </c>
      <c r="BS49" s="65">
        <v>3</v>
      </c>
      <c r="BT49" s="65">
        <v>0</v>
      </c>
      <c r="BU49" s="65">
        <v>0</v>
      </c>
      <c r="BV49" s="65">
        <v>0</v>
      </c>
      <c r="BW49" s="65">
        <v>1</v>
      </c>
      <c r="BX49" s="65">
        <v>1</v>
      </c>
      <c r="BY49" s="65">
        <v>0</v>
      </c>
      <c r="BZ49" s="65">
        <v>0</v>
      </c>
      <c r="CA49" s="66">
        <v>0</v>
      </c>
      <c r="CB49" s="1" t="s">
        <v>272</v>
      </c>
      <c r="CC49" s="65">
        <v>3</v>
      </c>
      <c r="CD49" s="65">
        <v>0</v>
      </c>
      <c r="CE49" s="65">
        <v>1</v>
      </c>
      <c r="CF49" s="65">
        <v>0</v>
      </c>
      <c r="CG49" s="65">
        <v>1</v>
      </c>
      <c r="CH49" s="65">
        <v>0</v>
      </c>
      <c r="CI49" s="65">
        <v>0</v>
      </c>
      <c r="CJ49" s="65">
        <v>0</v>
      </c>
      <c r="CK49" s="66">
        <v>1</v>
      </c>
      <c r="CL49" s="1" t="s">
        <v>274</v>
      </c>
      <c r="CM49" s="65">
        <v>4</v>
      </c>
      <c r="CN49" s="65">
        <v>0</v>
      </c>
      <c r="CO49" s="65">
        <v>0</v>
      </c>
      <c r="CP49" s="65">
        <v>0</v>
      </c>
      <c r="CQ49" s="65">
        <v>0</v>
      </c>
      <c r="CR49" s="65">
        <v>2</v>
      </c>
      <c r="CS49" s="65">
        <v>0</v>
      </c>
      <c r="CT49" s="65">
        <v>0</v>
      </c>
      <c r="CU49" s="66">
        <v>0</v>
      </c>
      <c r="CV49" s="1" t="s">
        <v>273</v>
      </c>
      <c r="CW49" s="65">
        <v>4</v>
      </c>
      <c r="CX49" s="65">
        <v>0</v>
      </c>
      <c r="CY49" s="65">
        <v>0</v>
      </c>
      <c r="CZ49" s="65">
        <v>0</v>
      </c>
      <c r="DA49" s="65">
        <v>0</v>
      </c>
      <c r="DB49" s="65">
        <v>2</v>
      </c>
      <c r="DC49" s="65">
        <v>0</v>
      </c>
      <c r="DD49" s="65">
        <v>0</v>
      </c>
      <c r="DE49" s="66">
        <v>0</v>
      </c>
      <c r="DF49" s="1" t="s">
        <v>406</v>
      </c>
      <c r="DG49" s="65">
        <v>3</v>
      </c>
      <c r="DH49" s="65">
        <v>0</v>
      </c>
      <c r="DI49" s="65">
        <v>0</v>
      </c>
      <c r="DJ49" s="65">
        <v>0</v>
      </c>
      <c r="DK49" s="65">
        <v>0</v>
      </c>
      <c r="DL49" s="65">
        <v>0</v>
      </c>
      <c r="DM49" s="65">
        <v>0</v>
      </c>
      <c r="DN49" s="65">
        <v>0</v>
      </c>
      <c r="DO49" s="66">
        <v>0</v>
      </c>
      <c r="DP49" s="1" t="s">
        <v>386</v>
      </c>
      <c r="DQ49" s="65">
        <v>3</v>
      </c>
      <c r="DR49" s="65">
        <v>0</v>
      </c>
      <c r="DS49" s="65">
        <v>0</v>
      </c>
      <c r="DT49" s="65">
        <v>0</v>
      </c>
      <c r="DU49" s="65">
        <v>0</v>
      </c>
      <c r="DV49" s="65">
        <v>1</v>
      </c>
      <c r="DW49" s="65">
        <v>0</v>
      </c>
      <c r="DX49" s="65">
        <v>0</v>
      </c>
      <c r="DY49" s="66">
        <v>0</v>
      </c>
      <c r="DZ49" s="67">
        <v>6</v>
      </c>
      <c r="EA49" s="68">
        <v>0</v>
      </c>
      <c r="EB49" s="68">
        <v>0</v>
      </c>
      <c r="EC49" s="69">
        <v>3</v>
      </c>
      <c r="ED49" s="68">
        <v>0</v>
      </c>
      <c r="EE49" s="70">
        <v>0</v>
      </c>
      <c r="EF49" s="71">
        <v>0</v>
      </c>
      <c r="EG49" s="72">
        <v>0</v>
      </c>
      <c r="EH49" s="72">
        <v>0</v>
      </c>
      <c r="EI49" s="72">
        <v>0</v>
      </c>
      <c r="EJ49" s="72">
        <v>0</v>
      </c>
      <c r="EK49" s="72">
        <v>0</v>
      </c>
      <c r="EL49" s="72">
        <v>0</v>
      </c>
      <c r="EM49" s="72">
        <v>0</v>
      </c>
      <c r="EN49" s="72">
        <v>0</v>
      </c>
      <c r="EO49" s="72"/>
      <c r="EP49" s="72"/>
      <c r="EQ49" s="72"/>
      <c r="ER49" s="72"/>
      <c r="ES49" s="44">
        <f t="shared" si="24"/>
        <v>0</v>
      </c>
      <c r="ET49" s="43">
        <v>0</v>
      </c>
      <c r="EU49" s="43">
        <v>0</v>
      </c>
      <c r="EV49" s="43">
        <v>2</v>
      </c>
      <c r="EW49" s="43">
        <v>0</v>
      </c>
      <c r="EX49" s="43">
        <v>0</v>
      </c>
      <c r="EY49" s="43">
        <v>0</v>
      </c>
      <c r="EZ49" s="43">
        <v>0</v>
      </c>
      <c r="FA49" s="43">
        <v>0</v>
      </c>
      <c r="FB49" s="43">
        <v>0</v>
      </c>
      <c r="FC49" s="43"/>
      <c r="FD49" s="43"/>
      <c r="FE49" s="43"/>
      <c r="FF49" s="43"/>
      <c r="FG49" s="43">
        <f t="shared" si="25"/>
        <v>2</v>
      </c>
      <c r="FH49" s="73">
        <v>28</v>
      </c>
      <c r="FI49" s="73">
        <v>0</v>
      </c>
      <c r="FJ49" s="73">
        <v>1</v>
      </c>
      <c r="FK49" s="73">
        <v>0</v>
      </c>
      <c r="FL49" s="73">
        <v>6</v>
      </c>
      <c r="FM49" s="73">
        <v>12</v>
      </c>
      <c r="FN49" s="73">
        <f t="shared" si="26"/>
        <v>0</v>
      </c>
      <c r="FO49" s="73">
        <f t="shared" si="27"/>
        <v>0</v>
      </c>
      <c r="FP49" s="73">
        <f t="shared" si="28"/>
        <v>0</v>
      </c>
      <c r="FQ49" s="73">
        <f t="shared" si="29"/>
        <v>0</v>
      </c>
      <c r="FR49" s="73">
        <f t="shared" si="30"/>
        <v>0</v>
      </c>
      <c r="FS49" s="73">
        <f t="shared" si="31"/>
        <v>0</v>
      </c>
      <c r="FT49" s="73">
        <f t="shared" si="32"/>
        <v>0</v>
      </c>
      <c r="FU49" s="73">
        <f t="shared" si="33"/>
        <v>0</v>
      </c>
      <c r="FV49" s="73">
        <f t="shared" si="34"/>
        <v>0</v>
      </c>
      <c r="FW49" s="73">
        <f t="shared" si="35"/>
        <v>0</v>
      </c>
      <c r="FX49" s="73">
        <f t="shared" si="36"/>
        <v>-2</v>
      </c>
      <c r="FY49" s="73">
        <f t="shared" si="37"/>
        <v>0</v>
      </c>
      <c r="FZ49" s="73">
        <f t="shared" si="38"/>
        <v>0</v>
      </c>
      <c r="GA49" s="73">
        <f t="shared" si="39"/>
        <v>0</v>
      </c>
      <c r="GB49" s="73">
        <f t="shared" si="40"/>
        <v>0</v>
      </c>
      <c r="GC49" s="73">
        <f t="shared" si="41"/>
        <v>0</v>
      </c>
      <c r="GD49" s="73">
        <f t="shared" si="42"/>
        <v>0</v>
      </c>
      <c r="GE49" s="73">
        <f t="shared" si="43"/>
        <v>0</v>
      </c>
      <c r="GF49" s="73">
        <f t="shared" si="44"/>
        <v>0</v>
      </c>
      <c r="GG49" s="73">
        <f t="shared" si="45"/>
        <v>0</v>
      </c>
      <c r="GH49" s="73">
        <f t="shared" si="46"/>
        <v>0</v>
      </c>
      <c r="GI49" s="73">
        <f t="shared" si="47"/>
        <v>-2</v>
      </c>
      <c r="GJ49" s="38"/>
      <c r="GK49" s="367"/>
      <c r="GL49" s="376"/>
      <c r="GM49" s="376"/>
      <c r="GP49" s="52"/>
    </row>
    <row r="50" spans="1:198" x14ac:dyDescent="0.25">
      <c r="A50" s="53">
        <v>40324</v>
      </c>
      <c r="B50" s="53" t="s">
        <v>19</v>
      </c>
      <c r="C50" s="53" t="s">
        <v>131</v>
      </c>
      <c r="D50" s="53" t="s">
        <v>134</v>
      </c>
      <c r="E50" s="54">
        <v>22147</v>
      </c>
      <c r="F50" s="62">
        <v>203</v>
      </c>
      <c r="G50" s="58">
        <v>2</v>
      </c>
      <c r="H50" s="89" t="s">
        <v>396</v>
      </c>
      <c r="I50" s="6">
        <v>0</v>
      </c>
      <c r="J50" s="6">
        <v>1</v>
      </c>
      <c r="K50" s="60">
        <v>5</v>
      </c>
      <c r="L50" s="6">
        <v>5</v>
      </c>
      <c r="M50" s="6">
        <v>6</v>
      </c>
      <c r="N50" s="6">
        <v>6</v>
      </c>
      <c r="O50" s="6">
        <v>5</v>
      </c>
      <c r="P50" s="6">
        <v>3</v>
      </c>
      <c r="Q50" s="6">
        <v>3</v>
      </c>
      <c r="R50" s="6">
        <v>0</v>
      </c>
      <c r="S50" s="6">
        <v>24</v>
      </c>
      <c r="T50" s="6">
        <v>103</v>
      </c>
      <c r="U50" s="6">
        <v>57</v>
      </c>
      <c r="V50" s="6">
        <v>0</v>
      </c>
      <c r="W50" s="61">
        <v>0</v>
      </c>
      <c r="X50" s="62">
        <v>0</v>
      </c>
      <c r="Y50" s="62">
        <v>0</v>
      </c>
      <c r="Z50" s="62">
        <v>0</v>
      </c>
      <c r="AA50" s="62">
        <v>0</v>
      </c>
      <c r="AB50" s="62">
        <v>0</v>
      </c>
      <c r="AC50" s="63">
        <v>4</v>
      </c>
      <c r="AD50" s="62">
        <v>8</v>
      </c>
      <c r="AE50" s="62">
        <v>5</v>
      </c>
      <c r="AF50" s="62">
        <v>5</v>
      </c>
      <c r="AG50" s="62">
        <v>2</v>
      </c>
      <c r="AH50" s="62">
        <v>3</v>
      </c>
      <c r="AI50" s="62">
        <v>0</v>
      </c>
      <c r="AJ50" s="62">
        <v>0</v>
      </c>
      <c r="AK50" s="62">
        <v>22</v>
      </c>
      <c r="AL50" s="62">
        <v>76</v>
      </c>
      <c r="AM50" s="62">
        <v>50</v>
      </c>
      <c r="AN50" s="1" t="s">
        <v>384</v>
      </c>
      <c r="AO50" s="65">
        <v>4</v>
      </c>
      <c r="AP50" s="65">
        <v>0</v>
      </c>
      <c r="AQ50" s="65">
        <v>0</v>
      </c>
      <c r="AR50" s="65">
        <v>0</v>
      </c>
      <c r="AS50" s="65">
        <v>1</v>
      </c>
      <c r="AT50" s="65">
        <v>0</v>
      </c>
      <c r="AU50" s="65">
        <v>0</v>
      </c>
      <c r="AV50" s="65">
        <v>0</v>
      </c>
      <c r="AW50" s="66">
        <v>0</v>
      </c>
      <c r="AX50" s="1" t="s">
        <v>391</v>
      </c>
      <c r="AY50" s="65">
        <v>5</v>
      </c>
      <c r="AZ50" s="65">
        <v>0</v>
      </c>
      <c r="BA50" s="65">
        <v>2</v>
      </c>
      <c r="BB50" s="65">
        <v>0</v>
      </c>
      <c r="BC50" s="65">
        <v>0</v>
      </c>
      <c r="BD50" s="65">
        <v>0</v>
      </c>
      <c r="BE50" s="65">
        <v>0</v>
      </c>
      <c r="BF50" s="65">
        <v>0</v>
      </c>
      <c r="BG50" s="66">
        <v>3</v>
      </c>
      <c r="BH50" s="1" t="s">
        <v>389</v>
      </c>
      <c r="BI50" s="65">
        <v>5</v>
      </c>
      <c r="BJ50" s="65">
        <v>1</v>
      </c>
      <c r="BK50" s="65">
        <v>2</v>
      </c>
      <c r="BL50" s="65">
        <v>1</v>
      </c>
      <c r="BM50" s="65">
        <v>0</v>
      </c>
      <c r="BN50" s="65">
        <v>0</v>
      </c>
      <c r="BO50" s="65">
        <v>0</v>
      </c>
      <c r="BP50" s="65">
        <v>0</v>
      </c>
      <c r="BQ50" s="66">
        <v>5</v>
      </c>
      <c r="BR50" s="1" t="s">
        <v>390</v>
      </c>
      <c r="BS50" s="65">
        <v>4</v>
      </c>
      <c r="BT50" s="65">
        <v>0</v>
      </c>
      <c r="BU50" s="65">
        <v>1</v>
      </c>
      <c r="BV50" s="65">
        <v>0</v>
      </c>
      <c r="BW50" s="65">
        <v>1</v>
      </c>
      <c r="BX50" s="65">
        <v>1</v>
      </c>
      <c r="BY50" s="65">
        <v>0</v>
      </c>
      <c r="BZ50" s="65">
        <v>0</v>
      </c>
      <c r="CA50" s="66">
        <v>1</v>
      </c>
      <c r="CB50" s="1" t="s">
        <v>275</v>
      </c>
      <c r="CC50" s="65">
        <v>4</v>
      </c>
      <c r="CD50" s="65">
        <v>0</v>
      </c>
      <c r="CE50" s="65">
        <v>1</v>
      </c>
      <c r="CF50" s="65">
        <v>0</v>
      </c>
      <c r="CG50" s="65">
        <v>1</v>
      </c>
      <c r="CH50" s="65">
        <v>0</v>
      </c>
      <c r="CI50" s="65">
        <v>0</v>
      </c>
      <c r="CJ50" s="65">
        <v>0</v>
      </c>
      <c r="CK50" s="66">
        <v>1</v>
      </c>
      <c r="CL50" s="1" t="s">
        <v>404</v>
      </c>
      <c r="CM50" s="65">
        <v>4</v>
      </c>
      <c r="CN50" s="65">
        <v>1</v>
      </c>
      <c r="CO50" s="65">
        <v>2</v>
      </c>
      <c r="CP50" s="65">
        <v>0</v>
      </c>
      <c r="CQ50" s="65">
        <v>1</v>
      </c>
      <c r="CR50" s="65">
        <v>1</v>
      </c>
      <c r="CS50" s="65">
        <v>0</v>
      </c>
      <c r="CT50" s="65">
        <v>0</v>
      </c>
      <c r="CU50" s="66">
        <v>2</v>
      </c>
      <c r="CV50" s="1" t="s">
        <v>274</v>
      </c>
      <c r="CW50" s="65">
        <v>3</v>
      </c>
      <c r="CX50" s="65">
        <v>1</v>
      </c>
      <c r="CY50" s="65">
        <v>1</v>
      </c>
      <c r="CZ50" s="65">
        <v>0</v>
      </c>
      <c r="DA50" s="65">
        <v>1</v>
      </c>
      <c r="DB50" s="65">
        <v>1</v>
      </c>
      <c r="DC50" s="65">
        <v>0</v>
      </c>
      <c r="DD50" s="65">
        <v>0</v>
      </c>
      <c r="DE50" s="66">
        <v>2</v>
      </c>
      <c r="DF50" s="1" t="s">
        <v>271</v>
      </c>
      <c r="DG50" s="65">
        <v>3</v>
      </c>
      <c r="DH50" s="65">
        <v>0</v>
      </c>
      <c r="DI50" s="65">
        <v>0</v>
      </c>
      <c r="DJ50" s="65">
        <v>0</v>
      </c>
      <c r="DK50" s="65">
        <v>0</v>
      </c>
      <c r="DL50" s="65">
        <v>0</v>
      </c>
      <c r="DM50" s="65">
        <v>0</v>
      </c>
      <c r="DN50" s="65">
        <v>0</v>
      </c>
      <c r="DO50" s="66">
        <v>0</v>
      </c>
      <c r="DP50" s="1" t="s">
        <v>385</v>
      </c>
      <c r="DQ50" s="65">
        <v>4</v>
      </c>
      <c r="DR50" s="65">
        <v>0</v>
      </c>
      <c r="DS50" s="65">
        <v>1</v>
      </c>
      <c r="DT50" s="65">
        <v>2</v>
      </c>
      <c r="DU50" s="65">
        <v>0</v>
      </c>
      <c r="DV50" s="65">
        <v>1</v>
      </c>
      <c r="DW50" s="65">
        <v>0</v>
      </c>
      <c r="DX50" s="65">
        <v>0</v>
      </c>
      <c r="DY50" s="66">
        <v>1</v>
      </c>
      <c r="DZ50" s="67">
        <f>2/3</f>
        <v>0.66666666666666663</v>
      </c>
      <c r="EA50" s="68">
        <v>0</v>
      </c>
      <c r="EB50" s="68">
        <v>0</v>
      </c>
      <c r="EC50" s="69">
        <f>8+1/3</f>
        <v>8.3333333333333339</v>
      </c>
      <c r="ED50" s="68">
        <v>2</v>
      </c>
      <c r="EE50" s="70">
        <v>0</v>
      </c>
      <c r="EF50" s="71">
        <v>0</v>
      </c>
      <c r="EG50" s="72">
        <v>1</v>
      </c>
      <c r="EH50" s="72">
        <v>0</v>
      </c>
      <c r="EI50" s="72">
        <v>1</v>
      </c>
      <c r="EJ50" s="72">
        <v>0</v>
      </c>
      <c r="EK50" s="72">
        <v>0</v>
      </c>
      <c r="EL50" s="72">
        <v>0</v>
      </c>
      <c r="EM50" s="72">
        <v>0</v>
      </c>
      <c r="EN50" s="72">
        <v>1</v>
      </c>
      <c r="EO50" s="72"/>
      <c r="EP50" s="72"/>
      <c r="EQ50" s="72"/>
      <c r="ER50" s="72"/>
      <c r="ES50" s="44">
        <f t="shared" si="24"/>
        <v>3</v>
      </c>
      <c r="ET50" s="43">
        <v>0</v>
      </c>
      <c r="EU50" s="43">
        <v>1</v>
      </c>
      <c r="EV50" s="43">
        <v>3</v>
      </c>
      <c r="EW50" s="43">
        <v>0</v>
      </c>
      <c r="EX50" s="43">
        <v>2</v>
      </c>
      <c r="EY50" s="43">
        <v>0</v>
      </c>
      <c r="EZ50" s="43">
        <v>0</v>
      </c>
      <c r="FA50" s="43">
        <v>0</v>
      </c>
      <c r="FB50" s="43">
        <v>5</v>
      </c>
      <c r="FC50" s="43"/>
      <c r="FD50" s="43"/>
      <c r="FE50" s="43"/>
      <c r="FF50" s="43"/>
      <c r="FG50" s="43">
        <f t="shared" si="25"/>
        <v>11</v>
      </c>
      <c r="FH50" s="73">
        <v>36</v>
      </c>
      <c r="FI50" s="73">
        <v>3</v>
      </c>
      <c r="FJ50" s="73">
        <v>10</v>
      </c>
      <c r="FK50" s="73">
        <v>3</v>
      </c>
      <c r="FL50" s="73">
        <v>5</v>
      </c>
      <c r="FM50" s="73">
        <v>4</v>
      </c>
      <c r="FN50" s="73">
        <f t="shared" si="26"/>
        <v>0</v>
      </c>
      <c r="FO50" s="73">
        <f t="shared" si="27"/>
        <v>0</v>
      </c>
      <c r="FP50" s="73">
        <f t="shared" si="28"/>
        <v>0</v>
      </c>
      <c r="FQ50" s="73">
        <f t="shared" si="29"/>
        <v>0</v>
      </c>
      <c r="FR50" s="73">
        <f t="shared" si="30"/>
        <v>0</v>
      </c>
      <c r="FS50" s="73">
        <f t="shared" si="31"/>
        <v>0</v>
      </c>
      <c r="FT50" s="73">
        <f t="shared" si="32"/>
        <v>0</v>
      </c>
      <c r="FU50" s="73">
        <f t="shared" si="33"/>
        <v>0</v>
      </c>
      <c r="FV50" s="73">
        <f t="shared" si="34"/>
        <v>0</v>
      </c>
      <c r="FW50" s="73">
        <f t="shared" si="35"/>
        <v>0</v>
      </c>
      <c r="FX50" s="73">
        <f t="shared" si="36"/>
        <v>-3</v>
      </c>
      <c r="FY50" s="73">
        <f t="shared" si="37"/>
        <v>1</v>
      </c>
      <c r="FZ50" s="73">
        <f t="shared" si="38"/>
        <v>-2</v>
      </c>
      <c r="GA50" s="73">
        <f t="shared" si="39"/>
        <v>0</v>
      </c>
      <c r="GB50" s="73">
        <f t="shared" si="40"/>
        <v>0</v>
      </c>
      <c r="GC50" s="73">
        <f t="shared" si="41"/>
        <v>0</v>
      </c>
      <c r="GD50" s="73">
        <f t="shared" si="42"/>
        <v>-4</v>
      </c>
      <c r="GE50" s="73">
        <f t="shared" si="43"/>
        <v>0</v>
      </c>
      <c r="GF50" s="73">
        <f t="shared" si="44"/>
        <v>0</v>
      </c>
      <c r="GG50" s="73">
        <f t="shared" si="45"/>
        <v>0</v>
      </c>
      <c r="GH50" s="73">
        <f t="shared" si="46"/>
        <v>0</v>
      </c>
      <c r="GI50" s="73">
        <f t="shared" si="47"/>
        <v>-8</v>
      </c>
      <c r="GJ50" s="38"/>
      <c r="GK50" s="367"/>
      <c r="GL50" s="376"/>
      <c r="GM50" s="376"/>
      <c r="GP50" s="52"/>
    </row>
    <row r="51" spans="1:198" x14ac:dyDescent="0.25">
      <c r="A51" s="53">
        <v>40325</v>
      </c>
      <c r="B51" s="53" t="s">
        <v>19</v>
      </c>
      <c r="C51" s="53" t="s">
        <v>129</v>
      </c>
      <c r="D51" s="53" t="s">
        <v>135</v>
      </c>
      <c r="E51" s="54">
        <v>13229</v>
      </c>
      <c r="F51" s="62">
        <v>149</v>
      </c>
      <c r="G51" s="58">
        <v>3</v>
      </c>
      <c r="H51" s="59" t="s">
        <v>395</v>
      </c>
      <c r="I51" s="6">
        <v>1</v>
      </c>
      <c r="J51" s="6">
        <v>0</v>
      </c>
      <c r="K51" s="60">
        <v>8</v>
      </c>
      <c r="L51" s="6">
        <v>3</v>
      </c>
      <c r="M51" s="6">
        <v>1</v>
      </c>
      <c r="N51" s="6">
        <v>1</v>
      </c>
      <c r="O51" s="6">
        <v>3</v>
      </c>
      <c r="P51" s="6">
        <v>5</v>
      </c>
      <c r="Q51" s="6">
        <v>1</v>
      </c>
      <c r="R51" s="6">
        <v>0</v>
      </c>
      <c r="S51" s="6">
        <v>28</v>
      </c>
      <c r="T51" s="6">
        <v>94</v>
      </c>
      <c r="U51" s="6">
        <v>59</v>
      </c>
      <c r="V51" s="6">
        <v>0</v>
      </c>
      <c r="W51" s="61">
        <v>0</v>
      </c>
      <c r="X51" s="62">
        <v>0</v>
      </c>
      <c r="Y51" s="62">
        <v>0</v>
      </c>
      <c r="Z51" s="62">
        <v>0</v>
      </c>
      <c r="AA51" s="62">
        <v>0</v>
      </c>
      <c r="AB51" s="62">
        <v>0</v>
      </c>
      <c r="AC51" s="63">
        <v>1</v>
      </c>
      <c r="AD51" s="62">
        <v>1</v>
      </c>
      <c r="AE51" s="62">
        <v>0</v>
      </c>
      <c r="AF51" s="62">
        <v>0</v>
      </c>
      <c r="AG51" s="62">
        <v>0</v>
      </c>
      <c r="AH51" s="62">
        <v>1</v>
      </c>
      <c r="AI51" s="62">
        <v>0</v>
      </c>
      <c r="AJ51" s="62">
        <v>0</v>
      </c>
      <c r="AK51" s="62">
        <v>4</v>
      </c>
      <c r="AL51" s="62">
        <v>11</v>
      </c>
      <c r="AM51" s="62">
        <v>8</v>
      </c>
      <c r="AN51" s="1" t="s">
        <v>384</v>
      </c>
      <c r="AO51" s="65">
        <v>3</v>
      </c>
      <c r="AP51" s="65">
        <v>0</v>
      </c>
      <c r="AQ51" s="65">
        <v>0</v>
      </c>
      <c r="AR51" s="65">
        <v>0</v>
      </c>
      <c r="AS51" s="65">
        <v>1</v>
      </c>
      <c r="AT51" s="65">
        <v>0</v>
      </c>
      <c r="AU51" s="65">
        <v>0</v>
      </c>
      <c r="AV51" s="65">
        <v>0</v>
      </c>
      <c r="AW51" s="66">
        <v>0</v>
      </c>
      <c r="AX51" s="1" t="s">
        <v>391</v>
      </c>
      <c r="AY51" s="65">
        <v>3</v>
      </c>
      <c r="AZ51" s="65">
        <v>1</v>
      </c>
      <c r="BA51" s="65">
        <v>1</v>
      </c>
      <c r="BB51" s="65">
        <v>2</v>
      </c>
      <c r="BC51" s="65">
        <v>0</v>
      </c>
      <c r="BD51" s="65">
        <v>1</v>
      </c>
      <c r="BE51" s="65">
        <v>0</v>
      </c>
      <c r="BF51" s="65">
        <v>1</v>
      </c>
      <c r="BG51" s="66">
        <v>4</v>
      </c>
      <c r="BH51" s="1" t="s">
        <v>389</v>
      </c>
      <c r="BI51" s="65">
        <v>4</v>
      </c>
      <c r="BJ51" s="65">
        <v>0</v>
      </c>
      <c r="BK51" s="65">
        <v>1</v>
      </c>
      <c r="BL51" s="65">
        <v>0</v>
      </c>
      <c r="BM51" s="65">
        <v>0</v>
      </c>
      <c r="BN51" s="65">
        <v>2</v>
      </c>
      <c r="BO51" s="65">
        <v>0</v>
      </c>
      <c r="BP51" s="65">
        <v>0</v>
      </c>
      <c r="BQ51" s="66">
        <v>1</v>
      </c>
      <c r="BR51" s="1" t="s">
        <v>390</v>
      </c>
      <c r="BS51" s="65">
        <v>4</v>
      </c>
      <c r="BT51" s="65">
        <v>2</v>
      </c>
      <c r="BU51" s="65">
        <v>2</v>
      </c>
      <c r="BV51" s="65">
        <v>1</v>
      </c>
      <c r="BW51" s="65">
        <v>0</v>
      </c>
      <c r="BX51" s="65">
        <v>0</v>
      </c>
      <c r="BY51" s="65">
        <v>0</v>
      </c>
      <c r="BZ51" s="65">
        <v>0</v>
      </c>
      <c r="CA51" s="66">
        <v>5</v>
      </c>
      <c r="CB51" s="1" t="s">
        <v>275</v>
      </c>
      <c r="CC51" s="65">
        <v>4</v>
      </c>
      <c r="CD51" s="65">
        <v>1</v>
      </c>
      <c r="CE51" s="65">
        <v>1</v>
      </c>
      <c r="CF51" s="65">
        <v>0</v>
      </c>
      <c r="CG51" s="65">
        <v>0</v>
      </c>
      <c r="CH51" s="65">
        <v>1</v>
      </c>
      <c r="CI51" s="65">
        <v>0</v>
      </c>
      <c r="CJ51" s="65">
        <v>0</v>
      </c>
      <c r="CK51" s="66">
        <v>1</v>
      </c>
      <c r="CL51" s="1" t="s">
        <v>404</v>
      </c>
      <c r="CM51" s="65">
        <v>4</v>
      </c>
      <c r="CN51" s="65">
        <v>0</v>
      </c>
      <c r="CO51" s="65">
        <v>1</v>
      </c>
      <c r="CP51" s="65">
        <v>2</v>
      </c>
      <c r="CQ51" s="65">
        <v>0</v>
      </c>
      <c r="CR51" s="65">
        <v>0</v>
      </c>
      <c r="CS51" s="65">
        <v>0</v>
      </c>
      <c r="CT51" s="65">
        <v>0</v>
      </c>
      <c r="CU51" s="66">
        <v>1</v>
      </c>
      <c r="CV51" s="1" t="s">
        <v>274</v>
      </c>
      <c r="CW51" s="65">
        <v>3</v>
      </c>
      <c r="CX51" s="65">
        <v>0</v>
      </c>
      <c r="CY51" s="65">
        <v>0</v>
      </c>
      <c r="CZ51" s="65">
        <v>0</v>
      </c>
      <c r="DA51" s="65">
        <v>0</v>
      </c>
      <c r="DB51" s="65">
        <v>1</v>
      </c>
      <c r="DC51" s="65">
        <v>1</v>
      </c>
      <c r="DD51" s="65">
        <v>0</v>
      </c>
      <c r="DE51" s="66">
        <v>0</v>
      </c>
      <c r="DF51" s="1" t="s">
        <v>271</v>
      </c>
      <c r="DG51" s="65">
        <v>3</v>
      </c>
      <c r="DH51" s="65">
        <v>1</v>
      </c>
      <c r="DI51" s="65">
        <v>0</v>
      </c>
      <c r="DJ51" s="65">
        <v>0</v>
      </c>
      <c r="DK51" s="65">
        <v>0</v>
      </c>
      <c r="DL51" s="65">
        <v>2</v>
      </c>
      <c r="DM51" s="65">
        <v>1</v>
      </c>
      <c r="DN51" s="65">
        <v>0</v>
      </c>
      <c r="DO51" s="66">
        <v>0</v>
      </c>
      <c r="DP51" s="1" t="s">
        <v>385</v>
      </c>
      <c r="DQ51" s="65">
        <v>4</v>
      </c>
      <c r="DR51" s="65">
        <v>0</v>
      </c>
      <c r="DS51" s="65">
        <v>1</v>
      </c>
      <c r="DT51" s="65">
        <v>0</v>
      </c>
      <c r="DU51" s="65">
        <v>0</v>
      </c>
      <c r="DV51" s="65">
        <v>1</v>
      </c>
      <c r="DW51" s="65">
        <v>0</v>
      </c>
      <c r="DX51" s="65">
        <v>0</v>
      </c>
      <c r="DY51" s="66">
        <v>1</v>
      </c>
      <c r="DZ51" s="67">
        <v>0</v>
      </c>
      <c r="EA51" s="68">
        <v>0</v>
      </c>
      <c r="EB51" s="68">
        <v>0</v>
      </c>
      <c r="EC51" s="69">
        <v>8</v>
      </c>
      <c r="ED51" s="68">
        <v>1</v>
      </c>
      <c r="EE51" s="70">
        <v>0</v>
      </c>
      <c r="EF51" s="71">
        <v>1</v>
      </c>
      <c r="EG51" s="72">
        <v>0</v>
      </c>
      <c r="EH51" s="72">
        <v>0</v>
      </c>
      <c r="EI51" s="72">
        <v>0</v>
      </c>
      <c r="EJ51" s="72">
        <v>1</v>
      </c>
      <c r="EK51" s="72">
        <v>1</v>
      </c>
      <c r="EL51" s="72">
        <v>0</v>
      </c>
      <c r="EM51" s="72">
        <v>2</v>
      </c>
      <c r="EN51" s="72"/>
      <c r="EO51" s="72"/>
      <c r="EP51" s="72"/>
      <c r="EQ51" s="72"/>
      <c r="ER51" s="72"/>
      <c r="ES51" s="44">
        <f t="shared" si="24"/>
        <v>5</v>
      </c>
      <c r="ET51" s="43">
        <v>0</v>
      </c>
      <c r="EU51" s="43">
        <v>0</v>
      </c>
      <c r="EV51" s="43">
        <v>0</v>
      </c>
      <c r="EW51" s="43">
        <v>0</v>
      </c>
      <c r="EX51" s="43">
        <v>0</v>
      </c>
      <c r="EY51" s="43">
        <v>0</v>
      </c>
      <c r="EZ51" s="43">
        <v>0</v>
      </c>
      <c r="FA51" s="43">
        <v>1</v>
      </c>
      <c r="FB51" s="43">
        <v>0</v>
      </c>
      <c r="FC51" s="43"/>
      <c r="FD51" s="43"/>
      <c r="FE51" s="43"/>
      <c r="FF51" s="43"/>
      <c r="FG51" s="43">
        <f t="shared" si="25"/>
        <v>1</v>
      </c>
      <c r="FH51" s="73">
        <v>32</v>
      </c>
      <c r="FI51" s="73">
        <v>5</v>
      </c>
      <c r="FJ51" s="73">
        <v>7</v>
      </c>
      <c r="FK51" s="73">
        <v>5</v>
      </c>
      <c r="FL51" s="73">
        <v>1</v>
      </c>
      <c r="FM51" s="73">
        <v>8</v>
      </c>
      <c r="FN51" s="73">
        <f t="shared" si="26"/>
        <v>0</v>
      </c>
      <c r="FO51" s="73">
        <f t="shared" si="27"/>
        <v>0</v>
      </c>
      <c r="FP51" s="73">
        <f t="shared" si="28"/>
        <v>0</v>
      </c>
      <c r="FQ51" s="73">
        <f t="shared" si="29"/>
        <v>0</v>
      </c>
      <c r="FR51" s="73">
        <f t="shared" si="30"/>
        <v>0</v>
      </c>
      <c r="FS51" s="73">
        <f t="shared" si="31"/>
        <v>0</v>
      </c>
      <c r="FT51" s="73">
        <f t="shared" si="32"/>
        <v>0</v>
      </c>
      <c r="FU51" s="73">
        <f t="shared" si="33"/>
        <v>0</v>
      </c>
      <c r="FV51" s="73">
        <f t="shared" si="34"/>
        <v>1</v>
      </c>
      <c r="FW51" s="73">
        <f t="shared" si="35"/>
        <v>0</v>
      </c>
      <c r="FX51" s="73">
        <f t="shared" si="36"/>
        <v>0</v>
      </c>
      <c r="FY51" s="73">
        <f t="shared" si="37"/>
        <v>0</v>
      </c>
      <c r="FZ51" s="73">
        <f t="shared" si="38"/>
        <v>1</v>
      </c>
      <c r="GA51" s="73">
        <f t="shared" si="39"/>
        <v>1</v>
      </c>
      <c r="GB51" s="73">
        <f t="shared" si="40"/>
        <v>0</v>
      </c>
      <c r="GC51" s="73">
        <f t="shared" si="41"/>
        <v>1</v>
      </c>
      <c r="GD51" s="73">
        <f t="shared" si="42"/>
        <v>0</v>
      </c>
      <c r="GE51" s="73">
        <f t="shared" si="43"/>
        <v>0</v>
      </c>
      <c r="GF51" s="73">
        <f t="shared" si="44"/>
        <v>0</v>
      </c>
      <c r="GG51" s="73">
        <f t="shared" si="45"/>
        <v>0</v>
      </c>
      <c r="GH51" s="73">
        <f t="shared" si="46"/>
        <v>0</v>
      </c>
      <c r="GI51" s="73">
        <f t="shared" si="47"/>
        <v>4</v>
      </c>
      <c r="GJ51" s="38"/>
      <c r="GK51" s="367"/>
      <c r="GL51" s="376"/>
      <c r="GM51" s="376"/>
      <c r="GP51" s="52"/>
    </row>
    <row r="52" spans="1:198" x14ac:dyDescent="0.25">
      <c r="A52" s="53">
        <v>40326</v>
      </c>
      <c r="B52" s="53" t="s">
        <v>19</v>
      </c>
      <c r="C52" s="53" t="s">
        <v>131</v>
      </c>
      <c r="D52" s="53" t="s">
        <v>135</v>
      </c>
      <c r="E52" s="54">
        <v>20650</v>
      </c>
      <c r="F52" s="62">
        <v>155</v>
      </c>
      <c r="G52" s="58">
        <v>4</v>
      </c>
      <c r="H52" s="59" t="s">
        <v>394</v>
      </c>
      <c r="I52" s="6">
        <v>0</v>
      </c>
      <c r="J52" s="6">
        <v>1</v>
      </c>
      <c r="K52" s="60">
        <v>7</v>
      </c>
      <c r="L52" s="6">
        <v>4</v>
      </c>
      <c r="M52" s="6">
        <v>3</v>
      </c>
      <c r="N52" s="6">
        <v>3</v>
      </c>
      <c r="O52" s="6">
        <v>4</v>
      </c>
      <c r="P52" s="6">
        <v>4</v>
      </c>
      <c r="Q52" s="6">
        <v>2</v>
      </c>
      <c r="R52" s="6">
        <v>1</v>
      </c>
      <c r="S52" s="6">
        <v>29</v>
      </c>
      <c r="T52" s="6">
        <v>113</v>
      </c>
      <c r="U52" s="6">
        <v>64</v>
      </c>
      <c r="V52" s="6">
        <v>0</v>
      </c>
      <c r="W52" s="61">
        <v>0</v>
      </c>
      <c r="X52" s="62">
        <v>0</v>
      </c>
      <c r="Y52" s="62">
        <v>0</v>
      </c>
      <c r="Z52" s="62">
        <v>0</v>
      </c>
      <c r="AA52" s="62">
        <v>0</v>
      </c>
      <c r="AB52" s="62">
        <v>0</v>
      </c>
      <c r="AC52" s="63">
        <v>2</v>
      </c>
      <c r="AD52" s="62">
        <v>1</v>
      </c>
      <c r="AE52" s="62">
        <v>1</v>
      </c>
      <c r="AF52" s="62">
        <v>0</v>
      </c>
      <c r="AG52" s="62">
        <v>1</v>
      </c>
      <c r="AH52" s="62">
        <v>1</v>
      </c>
      <c r="AI52" s="62">
        <v>0</v>
      </c>
      <c r="AJ52" s="62">
        <v>0</v>
      </c>
      <c r="AK52" s="62">
        <v>9</v>
      </c>
      <c r="AL52" s="62">
        <v>37</v>
      </c>
      <c r="AM52" s="62">
        <v>23</v>
      </c>
      <c r="AN52" s="1" t="s">
        <v>389</v>
      </c>
      <c r="AO52" s="65">
        <v>4</v>
      </c>
      <c r="AP52" s="65">
        <v>1</v>
      </c>
      <c r="AQ52" s="65">
        <v>1</v>
      </c>
      <c r="AR52" s="65">
        <v>0</v>
      </c>
      <c r="AS52" s="65">
        <v>0</v>
      </c>
      <c r="AT52" s="65">
        <v>1</v>
      </c>
      <c r="AU52" s="65">
        <v>0</v>
      </c>
      <c r="AV52" s="65">
        <v>0</v>
      </c>
      <c r="AW52" s="66">
        <v>1</v>
      </c>
      <c r="AX52" s="1" t="s">
        <v>391</v>
      </c>
      <c r="AY52" s="65">
        <v>3</v>
      </c>
      <c r="AZ52" s="65">
        <v>0</v>
      </c>
      <c r="BA52" s="65">
        <v>0</v>
      </c>
      <c r="BB52" s="65">
        <v>0</v>
      </c>
      <c r="BC52" s="65">
        <v>1</v>
      </c>
      <c r="BD52" s="65">
        <v>1</v>
      </c>
      <c r="BE52" s="65">
        <v>0</v>
      </c>
      <c r="BF52" s="65">
        <v>0</v>
      </c>
      <c r="BG52" s="66">
        <v>0</v>
      </c>
      <c r="BH52" s="1" t="s">
        <v>275</v>
      </c>
      <c r="BI52" s="65">
        <v>4</v>
      </c>
      <c r="BJ52" s="65">
        <v>0</v>
      </c>
      <c r="BK52" s="65">
        <v>0</v>
      </c>
      <c r="BL52" s="65">
        <v>0</v>
      </c>
      <c r="BM52" s="65">
        <v>0</v>
      </c>
      <c r="BN52" s="65">
        <v>1</v>
      </c>
      <c r="BO52" s="65">
        <v>0</v>
      </c>
      <c r="BP52" s="65">
        <v>0</v>
      </c>
      <c r="BQ52" s="66">
        <v>0</v>
      </c>
      <c r="BR52" s="1" t="s">
        <v>390</v>
      </c>
      <c r="BS52" s="65">
        <v>3</v>
      </c>
      <c r="BT52" s="65">
        <v>0</v>
      </c>
      <c r="BU52" s="65">
        <v>2</v>
      </c>
      <c r="BV52" s="65">
        <v>1</v>
      </c>
      <c r="BW52" s="65">
        <v>0</v>
      </c>
      <c r="BX52" s="65">
        <v>0</v>
      </c>
      <c r="BY52" s="65">
        <v>1</v>
      </c>
      <c r="BZ52" s="65">
        <v>0</v>
      </c>
      <c r="CA52" s="66">
        <v>3</v>
      </c>
      <c r="CB52" s="1" t="s">
        <v>274</v>
      </c>
      <c r="CC52" s="65">
        <v>4</v>
      </c>
      <c r="CD52" s="65">
        <v>0</v>
      </c>
      <c r="CE52" s="65">
        <v>0</v>
      </c>
      <c r="CF52" s="65">
        <v>0</v>
      </c>
      <c r="CG52" s="65">
        <v>0</v>
      </c>
      <c r="CH52" s="65">
        <v>2</v>
      </c>
      <c r="CI52" s="65">
        <v>0</v>
      </c>
      <c r="CJ52" s="65">
        <v>0</v>
      </c>
      <c r="CK52" s="66">
        <v>0</v>
      </c>
      <c r="CL52" s="1" t="s">
        <v>404</v>
      </c>
      <c r="CM52" s="65">
        <v>4</v>
      </c>
      <c r="CN52" s="65">
        <v>0</v>
      </c>
      <c r="CO52" s="65">
        <v>0</v>
      </c>
      <c r="CP52" s="65">
        <v>0</v>
      </c>
      <c r="CQ52" s="65">
        <v>0</v>
      </c>
      <c r="CR52" s="65">
        <v>3</v>
      </c>
      <c r="CS52" s="65">
        <v>0</v>
      </c>
      <c r="CT52" s="65">
        <v>0</v>
      </c>
      <c r="CU52" s="66">
        <v>0</v>
      </c>
      <c r="CV52" s="1" t="s">
        <v>273</v>
      </c>
      <c r="CW52" s="65">
        <v>2</v>
      </c>
      <c r="CX52" s="65">
        <v>1</v>
      </c>
      <c r="CY52" s="65">
        <v>1</v>
      </c>
      <c r="CZ52" s="65">
        <v>0</v>
      </c>
      <c r="DA52" s="65">
        <v>1</v>
      </c>
      <c r="DB52" s="65">
        <v>0</v>
      </c>
      <c r="DC52" s="65">
        <v>0</v>
      </c>
      <c r="DD52" s="65">
        <v>0</v>
      </c>
      <c r="DE52" s="66">
        <v>3</v>
      </c>
      <c r="DF52" s="1" t="s">
        <v>385</v>
      </c>
      <c r="DG52" s="65">
        <v>3</v>
      </c>
      <c r="DH52" s="65">
        <v>0</v>
      </c>
      <c r="DI52" s="65">
        <v>1</v>
      </c>
      <c r="DJ52" s="65">
        <v>1</v>
      </c>
      <c r="DK52" s="65">
        <v>0</v>
      </c>
      <c r="DL52" s="65">
        <v>1</v>
      </c>
      <c r="DM52" s="65">
        <v>0</v>
      </c>
      <c r="DN52" s="65">
        <v>0</v>
      </c>
      <c r="DO52" s="66">
        <v>1</v>
      </c>
      <c r="DP52" s="1" t="s">
        <v>384</v>
      </c>
      <c r="DQ52" s="65">
        <v>2</v>
      </c>
      <c r="DR52" s="65">
        <v>0</v>
      </c>
      <c r="DS52" s="65">
        <v>0</v>
      </c>
      <c r="DT52" s="65">
        <v>0</v>
      </c>
      <c r="DU52" s="65">
        <v>0</v>
      </c>
      <c r="DV52" s="65">
        <v>2</v>
      </c>
      <c r="DW52" s="65">
        <v>0</v>
      </c>
      <c r="DX52" s="65">
        <v>0</v>
      </c>
      <c r="DY52" s="66">
        <v>0</v>
      </c>
      <c r="DZ52" s="67">
        <f>1+1/3</f>
        <v>1.3333333333333333</v>
      </c>
      <c r="EA52" s="68">
        <v>0</v>
      </c>
      <c r="EB52" s="68">
        <v>0</v>
      </c>
      <c r="EC52" s="69">
        <f>7+2/3</f>
        <v>7.666666666666667</v>
      </c>
      <c r="ED52" s="68">
        <v>1</v>
      </c>
      <c r="EE52" s="70">
        <v>0</v>
      </c>
      <c r="EF52" s="71">
        <v>0</v>
      </c>
      <c r="EG52" s="72">
        <v>0</v>
      </c>
      <c r="EH52" s="72">
        <v>1</v>
      </c>
      <c r="EI52" s="72">
        <v>0</v>
      </c>
      <c r="EJ52" s="72">
        <v>0</v>
      </c>
      <c r="EK52" s="72">
        <v>1</v>
      </c>
      <c r="EL52" s="72">
        <v>0</v>
      </c>
      <c r="EM52" s="72">
        <v>0</v>
      </c>
      <c r="EN52" s="72">
        <v>0</v>
      </c>
      <c r="EO52" s="72"/>
      <c r="EP52" s="72"/>
      <c r="EQ52" s="72"/>
      <c r="ER52" s="72"/>
      <c r="ES52" s="44">
        <f t="shared" si="24"/>
        <v>2</v>
      </c>
      <c r="ET52" s="43">
        <v>0</v>
      </c>
      <c r="EU52" s="43">
        <v>0</v>
      </c>
      <c r="EV52" s="43">
        <v>0</v>
      </c>
      <c r="EW52" s="43">
        <v>2</v>
      </c>
      <c r="EX52" s="43">
        <v>1</v>
      </c>
      <c r="EY52" s="43">
        <v>0</v>
      </c>
      <c r="EZ52" s="43">
        <v>0</v>
      </c>
      <c r="FA52" s="43">
        <v>0</v>
      </c>
      <c r="FB52" s="43">
        <v>1</v>
      </c>
      <c r="FC52" s="43"/>
      <c r="FD52" s="43"/>
      <c r="FE52" s="43"/>
      <c r="FF52" s="43"/>
      <c r="FG52" s="43">
        <f t="shared" si="25"/>
        <v>4</v>
      </c>
      <c r="FH52" s="73">
        <v>29</v>
      </c>
      <c r="FI52" s="73">
        <v>2</v>
      </c>
      <c r="FJ52" s="73">
        <v>5</v>
      </c>
      <c r="FK52" s="73">
        <v>2</v>
      </c>
      <c r="FL52" s="73">
        <v>2</v>
      </c>
      <c r="FM52" s="73">
        <v>11</v>
      </c>
      <c r="FN52" s="73">
        <f t="shared" si="26"/>
        <v>0</v>
      </c>
      <c r="FO52" s="73">
        <f t="shared" si="27"/>
        <v>0</v>
      </c>
      <c r="FP52" s="73">
        <f t="shared" si="28"/>
        <v>0</v>
      </c>
      <c r="FQ52" s="73">
        <f t="shared" si="29"/>
        <v>0</v>
      </c>
      <c r="FR52" s="73">
        <f t="shared" si="30"/>
        <v>0</v>
      </c>
      <c r="FS52" s="73">
        <f t="shared" si="31"/>
        <v>0</v>
      </c>
      <c r="FT52" s="73">
        <f t="shared" si="32"/>
        <v>0</v>
      </c>
      <c r="FU52" s="73">
        <f t="shared" si="33"/>
        <v>0</v>
      </c>
      <c r="FV52" s="73">
        <f t="shared" si="34"/>
        <v>0</v>
      </c>
      <c r="FW52" s="73">
        <f t="shared" si="35"/>
        <v>0</v>
      </c>
      <c r="FX52" s="73">
        <f t="shared" si="36"/>
        <v>1</v>
      </c>
      <c r="FY52" s="73">
        <f t="shared" si="37"/>
        <v>-2</v>
      </c>
      <c r="FZ52" s="73">
        <f t="shared" si="38"/>
        <v>-1</v>
      </c>
      <c r="GA52" s="73">
        <f t="shared" si="39"/>
        <v>1</v>
      </c>
      <c r="GB52" s="73">
        <f t="shared" si="40"/>
        <v>0</v>
      </c>
      <c r="GC52" s="73">
        <f t="shared" si="41"/>
        <v>0</v>
      </c>
      <c r="GD52" s="73">
        <f t="shared" si="42"/>
        <v>-1</v>
      </c>
      <c r="GE52" s="73">
        <f t="shared" si="43"/>
        <v>0</v>
      </c>
      <c r="GF52" s="73">
        <f t="shared" si="44"/>
        <v>0</v>
      </c>
      <c r="GG52" s="73">
        <f t="shared" si="45"/>
        <v>0</v>
      </c>
      <c r="GH52" s="73">
        <f t="shared" si="46"/>
        <v>0</v>
      </c>
      <c r="GI52" s="73">
        <f t="shared" si="47"/>
        <v>-2</v>
      </c>
      <c r="GJ52" s="38"/>
      <c r="GK52" s="367"/>
      <c r="GL52" s="376"/>
      <c r="GM52" s="376"/>
      <c r="GP52" s="52"/>
    </row>
    <row r="53" spans="1:198" x14ac:dyDescent="0.25">
      <c r="A53" s="53">
        <v>40327</v>
      </c>
      <c r="B53" s="53" t="s">
        <v>19</v>
      </c>
      <c r="C53" s="53" t="s">
        <v>129</v>
      </c>
      <c r="D53" s="53" t="s">
        <v>135</v>
      </c>
      <c r="E53" s="54">
        <v>33558</v>
      </c>
      <c r="F53" s="62">
        <v>198</v>
      </c>
      <c r="G53" s="58">
        <v>5</v>
      </c>
      <c r="H53" s="89" t="s">
        <v>393</v>
      </c>
      <c r="I53" s="6">
        <v>1</v>
      </c>
      <c r="J53" s="6">
        <v>0</v>
      </c>
      <c r="K53" s="60">
        <f>6+1/3</f>
        <v>6.333333333333333</v>
      </c>
      <c r="L53" s="6">
        <v>6</v>
      </c>
      <c r="M53" s="6">
        <v>3</v>
      </c>
      <c r="N53" s="6">
        <v>3</v>
      </c>
      <c r="O53" s="6">
        <v>2</v>
      </c>
      <c r="P53" s="6">
        <v>2</v>
      </c>
      <c r="Q53" s="6">
        <v>2</v>
      </c>
      <c r="R53" s="6">
        <v>0</v>
      </c>
      <c r="S53" s="6">
        <v>27</v>
      </c>
      <c r="T53" s="6">
        <v>110</v>
      </c>
      <c r="U53" s="6">
        <v>72</v>
      </c>
      <c r="V53" s="6">
        <v>0</v>
      </c>
      <c r="W53" s="61">
        <v>0</v>
      </c>
      <c r="X53" s="62">
        <v>0</v>
      </c>
      <c r="Y53" s="62">
        <v>0</v>
      </c>
      <c r="Z53" s="62">
        <v>1</v>
      </c>
      <c r="AA53" s="62">
        <v>1</v>
      </c>
      <c r="AB53" s="62">
        <v>0</v>
      </c>
      <c r="AC53" s="63">
        <f>2+2/3</f>
        <v>2.6666666666666665</v>
      </c>
      <c r="AD53" s="62">
        <v>1</v>
      </c>
      <c r="AE53" s="62">
        <v>2</v>
      </c>
      <c r="AF53" s="62">
        <v>2</v>
      </c>
      <c r="AG53" s="62">
        <v>1</v>
      </c>
      <c r="AH53" s="62">
        <v>0</v>
      </c>
      <c r="AI53" s="62">
        <v>0</v>
      </c>
      <c r="AJ53" s="62">
        <v>0</v>
      </c>
      <c r="AK53" s="62">
        <v>10</v>
      </c>
      <c r="AL53" s="62">
        <v>34</v>
      </c>
      <c r="AM53" s="62">
        <v>20</v>
      </c>
      <c r="AN53" s="1" t="s">
        <v>384</v>
      </c>
      <c r="AO53" s="65">
        <v>3</v>
      </c>
      <c r="AP53" s="65">
        <v>1</v>
      </c>
      <c r="AQ53" s="65">
        <v>1</v>
      </c>
      <c r="AR53" s="65">
        <v>1</v>
      </c>
      <c r="AS53" s="65">
        <v>1</v>
      </c>
      <c r="AT53" s="65">
        <v>1</v>
      </c>
      <c r="AU53" s="65">
        <v>0</v>
      </c>
      <c r="AV53" s="65">
        <v>0</v>
      </c>
      <c r="AW53" s="66">
        <v>1</v>
      </c>
      <c r="AX53" s="1" t="s">
        <v>391</v>
      </c>
      <c r="AY53" s="65">
        <v>5</v>
      </c>
      <c r="AZ53" s="65">
        <v>2</v>
      </c>
      <c r="BA53" s="65">
        <v>0</v>
      </c>
      <c r="BB53" s="65">
        <v>0</v>
      </c>
      <c r="BC53" s="65">
        <v>0</v>
      </c>
      <c r="BD53" s="65">
        <v>1</v>
      </c>
      <c r="BE53" s="65">
        <v>0</v>
      </c>
      <c r="BF53" s="65">
        <v>0</v>
      </c>
      <c r="BG53" s="66">
        <v>0</v>
      </c>
      <c r="BH53" s="1" t="s">
        <v>390</v>
      </c>
      <c r="BI53" s="65">
        <v>5</v>
      </c>
      <c r="BJ53" s="65">
        <v>1</v>
      </c>
      <c r="BK53" s="65">
        <v>3</v>
      </c>
      <c r="BL53" s="65">
        <v>1</v>
      </c>
      <c r="BM53" s="65">
        <v>0</v>
      </c>
      <c r="BN53" s="65">
        <v>0</v>
      </c>
      <c r="BO53" s="65">
        <v>0</v>
      </c>
      <c r="BP53" s="65">
        <v>0</v>
      </c>
      <c r="BQ53" s="66">
        <v>5</v>
      </c>
      <c r="BR53" s="1" t="s">
        <v>274</v>
      </c>
      <c r="BS53" s="65">
        <v>5</v>
      </c>
      <c r="BT53" s="65">
        <v>0</v>
      </c>
      <c r="BU53" s="65">
        <v>1</v>
      </c>
      <c r="BV53" s="65">
        <v>3</v>
      </c>
      <c r="BW53" s="65">
        <v>0</v>
      </c>
      <c r="BX53" s="65">
        <v>2</v>
      </c>
      <c r="BY53" s="65">
        <v>0</v>
      </c>
      <c r="BZ53" s="65">
        <v>0</v>
      </c>
      <c r="CA53" s="66">
        <v>2</v>
      </c>
      <c r="CB53" s="1" t="s">
        <v>275</v>
      </c>
      <c r="CC53" s="65">
        <v>4</v>
      </c>
      <c r="CD53" s="65">
        <v>0</v>
      </c>
      <c r="CE53" s="65">
        <v>2</v>
      </c>
      <c r="CF53" s="65">
        <v>1</v>
      </c>
      <c r="CG53" s="65">
        <v>1</v>
      </c>
      <c r="CH53" s="65">
        <v>2</v>
      </c>
      <c r="CI53" s="65">
        <v>0</v>
      </c>
      <c r="CJ53" s="65">
        <v>0</v>
      </c>
      <c r="CK53" s="66">
        <v>2</v>
      </c>
      <c r="CL53" s="1" t="s">
        <v>273</v>
      </c>
      <c r="CM53" s="65">
        <v>3</v>
      </c>
      <c r="CN53" s="65">
        <v>1</v>
      </c>
      <c r="CO53" s="65">
        <v>1</v>
      </c>
      <c r="CP53" s="65">
        <v>1</v>
      </c>
      <c r="CQ53" s="65">
        <v>2</v>
      </c>
      <c r="CR53" s="65">
        <v>2</v>
      </c>
      <c r="CS53" s="65">
        <v>0</v>
      </c>
      <c r="CT53" s="65">
        <v>0</v>
      </c>
      <c r="CU53" s="66">
        <v>4</v>
      </c>
      <c r="CV53" s="1" t="s">
        <v>385</v>
      </c>
      <c r="CW53" s="65">
        <v>4</v>
      </c>
      <c r="CX53" s="65">
        <v>2</v>
      </c>
      <c r="CY53" s="65">
        <v>2</v>
      </c>
      <c r="CZ53" s="65">
        <v>0</v>
      </c>
      <c r="DA53" s="65">
        <v>1</v>
      </c>
      <c r="DB53" s="65">
        <v>1</v>
      </c>
      <c r="DC53" s="65">
        <v>0</v>
      </c>
      <c r="DD53" s="65">
        <v>0</v>
      </c>
      <c r="DE53" s="66">
        <v>4</v>
      </c>
      <c r="DF53" s="1" t="s">
        <v>406</v>
      </c>
      <c r="DG53" s="65">
        <v>4</v>
      </c>
      <c r="DH53" s="65">
        <v>0</v>
      </c>
      <c r="DI53" s="65">
        <v>1</v>
      </c>
      <c r="DJ53" s="65">
        <v>0</v>
      </c>
      <c r="DK53" s="65">
        <v>0</v>
      </c>
      <c r="DL53" s="65">
        <v>0</v>
      </c>
      <c r="DM53" s="65">
        <v>1</v>
      </c>
      <c r="DN53" s="65">
        <v>0</v>
      </c>
      <c r="DO53" s="66">
        <v>1</v>
      </c>
      <c r="DP53" s="1" t="s">
        <v>386</v>
      </c>
      <c r="DQ53" s="65">
        <v>2</v>
      </c>
      <c r="DR53" s="65">
        <v>1</v>
      </c>
      <c r="DS53" s="65">
        <v>0</v>
      </c>
      <c r="DT53" s="65">
        <v>1</v>
      </c>
      <c r="DU53" s="65">
        <v>1</v>
      </c>
      <c r="DV53" s="65">
        <v>1</v>
      </c>
      <c r="DW53" s="65">
        <v>0</v>
      </c>
      <c r="DX53" s="65">
        <v>0</v>
      </c>
      <c r="DY53" s="66">
        <v>0</v>
      </c>
      <c r="DZ53" s="67">
        <f>5+1/3</f>
        <v>5.333333333333333</v>
      </c>
      <c r="EA53" s="68">
        <v>0</v>
      </c>
      <c r="EB53" s="68">
        <v>0</v>
      </c>
      <c r="EC53" s="69">
        <f>2+2/3</f>
        <v>2.6666666666666665</v>
      </c>
      <c r="ED53" s="68">
        <v>0</v>
      </c>
      <c r="EE53" s="70">
        <v>1</v>
      </c>
      <c r="EF53" s="71">
        <v>1</v>
      </c>
      <c r="EG53" s="72">
        <v>0</v>
      </c>
      <c r="EH53" s="72">
        <v>1</v>
      </c>
      <c r="EI53" s="72">
        <v>4</v>
      </c>
      <c r="EJ53" s="72">
        <v>2</v>
      </c>
      <c r="EK53" s="72">
        <v>0</v>
      </c>
      <c r="EL53" s="72">
        <v>0</v>
      </c>
      <c r="EM53" s="72">
        <v>0</v>
      </c>
      <c r="EN53" s="72"/>
      <c r="EO53" s="72"/>
      <c r="EP53" s="72"/>
      <c r="EQ53" s="72"/>
      <c r="ER53" s="72"/>
      <c r="ES53" s="44">
        <f t="shared" si="24"/>
        <v>8</v>
      </c>
      <c r="ET53" s="43">
        <v>0</v>
      </c>
      <c r="EU53" s="43">
        <v>2</v>
      </c>
      <c r="EV53" s="43">
        <v>0</v>
      </c>
      <c r="EW53" s="43">
        <v>0</v>
      </c>
      <c r="EX53" s="43">
        <v>0</v>
      </c>
      <c r="EY53" s="43">
        <v>0</v>
      </c>
      <c r="EZ53" s="43">
        <v>1</v>
      </c>
      <c r="FA53" s="43">
        <v>2</v>
      </c>
      <c r="FB53" s="43">
        <v>0</v>
      </c>
      <c r="FC53" s="43"/>
      <c r="FD53" s="43"/>
      <c r="FE53" s="43"/>
      <c r="FF53" s="43"/>
      <c r="FG53" s="43">
        <f t="shared" si="25"/>
        <v>5</v>
      </c>
      <c r="FH53" s="73">
        <v>35</v>
      </c>
      <c r="FI53" s="73">
        <v>8</v>
      </c>
      <c r="FJ53" s="73">
        <v>11</v>
      </c>
      <c r="FK53" s="73">
        <v>8</v>
      </c>
      <c r="FL53" s="73">
        <v>6</v>
      </c>
      <c r="FM53" s="73">
        <v>10</v>
      </c>
      <c r="FN53" s="73">
        <f t="shared" si="26"/>
        <v>0</v>
      </c>
      <c r="FO53" s="73">
        <f t="shared" si="27"/>
        <v>0</v>
      </c>
      <c r="FP53" s="73">
        <f t="shared" si="28"/>
        <v>0</v>
      </c>
      <c r="FQ53" s="73">
        <f t="shared" si="29"/>
        <v>0</v>
      </c>
      <c r="FR53" s="73">
        <f t="shared" si="30"/>
        <v>0</v>
      </c>
      <c r="FS53" s="73">
        <f t="shared" si="31"/>
        <v>0</v>
      </c>
      <c r="FT53" s="73">
        <f t="shared" si="32"/>
        <v>0</v>
      </c>
      <c r="FU53" s="73">
        <f t="shared" si="33"/>
        <v>0</v>
      </c>
      <c r="FV53" s="73">
        <f t="shared" si="34"/>
        <v>1</v>
      </c>
      <c r="FW53" s="73">
        <f t="shared" si="35"/>
        <v>-2</v>
      </c>
      <c r="FX53" s="73">
        <f t="shared" si="36"/>
        <v>1</v>
      </c>
      <c r="FY53" s="73">
        <f t="shared" si="37"/>
        <v>4</v>
      </c>
      <c r="FZ53" s="73">
        <f t="shared" si="38"/>
        <v>2</v>
      </c>
      <c r="GA53" s="73">
        <f t="shared" si="39"/>
        <v>0</v>
      </c>
      <c r="GB53" s="73">
        <f t="shared" si="40"/>
        <v>-1</v>
      </c>
      <c r="GC53" s="73">
        <f t="shared" si="41"/>
        <v>-2</v>
      </c>
      <c r="GD53" s="73">
        <f t="shared" si="42"/>
        <v>0</v>
      </c>
      <c r="GE53" s="73">
        <f t="shared" si="43"/>
        <v>0</v>
      </c>
      <c r="GF53" s="73">
        <f t="shared" si="44"/>
        <v>0</v>
      </c>
      <c r="GG53" s="73">
        <f t="shared" si="45"/>
        <v>0</v>
      </c>
      <c r="GH53" s="73">
        <f t="shared" si="46"/>
        <v>0</v>
      </c>
      <c r="GI53" s="73">
        <f t="shared" si="47"/>
        <v>3</v>
      </c>
      <c r="GJ53" s="38"/>
      <c r="GK53" s="367"/>
      <c r="GL53" s="376"/>
      <c r="GM53" s="376"/>
      <c r="GP53" s="52"/>
    </row>
    <row r="54" spans="1:198" x14ac:dyDescent="0.25">
      <c r="A54" s="53">
        <v>40328</v>
      </c>
      <c r="B54" s="53" t="s">
        <v>19</v>
      </c>
      <c r="C54" s="53" t="s">
        <v>131</v>
      </c>
      <c r="D54" s="53" t="s">
        <v>135</v>
      </c>
      <c r="E54" s="54">
        <v>26878</v>
      </c>
      <c r="F54" s="62">
        <v>194</v>
      </c>
      <c r="G54" s="58">
        <v>1</v>
      </c>
      <c r="H54" s="59" t="s">
        <v>392</v>
      </c>
      <c r="I54" s="6">
        <v>0</v>
      </c>
      <c r="J54" s="6">
        <v>1</v>
      </c>
      <c r="K54" s="60">
        <f>5+1/3</f>
        <v>5.333333333333333</v>
      </c>
      <c r="L54" s="6">
        <v>11</v>
      </c>
      <c r="M54" s="6">
        <v>7</v>
      </c>
      <c r="N54" s="6">
        <v>7</v>
      </c>
      <c r="O54" s="6">
        <v>1</v>
      </c>
      <c r="P54" s="6">
        <v>3</v>
      </c>
      <c r="Q54" s="6">
        <v>2</v>
      </c>
      <c r="R54" s="6">
        <v>1</v>
      </c>
      <c r="S54" s="6">
        <v>27</v>
      </c>
      <c r="T54" s="6">
        <v>108</v>
      </c>
      <c r="U54" s="6">
        <v>69</v>
      </c>
      <c r="V54" s="6">
        <v>1</v>
      </c>
      <c r="W54" s="61">
        <v>0</v>
      </c>
      <c r="X54" s="62">
        <v>0</v>
      </c>
      <c r="Y54" s="62">
        <v>0</v>
      </c>
      <c r="Z54" s="62">
        <v>0</v>
      </c>
      <c r="AA54" s="62">
        <v>0</v>
      </c>
      <c r="AB54" s="62">
        <v>0</v>
      </c>
      <c r="AC54" s="63">
        <f>3+2/3</f>
        <v>3.6666666666666665</v>
      </c>
      <c r="AD54" s="62">
        <v>4</v>
      </c>
      <c r="AE54" s="62">
        <v>1</v>
      </c>
      <c r="AF54" s="62">
        <v>1</v>
      </c>
      <c r="AG54" s="62">
        <v>0</v>
      </c>
      <c r="AH54" s="62">
        <v>0</v>
      </c>
      <c r="AI54" s="62">
        <v>0</v>
      </c>
      <c r="AJ54" s="62">
        <v>1</v>
      </c>
      <c r="AK54" s="62">
        <v>14</v>
      </c>
      <c r="AL54" s="62">
        <v>48</v>
      </c>
      <c r="AM54" s="62">
        <v>26</v>
      </c>
      <c r="AN54" s="1" t="s">
        <v>389</v>
      </c>
      <c r="AO54" s="65">
        <v>4</v>
      </c>
      <c r="AP54" s="65">
        <v>1</v>
      </c>
      <c r="AQ54" s="65">
        <v>2</v>
      </c>
      <c r="AR54" s="65">
        <v>2</v>
      </c>
      <c r="AS54" s="65">
        <v>0</v>
      </c>
      <c r="AT54" s="65">
        <v>1</v>
      </c>
      <c r="AU54" s="65">
        <v>0</v>
      </c>
      <c r="AV54" s="65">
        <v>1</v>
      </c>
      <c r="AW54" s="66">
        <v>5</v>
      </c>
      <c r="AX54" s="1" t="s">
        <v>391</v>
      </c>
      <c r="AY54" s="65">
        <v>5</v>
      </c>
      <c r="AZ54" s="65">
        <v>0</v>
      </c>
      <c r="BA54" s="65">
        <v>4</v>
      </c>
      <c r="BB54" s="65">
        <v>1</v>
      </c>
      <c r="BC54" s="65">
        <v>0</v>
      </c>
      <c r="BD54" s="65">
        <v>0</v>
      </c>
      <c r="BE54" s="65">
        <v>0</v>
      </c>
      <c r="BF54" s="65">
        <v>0</v>
      </c>
      <c r="BG54" s="66">
        <v>4</v>
      </c>
      <c r="BH54" s="1" t="s">
        <v>390</v>
      </c>
      <c r="BI54" s="65">
        <v>5</v>
      </c>
      <c r="BJ54" s="65">
        <v>0</v>
      </c>
      <c r="BK54" s="65">
        <v>1</v>
      </c>
      <c r="BL54" s="65">
        <v>1</v>
      </c>
      <c r="BM54" s="65">
        <v>0</v>
      </c>
      <c r="BN54" s="65">
        <v>0</v>
      </c>
      <c r="BO54" s="65">
        <v>0</v>
      </c>
      <c r="BP54" s="65">
        <v>0</v>
      </c>
      <c r="BQ54" s="66">
        <v>1</v>
      </c>
      <c r="BR54" s="1" t="s">
        <v>274</v>
      </c>
      <c r="BS54" s="65">
        <v>4</v>
      </c>
      <c r="BT54" s="65">
        <v>0</v>
      </c>
      <c r="BU54" s="65">
        <v>0</v>
      </c>
      <c r="BV54" s="65">
        <v>0</v>
      </c>
      <c r="BW54" s="65">
        <v>1</v>
      </c>
      <c r="BX54" s="65">
        <v>3</v>
      </c>
      <c r="BY54" s="65">
        <v>0</v>
      </c>
      <c r="BZ54" s="65">
        <v>0</v>
      </c>
      <c r="CA54" s="66">
        <v>0</v>
      </c>
      <c r="CB54" s="1" t="s">
        <v>275</v>
      </c>
      <c r="CC54" s="65">
        <v>4</v>
      </c>
      <c r="CD54" s="65">
        <v>0</v>
      </c>
      <c r="CE54" s="65">
        <v>1</v>
      </c>
      <c r="CF54" s="65">
        <v>0</v>
      </c>
      <c r="CG54" s="65">
        <v>0</v>
      </c>
      <c r="CH54" s="65">
        <v>0</v>
      </c>
      <c r="CI54" s="65">
        <v>0</v>
      </c>
      <c r="CJ54" s="65">
        <v>0</v>
      </c>
      <c r="CK54" s="66">
        <v>1</v>
      </c>
      <c r="CL54" s="1" t="s">
        <v>272</v>
      </c>
      <c r="CM54" s="65">
        <v>4</v>
      </c>
      <c r="CN54" s="65">
        <v>0</v>
      </c>
      <c r="CO54" s="65">
        <v>1</v>
      </c>
      <c r="CP54" s="65">
        <v>0</v>
      </c>
      <c r="CQ54" s="65">
        <v>0</v>
      </c>
      <c r="CR54" s="65">
        <v>1</v>
      </c>
      <c r="CS54" s="65">
        <v>0</v>
      </c>
      <c r="CT54" s="65">
        <v>0</v>
      </c>
      <c r="CU54" s="66">
        <v>1</v>
      </c>
      <c r="CV54" s="1" t="s">
        <v>273</v>
      </c>
      <c r="CW54" s="65">
        <v>4</v>
      </c>
      <c r="CX54" s="65">
        <v>1</v>
      </c>
      <c r="CY54" s="65">
        <v>1</v>
      </c>
      <c r="CZ54" s="65">
        <v>0</v>
      </c>
      <c r="DA54" s="65">
        <v>0</v>
      </c>
      <c r="DB54" s="65">
        <v>1</v>
      </c>
      <c r="DC54" s="65">
        <v>0</v>
      </c>
      <c r="DD54" s="65">
        <v>0</v>
      </c>
      <c r="DE54" s="66">
        <v>1</v>
      </c>
      <c r="DF54" s="1" t="s">
        <v>385</v>
      </c>
      <c r="DG54" s="65">
        <v>4</v>
      </c>
      <c r="DH54" s="65">
        <v>2</v>
      </c>
      <c r="DI54" s="65">
        <v>2</v>
      </c>
      <c r="DJ54" s="65">
        <v>1</v>
      </c>
      <c r="DK54" s="65">
        <v>0</v>
      </c>
      <c r="DL54" s="65">
        <v>1</v>
      </c>
      <c r="DM54" s="65">
        <v>0</v>
      </c>
      <c r="DN54" s="65">
        <v>0</v>
      </c>
      <c r="DO54" s="66">
        <v>3</v>
      </c>
      <c r="DP54" s="1" t="s">
        <v>271</v>
      </c>
      <c r="DQ54" s="65">
        <v>4</v>
      </c>
      <c r="DR54" s="65">
        <v>1</v>
      </c>
      <c r="DS54" s="65">
        <v>1</v>
      </c>
      <c r="DT54" s="65">
        <v>0</v>
      </c>
      <c r="DU54" s="65">
        <v>0</v>
      </c>
      <c r="DV54" s="65">
        <v>1</v>
      </c>
      <c r="DW54" s="65">
        <v>0</v>
      </c>
      <c r="DX54" s="65">
        <v>0</v>
      </c>
      <c r="DY54" s="66">
        <v>1</v>
      </c>
      <c r="DZ54" s="67">
        <f>2+1/3</f>
        <v>2.3333333333333335</v>
      </c>
      <c r="EA54" s="68">
        <v>0</v>
      </c>
      <c r="EB54" s="68">
        <v>0</v>
      </c>
      <c r="EC54" s="69">
        <f>6+2/3</f>
        <v>6.666666666666667</v>
      </c>
      <c r="ED54" s="68">
        <v>3</v>
      </c>
      <c r="EE54" s="70">
        <v>0</v>
      </c>
      <c r="EF54" s="71">
        <v>0</v>
      </c>
      <c r="EG54" s="72">
        <v>0</v>
      </c>
      <c r="EH54" s="72">
        <v>1</v>
      </c>
      <c r="EI54" s="72">
        <v>0</v>
      </c>
      <c r="EJ54" s="72">
        <v>2</v>
      </c>
      <c r="EK54" s="72">
        <v>2</v>
      </c>
      <c r="EL54" s="72">
        <v>0</v>
      </c>
      <c r="EM54" s="72">
        <v>0</v>
      </c>
      <c r="EN54" s="72">
        <v>0</v>
      </c>
      <c r="EO54" s="72"/>
      <c r="EP54" s="72"/>
      <c r="EQ54" s="72"/>
      <c r="ER54" s="72"/>
      <c r="ES54" s="44">
        <f t="shared" si="24"/>
        <v>5</v>
      </c>
      <c r="ET54" s="43">
        <v>2</v>
      </c>
      <c r="EU54" s="43">
        <v>0</v>
      </c>
      <c r="EV54" s="43">
        <v>1</v>
      </c>
      <c r="EW54" s="43">
        <v>0</v>
      </c>
      <c r="EX54" s="43">
        <v>0</v>
      </c>
      <c r="EY54" s="43">
        <v>4</v>
      </c>
      <c r="EZ54" s="43">
        <v>0</v>
      </c>
      <c r="FA54" s="43">
        <v>1</v>
      </c>
      <c r="FB54" s="43">
        <v>0</v>
      </c>
      <c r="FC54" s="43"/>
      <c r="FD54" s="43"/>
      <c r="FE54" s="43"/>
      <c r="FF54" s="43"/>
      <c r="FG54" s="43">
        <f t="shared" si="25"/>
        <v>8</v>
      </c>
      <c r="FH54" s="73">
        <v>38</v>
      </c>
      <c r="FI54" s="73">
        <v>5</v>
      </c>
      <c r="FJ54" s="73">
        <v>13</v>
      </c>
      <c r="FK54" s="73">
        <v>5</v>
      </c>
      <c r="FL54" s="73">
        <v>1</v>
      </c>
      <c r="FM54" s="73">
        <v>8</v>
      </c>
      <c r="FN54" s="73">
        <f t="shared" si="26"/>
        <v>0</v>
      </c>
      <c r="FO54" s="73">
        <f t="shared" si="27"/>
        <v>0</v>
      </c>
      <c r="FP54" s="73">
        <f t="shared" si="28"/>
        <v>0</v>
      </c>
      <c r="FQ54" s="73">
        <f t="shared" si="29"/>
        <v>0</v>
      </c>
      <c r="FR54" s="73">
        <f t="shared" si="30"/>
        <v>0</v>
      </c>
      <c r="FS54" s="73">
        <f t="shared" si="31"/>
        <v>0</v>
      </c>
      <c r="FT54" s="73">
        <f t="shared" si="32"/>
        <v>0</v>
      </c>
      <c r="FU54" s="73">
        <f t="shared" si="33"/>
        <v>0</v>
      </c>
      <c r="FV54" s="73">
        <f t="shared" si="34"/>
        <v>-2</v>
      </c>
      <c r="FW54" s="73">
        <f t="shared" si="35"/>
        <v>0</v>
      </c>
      <c r="FX54" s="73">
        <f t="shared" si="36"/>
        <v>0</v>
      </c>
      <c r="FY54" s="73">
        <f t="shared" si="37"/>
        <v>0</v>
      </c>
      <c r="FZ54" s="73">
        <f t="shared" si="38"/>
        <v>2</v>
      </c>
      <c r="GA54" s="73">
        <f t="shared" si="39"/>
        <v>-2</v>
      </c>
      <c r="GB54" s="73">
        <f t="shared" si="40"/>
        <v>0</v>
      </c>
      <c r="GC54" s="73">
        <f t="shared" si="41"/>
        <v>-1</v>
      </c>
      <c r="GD54" s="73">
        <f t="shared" si="42"/>
        <v>0</v>
      </c>
      <c r="GE54" s="73">
        <f t="shared" si="43"/>
        <v>0</v>
      </c>
      <c r="GF54" s="73">
        <f t="shared" si="44"/>
        <v>0</v>
      </c>
      <c r="GG54" s="73">
        <f t="shared" si="45"/>
        <v>0</v>
      </c>
      <c r="GH54" s="73">
        <f t="shared" si="46"/>
        <v>0</v>
      </c>
      <c r="GI54" s="73">
        <f t="shared" si="47"/>
        <v>-3</v>
      </c>
      <c r="GJ54" s="38"/>
      <c r="GK54" s="367"/>
      <c r="GL54" s="376"/>
      <c r="GM54" s="376"/>
      <c r="GP54" s="52"/>
    </row>
    <row r="55" spans="1:198" x14ac:dyDescent="0.25">
      <c r="A55" s="53">
        <v>40329</v>
      </c>
      <c r="B55" s="53" t="s">
        <v>133</v>
      </c>
      <c r="C55" s="53" t="s">
        <v>131</v>
      </c>
      <c r="D55" s="53" t="s">
        <v>136</v>
      </c>
      <c r="E55" s="54">
        <v>11335</v>
      </c>
      <c r="F55" s="62">
        <v>166</v>
      </c>
      <c r="G55" s="58">
        <v>2</v>
      </c>
      <c r="H55" s="89" t="s">
        <v>396</v>
      </c>
      <c r="I55" s="6">
        <v>0</v>
      </c>
      <c r="J55" s="6">
        <v>1</v>
      </c>
      <c r="K55" s="60">
        <f>6+1/3</f>
        <v>6.333333333333333</v>
      </c>
      <c r="L55" s="6">
        <v>10</v>
      </c>
      <c r="M55" s="6">
        <v>3</v>
      </c>
      <c r="N55" s="6">
        <v>3</v>
      </c>
      <c r="O55" s="6">
        <v>2</v>
      </c>
      <c r="P55" s="6">
        <v>3</v>
      </c>
      <c r="Q55" s="6">
        <v>1</v>
      </c>
      <c r="R55" s="6">
        <v>0</v>
      </c>
      <c r="S55" s="6">
        <v>29</v>
      </c>
      <c r="T55" s="6">
        <v>99</v>
      </c>
      <c r="U55" s="6">
        <v>62</v>
      </c>
      <c r="V55" s="6">
        <v>2</v>
      </c>
      <c r="W55" s="61">
        <v>0</v>
      </c>
      <c r="X55" s="62">
        <v>0</v>
      </c>
      <c r="Y55" s="62">
        <v>0</v>
      </c>
      <c r="Z55" s="62">
        <v>0</v>
      </c>
      <c r="AA55" s="62">
        <v>0</v>
      </c>
      <c r="AB55" s="62">
        <v>0</v>
      </c>
      <c r="AC55" s="63">
        <f>1+2/3</f>
        <v>1.6666666666666665</v>
      </c>
      <c r="AD55" s="62">
        <v>1</v>
      </c>
      <c r="AE55" s="62">
        <v>0</v>
      </c>
      <c r="AF55" s="62">
        <v>0</v>
      </c>
      <c r="AG55" s="62">
        <v>0</v>
      </c>
      <c r="AH55" s="62">
        <v>1</v>
      </c>
      <c r="AI55" s="62">
        <v>0</v>
      </c>
      <c r="AJ55" s="62">
        <v>0</v>
      </c>
      <c r="AK55" s="62">
        <v>6</v>
      </c>
      <c r="AL55" s="62">
        <v>18</v>
      </c>
      <c r="AM55" s="62">
        <v>13</v>
      </c>
      <c r="AN55" s="1" t="s">
        <v>389</v>
      </c>
      <c r="AO55" s="65">
        <v>4</v>
      </c>
      <c r="AP55" s="65">
        <v>0</v>
      </c>
      <c r="AQ55" s="65">
        <v>1</v>
      </c>
      <c r="AR55" s="65">
        <v>0</v>
      </c>
      <c r="AS55" s="65">
        <v>0</v>
      </c>
      <c r="AT55" s="65">
        <v>0</v>
      </c>
      <c r="AU55" s="65">
        <v>0</v>
      </c>
      <c r="AV55" s="65">
        <v>0</v>
      </c>
      <c r="AW55" s="66">
        <v>1</v>
      </c>
      <c r="AX55" s="1" t="s">
        <v>391</v>
      </c>
      <c r="AY55" s="65">
        <v>4</v>
      </c>
      <c r="AZ55" s="65">
        <v>0</v>
      </c>
      <c r="BA55" s="65">
        <v>0</v>
      </c>
      <c r="BB55" s="65">
        <v>0</v>
      </c>
      <c r="BC55" s="65">
        <v>0</v>
      </c>
      <c r="BD55" s="65">
        <v>1</v>
      </c>
      <c r="BE55" s="65">
        <v>0</v>
      </c>
      <c r="BF55" s="65">
        <v>0</v>
      </c>
      <c r="BG55" s="66">
        <v>0</v>
      </c>
      <c r="BH55" s="1" t="s">
        <v>390</v>
      </c>
      <c r="BI55" s="65">
        <v>4</v>
      </c>
      <c r="BJ55" s="65">
        <v>0</v>
      </c>
      <c r="BK55" s="65">
        <v>1</v>
      </c>
      <c r="BL55" s="65">
        <v>0</v>
      </c>
      <c r="BM55" s="65">
        <v>0</v>
      </c>
      <c r="BN55" s="65">
        <v>0</v>
      </c>
      <c r="BO55" s="65">
        <v>0</v>
      </c>
      <c r="BP55" s="65">
        <v>0</v>
      </c>
      <c r="BQ55" s="66">
        <v>3</v>
      </c>
      <c r="BR55" s="1" t="s">
        <v>274</v>
      </c>
      <c r="BS55" s="65">
        <v>2</v>
      </c>
      <c r="BT55" s="65">
        <v>0</v>
      </c>
      <c r="BU55" s="65">
        <v>0</v>
      </c>
      <c r="BV55" s="65">
        <v>0</v>
      </c>
      <c r="BW55" s="65">
        <v>2</v>
      </c>
      <c r="BX55" s="65">
        <v>0</v>
      </c>
      <c r="BY55" s="65">
        <v>0</v>
      </c>
      <c r="BZ55" s="65">
        <v>0</v>
      </c>
      <c r="CA55" s="66">
        <v>0</v>
      </c>
      <c r="CB55" s="1" t="s">
        <v>275</v>
      </c>
      <c r="CC55" s="65">
        <v>4</v>
      </c>
      <c r="CD55" s="65">
        <v>1</v>
      </c>
      <c r="CE55" s="65">
        <v>1</v>
      </c>
      <c r="CF55" s="65">
        <v>0</v>
      </c>
      <c r="CG55" s="65">
        <v>0</v>
      </c>
      <c r="CH55" s="65">
        <v>0</v>
      </c>
      <c r="CI55" s="65">
        <v>0</v>
      </c>
      <c r="CJ55" s="65">
        <v>0</v>
      </c>
      <c r="CK55" s="66">
        <v>1</v>
      </c>
      <c r="CL55" s="1" t="s">
        <v>404</v>
      </c>
      <c r="CM55" s="65">
        <v>4</v>
      </c>
      <c r="CN55" s="65">
        <v>0</v>
      </c>
      <c r="CO55" s="65">
        <v>0</v>
      </c>
      <c r="CP55" s="65">
        <v>0</v>
      </c>
      <c r="CQ55" s="65">
        <v>0</v>
      </c>
      <c r="CR55" s="65">
        <v>1</v>
      </c>
      <c r="CS55" s="65">
        <v>0</v>
      </c>
      <c r="CT55" s="65">
        <v>0</v>
      </c>
      <c r="CU55" s="66">
        <v>0</v>
      </c>
      <c r="CV55" s="1" t="s">
        <v>273</v>
      </c>
      <c r="CW55" s="65">
        <v>2</v>
      </c>
      <c r="CX55" s="65">
        <v>1</v>
      </c>
      <c r="CY55" s="65">
        <v>1</v>
      </c>
      <c r="CZ55" s="65">
        <v>1</v>
      </c>
      <c r="DA55" s="65">
        <v>1</v>
      </c>
      <c r="DB55" s="65">
        <v>0</v>
      </c>
      <c r="DC55" s="65">
        <v>0</v>
      </c>
      <c r="DD55" s="65">
        <v>0</v>
      </c>
      <c r="DE55" s="66">
        <v>3</v>
      </c>
      <c r="DF55" s="1" t="s">
        <v>385</v>
      </c>
      <c r="DG55" s="65">
        <v>3</v>
      </c>
      <c r="DH55" s="65">
        <v>0</v>
      </c>
      <c r="DI55" s="65">
        <v>0</v>
      </c>
      <c r="DJ55" s="65">
        <v>1</v>
      </c>
      <c r="DK55" s="65">
        <v>0</v>
      </c>
      <c r="DL55" s="65">
        <v>1</v>
      </c>
      <c r="DM55" s="65">
        <v>0</v>
      </c>
      <c r="DN55" s="65">
        <v>0</v>
      </c>
      <c r="DO55" s="66">
        <v>0</v>
      </c>
      <c r="DP55" s="1" t="s">
        <v>271</v>
      </c>
      <c r="DQ55" s="65">
        <v>3</v>
      </c>
      <c r="DR55" s="65">
        <v>0</v>
      </c>
      <c r="DS55" s="65">
        <v>2</v>
      </c>
      <c r="DT55" s="65">
        <v>0</v>
      </c>
      <c r="DU55" s="65">
        <v>0</v>
      </c>
      <c r="DV55" s="65">
        <v>0</v>
      </c>
      <c r="DW55" s="65">
        <v>0</v>
      </c>
      <c r="DX55" s="65">
        <v>0</v>
      </c>
      <c r="DY55" s="66">
        <v>2</v>
      </c>
      <c r="DZ55" s="67">
        <f>1/3</f>
        <v>0.33333333333333331</v>
      </c>
      <c r="EA55" s="68">
        <v>0</v>
      </c>
      <c r="EB55" s="68">
        <v>0</v>
      </c>
      <c r="EC55" s="69">
        <f>8+2/3</f>
        <v>8.6666666666666661</v>
      </c>
      <c r="ED55" s="68">
        <v>0</v>
      </c>
      <c r="EE55" s="70">
        <v>0</v>
      </c>
      <c r="EF55" s="71">
        <v>0</v>
      </c>
      <c r="EG55" s="72">
        <v>0</v>
      </c>
      <c r="EH55" s="72">
        <v>0</v>
      </c>
      <c r="EI55" s="72">
        <v>0</v>
      </c>
      <c r="EJ55" s="72">
        <v>0</v>
      </c>
      <c r="EK55" s="72">
        <v>0</v>
      </c>
      <c r="EL55" s="72">
        <v>0</v>
      </c>
      <c r="EM55" s="72">
        <v>2</v>
      </c>
      <c r="EN55" s="72">
        <v>0</v>
      </c>
      <c r="EO55" s="72"/>
      <c r="EP55" s="72"/>
      <c r="EQ55" s="72"/>
      <c r="ER55" s="72"/>
      <c r="ES55" s="44">
        <f t="shared" si="24"/>
        <v>2</v>
      </c>
      <c r="ET55" s="43">
        <v>2</v>
      </c>
      <c r="EU55" s="43">
        <v>0</v>
      </c>
      <c r="EV55" s="43">
        <v>0</v>
      </c>
      <c r="EW55" s="43">
        <v>0</v>
      </c>
      <c r="EX55" s="43">
        <v>1</v>
      </c>
      <c r="EY55" s="43">
        <v>0</v>
      </c>
      <c r="EZ55" s="43">
        <v>0</v>
      </c>
      <c r="FA55" s="43">
        <v>0</v>
      </c>
      <c r="FB55" s="43"/>
      <c r="FC55" s="43"/>
      <c r="FD55" s="43"/>
      <c r="FE55" s="43"/>
      <c r="FF55" s="43"/>
      <c r="FG55" s="43">
        <f t="shared" si="25"/>
        <v>3</v>
      </c>
      <c r="FH55" s="73">
        <v>30</v>
      </c>
      <c r="FI55" s="73">
        <v>2</v>
      </c>
      <c r="FJ55" s="73">
        <v>6</v>
      </c>
      <c r="FK55" s="73">
        <v>2</v>
      </c>
      <c r="FL55" s="73">
        <v>3</v>
      </c>
      <c r="FM55" s="73">
        <v>3</v>
      </c>
      <c r="FN55" s="73">
        <f t="shared" si="26"/>
        <v>0</v>
      </c>
      <c r="FO55" s="73">
        <f t="shared" si="27"/>
        <v>0</v>
      </c>
      <c r="FP55" s="73">
        <f t="shared" si="28"/>
        <v>0</v>
      </c>
      <c r="FQ55" s="73">
        <f t="shared" si="29"/>
        <v>0</v>
      </c>
      <c r="FR55" s="73">
        <f t="shared" si="30"/>
        <v>0</v>
      </c>
      <c r="FS55" s="73">
        <f t="shared" si="31"/>
        <v>0</v>
      </c>
      <c r="FT55" s="73">
        <f t="shared" si="32"/>
        <v>0</v>
      </c>
      <c r="FU55" s="73">
        <f t="shared" si="33"/>
        <v>0</v>
      </c>
      <c r="FV55" s="73">
        <f t="shared" si="34"/>
        <v>-2</v>
      </c>
      <c r="FW55" s="73">
        <f t="shared" si="35"/>
        <v>0</v>
      </c>
      <c r="FX55" s="73">
        <f t="shared" si="36"/>
        <v>0</v>
      </c>
      <c r="FY55" s="73">
        <f t="shared" si="37"/>
        <v>0</v>
      </c>
      <c r="FZ55" s="73">
        <f t="shared" si="38"/>
        <v>-1</v>
      </c>
      <c r="GA55" s="73">
        <f t="shared" si="39"/>
        <v>0</v>
      </c>
      <c r="GB55" s="73">
        <f t="shared" si="40"/>
        <v>0</v>
      </c>
      <c r="GC55" s="73">
        <f t="shared" si="41"/>
        <v>2</v>
      </c>
      <c r="GD55" s="73">
        <f t="shared" si="42"/>
        <v>0</v>
      </c>
      <c r="GE55" s="73">
        <f t="shared" si="43"/>
        <v>0</v>
      </c>
      <c r="GF55" s="73">
        <f t="shared" si="44"/>
        <v>0</v>
      </c>
      <c r="GG55" s="73">
        <f t="shared" si="45"/>
        <v>0</v>
      </c>
      <c r="GH55" s="73">
        <f t="shared" si="46"/>
        <v>0</v>
      </c>
      <c r="GI55" s="73">
        <f t="shared" si="47"/>
        <v>-1</v>
      </c>
      <c r="GJ55" s="38"/>
      <c r="GK55" s="367"/>
      <c r="GL55" s="376"/>
      <c r="GM55" s="376"/>
      <c r="GP55" s="52"/>
    </row>
    <row r="56" spans="1:198" x14ac:dyDescent="0.25">
      <c r="A56" s="53">
        <v>40330</v>
      </c>
      <c r="B56" s="53" t="s">
        <v>133</v>
      </c>
      <c r="C56" s="53" t="s">
        <v>129</v>
      </c>
      <c r="D56" s="53" t="s">
        <v>136</v>
      </c>
      <c r="E56" s="54">
        <v>13439</v>
      </c>
      <c r="F56" s="62">
        <v>202</v>
      </c>
      <c r="G56" s="58">
        <v>3</v>
      </c>
      <c r="H56" s="59" t="s">
        <v>395</v>
      </c>
      <c r="I56" s="6">
        <v>0</v>
      </c>
      <c r="J56" s="6">
        <v>0</v>
      </c>
      <c r="K56" s="60">
        <f>6+1/3</f>
        <v>6.333333333333333</v>
      </c>
      <c r="L56" s="6">
        <v>9</v>
      </c>
      <c r="M56" s="6">
        <v>5</v>
      </c>
      <c r="N56" s="6">
        <v>5</v>
      </c>
      <c r="O56" s="6">
        <v>1</v>
      </c>
      <c r="P56" s="6">
        <v>4</v>
      </c>
      <c r="Q56" s="6">
        <v>2</v>
      </c>
      <c r="R56" s="6">
        <v>0</v>
      </c>
      <c r="S56" s="6">
        <v>29</v>
      </c>
      <c r="T56" s="6">
        <v>86</v>
      </c>
      <c r="U56" s="6">
        <v>61</v>
      </c>
      <c r="V56" s="6">
        <v>1</v>
      </c>
      <c r="W56" s="61">
        <v>0</v>
      </c>
      <c r="X56" s="62">
        <v>1</v>
      </c>
      <c r="Y56" s="62">
        <v>0</v>
      </c>
      <c r="Z56" s="62">
        <v>0</v>
      </c>
      <c r="AA56" s="62">
        <v>1</v>
      </c>
      <c r="AB56" s="62">
        <v>0</v>
      </c>
      <c r="AC56" s="63">
        <f>2+2/3</f>
        <v>2.6666666666666665</v>
      </c>
      <c r="AD56" s="62">
        <v>3</v>
      </c>
      <c r="AE56" s="62">
        <v>1</v>
      </c>
      <c r="AF56" s="62">
        <v>0</v>
      </c>
      <c r="AG56" s="62">
        <v>1</v>
      </c>
      <c r="AH56" s="62">
        <v>2</v>
      </c>
      <c r="AI56" s="62">
        <v>0</v>
      </c>
      <c r="AJ56" s="62">
        <v>0</v>
      </c>
      <c r="AK56" s="62">
        <v>12</v>
      </c>
      <c r="AL56" s="62">
        <v>44</v>
      </c>
      <c r="AM56" s="62">
        <v>28</v>
      </c>
      <c r="AN56" s="1" t="s">
        <v>273</v>
      </c>
      <c r="AO56" s="65">
        <v>5</v>
      </c>
      <c r="AP56" s="65">
        <v>0</v>
      </c>
      <c r="AQ56" s="65">
        <v>1</v>
      </c>
      <c r="AR56" s="65">
        <v>0</v>
      </c>
      <c r="AS56" s="65">
        <v>0</v>
      </c>
      <c r="AT56" s="65">
        <v>3</v>
      </c>
      <c r="AU56" s="65">
        <v>0</v>
      </c>
      <c r="AV56" s="65">
        <v>0</v>
      </c>
      <c r="AW56" s="66">
        <v>2</v>
      </c>
      <c r="AX56" s="1" t="s">
        <v>391</v>
      </c>
      <c r="AY56" s="65">
        <v>4</v>
      </c>
      <c r="AZ56" s="65">
        <v>2</v>
      </c>
      <c r="BA56" s="65">
        <v>1</v>
      </c>
      <c r="BB56" s="65">
        <v>1</v>
      </c>
      <c r="BC56" s="65">
        <v>1</v>
      </c>
      <c r="BD56" s="65">
        <v>0</v>
      </c>
      <c r="BE56" s="65">
        <v>0</v>
      </c>
      <c r="BF56" s="65">
        <v>0</v>
      </c>
      <c r="BG56" s="66">
        <v>1</v>
      </c>
      <c r="BH56" s="1" t="s">
        <v>390</v>
      </c>
      <c r="BI56" s="65">
        <v>3</v>
      </c>
      <c r="BJ56" s="65">
        <v>1</v>
      </c>
      <c r="BK56" s="65">
        <v>0</v>
      </c>
      <c r="BL56" s="65">
        <v>0</v>
      </c>
      <c r="BM56" s="65">
        <v>2</v>
      </c>
      <c r="BN56" s="65">
        <v>0</v>
      </c>
      <c r="BO56" s="65">
        <v>0</v>
      </c>
      <c r="BP56" s="65">
        <v>0</v>
      </c>
      <c r="BQ56" s="66">
        <v>0</v>
      </c>
      <c r="BR56" s="1" t="s">
        <v>274</v>
      </c>
      <c r="BS56" s="65">
        <v>5</v>
      </c>
      <c r="BT56" s="65">
        <v>0</v>
      </c>
      <c r="BU56" s="65">
        <v>1</v>
      </c>
      <c r="BV56" s="65">
        <v>1</v>
      </c>
      <c r="BW56" s="65">
        <v>0</v>
      </c>
      <c r="BX56" s="65">
        <v>2</v>
      </c>
      <c r="BY56" s="65">
        <v>0</v>
      </c>
      <c r="BZ56" s="65">
        <v>0</v>
      </c>
      <c r="CA56" s="66">
        <v>1</v>
      </c>
      <c r="CB56" s="1" t="s">
        <v>272</v>
      </c>
      <c r="CC56" s="65">
        <v>4</v>
      </c>
      <c r="CD56" s="65">
        <v>1</v>
      </c>
      <c r="CE56" s="65">
        <v>2</v>
      </c>
      <c r="CF56" s="65">
        <v>0</v>
      </c>
      <c r="CG56" s="65">
        <v>1</v>
      </c>
      <c r="CH56" s="65">
        <v>0</v>
      </c>
      <c r="CI56" s="65">
        <v>0</v>
      </c>
      <c r="CJ56" s="65">
        <v>0</v>
      </c>
      <c r="CK56" s="66">
        <v>3</v>
      </c>
      <c r="CL56" s="1" t="s">
        <v>389</v>
      </c>
      <c r="CM56" s="65">
        <v>3</v>
      </c>
      <c r="CN56" s="65">
        <v>1</v>
      </c>
      <c r="CO56" s="65">
        <v>1</v>
      </c>
      <c r="CP56" s="65">
        <v>1</v>
      </c>
      <c r="CQ56" s="65">
        <v>2</v>
      </c>
      <c r="CR56" s="65">
        <v>1</v>
      </c>
      <c r="CS56" s="65">
        <v>0</v>
      </c>
      <c r="CT56" s="65">
        <v>0</v>
      </c>
      <c r="CU56" s="66">
        <v>1</v>
      </c>
      <c r="CV56" s="1" t="s">
        <v>386</v>
      </c>
      <c r="CW56" s="65">
        <v>4</v>
      </c>
      <c r="CX56" s="65">
        <v>0</v>
      </c>
      <c r="CY56" s="65">
        <v>1</v>
      </c>
      <c r="CZ56" s="65">
        <v>3</v>
      </c>
      <c r="DA56" s="65">
        <v>1</v>
      </c>
      <c r="DB56" s="65">
        <v>1</v>
      </c>
      <c r="DC56" s="65">
        <v>0</v>
      </c>
      <c r="DD56" s="65">
        <v>0</v>
      </c>
      <c r="DE56" s="66">
        <v>2</v>
      </c>
      <c r="DF56" s="1" t="s">
        <v>406</v>
      </c>
      <c r="DG56" s="65">
        <v>3</v>
      </c>
      <c r="DH56" s="65">
        <v>1</v>
      </c>
      <c r="DI56" s="65">
        <v>2</v>
      </c>
      <c r="DJ56" s="65">
        <v>0</v>
      </c>
      <c r="DK56" s="65">
        <v>1</v>
      </c>
      <c r="DL56" s="65">
        <v>0</v>
      </c>
      <c r="DM56" s="65">
        <v>0</v>
      </c>
      <c r="DN56" s="65">
        <v>0</v>
      </c>
      <c r="DO56" s="66">
        <v>2</v>
      </c>
      <c r="DP56" s="1" t="s">
        <v>385</v>
      </c>
      <c r="DQ56" s="65">
        <v>5</v>
      </c>
      <c r="DR56" s="65">
        <v>1</v>
      </c>
      <c r="DS56" s="65">
        <v>1</v>
      </c>
      <c r="DT56" s="65">
        <v>1</v>
      </c>
      <c r="DU56" s="65">
        <v>0</v>
      </c>
      <c r="DV56" s="65">
        <v>3</v>
      </c>
      <c r="DW56" s="65">
        <v>0</v>
      </c>
      <c r="DX56" s="65">
        <v>0</v>
      </c>
      <c r="DY56" s="66">
        <v>2</v>
      </c>
      <c r="DZ56" s="67">
        <f>6+1/3</f>
        <v>6.333333333333333</v>
      </c>
      <c r="EA56" s="68">
        <v>0</v>
      </c>
      <c r="EB56" s="68">
        <v>0</v>
      </c>
      <c r="EC56" s="69">
        <f>2+2/3</f>
        <v>2.6666666666666665</v>
      </c>
      <c r="ED56" s="68">
        <v>1</v>
      </c>
      <c r="EE56" s="70">
        <v>0</v>
      </c>
      <c r="EF56" s="71">
        <v>0</v>
      </c>
      <c r="EG56" s="72">
        <v>0</v>
      </c>
      <c r="EH56" s="72">
        <v>0</v>
      </c>
      <c r="EI56" s="72">
        <v>0</v>
      </c>
      <c r="EJ56" s="72">
        <v>0</v>
      </c>
      <c r="EK56" s="72">
        <v>0</v>
      </c>
      <c r="EL56" s="72">
        <v>3</v>
      </c>
      <c r="EM56" s="72">
        <v>0</v>
      </c>
      <c r="EN56" s="72">
        <v>4</v>
      </c>
      <c r="EO56" s="72"/>
      <c r="EP56" s="72"/>
      <c r="EQ56" s="72"/>
      <c r="ER56" s="72"/>
      <c r="ES56" s="44">
        <f t="shared" si="24"/>
        <v>7</v>
      </c>
      <c r="ET56" s="43">
        <v>1</v>
      </c>
      <c r="EU56" s="43">
        <v>0</v>
      </c>
      <c r="EV56" s="43">
        <v>0</v>
      </c>
      <c r="EW56" s="43">
        <v>0</v>
      </c>
      <c r="EX56" s="43">
        <v>3</v>
      </c>
      <c r="EY56" s="43">
        <v>1</v>
      </c>
      <c r="EZ56" s="43">
        <v>0</v>
      </c>
      <c r="FA56" s="43">
        <v>0</v>
      </c>
      <c r="FB56" s="43">
        <v>1</v>
      </c>
      <c r="FC56" s="43"/>
      <c r="FD56" s="43"/>
      <c r="FE56" s="43"/>
      <c r="FF56" s="43"/>
      <c r="FG56" s="43">
        <f t="shared" si="25"/>
        <v>6</v>
      </c>
      <c r="FH56" s="73">
        <v>36</v>
      </c>
      <c r="FI56" s="73">
        <v>7</v>
      </c>
      <c r="FJ56" s="73">
        <v>10</v>
      </c>
      <c r="FK56" s="73">
        <v>7</v>
      </c>
      <c r="FL56" s="73">
        <v>8</v>
      </c>
      <c r="FM56" s="73">
        <v>10</v>
      </c>
      <c r="FN56" s="73">
        <f t="shared" si="26"/>
        <v>0</v>
      </c>
      <c r="FO56" s="73">
        <f t="shared" si="27"/>
        <v>0</v>
      </c>
      <c r="FP56" s="73">
        <f t="shared" si="28"/>
        <v>0</v>
      </c>
      <c r="FQ56" s="73">
        <f t="shared" si="29"/>
        <v>0</v>
      </c>
      <c r="FR56" s="73">
        <f t="shared" si="30"/>
        <v>0</v>
      </c>
      <c r="FS56" s="73">
        <f t="shared" si="31"/>
        <v>0</v>
      </c>
      <c r="FT56" s="73">
        <f t="shared" si="32"/>
        <v>0</v>
      </c>
      <c r="FU56" s="73">
        <f t="shared" si="33"/>
        <v>0</v>
      </c>
      <c r="FV56" s="73">
        <f t="shared" si="34"/>
        <v>-1</v>
      </c>
      <c r="FW56" s="73">
        <f t="shared" si="35"/>
        <v>0</v>
      </c>
      <c r="FX56" s="73">
        <f t="shared" si="36"/>
        <v>0</v>
      </c>
      <c r="FY56" s="73">
        <f t="shared" si="37"/>
        <v>0</v>
      </c>
      <c r="FZ56" s="73">
        <f t="shared" si="38"/>
        <v>-3</v>
      </c>
      <c r="GA56" s="73">
        <f t="shared" si="39"/>
        <v>-1</v>
      </c>
      <c r="GB56" s="73">
        <f t="shared" si="40"/>
        <v>3</v>
      </c>
      <c r="GC56" s="73">
        <f t="shared" si="41"/>
        <v>0</v>
      </c>
      <c r="GD56" s="73">
        <f t="shared" si="42"/>
        <v>3</v>
      </c>
      <c r="GE56" s="73">
        <f t="shared" si="43"/>
        <v>0</v>
      </c>
      <c r="GF56" s="73">
        <f t="shared" si="44"/>
        <v>0</v>
      </c>
      <c r="GG56" s="73">
        <f t="shared" si="45"/>
        <v>0</v>
      </c>
      <c r="GH56" s="73">
        <f t="shared" si="46"/>
        <v>0</v>
      </c>
      <c r="GI56" s="73">
        <f t="shared" si="47"/>
        <v>1</v>
      </c>
      <c r="GJ56" s="38"/>
      <c r="GK56" s="367"/>
      <c r="GL56" s="376"/>
      <c r="GM56" s="376"/>
      <c r="GP56" s="52"/>
    </row>
    <row r="57" spans="1:198" x14ac:dyDescent="0.25">
      <c r="A57" s="53">
        <v>40331</v>
      </c>
      <c r="B57" s="53" t="s">
        <v>133</v>
      </c>
      <c r="C57" s="53" t="s">
        <v>129</v>
      </c>
      <c r="D57" s="53" t="s">
        <v>136</v>
      </c>
      <c r="E57" s="54">
        <v>13517</v>
      </c>
      <c r="F57" s="62">
        <v>175</v>
      </c>
      <c r="G57" s="58">
        <v>4</v>
      </c>
      <c r="H57" s="59" t="s">
        <v>394</v>
      </c>
      <c r="I57" s="6">
        <v>1</v>
      </c>
      <c r="J57" s="6">
        <v>0</v>
      </c>
      <c r="K57" s="60">
        <v>8</v>
      </c>
      <c r="L57" s="6">
        <v>9</v>
      </c>
      <c r="M57" s="6">
        <v>2</v>
      </c>
      <c r="N57" s="6">
        <v>0</v>
      </c>
      <c r="O57" s="6">
        <v>0</v>
      </c>
      <c r="P57" s="6">
        <v>3</v>
      </c>
      <c r="Q57" s="6">
        <v>0</v>
      </c>
      <c r="R57" s="6">
        <v>1</v>
      </c>
      <c r="S57" s="6">
        <v>30</v>
      </c>
      <c r="T57" s="6">
        <v>111</v>
      </c>
      <c r="U57" s="6">
        <v>75</v>
      </c>
      <c r="V57" s="6">
        <v>0</v>
      </c>
      <c r="W57" s="61">
        <v>0</v>
      </c>
      <c r="X57" s="62">
        <v>0</v>
      </c>
      <c r="Y57" s="62">
        <v>0</v>
      </c>
      <c r="Z57" s="62">
        <v>0</v>
      </c>
      <c r="AA57" s="62">
        <v>0</v>
      </c>
      <c r="AB57" s="62">
        <v>0</v>
      </c>
      <c r="AC57" s="63">
        <v>1</v>
      </c>
      <c r="AD57" s="62">
        <v>2</v>
      </c>
      <c r="AE57" s="62">
        <v>1</v>
      </c>
      <c r="AF57" s="62">
        <v>1</v>
      </c>
      <c r="AG57" s="62">
        <v>0</v>
      </c>
      <c r="AH57" s="62">
        <v>2</v>
      </c>
      <c r="AI57" s="62">
        <v>0</v>
      </c>
      <c r="AJ57" s="62">
        <v>0</v>
      </c>
      <c r="AK57" s="62">
        <v>5</v>
      </c>
      <c r="AL57" s="62">
        <v>19</v>
      </c>
      <c r="AM57" s="62">
        <v>12</v>
      </c>
      <c r="AN57" s="1" t="s">
        <v>273</v>
      </c>
      <c r="AO57" s="65">
        <v>4</v>
      </c>
      <c r="AP57" s="65">
        <v>1</v>
      </c>
      <c r="AQ57" s="65">
        <v>2</v>
      </c>
      <c r="AR57" s="65">
        <v>0</v>
      </c>
      <c r="AS57" s="65">
        <v>1</v>
      </c>
      <c r="AT57" s="65">
        <v>0</v>
      </c>
      <c r="AU57" s="65">
        <v>0</v>
      </c>
      <c r="AV57" s="65">
        <v>0</v>
      </c>
      <c r="AW57" s="66">
        <v>3</v>
      </c>
      <c r="AX57" s="1" t="s">
        <v>391</v>
      </c>
      <c r="AY57" s="65">
        <v>5</v>
      </c>
      <c r="AZ57" s="65">
        <v>1</v>
      </c>
      <c r="BA57" s="65">
        <v>2</v>
      </c>
      <c r="BB57" s="65">
        <v>5</v>
      </c>
      <c r="BC57" s="65">
        <v>0</v>
      </c>
      <c r="BD57" s="65">
        <v>0</v>
      </c>
      <c r="BE57" s="65">
        <v>0</v>
      </c>
      <c r="BF57" s="65">
        <v>0</v>
      </c>
      <c r="BG57" s="66">
        <v>5</v>
      </c>
      <c r="BH57" s="1" t="s">
        <v>390</v>
      </c>
      <c r="BI57" s="65">
        <v>5</v>
      </c>
      <c r="BJ57" s="65">
        <v>0</v>
      </c>
      <c r="BK57" s="65">
        <v>1</v>
      </c>
      <c r="BL57" s="65">
        <v>0</v>
      </c>
      <c r="BM57" s="65">
        <v>0</v>
      </c>
      <c r="BN57" s="65">
        <v>0</v>
      </c>
      <c r="BO57" s="65">
        <v>0</v>
      </c>
      <c r="BP57" s="65">
        <v>0</v>
      </c>
      <c r="BQ57" s="66">
        <v>1</v>
      </c>
      <c r="BR57" s="1" t="s">
        <v>272</v>
      </c>
      <c r="BS57" s="65">
        <v>5</v>
      </c>
      <c r="BT57" s="65">
        <v>0</v>
      </c>
      <c r="BU57" s="65">
        <v>1</v>
      </c>
      <c r="BV57" s="65">
        <v>0</v>
      </c>
      <c r="BW57" s="65">
        <v>0</v>
      </c>
      <c r="BX57" s="65">
        <v>1</v>
      </c>
      <c r="BY57" s="65">
        <v>0</v>
      </c>
      <c r="BZ57" s="65">
        <v>0</v>
      </c>
      <c r="CA57" s="66">
        <v>1</v>
      </c>
      <c r="CB57" s="1" t="s">
        <v>271</v>
      </c>
      <c r="CC57" s="65">
        <v>5</v>
      </c>
      <c r="CD57" s="65">
        <v>1</v>
      </c>
      <c r="CE57" s="65">
        <v>2</v>
      </c>
      <c r="CF57" s="65">
        <v>0</v>
      </c>
      <c r="CG57" s="65">
        <v>0</v>
      </c>
      <c r="CH57" s="65">
        <v>1</v>
      </c>
      <c r="CI57" s="65">
        <v>0</v>
      </c>
      <c r="CJ57" s="65">
        <v>0</v>
      </c>
      <c r="CK57" s="66">
        <v>3</v>
      </c>
      <c r="CL57" s="1" t="s">
        <v>389</v>
      </c>
      <c r="CM57" s="65">
        <v>4</v>
      </c>
      <c r="CN57" s="65">
        <v>0</v>
      </c>
      <c r="CO57" s="65">
        <v>2</v>
      </c>
      <c r="CP57" s="65">
        <v>0</v>
      </c>
      <c r="CQ57" s="65">
        <v>0</v>
      </c>
      <c r="CR57" s="65">
        <v>0</v>
      </c>
      <c r="CS57" s="65">
        <v>0</v>
      </c>
      <c r="CT57" s="65">
        <v>0</v>
      </c>
      <c r="CU57" s="66">
        <v>2</v>
      </c>
      <c r="CV57" s="1" t="s">
        <v>386</v>
      </c>
      <c r="CW57" s="65">
        <v>3</v>
      </c>
      <c r="CX57" s="65">
        <v>1</v>
      </c>
      <c r="CY57" s="65">
        <v>0</v>
      </c>
      <c r="CZ57" s="65">
        <v>0</v>
      </c>
      <c r="DA57" s="65">
        <v>0</v>
      </c>
      <c r="DB57" s="65">
        <v>0</v>
      </c>
      <c r="DC57" s="65">
        <v>1</v>
      </c>
      <c r="DD57" s="65">
        <v>0</v>
      </c>
      <c r="DE57" s="66">
        <v>0</v>
      </c>
      <c r="DF57" s="1" t="s">
        <v>406</v>
      </c>
      <c r="DG57" s="65">
        <v>3</v>
      </c>
      <c r="DH57" s="65">
        <v>1</v>
      </c>
      <c r="DI57" s="65">
        <v>1</v>
      </c>
      <c r="DJ57" s="65">
        <v>1</v>
      </c>
      <c r="DK57" s="65">
        <v>0</v>
      </c>
      <c r="DL57" s="65">
        <v>0</v>
      </c>
      <c r="DM57" s="65">
        <v>0</v>
      </c>
      <c r="DN57" s="65">
        <v>0</v>
      </c>
      <c r="DO57" s="66">
        <v>1</v>
      </c>
      <c r="DP57" s="1" t="s">
        <v>385</v>
      </c>
      <c r="DQ57" s="65">
        <v>4</v>
      </c>
      <c r="DR57" s="65">
        <v>2</v>
      </c>
      <c r="DS57" s="65">
        <v>1</v>
      </c>
      <c r="DT57" s="65">
        <v>1</v>
      </c>
      <c r="DU57" s="65">
        <v>0</v>
      </c>
      <c r="DV57" s="65">
        <v>1</v>
      </c>
      <c r="DW57" s="65">
        <v>0</v>
      </c>
      <c r="DX57" s="65">
        <v>0</v>
      </c>
      <c r="DY57" s="66">
        <v>2</v>
      </c>
      <c r="DZ57" s="67">
        <f>2/3</f>
        <v>0.66666666666666663</v>
      </c>
      <c r="EA57" s="68">
        <v>0</v>
      </c>
      <c r="EB57" s="68">
        <v>0</v>
      </c>
      <c r="EC57" s="69">
        <f>8+1/3</f>
        <v>8.3333333333333339</v>
      </c>
      <c r="ED57" s="68">
        <v>0</v>
      </c>
      <c r="EE57" s="70">
        <v>0</v>
      </c>
      <c r="EF57" s="71">
        <v>0</v>
      </c>
      <c r="EG57" s="72">
        <v>0</v>
      </c>
      <c r="EH57" s="72">
        <v>0</v>
      </c>
      <c r="EI57" s="72">
        <v>0</v>
      </c>
      <c r="EJ57" s="72">
        <v>1</v>
      </c>
      <c r="EK57" s="72">
        <v>0</v>
      </c>
      <c r="EL57" s="72">
        <v>0</v>
      </c>
      <c r="EM57" s="72">
        <v>0</v>
      </c>
      <c r="EN57" s="72">
        <v>6</v>
      </c>
      <c r="EO57" s="72"/>
      <c r="EP57" s="72"/>
      <c r="EQ57" s="72"/>
      <c r="ER57" s="72"/>
      <c r="ES57" s="44">
        <f t="shared" si="24"/>
        <v>7</v>
      </c>
      <c r="ET57" s="43">
        <v>1</v>
      </c>
      <c r="EU57" s="43">
        <v>1</v>
      </c>
      <c r="EV57" s="43">
        <v>0</v>
      </c>
      <c r="EW57" s="43">
        <v>0</v>
      </c>
      <c r="EX57" s="43">
        <v>0</v>
      </c>
      <c r="EY57" s="43">
        <v>0</v>
      </c>
      <c r="EZ57" s="43">
        <v>0</v>
      </c>
      <c r="FA57" s="43">
        <v>0</v>
      </c>
      <c r="FB57" s="43">
        <v>1</v>
      </c>
      <c r="FC57" s="43"/>
      <c r="FD57" s="43"/>
      <c r="FE57" s="43"/>
      <c r="FF57" s="43"/>
      <c r="FG57" s="43">
        <f t="shared" si="25"/>
        <v>3</v>
      </c>
      <c r="FH57" s="73">
        <v>38</v>
      </c>
      <c r="FI57" s="73">
        <v>7</v>
      </c>
      <c r="FJ57" s="73">
        <v>12</v>
      </c>
      <c r="FK57" s="73">
        <v>7</v>
      </c>
      <c r="FL57" s="73">
        <v>1</v>
      </c>
      <c r="FM57" s="73">
        <v>3</v>
      </c>
      <c r="FN57" s="73">
        <f t="shared" si="26"/>
        <v>0</v>
      </c>
      <c r="FO57" s="73">
        <f t="shared" si="27"/>
        <v>0</v>
      </c>
      <c r="FP57" s="73">
        <f t="shared" si="28"/>
        <v>0</v>
      </c>
      <c r="FQ57" s="73">
        <f t="shared" si="29"/>
        <v>0</v>
      </c>
      <c r="FR57" s="73">
        <f t="shared" si="30"/>
        <v>0</v>
      </c>
      <c r="FS57" s="73">
        <f t="shared" si="31"/>
        <v>0</v>
      </c>
      <c r="FT57" s="73">
        <f t="shared" si="32"/>
        <v>0</v>
      </c>
      <c r="FU57" s="73">
        <f t="shared" si="33"/>
        <v>0</v>
      </c>
      <c r="FV57" s="73">
        <f t="shared" si="34"/>
        <v>-1</v>
      </c>
      <c r="FW57" s="73">
        <f t="shared" si="35"/>
        <v>-1</v>
      </c>
      <c r="FX57" s="73">
        <f t="shared" si="36"/>
        <v>0</v>
      </c>
      <c r="FY57" s="73">
        <f t="shared" si="37"/>
        <v>0</v>
      </c>
      <c r="FZ57" s="73">
        <f t="shared" si="38"/>
        <v>1</v>
      </c>
      <c r="GA57" s="73">
        <f t="shared" si="39"/>
        <v>0</v>
      </c>
      <c r="GB57" s="73">
        <f t="shared" si="40"/>
        <v>0</v>
      </c>
      <c r="GC57" s="73">
        <f t="shared" si="41"/>
        <v>0</v>
      </c>
      <c r="GD57" s="73">
        <f t="shared" si="42"/>
        <v>5</v>
      </c>
      <c r="GE57" s="73">
        <f t="shared" si="43"/>
        <v>0</v>
      </c>
      <c r="GF57" s="73">
        <f t="shared" si="44"/>
        <v>0</v>
      </c>
      <c r="GG57" s="73">
        <f t="shared" si="45"/>
        <v>0</v>
      </c>
      <c r="GH57" s="73">
        <f t="shared" si="46"/>
        <v>0</v>
      </c>
      <c r="GI57" s="73">
        <f t="shared" si="47"/>
        <v>4</v>
      </c>
      <c r="GJ57" s="38"/>
      <c r="GK57" s="367"/>
      <c r="GL57" s="376"/>
      <c r="GM57" s="376"/>
      <c r="GP57" s="52"/>
    </row>
    <row r="58" spans="1:198" x14ac:dyDescent="0.25">
      <c r="A58" s="53">
        <v>40333</v>
      </c>
      <c r="B58" s="53" t="s">
        <v>133</v>
      </c>
      <c r="C58" s="53" t="s">
        <v>131</v>
      </c>
      <c r="D58" s="53" t="s">
        <v>143</v>
      </c>
      <c r="E58" s="54">
        <v>36245</v>
      </c>
      <c r="F58" s="62">
        <v>190</v>
      </c>
      <c r="G58" s="58">
        <v>5</v>
      </c>
      <c r="H58" s="89" t="s">
        <v>393</v>
      </c>
      <c r="I58" s="6">
        <v>0</v>
      </c>
      <c r="J58" s="6">
        <v>1</v>
      </c>
      <c r="K58" s="60">
        <f>3+1/3</f>
        <v>3.3333333333333335</v>
      </c>
      <c r="L58" s="6">
        <v>9</v>
      </c>
      <c r="M58" s="6">
        <v>8</v>
      </c>
      <c r="N58" s="6">
        <v>8</v>
      </c>
      <c r="O58" s="6">
        <v>0</v>
      </c>
      <c r="P58" s="6">
        <v>3</v>
      </c>
      <c r="Q58" s="6">
        <v>2</v>
      </c>
      <c r="R58" s="6">
        <v>1</v>
      </c>
      <c r="S58" s="6">
        <v>20</v>
      </c>
      <c r="T58" s="6">
        <v>65</v>
      </c>
      <c r="U58" s="6">
        <v>43</v>
      </c>
      <c r="V58" s="6">
        <v>2</v>
      </c>
      <c r="W58" s="61">
        <v>2</v>
      </c>
      <c r="X58" s="62">
        <v>0</v>
      </c>
      <c r="Y58" s="62">
        <v>0</v>
      </c>
      <c r="Z58" s="62">
        <v>0</v>
      </c>
      <c r="AA58" s="62">
        <v>0</v>
      </c>
      <c r="AB58" s="62">
        <v>0</v>
      </c>
      <c r="AC58" s="63">
        <f>4+2/3</f>
        <v>4.666666666666667</v>
      </c>
      <c r="AD58" s="62">
        <v>4</v>
      </c>
      <c r="AE58" s="62">
        <v>1</v>
      </c>
      <c r="AF58" s="62">
        <v>1</v>
      </c>
      <c r="AG58" s="62">
        <v>2</v>
      </c>
      <c r="AH58" s="62">
        <v>4</v>
      </c>
      <c r="AI58" s="62">
        <v>0</v>
      </c>
      <c r="AJ58" s="62">
        <v>1</v>
      </c>
      <c r="AK58" s="62">
        <v>18</v>
      </c>
      <c r="AL58" s="62">
        <v>51</v>
      </c>
      <c r="AM58" s="62">
        <v>31</v>
      </c>
      <c r="AN58" s="1" t="s">
        <v>273</v>
      </c>
      <c r="AO58" s="65">
        <v>3</v>
      </c>
      <c r="AP58" s="65">
        <v>0</v>
      </c>
      <c r="AQ58" s="65">
        <v>0</v>
      </c>
      <c r="AR58" s="65">
        <v>0</v>
      </c>
      <c r="AS58" s="65">
        <v>2</v>
      </c>
      <c r="AT58" s="65">
        <v>2</v>
      </c>
      <c r="AU58" s="65">
        <v>0</v>
      </c>
      <c r="AV58" s="65">
        <v>0</v>
      </c>
      <c r="AW58" s="66">
        <v>0</v>
      </c>
      <c r="AX58" s="1" t="s">
        <v>391</v>
      </c>
      <c r="AY58" s="65">
        <v>5</v>
      </c>
      <c r="AZ58" s="65">
        <v>0</v>
      </c>
      <c r="BA58" s="65">
        <v>1</v>
      </c>
      <c r="BB58" s="65">
        <v>2</v>
      </c>
      <c r="BC58" s="65">
        <v>0</v>
      </c>
      <c r="BD58" s="65">
        <v>2</v>
      </c>
      <c r="BE58" s="65">
        <v>0</v>
      </c>
      <c r="BF58" s="65">
        <v>0</v>
      </c>
      <c r="BG58" s="66">
        <v>1</v>
      </c>
      <c r="BH58" s="1" t="s">
        <v>390</v>
      </c>
      <c r="BI58" s="65">
        <v>5</v>
      </c>
      <c r="BJ58" s="65">
        <v>1</v>
      </c>
      <c r="BK58" s="65">
        <v>1</v>
      </c>
      <c r="BL58" s="65">
        <v>1</v>
      </c>
      <c r="BM58" s="65">
        <v>0</v>
      </c>
      <c r="BN58" s="65">
        <v>1</v>
      </c>
      <c r="BO58" s="65">
        <v>0</v>
      </c>
      <c r="BP58" s="65">
        <v>0</v>
      </c>
      <c r="BQ58" s="66">
        <v>4</v>
      </c>
      <c r="BR58" s="1" t="s">
        <v>272</v>
      </c>
      <c r="BS58" s="65">
        <v>5</v>
      </c>
      <c r="BT58" s="65">
        <v>1</v>
      </c>
      <c r="BU58" s="65">
        <v>1</v>
      </c>
      <c r="BV58" s="65">
        <v>0</v>
      </c>
      <c r="BW58" s="65">
        <v>0</v>
      </c>
      <c r="BX58" s="65">
        <v>2</v>
      </c>
      <c r="BY58" s="65">
        <v>0</v>
      </c>
      <c r="BZ58" s="65">
        <v>0</v>
      </c>
      <c r="CA58" s="66">
        <v>1</v>
      </c>
      <c r="CB58" s="1" t="s">
        <v>389</v>
      </c>
      <c r="CC58" s="65">
        <v>4</v>
      </c>
      <c r="CD58" s="65">
        <v>2</v>
      </c>
      <c r="CE58" s="65">
        <v>3</v>
      </c>
      <c r="CF58" s="65">
        <v>0</v>
      </c>
      <c r="CG58" s="65">
        <v>0</v>
      </c>
      <c r="CH58" s="65">
        <v>1</v>
      </c>
      <c r="CI58" s="65">
        <v>1</v>
      </c>
      <c r="CJ58" s="65">
        <v>0</v>
      </c>
      <c r="CK58" s="66">
        <v>4</v>
      </c>
      <c r="CL58" s="1" t="s">
        <v>388</v>
      </c>
      <c r="CM58" s="65">
        <v>2</v>
      </c>
      <c r="CN58" s="65">
        <v>0</v>
      </c>
      <c r="CO58" s="65">
        <v>1</v>
      </c>
      <c r="CP58" s="65">
        <v>0</v>
      </c>
      <c r="CQ58" s="65">
        <v>2</v>
      </c>
      <c r="CR58" s="65">
        <v>1</v>
      </c>
      <c r="CS58" s="65">
        <v>1</v>
      </c>
      <c r="CT58" s="65">
        <v>0</v>
      </c>
      <c r="CU58" s="66">
        <v>1</v>
      </c>
      <c r="CV58" s="1" t="s">
        <v>274</v>
      </c>
      <c r="CW58" s="65">
        <v>3</v>
      </c>
      <c r="CX58" s="65">
        <v>1</v>
      </c>
      <c r="CY58" s="65">
        <v>0</v>
      </c>
      <c r="CZ58" s="65">
        <v>1</v>
      </c>
      <c r="DA58" s="65">
        <v>2</v>
      </c>
      <c r="DB58" s="65">
        <v>0</v>
      </c>
      <c r="DC58" s="65">
        <v>0</v>
      </c>
      <c r="DD58" s="65">
        <v>0</v>
      </c>
      <c r="DE58" s="66">
        <v>0</v>
      </c>
      <c r="DF58" s="1" t="s">
        <v>271</v>
      </c>
      <c r="DG58" s="65">
        <v>4</v>
      </c>
      <c r="DH58" s="65">
        <v>1</v>
      </c>
      <c r="DI58" s="65">
        <v>1</v>
      </c>
      <c r="DJ58" s="65">
        <v>1</v>
      </c>
      <c r="DK58" s="65">
        <v>0</v>
      </c>
      <c r="DL58" s="65">
        <v>1</v>
      </c>
      <c r="DM58" s="65">
        <v>0</v>
      </c>
      <c r="DN58" s="65">
        <v>0</v>
      </c>
      <c r="DO58" s="66">
        <v>1</v>
      </c>
      <c r="DP58" s="1" t="s">
        <v>386</v>
      </c>
      <c r="DQ58" s="65">
        <v>4</v>
      </c>
      <c r="DR58" s="65">
        <v>0</v>
      </c>
      <c r="DS58" s="65">
        <v>0</v>
      </c>
      <c r="DT58" s="65">
        <v>1</v>
      </c>
      <c r="DU58" s="65">
        <v>0</v>
      </c>
      <c r="DV58" s="65">
        <v>2</v>
      </c>
      <c r="DW58" s="65">
        <v>0</v>
      </c>
      <c r="DX58" s="65">
        <v>0</v>
      </c>
      <c r="DY58" s="66">
        <v>0</v>
      </c>
      <c r="DZ58" s="67">
        <f>6+2/3</f>
        <v>6.666666666666667</v>
      </c>
      <c r="EA58" s="68">
        <v>0</v>
      </c>
      <c r="EB58" s="68">
        <v>0</v>
      </c>
      <c r="EC58" s="69">
        <f>2+1/3</f>
        <v>2.3333333333333335</v>
      </c>
      <c r="ED58" s="68">
        <v>0</v>
      </c>
      <c r="EE58" s="70">
        <v>0</v>
      </c>
      <c r="EF58" s="71">
        <v>0</v>
      </c>
      <c r="EG58" s="72">
        <v>4</v>
      </c>
      <c r="EH58" s="72">
        <v>0</v>
      </c>
      <c r="EI58" s="72">
        <v>0</v>
      </c>
      <c r="EJ58" s="72">
        <v>0</v>
      </c>
      <c r="EK58" s="72">
        <v>1</v>
      </c>
      <c r="EL58" s="72">
        <v>1</v>
      </c>
      <c r="EM58" s="72">
        <v>0</v>
      </c>
      <c r="EN58" s="72">
        <v>0</v>
      </c>
      <c r="EO58" s="72"/>
      <c r="EP58" s="72"/>
      <c r="EQ58" s="72"/>
      <c r="ER58" s="72"/>
      <c r="ES58" s="44">
        <f t="shared" si="24"/>
        <v>6</v>
      </c>
      <c r="ET58" s="43">
        <v>0</v>
      </c>
      <c r="EU58" s="43">
        <v>2</v>
      </c>
      <c r="EV58" s="43">
        <v>0</v>
      </c>
      <c r="EW58" s="43">
        <v>7</v>
      </c>
      <c r="EX58" s="43">
        <v>0</v>
      </c>
      <c r="EY58" s="43">
        <v>0</v>
      </c>
      <c r="EZ58" s="43">
        <v>0</v>
      </c>
      <c r="FA58" s="43">
        <v>0</v>
      </c>
      <c r="FB58" s="43"/>
      <c r="FC58" s="43"/>
      <c r="FD58" s="43"/>
      <c r="FE58" s="43"/>
      <c r="FF58" s="43"/>
      <c r="FG58" s="43">
        <f t="shared" si="25"/>
        <v>9</v>
      </c>
      <c r="FH58" s="73">
        <v>35</v>
      </c>
      <c r="FI58" s="73">
        <v>6</v>
      </c>
      <c r="FJ58" s="73">
        <v>8</v>
      </c>
      <c r="FK58" s="73">
        <v>6</v>
      </c>
      <c r="FL58" s="73">
        <v>6</v>
      </c>
      <c r="FM58" s="73">
        <v>12</v>
      </c>
      <c r="FN58" s="73">
        <f t="shared" si="26"/>
        <v>0</v>
      </c>
      <c r="FO58" s="73">
        <f t="shared" si="27"/>
        <v>0</v>
      </c>
      <c r="FP58" s="73">
        <f t="shared" si="28"/>
        <v>0</v>
      </c>
      <c r="FQ58" s="73">
        <f t="shared" si="29"/>
        <v>0</v>
      </c>
      <c r="FR58" s="73">
        <f t="shared" si="30"/>
        <v>0</v>
      </c>
      <c r="FS58" s="73">
        <f t="shared" si="31"/>
        <v>0</v>
      </c>
      <c r="FT58" s="73">
        <f t="shared" si="32"/>
        <v>0</v>
      </c>
      <c r="FU58" s="73">
        <f t="shared" si="33"/>
        <v>0</v>
      </c>
      <c r="FV58" s="73">
        <f t="shared" si="34"/>
        <v>0</v>
      </c>
      <c r="FW58" s="73">
        <f t="shared" si="35"/>
        <v>2</v>
      </c>
      <c r="FX58" s="73">
        <f t="shared" si="36"/>
        <v>0</v>
      </c>
      <c r="FY58" s="73">
        <f t="shared" si="37"/>
        <v>-7</v>
      </c>
      <c r="FZ58" s="73">
        <f t="shared" si="38"/>
        <v>0</v>
      </c>
      <c r="GA58" s="73">
        <f t="shared" si="39"/>
        <v>1</v>
      </c>
      <c r="GB58" s="73">
        <f t="shared" si="40"/>
        <v>1</v>
      </c>
      <c r="GC58" s="73">
        <f t="shared" si="41"/>
        <v>0</v>
      </c>
      <c r="GD58" s="73">
        <f t="shared" si="42"/>
        <v>0</v>
      </c>
      <c r="GE58" s="73">
        <f t="shared" si="43"/>
        <v>0</v>
      </c>
      <c r="GF58" s="73">
        <f t="shared" si="44"/>
        <v>0</v>
      </c>
      <c r="GG58" s="73">
        <f t="shared" si="45"/>
        <v>0</v>
      </c>
      <c r="GH58" s="73">
        <f t="shared" si="46"/>
        <v>0</v>
      </c>
      <c r="GI58" s="73">
        <f t="shared" si="47"/>
        <v>-3</v>
      </c>
      <c r="GJ58" s="38"/>
      <c r="GK58" s="367"/>
      <c r="GL58" s="376"/>
      <c r="GM58" s="376"/>
      <c r="GP58" s="52"/>
    </row>
    <row r="59" spans="1:198" x14ac:dyDescent="0.25">
      <c r="A59" s="53">
        <v>40334</v>
      </c>
      <c r="B59" s="53" t="s">
        <v>133</v>
      </c>
      <c r="C59" s="53" t="s">
        <v>131</v>
      </c>
      <c r="D59" s="53" t="s">
        <v>143</v>
      </c>
      <c r="E59" s="54">
        <v>25853</v>
      </c>
      <c r="F59" s="62">
        <v>145</v>
      </c>
      <c r="G59" s="58">
        <v>1</v>
      </c>
      <c r="H59" s="59" t="s">
        <v>392</v>
      </c>
      <c r="I59" s="6">
        <v>0</v>
      </c>
      <c r="J59" s="6">
        <v>1</v>
      </c>
      <c r="K59" s="60">
        <v>7</v>
      </c>
      <c r="L59" s="6">
        <v>10</v>
      </c>
      <c r="M59" s="6">
        <v>6</v>
      </c>
      <c r="N59" s="6">
        <v>3</v>
      </c>
      <c r="O59" s="6">
        <v>1</v>
      </c>
      <c r="P59" s="6">
        <v>4</v>
      </c>
      <c r="Q59" s="6">
        <v>1</v>
      </c>
      <c r="R59" s="6">
        <v>0</v>
      </c>
      <c r="S59" s="6">
        <v>32</v>
      </c>
      <c r="T59" s="6">
        <v>106</v>
      </c>
      <c r="U59" s="6">
        <v>69</v>
      </c>
      <c r="V59" s="6">
        <v>0</v>
      </c>
      <c r="W59" s="61">
        <v>0</v>
      </c>
      <c r="X59" s="62">
        <v>0</v>
      </c>
      <c r="Y59" s="62">
        <v>0</v>
      </c>
      <c r="Z59" s="62">
        <v>0</v>
      </c>
      <c r="AA59" s="62">
        <v>0</v>
      </c>
      <c r="AB59" s="62">
        <v>0</v>
      </c>
      <c r="AC59" s="63">
        <v>1</v>
      </c>
      <c r="AD59" s="62">
        <v>0</v>
      </c>
      <c r="AE59" s="62">
        <v>0</v>
      </c>
      <c r="AF59" s="62">
        <v>0</v>
      </c>
      <c r="AG59" s="62">
        <v>1</v>
      </c>
      <c r="AH59" s="62">
        <v>1</v>
      </c>
      <c r="AI59" s="62">
        <v>0</v>
      </c>
      <c r="AJ59" s="62">
        <v>0</v>
      </c>
      <c r="AK59" s="62">
        <v>3</v>
      </c>
      <c r="AL59" s="62">
        <v>13</v>
      </c>
      <c r="AM59" s="62">
        <v>6</v>
      </c>
      <c r="AN59" s="1" t="s">
        <v>275</v>
      </c>
      <c r="AO59" s="65">
        <v>4</v>
      </c>
      <c r="AP59" s="65">
        <v>0</v>
      </c>
      <c r="AQ59" s="65">
        <v>0</v>
      </c>
      <c r="AR59" s="65">
        <v>0</v>
      </c>
      <c r="AS59" s="65">
        <v>0</v>
      </c>
      <c r="AT59" s="65">
        <v>0</v>
      </c>
      <c r="AU59" s="65">
        <v>0</v>
      </c>
      <c r="AV59" s="65">
        <v>0</v>
      </c>
      <c r="AW59" s="66">
        <v>0</v>
      </c>
      <c r="AX59" s="1" t="s">
        <v>391</v>
      </c>
      <c r="AY59" s="65">
        <v>4</v>
      </c>
      <c r="AZ59" s="65">
        <v>0</v>
      </c>
      <c r="BA59" s="65">
        <v>0</v>
      </c>
      <c r="BB59" s="65">
        <v>0</v>
      </c>
      <c r="BC59" s="65">
        <v>0</v>
      </c>
      <c r="BD59" s="65">
        <v>0</v>
      </c>
      <c r="BE59" s="65">
        <v>0</v>
      </c>
      <c r="BF59" s="65">
        <v>0</v>
      </c>
      <c r="BG59" s="66">
        <v>0</v>
      </c>
      <c r="BH59" s="1" t="s">
        <v>390</v>
      </c>
      <c r="BI59" s="65">
        <v>4</v>
      </c>
      <c r="BJ59" s="65">
        <v>0</v>
      </c>
      <c r="BK59" s="65">
        <v>1</v>
      </c>
      <c r="BL59" s="65">
        <v>0</v>
      </c>
      <c r="BM59" s="65">
        <v>0</v>
      </c>
      <c r="BN59" s="65">
        <v>2</v>
      </c>
      <c r="BO59" s="65">
        <v>0</v>
      </c>
      <c r="BP59" s="65">
        <v>0</v>
      </c>
      <c r="BQ59" s="66">
        <v>2</v>
      </c>
      <c r="BR59" s="1" t="s">
        <v>389</v>
      </c>
      <c r="BS59" s="65">
        <v>4</v>
      </c>
      <c r="BT59" s="65">
        <v>0</v>
      </c>
      <c r="BU59" s="65">
        <v>1</v>
      </c>
      <c r="BV59" s="65">
        <v>0</v>
      </c>
      <c r="BW59" s="65">
        <v>0</v>
      </c>
      <c r="BX59" s="65">
        <v>0</v>
      </c>
      <c r="BY59" s="65">
        <v>0</v>
      </c>
      <c r="BZ59" s="65">
        <v>0</v>
      </c>
      <c r="CA59" s="66">
        <v>1</v>
      </c>
      <c r="CB59" s="1" t="s">
        <v>274</v>
      </c>
      <c r="CC59" s="65">
        <v>4</v>
      </c>
      <c r="CD59" s="65">
        <v>0</v>
      </c>
      <c r="CE59" s="65">
        <v>0</v>
      </c>
      <c r="CF59" s="65">
        <v>0</v>
      </c>
      <c r="CG59" s="65">
        <v>0</v>
      </c>
      <c r="CH59" s="65">
        <v>1</v>
      </c>
      <c r="CI59" s="65">
        <v>0</v>
      </c>
      <c r="CJ59" s="65">
        <v>0</v>
      </c>
      <c r="CK59" s="66">
        <v>0</v>
      </c>
      <c r="CL59" s="1" t="s">
        <v>404</v>
      </c>
      <c r="CM59" s="65">
        <v>4</v>
      </c>
      <c r="CN59" s="65">
        <v>0</v>
      </c>
      <c r="CO59" s="65">
        <v>1</v>
      </c>
      <c r="CP59" s="65">
        <v>0</v>
      </c>
      <c r="CQ59" s="65">
        <v>0</v>
      </c>
      <c r="CR59" s="65">
        <v>0</v>
      </c>
      <c r="CS59" s="65">
        <v>0</v>
      </c>
      <c r="CT59" s="65">
        <v>0</v>
      </c>
      <c r="CU59" s="66">
        <v>2</v>
      </c>
      <c r="CV59" s="1" t="s">
        <v>271</v>
      </c>
      <c r="CW59" s="65">
        <v>3</v>
      </c>
      <c r="CX59" s="65">
        <v>1</v>
      </c>
      <c r="CY59" s="65">
        <v>1</v>
      </c>
      <c r="CZ59" s="65">
        <v>1</v>
      </c>
      <c r="DA59" s="65">
        <v>0</v>
      </c>
      <c r="DB59" s="65">
        <v>0</v>
      </c>
      <c r="DC59" s="65">
        <v>0</v>
      </c>
      <c r="DD59" s="65">
        <v>0</v>
      </c>
      <c r="DE59" s="66">
        <v>4</v>
      </c>
      <c r="DF59" s="1" t="s">
        <v>385</v>
      </c>
      <c r="DG59" s="65">
        <v>3</v>
      </c>
      <c r="DH59" s="65">
        <v>0</v>
      </c>
      <c r="DI59" s="65">
        <v>1</v>
      </c>
      <c r="DJ59" s="65">
        <v>0</v>
      </c>
      <c r="DK59" s="65">
        <v>0</v>
      </c>
      <c r="DL59" s="65">
        <v>1</v>
      </c>
      <c r="DM59" s="65">
        <v>0</v>
      </c>
      <c r="DN59" s="65">
        <v>0</v>
      </c>
      <c r="DO59" s="66">
        <v>1</v>
      </c>
      <c r="DP59" s="1" t="s">
        <v>273</v>
      </c>
      <c r="DQ59" s="65">
        <v>3</v>
      </c>
      <c r="DR59" s="65">
        <v>0</v>
      </c>
      <c r="DS59" s="65">
        <v>0</v>
      </c>
      <c r="DT59" s="65">
        <v>0</v>
      </c>
      <c r="DU59" s="65">
        <v>0</v>
      </c>
      <c r="DV59" s="65">
        <v>0</v>
      </c>
      <c r="DW59" s="65">
        <v>0</v>
      </c>
      <c r="DX59" s="65">
        <v>0</v>
      </c>
      <c r="DY59" s="66">
        <v>0</v>
      </c>
      <c r="DZ59" s="67">
        <v>0</v>
      </c>
      <c r="EA59" s="68">
        <v>0</v>
      </c>
      <c r="EB59" s="68">
        <v>0</v>
      </c>
      <c r="EC59" s="69">
        <v>9</v>
      </c>
      <c r="ED59" s="68">
        <v>2</v>
      </c>
      <c r="EE59" s="70">
        <v>1</v>
      </c>
      <c r="EF59" s="71">
        <v>0</v>
      </c>
      <c r="EG59" s="72">
        <v>1</v>
      </c>
      <c r="EH59" s="72">
        <v>0</v>
      </c>
      <c r="EI59" s="72">
        <v>0</v>
      </c>
      <c r="EJ59" s="72">
        <v>0</v>
      </c>
      <c r="EK59" s="72">
        <v>0</v>
      </c>
      <c r="EL59" s="72">
        <v>0</v>
      </c>
      <c r="EM59" s="72">
        <v>0</v>
      </c>
      <c r="EN59" s="72">
        <v>0</v>
      </c>
      <c r="EO59" s="72"/>
      <c r="EP59" s="72"/>
      <c r="EQ59" s="72"/>
      <c r="ER59" s="72"/>
      <c r="ES59" s="44">
        <f t="shared" si="24"/>
        <v>1</v>
      </c>
      <c r="ET59" s="43">
        <v>3</v>
      </c>
      <c r="EU59" s="43">
        <v>1</v>
      </c>
      <c r="EV59" s="43">
        <v>0</v>
      </c>
      <c r="EW59" s="43">
        <v>0</v>
      </c>
      <c r="EX59" s="43">
        <v>0</v>
      </c>
      <c r="EY59" s="43">
        <v>2</v>
      </c>
      <c r="EZ59" s="43">
        <v>0</v>
      </c>
      <c r="FA59" s="43">
        <v>0</v>
      </c>
      <c r="FB59" s="43"/>
      <c r="FC59" s="43"/>
      <c r="FD59" s="43"/>
      <c r="FE59" s="43"/>
      <c r="FF59" s="43"/>
      <c r="FG59" s="43">
        <f t="shared" si="25"/>
        <v>6</v>
      </c>
      <c r="FH59" s="73">
        <v>33</v>
      </c>
      <c r="FI59" s="73">
        <v>1</v>
      </c>
      <c r="FJ59" s="73">
        <v>5</v>
      </c>
      <c r="FK59" s="73">
        <v>1</v>
      </c>
      <c r="FL59" s="73">
        <v>0</v>
      </c>
      <c r="FM59" s="73">
        <v>4</v>
      </c>
      <c r="FN59" s="73">
        <f t="shared" si="26"/>
        <v>0</v>
      </c>
      <c r="FO59" s="73">
        <f t="shared" si="27"/>
        <v>0</v>
      </c>
      <c r="FP59" s="73">
        <f t="shared" si="28"/>
        <v>0</v>
      </c>
      <c r="FQ59" s="73">
        <f t="shared" si="29"/>
        <v>0</v>
      </c>
      <c r="FR59" s="73">
        <f t="shared" si="30"/>
        <v>0</v>
      </c>
      <c r="FS59" s="73">
        <f t="shared" si="31"/>
        <v>0</v>
      </c>
      <c r="FT59" s="73">
        <f t="shared" si="32"/>
        <v>0</v>
      </c>
      <c r="FU59" s="73">
        <f t="shared" si="33"/>
        <v>0</v>
      </c>
      <c r="FV59" s="73">
        <f t="shared" si="34"/>
        <v>-3</v>
      </c>
      <c r="FW59" s="73">
        <f t="shared" si="35"/>
        <v>0</v>
      </c>
      <c r="FX59" s="73">
        <f t="shared" si="36"/>
        <v>0</v>
      </c>
      <c r="FY59" s="73">
        <f t="shared" si="37"/>
        <v>0</v>
      </c>
      <c r="FZ59" s="73">
        <f t="shared" si="38"/>
        <v>0</v>
      </c>
      <c r="GA59" s="73">
        <f t="shared" si="39"/>
        <v>-2</v>
      </c>
      <c r="GB59" s="73">
        <f t="shared" si="40"/>
        <v>0</v>
      </c>
      <c r="GC59" s="73">
        <f t="shared" si="41"/>
        <v>0</v>
      </c>
      <c r="GD59" s="73">
        <f t="shared" si="42"/>
        <v>0</v>
      </c>
      <c r="GE59" s="73">
        <f t="shared" si="43"/>
        <v>0</v>
      </c>
      <c r="GF59" s="73">
        <f t="shared" si="44"/>
        <v>0</v>
      </c>
      <c r="GG59" s="73">
        <f t="shared" si="45"/>
        <v>0</v>
      </c>
      <c r="GH59" s="73">
        <f t="shared" si="46"/>
        <v>0</v>
      </c>
      <c r="GI59" s="73">
        <f t="shared" si="47"/>
        <v>-5</v>
      </c>
      <c r="GJ59" s="38"/>
      <c r="GK59" s="367"/>
      <c r="GL59" s="376"/>
      <c r="GM59" s="376"/>
      <c r="GP59" s="52"/>
    </row>
    <row r="60" spans="1:198" x14ac:dyDescent="0.25">
      <c r="A60" s="53">
        <v>40335</v>
      </c>
      <c r="B60" s="53" t="s">
        <v>133</v>
      </c>
      <c r="C60" s="53" t="s">
        <v>129</v>
      </c>
      <c r="D60" s="53" t="s">
        <v>143</v>
      </c>
      <c r="E60" s="54">
        <v>26932</v>
      </c>
      <c r="F60" s="62">
        <v>246</v>
      </c>
      <c r="G60" s="58">
        <v>2</v>
      </c>
      <c r="H60" s="89" t="s">
        <v>396</v>
      </c>
      <c r="I60" s="6">
        <v>1</v>
      </c>
      <c r="J60" s="6">
        <v>0</v>
      </c>
      <c r="K60" s="60">
        <f>5+2/3</f>
        <v>5.666666666666667</v>
      </c>
      <c r="L60" s="6">
        <v>6</v>
      </c>
      <c r="M60" s="6">
        <v>4</v>
      </c>
      <c r="N60" s="6">
        <v>4</v>
      </c>
      <c r="O60" s="6">
        <v>2</v>
      </c>
      <c r="P60" s="6">
        <v>4</v>
      </c>
      <c r="Q60" s="6">
        <v>1</v>
      </c>
      <c r="R60" s="6">
        <v>0</v>
      </c>
      <c r="S60" s="6">
        <v>24</v>
      </c>
      <c r="T60" s="6">
        <v>108</v>
      </c>
      <c r="U60" s="6">
        <v>67</v>
      </c>
      <c r="V60" s="6">
        <v>1</v>
      </c>
      <c r="W60" s="61">
        <v>1</v>
      </c>
      <c r="X60" s="62">
        <v>0</v>
      </c>
      <c r="Y60" s="62">
        <v>0</v>
      </c>
      <c r="Z60" s="62">
        <v>2</v>
      </c>
      <c r="AA60" s="62">
        <v>0</v>
      </c>
      <c r="AB60" s="62">
        <v>0</v>
      </c>
      <c r="AC60" s="63">
        <f>3+1/3</f>
        <v>3.3333333333333335</v>
      </c>
      <c r="AD60" s="62">
        <v>4</v>
      </c>
      <c r="AE60" s="62">
        <v>1</v>
      </c>
      <c r="AF60" s="62">
        <v>1</v>
      </c>
      <c r="AG60" s="62">
        <v>0</v>
      </c>
      <c r="AH60" s="62">
        <v>7</v>
      </c>
      <c r="AI60" s="62">
        <v>1</v>
      </c>
      <c r="AJ60" s="62">
        <v>1</v>
      </c>
      <c r="AK60" s="62">
        <v>14</v>
      </c>
      <c r="AL60" s="62">
        <v>75</v>
      </c>
      <c r="AM60" s="62">
        <v>46</v>
      </c>
      <c r="AN60" s="1" t="s">
        <v>275</v>
      </c>
      <c r="AO60" s="65">
        <v>5</v>
      </c>
      <c r="AP60" s="65">
        <v>2</v>
      </c>
      <c r="AQ60" s="65">
        <v>3</v>
      </c>
      <c r="AR60" s="65">
        <v>5</v>
      </c>
      <c r="AS60" s="65">
        <v>1</v>
      </c>
      <c r="AT60" s="65">
        <v>1</v>
      </c>
      <c r="AU60" s="65">
        <v>0</v>
      </c>
      <c r="AV60" s="65">
        <v>0</v>
      </c>
      <c r="AW60" s="66">
        <v>7</v>
      </c>
      <c r="AX60" s="1" t="s">
        <v>391</v>
      </c>
      <c r="AY60" s="65">
        <v>6</v>
      </c>
      <c r="AZ60" s="65">
        <v>0</v>
      </c>
      <c r="BA60" s="65">
        <v>0</v>
      </c>
      <c r="BB60" s="65">
        <v>0</v>
      </c>
      <c r="BC60" s="65">
        <v>0</v>
      </c>
      <c r="BD60" s="65">
        <v>1</v>
      </c>
      <c r="BE60" s="65">
        <v>0</v>
      </c>
      <c r="BF60" s="65">
        <v>0</v>
      </c>
      <c r="BG60" s="66">
        <v>0</v>
      </c>
      <c r="BH60" s="1" t="s">
        <v>390</v>
      </c>
      <c r="BI60" s="65">
        <v>3</v>
      </c>
      <c r="BJ60" s="65">
        <v>0</v>
      </c>
      <c r="BK60" s="65">
        <v>1</v>
      </c>
      <c r="BL60" s="65">
        <v>1</v>
      </c>
      <c r="BM60" s="65">
        <v>1</v>
      </c>
      <c r="BN60" s="65">
        <v>0</v>
      </c>
      <c r="BO60" s="65">
        <v>1</v>
      </c>
      <c r="BP60" s="65">
        <v>0</v>
      </c>
      <c r="BQ60" s="66">
        <v>1</v>
      </c>
      <c r="BR60" s="1" t="s">
        <v>389</v>
      </c>
      <c r="BS60" s="65">
        <v>3</v>
      </c>
      <c r="BT60" s="65">
        <v>0</v>
      </c>
      <c r="BU60" s="65">
        <v>1</v>
      </c>
      <c r="BV60" s="65">
        <v>1</v>
      </c>
      <c r="BW60" s="65">
        <v>2</v>
      </c>
      <c r="BX60" s="65">
        <v>0</v>
      </c>
      <c r="BY60" s="65">
        <v>0</v>
      </c>
      <c r="BZ60" s="65">
        <v>0</v>
      </c>
      <c r="CA60" s="66">
        <v>1</v>
      </c>
      <c r="CB60" s="1" t="s">
        <v>274</v>
      </c>
      <c r="CC60" s="65">
        <v>5</v>
      </c>
      <c r="CD60" s="65">
        <v>1</v>
      </c>
      <c r="CE60" s="65">
        <v>2</v>
      </c>
      <c r="CF60" s="65">
        <v>1</v>
      </c>
      <c r="CG60" s="65">
        <v>0</v>
      </c>
      <c r="CH60" s="65">
        <v>2</v>
      </c>
      <c r="CI60" s="65">
        <v>0</v>
      </c>
      <c r="CJ60" s="65">
        <v>0</v>
      </c>
      <c r="CK60" s="66">
        <v>5</v>
      </c>
      <c r="CL60" s="1" t="s">
        <v>388</v>
      </c>
      <c r="CM60" s="65">
        <v>4</v>
      </c>
      <c r="CN60" s="65">
        <v>0</v>
      </c>
      <c r="CO60" s="65">
        <v>0</v>
      </c>
      <c r="CP60" s="65">
        <v>0</v>
      </c>
      <c r="CQ60" s="65">
        <v>1</v>
      </c>
      <c r="CR60" s="65">
        <v>1</v>
      </c>
      <c r="CS60" s="65">
        <v>0</v>
      </c>
      <c r="CT60" s="65">
        <v>0</v>
      </c>
      <c r="CU60" s="66">
        <v>0</v>
      </c>
      <c r="CV60" s="1" t="s">
        <v>271</v>
      </c>
      <c r="CW60" s="65">
        <v>5</v>
      </c>
      <c r="CX60" s="65">
        <v>1</v>
      </c>
      <c r="CY60" s="65">
        <v>1</v>
      </c>
      <c r="CZ60" s="65">
        <v>0</v>
      </c>
      <c r="DA60" s="65">
        <v>0</v>
      </c>
      <c r="DB60" s="65">
        <v>3</v>
      </c>
      <c r="DC60" s="65">
        <v>0</v>
      </c>
      <c r="DD60" s="65">
        <v>0</v>
      </c>
      <c r="DE60" s="66">
        <v>1</v>
      </c>
      <c r="DF60" s="1" t="s">
        <v>385</v>
      </c>
      <c r="DG60" s="65">
        <v>5</v>
      </c>
      <c r="DH60" s="65">
        <v>2</v>
      </c>
      <c r="DI60" s="65">
        <v>2</v>
      </c>
      <c r="DJ60" s="65">
        <v>0</v>
      </c>
      <c r="DK60" s="65">
        <v>0</v>
      </c>
      <c r="DL60" s="65">
        <v>1</v>
      </c>
      <c r="DM60" s="65">
        <v>0</v>
      </c>
      <c r="DN60" s="65">
        <v>0</v>
      </c>
      <c r="DO60" s="66">
        <v>2</v>
      </c>
      <c r="DP60" s="1" t="s">
        <v>273</v>
      </c>
      <c r="DQ60" s="65">
        <v>4</v>
      </c>
      <c r="DR60" s="65">
        <v>3</v>
      </c>
      <c r="DS60" s="65">
        <v>3</v>
      </c>
      <c r="DT60" s="65">
        <v>1</v>
      </c>
      <c r="DU60" s="65">
        <v>1</v>
      </c>
      <c r="DV60" s="65">
        <v>0</v>
      </c>
      <c r="DW60" s="65">
        <v>0</v>
      </c>
      <c r="DX60" s="65">
        <v>0</v>
      </c>
      <c r="DY60" s="66">
        <v>4</v>
      </c>
      <c r="DZ60" s="67">
        <v>0</v>
      </c>
      <c r="EA60" s="68">
        <v>0</v>
      </c>
      <c r="EB60" s="68">
        <v>0</v>
      </c>
      <c r="EC60" s="69">
        <v>9</v>
      </c>
      <c r="ED60" s="68">
        <v>3</v>
      </c>
      <c r="EE60" s="70">
        <v>0</v>
      </c>
      <c r="EF60" s="71">
        <v>0</v>
      </c>
      <c r="EG60" s="72">
        <v>0</v>
      </c>
      <c r="EH60" s="72">
        <v>2</v>
      </c>
      <c r="EI60" s="72">
        <v>1</v>
      </c>
      <c r="EJ60" s="72">
        <v>1</v>
      </c>
      <c r="EK60" s="72">
        <v>1</v>
      </c>
      <c r="EL60" s="72">
        <v>0</v>
      </c>
      <c r="EM60" s="72">
        <v>3</v>
      </c>
      <c r="EN60" s="72">
        <v>1</v>
      </c>
      <c r="EO60" s="72"/>
      <c r="EP60" s="72"/>
      <c r="EQ60" s="72"/>
      <c r="ER60" s="72"/>
      <c r="ES60" s="44">
        <f t="shared" si="24"/>
        <v>9</v>
      </c>
      <c r="ET60" s="43">
        <v>0</v>
      </c>
      <c r="EU60" s="43">
        <v>1</v>
      </c>
      <c r="EV60" s="43">
        <v>0</v>
      </c>
      <c r="EW60" s="43">
        <v>1</v>
      </c>
      <c r="EX60" s="43">
        <v>0</v>
      </c>
      <c r="EY60" s="43">
        <v>2</v>
      </c>
      <c r="EZ60" s="43">
        <v>0</v>
      </c>
      <c r="FA60" s="43">
        <v>0</v>
      </c>
      <c r="FB60" s="43">
        <v>1</v>
      </c>
      <c r="FC60" s="43"/>
      <c r="FD60" s="43"/>
      <c r="FE60" s="43"/>
      <c r="FF60" s="43"/>
      <c r="FG60" s="43">
        <f t="shared" si="25"/>
        <v>5</v>
      </c>
      <c r="FH60" s="73">
        <v>40</v>
      </c>
      <c r="FI60" s="73">
        <v>9</v>
      </c>
      <c r="FJ60" s="73">
        <v>13</v>
      </c>
      <c r="FK60" s="73">
        <v>9</v>
      </c>
      <c r="FL60" s="73">
        <v>6</v>
      </c>
      <c r="FM60" s="73">
        <v>9</v>
      </c>
      <c r="FN60" s="73">
        <f t="shared" si="26"/>
        <v>0</v>
      </c>
      <c r="FO60" s="73">
        <f t="shared" si="27"/>
        <v>0</v>
      </c>
      <c r="FP60" s="73">
        <f t="shared" si="28"/>
        <v>0</v>
      </c>
      <c r="FQ60" s="73">
        <f t="shared" si="29"/>
        <v>0</v>
      </c>
      <c r="FR60" s="73">
        <f t="shared" si="30"/>
        <v>0</v>
      </c>
      <c r="FS60" s="73">
        <f t="shared" si="31"/>
        <v>0</v>
      </c>
      <c r="FT60" s="73">
        <f t="shared" si="32"/>
        <v>0</v>
      </c>
      <c r="FU60" s="73">
        <f t="shared" si="33"/>
        <v>0</v>
      </c>
      <c r="FV60" s="73">
        <f t="shared" si="34"/>
        <v>0</v>
      </c>
      <c r="FW60" s="73">
        <f t="shared" si="35"/>
        <v>-1</v>
      </c>
      <c r="FX60" s="73">
        <f t="shared" si="36"/>
        <v>2</v>
      </c>
      <c r="FY60" s="73">
        <f t="shared" si="37"/>
        <v>0</v>
      </c>
      <c r="FZ60" s="73">
        <f t="shared" si="38"/>
        <v>1</v>
      </c>
      <c r="GA60" s="73">
        <f t="shared" si="39"/>
        <v>-1</v>
      </c>
      <c r="GB60" s="73">
        <f t="shared" si="40"/>
        <v>0</v>
      </c>
      <c r="GC60" s="73">
        <f t="shared" si="41"/>
        <v>3</v>
      </c>
      <c r="GD60" s="73">
        <f t="shared" si="42"/>
        <v>0</v>
      </c>
      <c r="GE60" s="73">
        <f t="shared" si="43"/>
        <v>0</v>
      </c>
      <c r="GF60" s="73">
        <f t="shared" si="44"/>
        <v>0</v>
      </c>
      <c r="GG60" s="73">
        <f t="shared" si="45"/>
        <v>0</v>
      </c>
      <c r="GH60" s="73">
        <f t="shared" si="46"/>
        <v>0</v>
      </c>
      <c r="GI60" s="73">
        <f t="shared" si="47"/>
        <v>4</v>
      </c>
      <c r="GJ60" s="38"/>
      <c r="GK60" s="367"/>
      <c r="GL60" s="376"/>
      <c r="GM60" s="376"/>
      <c r="GP60" s="52"/>
    </row>
    <row r="61" spans="1:198" x14ac:dyDescent="0.25">
      <c r="A61" s="53">
        <v>40337</v>
      </c>
      <c r="B61" s="53" t="s">
        <v>19</v>
      </c>
      <c r="C61" s="53" t="s">
        <v>129</v>
      </c>
      <c r="D61" s="53" t="s">
        <v>136</v>
      </c>
      <c r="E61" s="54">
        <v>12937</v>
      </c>
      <c r="F61" s="62">
        <v>174</v>
      </c>
      <c r="G61" s="58">
        <v>3</v>
      </c>
      <c r="H61" s="59" t="s">
        <v>395</v>
      </c>
      <c r="I61" s="6">
        <v>1</v>
      </c>
      <c r="J61" s="6">
        <v>0</v>
      </c>
      <c r="K61" s="60">
        <v>9</v>
      </c>
      <c r="L61" s="6">
        <v>2</v>
      </c>
      <c r="M61" s="6">
        <v>0</v>
      </c>
      <c r="N61" s="6">
        <v>0</v>
      </c>
      <c r="O61" s="6">
        <v>1</v>
      </c>
      <c r="P61" s="6">
        <v>6</v>
      </c>
      <c r="Q61" s="6">
        <v>0</v>
      </c>
      <c r="R61" s="6">
        <v>1</v>
      </c>
      <c r="S61" s="6">
        <v>30</v>
      </c>
      <c r="T61" s="6">
        <v>114</v>
      </c>
      <c r="U61" s="6">
        <v>69</v>
      </c>
      <c r="V61" s="6">
        <v>0</v>
      </c>
      <c r="W61" s="61">
        <v>0</v>
      </c>
      <c r="X61" s="62">
        <v>0</v>
      </c>
      <c r="Y61" s="62">
        <v>0</v>
      </c>
      <c r="Z61" s="62">
        <v>0</v>
      </c>
      <c r="AA61" s="62">
        <v>0</v>
      </c>
      <c r="AB61" s="62">
        <v>0</v>
      </c>
      <c r="AC61" s="63">
        <v>0</v>
      </c>
      <c r="AD61" s="62">
        <v>0</v>
      </c>
      <c r="AE61" s="62">
        <v>0</v>
      </c>
      <c r="AF61" s="62">
        <v>0</v>
      </c>
      <c r="AG61" s="62">
        <v>0</v>
      </c>
      <c r="AH61" s="62">
        <v>0</v>
      </c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1" t="s">
        <v>273</v>
      </c>
      <c r="AO61" s="65">
        <v>4</v>
      </c>
      <c r="AP61" s="65">
        <v>2</v>
      </c>
      <c r="AQ61" s="65">
        <v>2</v>
      </c>
      <c r="AR61" s="65">
        <v>0</v>
      </c>
      <c r="AS61" s="65">
        <v>1</v>
      </c>
      <c r="AT61" s="65">
        <v>0</v>
      </c>
      <c r="AU61" s="65">
        <v>0</v>
      </c>
      <c r="AV61" s="65">
        <v>0</v>
      </c>
      <c r="AW61" s="66">
        <v>2</v>
      </c>
      <c r="AX61" s="1" t="s">
        <v>271</v>
      </c>
      <c r="AY61" s="65">
        <v>4</v>
      </c>
      <c r="AZ61" s="65">
        <v>1</v>
      </c>
      <c r="BA61" s="65">
        <v>1</v>
      </c>
      <c r="BB61" s="65">
        <v>0</v>
      </c>
      <c r="BC61" s="65">
        <v>0</v>
      </c>
      <c r="BD61" s="65">
        <v>1</v>
      </c>
      <c r="BE61" s="65">
        <v>1</v>
      </c>
      <c r="BF61" s="65">
        <v>0</v>
      </c>
      <c r="BG61" s="66">
        <v>1</v>
      </c>
      <c r="BH61" s="1" t="s">
        <v>390</v>
      </c>
      <c r="BI61" s="65">
        <v>5</v>
      </c>
      <c r="BJ61" s="65">
        <v>1</v>
      </c>
      <c r="BK61" s="65">
        <v>3</v>
      </c>
      <c r="BL61" s="65">
        <v>2</v>
      </c>
      <c r="BM61" s="65">
        <v>0</v>
      </c>
      <c r="BN61" s="65">
        <v>1</v>
      </c>
      <c r="BO61" s="65">
        <v>0</v>
      </c>
      <c r="BP61" s="65">
        <v>0</v>
      </c>
      <c r="BQ61" s="66">
        <v>4</v>
      </c>
      <c r="BR61" s="1" t="s">
        <v>389</v>
      </c>
      <c r="BS61" s="65">
        <v>5</v>
      </c>
      <c r="BT61" s="65">
        <v>0</v>
      </c>
      <c r="BU61" s="65">
        <v>1</v>
      </c>
      <c r="BV61" s="65">
        <v>0</v>
      </c>
      <c r="BW61" s="65">
        <v>0</v>
      </c>
      <c r="BX61" s="65">
        <v>2</v>
      </c>
      <c r="BY61" s="65">
        <v>0</v>
      </c>
      <c r="BZ61" s="65">
        <v>0</v>
      </c>
      <c r="CA61" s="66">
        <v>1</v>
      </c>
      <c r="CB61" s="1" t="s">
        <v>272</v>
      </c>
      <c r="CC61" s="65">
        <v>5</v>
      </c>
      <c r="CD61" s="65">
        <v>1</v>
      </c>
      <c r="CE61" s="65">
        <v>2</v>
      </c>
      <c r="CF61" s="65">
        <v>2</v>
      </c>
      <c r="CG61" s="65">
        <v>0</v>
      </c>
      <c r="CH61" s="65">
        <v>0</v>
      </c>
      <c r="CI61" s="65">
        <v>0</v>
      </c>
      <c r="CJ61" s="65">
        <v>0</v>
      </c>
      <c r="CK61" s="66">
        <v>2</v>
      </c>
      <c r="CL61" s="1" t="s">
        <v>388</v>
      </c>
      <c r="CM61" s="65">
        <v>4</v>
      </c>
      <c r="CN61" s="65">
        <v>1</v>
      </c>
      <c r="CO61" s="65">
        <v>0</v>
      </c>
      <c r="CP61" s="65">
        <v>0</v>
      </c>
      <c r="CQ61" s="65">
        <v>1</v>
      </c>
      <c r="CR61" s="65">
        <v>2</v>
      </c>
      <c r="CS61" s="65">
        <v>0</v>
      </c>
      <c r="CT61" s="65">
        <v>0</v>
      </c>
      <c r="CU61" s="66">
        <v>0</v>
      </c>
      <c r="CV61" s="1" t="s">
        <v>274</v>
      </c>
      <c r="CW61" s="65">
        <v>3</v>
      </c>
      <c r="CX61" s="65">
        <v>2</v>
      </c>
      <c r="CY61" s="65">
        <v>2</v>
      </c>
      <c r="CZ61" s="65">
        <v>5</v>
      </c>
      <c r="DA61" s="65">
        <v>1</v>
      </c>
      <c r="DB61" s="65">
        <v>1</v>
      </c>
      <c r="DC61" s="65">
        <v>0</v>
      </c>
      <c r="DD61" s="65">
        <v>0</v>
      </c>
      <c r="DE61" s="66">
        <v>8</v>
      </c>
      <c r="DF61" s="1" t="s">
        <v>386</v>
      </c>
      <c r="DG61" s="65">
        <v>4</v>
      </c>
      <c r="DH61" s="65">
        <v>0</v>
      </c>
      <c r="DI61" s="65">
        <v>1</v>
      </c>
      <c r="DJ61" s="65">
        <v>0</v>
      </c>
      <c r="DK61" s="65">
        <v>0</v>
      </c>
      <c r="DL61" s="65">
        <v>0</v>
      </c>
      <c r="DM61" s="65">
        <v>0</v>
      </c>
      <c r="DN61" s="65">
        <v>0</v>
      </c>
      <c r="DO61" s="66">
        <v>1</v>
      </c>
      <c r="DP61" s="1" t="s">
        <v>385</v>
      </c>
      <c r="DQ61" s="65">
        <v>3</v>
      </c>
      <c r="DR61" s="65">
        <v>1</v>
      </c>
      <c r="DS61" s="65">
        <v>0</v>
      </c>
      <c r="DT61" s="65">
        <v>0</v>
      </c>
      <c r="DU61" s="65">
        <v>1</v>
      </c>
      <c r="DV61" s="65">
        <v>1</v>
      </c>
      <c r="DW61" s="65">
        <v>0</v>
      </c>
      <c r="DX61" s="65">
        <v>0</v>
      </c>
      <c r="DY61" s="66">
        <v>0</v>
      </c>
      <c r="DZ61" s="67">
        <f>6+2/3</f>
        <v>6.666666666666667</v>
      </c>
      <c r="EA61" s="68">
        <v>0</v>
      </c>
      <c r="EB61" s="68">
        <v>0</v>
      </c>
      <c r="EC61" s="69">
        <f>1+1/3</f>
        <v>1.3333333333333333</v>
      </c>
      <c r="ED61" s="68">
        <v>0</v>
      </c>
      <c r="EE61" s="70">
        <v>0</v>
      </c>
      <c r="EF61" s="71">
        <v>0</v>
      </c>
      <c r="EG61" s="72">
        <v>0</v>
      </c>
      <c r="EH61" s="72">
        <v>0</v>
      </c>
      <c r="EI61" s="72">
        <v>1</v>
      </c>
      <c r="EJ61" s="72">
        <v>7</v>
      </c>
      <c r="EK61" s="72">
        <v>1</v>
      </c>
      <c r="EL61" s="72">
        <v>0</v>
      </c>
      <c r="EM61" s="72">
        <v>0</v>
      </c>
      <c r="EN61" s="72"/>
      <c r="EO61" s="72"/>
      <c r="EP61" s="72"/>
      <c r="EQ61" s="72"/>
      <c r="ER61" s="72"/>
      <c r="ES61" s="44">
        <f t="shared" si="24"/>
        <v>9</v>
      </c>
      <c r="ET61" s="43">
        <v>0</v>
      </c>
      <c r="EU61" s="43">
        <v>0</v>
      </c>
      <c r="EV61" s="43">
        <v>0</v>
      </c>
      <c r="EW61" s="43">
        <v>0</v>
      </c>
      <c r="EX61" s="43">
        <v>0</v>
      </c>
      <c r="EY61" s="43">
        <v>0</v>
      </c>
      <c r="EZ61" s="43">
        <v>0</v>
      </c>
      <c r="FA61" s="43">
        <v>0</v>
      </c>
      <c r="FB61" s="43">
        <v>0</v>
      </c>
      <c r="FC61" s="43"/>
      <c r="FD61" s="43"/>
      <c r="FE61" s="43"/>
      <c r="FF61" s="43"/>
      <c r="FG61" s="43">
        <f t="shared" si="25"/>
        <v>0</v>
      </c>
      <c r="FH61" s="73">
        <v>37</v>
      </c>
      <c r="FI61" s="73">
        <v>9</v>
      </c>
      <c r="FJ61" s="73">
        <v>12</v>
      </c>
      <c r="FK61" s="73">
        <v>9</v>
      </c>
      <c r="FL61" s="73">
        <v>4</v>
      </c>
      <c r="FM61" s="73">
        <v>8</v>
      </c>
      <c r="FN61" s="73">
        <f t="shared" si="26"/>
        <v>0</v>
      </c>
      <c r="FO61" s="73">
        <f t="shared" si="27"/>
        <v>0</v>
      </c>
      <c r="FP61" s="73">
        <f t="shared" si="28"/>
        <v>0</v>
      </c>
      <c r="FQ61" s="73">
        <f t="shared" si="29"/>
        <v>0</v>
      </c>
      <c r="FR61" s="73">
        <f t="shared" si="30"/>
        <v>0</v>
      </c>
      <c r="FS61" s="73">
        <f t="shared" si="31"/>
        <v>0</v>
      </c>
      <c r="FT61" s="73">
        <f t="shared" si="32"/>
        <v>0</v>
      </c>
      <c r="FU61" s="73">
        <f t="shared" si="33"/>
        <v>0</v>
      </c>
      <c r="FV61" s="73">
        <f t="shared" si="34"/>
        <v>0</v>
      </c>
      <c r="FW61" s="73">
        <f t="shared" si="35"/>
        <v>0</v>
      </c>
      <c r="FX61" s="73">
        <f t="shared" si="36"/>
        <v>0</v>
      </c>
      <c r="FY61" s="73">
        <f t="shared" si="37"/>
        <v>1</v>
      </c>
      <c r="FZ61" s="73">
        <f t="shared" si="38"/>
        <v>7</v>
      </c>
      <c r="GA61" s="73">
        <f t="shared" si="39"/>
        <v>1</v>
      </c>
      <c r="GB61" s="73">
        <f t="shared" si="40"/>
        <v>0</v>
      </c>
      <c r="GC61" s="73">
        <f t="shared" si="41"/>
        <v>0</v>
      </c>
      <c r="GD61" s="73">
        <f t="shared" si="42"/>
        <v>0</v>
      </c>
      <c r="GE61" s="73">
        <f t="shared" si="43"/>
        <v>0</v>
      </c>
      <c r="GF61" s="73">
        <f t="shared" si="44"/>
        <v>0</v>
      </c>
      <c r="GG61" s="73">
        <f t="shared" si="45"/>
        <v>0</v>
      </c>
      <c r="GH61" s="73">
        <f t="shared" si="46"/>
        <v>0</v>
      </c>
      <c r="GI61" s="73">
        <f t="shared" si="47"/>
        <v>9</v>
      </c>
      <c r="GJ61" s="38"/>
      <c r="GK61" s="367" t="s">
        <v>691</v>
      </c>
      <c r="GL61" s="376" t="s">
        <v>691</v>
      </c>
      <c r="GM61" s="376" t="s">
        <v>692</v>
      </c>
      <c r="GP61" s="52"/>
    </row>
    <row r="62" spans="1:198" x14ac:dyDescent="0.25">
      <c r="A62" s="53">
        <v>40338</v>
      </c>
      <c r="B62" s="53" t="s">
        <v>19</v>
      </c>
      <c r="C62" s="53" t="s">
        <v>129</v>
      </c>
      <c r="D62" s="53" t="s">
        <v>136</v>
      </c>
      <c r="E62" s="54">
        <v>15886</v>
      </c>
      <c r="F62" s="62">
        <v>169</v>
      </c>
      <c r="G62" s="58">
        <v>4</v>
      </c>
      <c r="H62" s="59" t="s">
        <v>394</v>
      </c>
      <c r="I62" s="6">
        <v>1</v>
      </c>
      <c r="J62" s="6">
        <v>0</v>
      </c>
      <c r="K62" s="60">
        <v>6</v>
      </c>
      <c r="L62" s="6">
        <v>4</v>
      </c>
      <c r="M62" s="6">
        <v>1</v>
      </c>
      <c r="N62" s="6">
        <v>1</v>
      </c>
      <c r="O62" s="6">
        <v>5</v>
      </c>
      <c r="P62" s="6">
        <v>4</v>
      </c>
      <c r="Q62" s="6">
        <v>0</v>
      </c>
      <c r="R62" s="6">
        <v>1</v>
      </c>
      <c r="S62" s="6">
        <v>27</v>
      </c>
      <c r="T62" s="6">
        <v>104</v>
      </c>
      <c r="U62" s="6">
        <v>62</v>
      </c>
      <c r="V62" s="6">
        <v>0</v>
      </c>
      <c r="W62" s="61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3">
        <v>3</v>
      </c>
      <c r="AD62" s="62">
        <v>0</v>
      </c>
      <c r="AE62" s="62">
        <v>0</v>
      </c>
      <c r="AF62" s="62">
        <v>0</v>
      </c>
      <c r="AG62" s="62">
        <v>1</v>
      </c>
      <c r="AH62" s="62">
        <v>4</v>
      </c>
      <c r="AI62" s="62">
        <v>0</v>
      </c>
      <c r="AJ62" s="62">
        <v>0</v>
      </c>
      <c r="AK62" s="62">
        <v>10</v>
      </c>
      <c r="AL62" s="62">
        <v>45</v>
      </c>
      <c r="AM62" s="62">
        <v>29</v>
      </c>
      <c r="AN62" s="1" t="s">
        <v>273</v>
      </c>
      <c r="AO62" s="65">
        <v>4</v>
      </c>
      <c r="AP62" s="65">
        <v>2</v>
      </c>
      <c r="AQ62" s="65">
        <v>2</v>
      </c>
      <c r="AR62" s="65">
        <v>0</v>
      </c>
      <c r="AS62" s="65">
        <v>0</v>
      </c>
      <c r="AT62" s="65">
        <v>0</v>
      </c>
      <c r="AU62" s="65">
        <v>1</v>
      </c>
      <c r="AV62" s="65">
        <v>0</v>
      </c>
      <c r="AW62" s="66">
        <v>2</v>
      </c>
      <c r="AX62" s="1" t="s">
        <v>391</v>
      </c>
      <c r="AY62" s="65">
        <v>5</v>
      </c>
      <c r="AZ62" s="65">
        <v>2</v>
      </c>
      <c r="BA62" s="65">
        <v>1</v>
      </c>
      <c r="BB62" s="65">
        <v>0</v>
      </c>
      <c r="BC62" s="65">
        <v>0</v>
      </c>
      <c r="BD62" s="65">
        <v>0</v>
      </c>
      <c r="BE62" s="65">
        <v>0</v>
      </c>
      <c r="BF62" s="65">
        <v>0</v>
      </c>
      <c r="BG62" s="66">
        <v>1</v>
      </c>
      <c r="BH62" s="1" t="s">
        <v>390</v>
      </c>
      <c r="BI62" s="65">
        <v>4</v>
      </c>
      <c r="BJ62" s="65">
        <v>2</v>
      </c>
      <c r="BK62" s="65">
        <v>3</v>
      </c>
      <c r="BL62" s="65">
        <v>1</v>
      </c>
      <c r="BM62" s="65">
        <v>1</v>
      </c>
      <c r="BN62" s="65">
        <v>0</v>
      </c>
      <c r="BO62" s="65">
        <v>0</v>
      </c>
      <c r="BP62" s="65">
        <v>0</v>
      </c>
      <c r="BQ62" s="66">
        <v>4</v>
      </c>
      <c r="BR62" s="1" t="s">
        <v>388</v>
      </c>
      <c r="BS62" s="65">
        <v>4</v>
      </c>
      <c r="BT62" s="65">
        <v>0</v>
      </c>
      <c r="BU62" s="65">
        <v>1</v>
      </c>
      <c r="BV62" s="65">
        <v>2</v>
      </c>
      <c r="BW62" s="65">
        <v>0</v>
      </c>
      <c r="BX62" s="65">
        <v>2</v>
      </c>
      <c r="BY62" s="65">
        <v>0</v>
      </c>
      <c r="BZ62" s="65">
        <v>1</v>
      </c>
      <c r="CA62" s="66">
        <v>1</v>
      </c>
      <c r="CB62" s="1" t="s">
        <v>271</v>
      </c>
      <c r="CC62" s="65">
        <v>4</v>
      </c>
      <c r="CD62" s="65">
        <v>1</v>
      </c>
      <c r="CE62" s="65">
        <v>3</v>
      </c>
      <c r="CF62" s="65">
        <v>3</v>
      </c>
      <c r="CG62" s="65">
        <v>0</v>
      </c>
      <c r="CH62" s="65">
        <v>0</v>
      </c>
      <c r="CI62" s="65">
        <v>0</v>
      </c>
      <c r="CJ62" s="65">
        <v>0</v>
      </c>
      <c r="CK62" s="66">
        <v>5</v>
      </c>
      <c r="CL62" s="1" t="s">
        <v>389</v>
      </c>
      <c r="CM62" s="65">
        <v>4</v>
      </c>
      <c r="CN62" s="65">
        <v>1</v>
      </c>
      <c r="CO62" s="65">
        <v>2</v>
      </c>
      <c r="CP62" s="65">
        <v>2</v>
      </c>
      <c r="CQ62" s="65">
        <v>0</v>
      </c>
      <c r="CR62" s="65">
        <v>0</v>
      </c>
      <c r="CS62" s="65">
        <v>0</v>
      </c>
      <c r="CT62" s="65">
        <v>0</v>
      </c>
      <c r="CU62" s="66">
        <v>5</v>
      </c>
      <c r="CV62" s="1" t="s">
        <v>274</v>
      </c>
      <c r="CW62" s="65">
        <v>4</v>
      </c>
      <c r="CX62" s="65">
        <v>1</v>
      </c>
      <c r="CY62" s="65">
        <v>1</v>
      </c>
      <c r="CZ62" s="65">
        <v>1</v>
      </c>
      <c r="DA62" s="65">
        <v>0</v>
      </c>
      <c r="DB62" s="65">
        <v>2</v>
      </c>
      <c r="DC62" s="65">
        <v>0</v>
      </c>
      <c r="DD62" s="65">
        <v>0</v>
      </c>
      <c r="DE62" s="66">
        <v>4</v>
      </c>
      <c r="DF62" s="1" t="s">
        <v>406</v>
      </c>
      <c r="DG62" s="65">
        <v>4</v>
      </c>
      <c r="DH62" s="65">
        <v>1</v>
      </c>
      <c r="DI62" s="65">
        <v>1</v>
      </c>
      <c r="DJ62" s="65">
        <v>1</v>
      </c>
      <c r="DK62" s="65">
        <v>0</v>
      </c>
      <c r="DL62" s="65">
        <v>0</v>
      </c>
      <c r="DM62" s="65">
        <v>0</v>
      </c>
      <c r="DN62" s="65">
        <v>0</v>
      </c>
      <c r="DO62" s="66">
        <v>4</v>
      </c>
      <c r="DP62" s="1" t="s">
        <v>385</v>
      </c>
      <c r="DQ62" s="65">
        <v>4</v>
      </c>
      <c r="DR62" s="65">
        <v>0</v>
      </c>
      <c r="DS62" s="65">
        <v>1</v>
      </c>
      <c r="DT62" s="65">
        <v>0</v>
      </c>
      <c r="DU62" s="65">
        <v>0</v>
      </c>
      <c r="DV62" s="65">
        <v>2</v>
      </c>
      <c r="DW62" s="65">
        <v>0</v>
      </c>
      <c r="DX62" s="65">
        <v>0</v>
      </c>
      <c r="DY62" s="66">
        <v>1</v>
      </c>
      <c r="DZ62" s="67">
        <v>2</v>
      </c>
      <c r="EA62" s="68">
        <v>0</v>
      </c>
      <c r="EB62" s="68">
        <v>0</v>
      </c>
      <c r="EC62" s="69">
        <v>6</v>
      </c>
      <c r="ED62" s="68">
        <v>1</v>
      </c>
      <c r="EE62" s="70">
        <v>0</v>
      </c>
      <c r="EF62" s="71">
        <v>2</v>
      </c>
      <c r="EG62" s="72">
        <v>0</v>
      </c>
      <c r="EH62" s="72">
        <v>3</v>
      </c>
      <c r="EI62" s="72">
        <v>2</v>
      </c>
      <c r="EJ62" s="72">
        <v>2</v>
      </c>
      <c r="EK62" s="72">
        <v>1</v>
      </c>
      <c r="EL62" s="72">
        <v>0</v>
      </c>
      <c r="EM62" s="72">
        <v>0</v>
      </c>
      <c r="EN62" s="72"/>
      <c r="EO62" s="72"/>
      <c r="EP62" s="72"/>
      <c r="EQ62" s="72"/>
      <c r="ER62" s="72"/>
      <c r="ES62" s="44">
        <f t="shared" si="24"/>
        <v>10</v>
      </c>
      <c r="ET62" s="43">
        <v>0</v>
      </c>
      <c r="EU62" s="43">
        <v>0</v>
      </c>
      <c r="EV62" s="43">
        <v>0</v>
      </c>
      <c r="EW62" s="43">
        <v>0</v>
      </c>
      <c r="EX62" s="43">
        <v>0</v>
      </c>
      <c r="EY62" s="43">
        <v>1</v>
      </c>
      <c r="EZ62" s="43">
        <v>0</v>
      </c>
      <c r="FA62" s="43">
        <v>0</v>
      </c>
      <c r="FB62" s="43">
        <v>0</v>
      </c>
      <c r="FC62" s="43"/>
      <c r="FD62" s="43"/>
      <c r="FE62" s="43"/>
      <c r="FF62" s="43"/>
      <c r="FG62" s="43">
        <f t="shared" si="25"/>
        <v>1</v>
      </c>
      <c r="FH62" s="73">
        <v>37</v>
      </c>
      <c r="FI62" s="73">
        <v>10</v>
      </c>
      <c r="FJ62" s="73">
        <v>15</v>
      </c>
      <c r="FK62" s="73">
        <v>10</v>
      </c>
      <c r="FL62" s="73">
        <v>1</v>
      </c>
      <c r="FM62" s="73">
        <v>6</v>
      </c>
      <c r="FN62" s="73">
        <f t="shared" si="26"/>
        <v>0</v>
      </c>
      <c r="FO62" s="73">
        <f t="shared" si="27"/>
        <v>0</v>
      </c>
      <c r="FP62" s="73">
        <f t="shared" si="28"/>
        <v>0</v>
      </c>
      <c r="FQ62" s="73">
        <f t="shared" si="29"/>
        <v>0</v>
      </c>
      <c r="FR62" s="73">
        <f t="shared" si="30"/>
        <v>0</v>
      </c>
      <c r="FS62" s="73">
        <f t="shared" si="31"/>
        <v>0</v>
      </c>
      <c r="FT62" s="73">
        <f t="shared" si="32"/>
        <v>0</v>
      </c>
      <c r="FU62" s="73">
        <f t="shared" si="33"/>
        <v>0</v>
      </c>
      <c r="FV62" s="73">
        <f t="shared" si="34"/>
        <v>2</v>
      </c>
      <c r="FW62" s="73">
        <f t="shared" si="35"/>
        <v>0</v>
      </c>
      <c r="FX62" s="73">
        <f t="shared" si="36"/>
        <v>3</v>
      </c>
      <c r="FY62" s="73">
        <f t="shared" si="37"/>
        <v>2</v>
      </c>
      <c r="FZ62" s="73">
        <f t="shared" si="38"/>
        <v>2</v>
      </c>
      <c r="GA62" s="73">
        <f t="shared" si="39"/>
        <v>0</v>
      </c>
      <c r="GB62" s="73">
        <f t="shared" si="40"/>
        <v>0</v>
      </c>
      <c r="GC62" s="73">
        <f t="shared" si="41"/>
        <v>0</v>
      </c>
      <c r="GD62" s="73">
        <f t="shared" si="42"/>
        <v>0</v>
      </c>
      <c r="GE62" s="73">
        <f t="shared" si="43"/>
        <v>0</v>
      </c>
      <c r="GF62" s="73">
        <f t="shared" si="44"/>
        <v>0</v>
      </c>
      <c r="GG62" s="73">
        <f t="shared" si="45"/>
        <v>0</v>
      </c>
      <c r="GH62" s="73">
        <f t="shared" si="46"/>
        <v>0</v>
      </c>
      <c r="GI62" s="73">
        <f t="shared" si="47"/>
        <v>9</v>
      </c>
      <c r="GJ62" s="38"/>
      <c r="GK62" s="367" t="s">
        <v>691</v>
      </c>
      <c r="GL62" s="376" t="s">
        <v>691</v>
      </c>
      <c r="GM62" s="376" t="s">
        <v>692</v>
      </c>
      <c r="GP62" s="52"/>
    </row>
    <row r="63" spans="1:198" x14ac:dyDescent="0.25">
      <c r="A63" s="53">
        <v>40339</v>
      </c>
      <c r="B63" s="53" t="s">
        <v>19</v>
      </c>
      <c r="C63" s="53" t="s">
        <v>131</v>
      </c>
      <c r="D63" s="53" t="s">
        <v>136</v>
      </c>
      <c r="E63" s="54">
        <v>13675</v>
      </c>
      <c r="F63" s="62">
        <v>178</v>
      </c>
      <c r="G63" s="58">
        <v>5</v>
      </c>
      <c r="H63" s="89" t="s">
        <v>393</v>
      </c>
      <c r="I63" s="6">
        <v>0</v>
      </c>
      <c r="J63" s="6">
        <v>1</v>
      </c>
      <c r="K63" s="60">
        <v>7</v>
      </c>
      <c r="L63" s="6">
        <v>7</v>
      </c>
      <c r="M63" s="6">
        <v>3</v>
      </c>
      <c r="N63" s="6">
        <v>3</v>
      </c>
      <c r="O63" s="6">
        <v>1</v>
      </c>
      <c r="P63" s="6">
        <v>7</v>
      </c>
      <c r="Q63" s="6">
        <v>1</v>
      </c>
      <c r="R63" s="6">
        <v>0</v>
      </c>
      <c r="S63" s="6">
        <v>29</v>
      </c>
      <c r="T63" s="6">
        <v>105</v>
      </c>
      <c r="U63" s="6">
        <v>75</v>
      </c>
      <c r="V63" s="6">
        <v>1</v>
      </c>
      <c r="W63" s="61">
        <v>0</v>
      </c>
      <c r="X63" s="62">
        <v>0</v>
      </c>
      <c r="Y63" s="62">
        <v>0</v>
      </c>
      <c r="Z63" s="62">
        <v>0</v>
      </c>
      <c r="AA63" s="62">
        <v>0</v>
      </c>
      <c r="AB63" s="62">
        <v>0</v>
      </c>
      <c r="AC63" s="63">
        <v>2</v>
      </c>
      <c r="AD63" s="62">
        <v>2</v>
      </c>
      <c r="AE63" s="62">
        <v>0</v>
      </c>
      <c r="AF63" s="62">
        <v>0</v>
      </c>
      <c r="AG63" s="62">
        <v>1</v>
      </c>
      <c r="AH63" s="62">
        <v>2</v>
      </c>
      <c r="AI63" s="62">
        <v>0</v>
      </c>
      <c r="AJ63" s="62">
        <v>0</v>
      </c>
      <c r="AK63" s="62">
        <v>9</v>
      </c>
      <c r="AL63" s="62">
        <v>27</v>
      </c>
      <c r="AM63" s="62">
        <v>16</v>
      </c>
      <c r="AN63" s="1" t="s">
        <v>273</v>
      </c>
      <c r="AO63" s="65">
        <v>2</v>
      </c>
      <c r="AP63" s="65">
        <v>0</v>
      </c>
      <c r="AQ63" s="65">
        <v>1</v>
      </c>
      <c r="AR63" s="65">
        <v>0</v>
      </c>
      <c r="AS63" s="65">
        <v>2</v>
      </c>
      <c r="AT63" s="65">
        <v>0</v>
      </c>
      <c r="AU63" s="65">
        <v>0</v>
      </c>
      <c r="AV63" s="65">
        <v>0</v>
      </c>
      <c r="AW63" s="66">
        <v>1</v>
      </c>
      <c r="AX63" s="1" t="s">
        <v>271</v>
      </c>
      <c r="AY63" s="65">
        <v>4</v>
      </c>
      <c r="AZ63" s="65">
        <v>1</v>
      </c>
      <c r="BA63" s="65">
        <v>1</v>
      </c>
      <c r="BB63" s="65">
        <v>1</v>
      </c>
      <c r="BC63" s="65">
        <v>0</v>
      </c>
      <c r="BD63" s="65">
        <v>0</v>
      </c>
      <c r="BE63" s="65">
        <v>0</v>
      </c>
      <c r="BF63" s="65">
        <v>0</v>
      </c>
      <c r="BG63" s="66">
        <v>4</v>
      </c>
      <c r="BH63" s="1" t="s">
        <v>390</v>
      </c>
      <c r="BI63" s="65">
        <v>3</v>
      </c>
      <c r="BJ63" s="65">
        <v>0</v>
      </c>
      <c r="BK63" s="65">
        <v>1</v>
      </c>
      <c r="BL63" s="65">
        <v>0</v>
      </c>
      <c r="BM63" s="65">
        <v>1</v>
      </c>
      <c r="BN63" s="65">
        <v>0</v>
      </c>
      <c r="BO63" s="65">
        <v>0</v>
      </c>
      <c r="BP63" s="65">
        <v>0</v>
      </c>
      <c r="BQ63" s="66">
        <v>2</v>
      </c>
      <c r="BR63" s="1" t="s">
        <v>272</v>
      </c>
      <c r="BS63" s="65">
        <v>4</v>
      </c>
      <c r="BT63" s="65">
        <v>0</v>
      </c>
      <c r="BU63" s="65">
        <v>1</v>
      </c>
      <c r="BV63" s="65">
        <v>0</v>
      </c>
      <c r="BW63" s="65">
        <v>0</v>
      </c>
      <c r="BX63" s="65">
        <v>0</v>
      </c>
      <c r="BY63" s="65">
        <v>0</v>
      </c>
      <c r="BZ63" s="65">
        <v>0</v>
      </c>
      <c r="CA63" s="66">
        <v>1</v>
      </c>
      <c r="CB63" s="1" t="s">
        <v>389</v>
      </c>
      <c r="CC63" s="65">
        <v>4</v>
      </c>
      <c r="CD63" s="65">
        <v>0</v>
      </c>
      <c r="CE63" s="65">
        <v>0</v>
      </c>
      <c r="CF63" s="65">
        <v>0</v>
      </c>
      <c r="CG63" s="65">
        <v>0</v>
      </c>
      <c r="CH63" s="65">
        <v>1</v>
      </c>
      <c r="CI63" s="65">
        <v>0</v>
      </c>
      <c r="CJ63" s="65">
        <v>0</v>
      </c>
      <c r="CK63" s="66">
        <v>0</v>
      </c>
      <c r="CL63" s="1" t="s">
        <v>274</v>
      </c>
      <c r="CM63" s="65">
        <v>3</v>
      </c>
      <c r="CN63" s="65">
        <v>1</v>
      </c>
      <c r="CO63" s="65">
        <v>1</v>
      </c>
      <c r="CP63" s="65">
        <v>1</v>
      </c>
      <c r="CQ63" s="65">
        <v>1</v>
      </c>
      <c r="CR63" s="65">
        <v>0</v>
      </c>
      <c r="CS63" s="65">
        <v>0</v>
      </c>
      <c r="CT63" s="65">
        <v>0</v>
      </c>
      <c r="CU63" s="66">
        <v>4</v>
      </c>
      <c r="CV63" s="1" t="s">
        <v>386</v>
      </c>
      <c r="CW63" s="65">
        <v>4</v>
      </c>
      <c r="CX63" s="65">
        <v>0</v>
      </c>
      <c r="CY63" s="65">
        <v>0</v>
      </c>
      <c r="CZ63" s="65">
        <v>0</v>
      </c>
      <c r="DA63" s="65">
        <v>0</v>
      </c>
      <c r="DB63" s="65">
        <v>1</v>
      </c>
      <c r="DC63" s="65">
        <v>0</v>
      </c>
      <c r="DD63" s="65">
        <v>0</v>
      </c>
      <c r="DE63" s="66">
        <v>0</v>
      </c>
      <c r="DF63" s="1" t="s">
        <v>275</v>
      </c>
      <c r="DG63" s="65">
        <v>3</v>
      </c>
      <c r="DH63" s="65">
        <v>0</v>
      </c>
      <c r="DI63" s="65">
        <v>0</v>
      </c>
      <c r="DJ63" s="65">
        <v>0</v>
      </c>
      <c r="DK63" s="65">
        <v>0</v>
      </c>
      <c r="DL63" s="65">
        <v>0</v>
      </c>
      <c r="DM63" s="65">
        <v>0</v>
      </c>
      <c r="DN63" s="65">
        <v>0</v>
      </c>
      <c r="DO63" s="66">
        <v>0</v>
      </c>
      <c r="DP63" s="1" t="s">
        <v>385</v>
      </c>
      <c r="DQ63" s="65">
        <v>3</v>
      </c>
      <c r="DR63" s="65">
        <v>0</v>
      </c>
      <c r="DS63" s="65">
        <v>1</v>
      </c>
      <c r="DT63" s="65">
        <v>0</v>
      </c>
      <c r="DU63" s="65">
        <v>0</v>
      </c>
      <c r="DV63" s="65">
        <v>1</v>
      </c>
      <c r="DW63" s="65">
        <v>0</v>
      </c>
      <c r="DX63" s="65">
        <v>0</v>
      </c>
      <c r="DY63" s="66">
        <v>1</v>
      </c>
      <c r="DZ63" s="67">
        <v>7</v>
      </c>
      <c r="EA63" s="68">
        <v>1</v>
      </c>
      <c r="EB63" s="68">
        <v>1</v>
      </c>
      <c r="EC63" s="69">
        <v>2</v>
      </c>
      <c r="ED63" s="68">
        <v>1</v>
      </c>
      <c r="EE63" s="70">
        <v>0</v>
      </c>
      <c r="EF63" s="71">
        <v>0</v>
      </c>
      <c r="EG63" s="72">
        <v>1</v>
      </c>
      <c r="EH63" s="72">
        <v>0</v>
      </c>
      <c r="EI63" s="72">
        <v>0</v>
      </c>
      <c r="EJ63" s="72">
        <v>0</v>
      </c>
      <c r="EK63" s="72">
        <v>0</v>
      </c>
      <c r="EL63" s="72">
        <v>0</v>
      </c>
      <c r="EM63" s="72">
        <v>0</v>
      </c>
      <c r="EN63" s="72">
        <v>1</v>
      </c>
      <c r="EO63" s="72"/>
      <c r="EP63" s="72"/>
      <c r="EQ63" s="72"/>
      <c r="ER63" s="72"/>
      <c r="ES63" s="44">
        <f t="shared" si="24"/>
        <v>2</v>
      </c>
      <c r="ET63" s="43">
        <v>0</v>
      </c>
      <c r="EU63" s="43">
        <v>1</v>
      </c>
      <c r="EV63" s="43">
        <v>1</v>
      </c>
      <c r="EW63" s="43">
        <v>0</v>
      </c>
      <c r="EX63" s="43">
        <v>0</v>
      </c>
      <c r="EY63" s="43">
        <v>0</v>
      </c>
      <c r="EZ63" s="43">
        <v>0</v>
      </c>
      <c r="FA63" s="43">
        <v>1</v>
      </c>
      <c r="FB63" s="43">
        <v>0</v>
      </c>
      <c r="FC63" s="43"/>
      <c r="FD63" s="43"/>
      <c r="FE63" s="43"/>
      <c r="FF63" s="43"/>
      <c r="FG63" s="43">
        <f t="shared" si="25"/>
        <v>3</v>
      </c>
      <c r="FH63" s="73">
        <v>30</v>
      </c>
      <c r="FI63" s="73">
        <v>2</v>
      </c>
      <c r="FJ63" s="73">
        <v>6</v>
      </c>
      <c r="FK63" s="73">
        <v>2</v>
      </c>
      <c r="FL63" s="73">
        <v>4</v>
      </c>
      <c r="FM63" s="73">
        <v>3</v>
      </c>
      <c r="FN63" s="73">
        <f t="shared" si="26"/>
        <v>0</v>
      </c>
      <c r="FO63" s="73">
        <f t="shared" si="27"/>
        <v>0</v>
      </c>
      <c r="FP63" s="73">
        <f t="shared" si="28"/>
        <v>0</v>
      </c>
      <c r="FQ63" s="73">
        <f t="shared" si="29"/>
        <v>0</v>
      </c>
      <c r="FR63" s="73">
        <f t="shared" si="30"/>
        <v>0</v>
      </c>
      <c r="FS63" s="73">
        <f t="shared" si="31"/>
        <v>0</v>
      </c>
      <c r="FT63" s="73">
        <f t="shared" si="32"/>
        <v>0</v>
      </c>
      <c r="FU63" s="73">
        <f t="shared" si="33"/>
        <v>0</v>
      </c>
      <c r="FV63" s="73">
        <f t="shared" si="34"/>
        <v>0</v>
      </c>
      <c r="FW63" s="73">
        <f t="shared" si="35"/>
        <v>0</v>
      </c>
      <c r="FX63" s="73">
        <f t="shared" si="36"/>
        <v>-1</v>
      </c>
      <c r="FY63" s="73">
        <f t="shared" si="37"/>
        <v>0</v>
      </c>
      <c r="FZ63" s="73">
        <f t="shared" si="38"/>
        <v>0</v>
      </c>
      <c r="GA63" s="73">
        <f t="shared" si="39"/>
        <v>0</v>
      </c>
      <c r="GB63" s="73">
        <f t="shared" si="40"/>
        <v>0</v>
      </c>
      <c r="GC63" s="73">
        <f t="shared" si="41"/>
        <v>-1</v>
      </c>
      <c r="GD63" s="73">
        <f t="shared" si="42"/>
        <v>1</v>
      </c>
      <c r="GE63" s="73">
        <f t="shared" si="43"/>
        <v>0</v>
      </c>
      <c r="GF63" s="73">
        <f t="shared" si="44"/>
        <v>0</v>
      </c>
      <c r="GG63" s="73">
        <f t="shared" si="45"/>
        <v>0</v>
      </c>
      <c r="GH63" s="73">
        <f t="shared" si="46"/>
        <v>0</v>
      </c>
      <c r="GI63" s="73">
        <f t="shared" si="47"/>
        <v>-1</v>
      </c>
      <c r="GJ63" s="38"/>
      <c r="GK63" s="367" t="s">
        <v>691</v>
      </c>
      <c r="GL63" s="376" t="s">
        <v>691</v>
      </c>
      <c r="GM63" s="376" t="s">
        <v>692</v>
      </c>
      <c r="GP63" s="52"/>
    </row>
    <row r="64" spans="1:198" x14ac:dyDescent="0.25">
      <c r="A64" s="53">
        <v>40340</v>
      </c>
      <c r="B64" s="53" t="s">
        <v>19</v>
      </c>
      <c r="C64" s="53" t="s">
        <v>131</v>
      </c>
      <c r="D64" s="53" t="s">
        <v>144</v>
      </c>
      <c r="E64" s="54">
        <v>19338</v>
      </c>
      <c r="F64" s="62">
        <v>195</v>
      </c>
      <c r="G64" s="58">
        <v>1</v>
      </c>
      <c r="H64" s="59" t="s">
        <v>392</v>
      </c>
      <c r="I64" s="6">
        <v>0</v>
      </c>
      <c r="J64" s="6">
        <v>1</v>
      </c>
      <c r="K64" s="60">
        <f>3+1/3</f>
        <v>3.3333333333333335</v>
      </c>
      <c r="L64" s="6">
        <v>9</v>
      </c>
      <c r="M64" s="6">
        <v>10</v>
      </c>
      <c r="N64" s="6">
        <v>10</v>
      </c>
      <c r="O64" s="6">
        <v>3</v>
      </c>
      <c r="P64" s="6">
        <v>4</v>
      </c>
      <c r="Q64" s="6">
        <v>1</v>
      </c>
      <c r="R64" s="6">
        <v>0</v>
      </c>
      <c r="S64" s="6">
        <v>22</v>
      </c>
      <c r="T64" s="6">
        <v>77</v>
      </c>
      <c r="U64" s="6">
        <v>49</v>
      </c>
      <c r="V64" s="6">
        <v>1</v>
      </c>
      <c r="W64" s="61">
        <v>1</v>
      </c>
      <c r="X64" s="62">
        <v>0</v>
      </c>
      <c r="Y64" s="62">
        <v>0</v>
      </c>
      <c r="Z64" s="62">
        <v>0</v>
      </c>
      <c r="AA64" s="62">
        <v>0</v>
      </c>
      <c r="AB64" s="62">
        <v>0</v>
      </c>
      <c r="AC64" s="63">
        <f>5+2/3</f>
        <v>5.666666666666667</v>
      </c>
      <c r="AD64" s="62">
        <v>6</v>
      </c>
      <c r="AE64" s="62">
        <v>4</v>
      </c>
      <c r="AF64" s="62">
        <v>4</v>
      </c>
      <c r="AG64" s="62">
        <v>2</v>
      </c>
      <c r="AH64" s="62">
        <v>4</v>
      </c>
      <c r="AI64" s="62">
        <v>1</v>
      </c>
      <c r="AJ64" s="62">
        <v>0</v>
      </c>
      <c r="AK64" s="62">
        <v>25</v>
      </c>
      <c r="AL64" s="62">
        <v>88</v>
      </c>
      <c r="AM64" s="62">
        <v>54</v>
      </c>
      <c r="AN64" s="1" t="s">
        <v>275</v>
      </c>
      <c r="AO64" s="65">
        <v>2</v>
      </c>
      <c r="AP64" s="65">
        <v>0</v>
      </c>
      <c r="AQ64" s="65">
        <v>0</v>
      </c>
      <c r="AR64" s="65">
        <v>0</v>
      </c>
      <c r="AS64" s="65">
        <v>3</v>
      </c>
      <c r="AT64" s="65">
        <v>0</v>
      </c>
      <c r="AU64" s="65">
        <v>0</v>
      </c>
      <c r="AV64" s="65">
        <v>0</v>
      </c>
      <c r="AW64" s="66">
        <v>0</v>
      </c>
      <c r="AX64" s="1" t="s">
        <v>391</v>
      </c>
      <c r="AY64" s="65">
        <v>5</v>
      </c>
      <c r="AZ64" s="65">
        <v>1</v>
      </c>
      <c r="BA64" s="65">
        <v>1</v>
      </c>
      <c r="BB64" s="65">
        <v>2</v>
      </c>
      <c r="BC64" s="65">
        <v>0</v>
      </c>
      <c r="BD64" s="65">
        <v>0</v>
      </c>
      <c r="BE64" s="65">
        <v>0</v>
      </c>
      <c r="BF64" s="65">
        <v>0</v>
      </c>
      <c r="BG64" s="66">
        <v>1</v>
      </c>
      <c r="BH64" s="1" t="s">
        <v>390</v>
      </c>
      <c r="BI64" s="65">
        <v>5</v>
      </c>
      <c r="BJ64" s="65">
        <v>0</v>
      </c>
      <c r="BK64" s="65">
        <v>1</v>
      </c>
      <c r="BL64" s="65">
        <v>0</v>
      </c>
      <c r="BM64" s="65">
        <v>0</v>
      </c>
      <c r="BN64" s="65">
        <v>3</v>
      </c>
      <c r="BO64" s="65">
        <v>0</v>
      </c>
      <c r="BP64" s="65">
        <v>0</v>
      </c>
      <c r="BQ64" s="66">
        <v>1</v>
      </c>
      <c r="BR64" s="1" t="s">
        <v>274</v>
      </c>
      <c r="BS64" s="65">
        <v>5</v>
      </c>
      <c r="BT64" s="65">
        <v>4</v>
      </c>
      <c r="BU64" s="65">
        <v>3</v>
      </c>
      <c r="BV64" s="65">
        <v>1</v>
      </c>
      <c r="BW64" s="65">
        <v>0</v>
      </c>
      <c r="BX64" s="65">
        <v>0</v>
      </c>
      <c r="BY64" s="65">
        <v>0</v>
      </c>
      <c r="BZ64" s="65">
        <v>0</v>
      </c>
      <c r="CA64" s="66">
        <v>6</v>
      </c>
      <c r="CB64" s="1" t="s">
        <v>389</v>
      </c>
      <c r="CC64" s="65">
        <v>4</v>
      </c>
      <c r="CD64" s="65">
        <v>1</v>
      </c>
      <c r="CE64" s="65">
        <v>1</v>
      </c>
      <c r="CF64" s="65">
        <v>0</v>
      </c>
      <c r="CG64" s="65">
        <v>1</v>
      </c>
      <c r="CH64" s="65">
        <v>0</v>
      </c>
      <c r="CI64" s="65">
        <v>0</v>
      </c>
      <c r="CJ64" s="65">
        <v>0</v>
      </c>
      <c r="CK64" s="66">
        <v>2</v>
      </c>
      <c r="CL64" s="1" t="s">
        <v>273</v>
      </c>
      <c r="CM64" s="65">
        <v>5</v>
      </c>
      <c r="CN64" s="65">
        <v>0</v>
      </c>
      <c r="CO64" s="65">
        <v>1</v>
      </c>
      <c r="CP64" s="65">
        <v>2</v>
      </c>
      <c r="CQ64" s="65">
        <v>0</v>
      </c>
      <c r="CR64" s="65">
        <v>0</v>
      </c>
      <c r="CS64" s="65">
        <v>0</v>
      </c>
      <c r="CT64" s="65">
        <v>0</v>
      </c>
      <c r="CU64" s="66">
        <v>2</v>
      </c>
      <c r="CV64" s="1" t="s">
        <v>404</v>
      </c>
      <c r="CW64" s="65">
        <v>5</v>
      </c>
      <c r="CX64" s="65">
        <v>2</v>
      </c>
      <c r="CY64" s="65">
        <v>3</v>
      </c>
      <c r="CZ64" s="65">
        <v>2</v>
      </c>
      <c r="DA64" s="65">
        <v>0</v>
      </c>
      <c r="DB64" s="65">
        <v>0</v>
      </c>
      <c r="DC64" s="65">
        <v>0</v>
      </c>
      <c r="DD64" s="65">
        <v>0</v>
      </c>
      <c r="DE64" s="66">
        <v>3</v>
      </c>
      <c r="DF64" s="1" t="s">
        <v>271</v>
      </c>
      <c r="DG64" s="65">
        <v>5</v>
      </c>
      <c r="DH64" s="65">
        <v>1</v>
      </c>
      <c r="DI64" s="65">
        <v>1</v>
      </c>
      <c r="DJ64" s="65">
        <v>0</v>
      </c>
      <c r="DK64" s="65">
        <v>0</v>
      </c>
      <c r="DL64" s="65">
        <v>2</v>
      </c>
      <c r="DM64" s="65">
        <v>0</v>
      </c>
      <c r="DN64" s="65">
        <v>0</v>
      </c>
      <c r="DO64" s="66">
        <v>1</v>
      </c>
      <c r="DP64" s="1" t="s">
        <v>385</v>
      </c>
      <c r="DQ64" s="65">
        <v>4</v>
      </c>
      <c r="DR64" s="65">
        <v>0</v>
      </c>
      <c r="DS64" s="65">
        <v>1</v>
      </c>
      <c r="DT64" s="65">
        <v>0</v>
      </c>
      <c r="DU64" s="65">
        <v>1</v>
      </c>
      <c r="DV64" s="65">
        <v>2</v>
      </c>
      <c r="DW64" s="65">
        <v>0</v>
      </c>
      <c r="DX64" s="65">
        <v>0</v>
      </c>
      <c r="DY64" s="66">
        <v>1</v>
      </c>
      <c r="DZ64" s="67">
        <f>1/3</f>
        <v>0.33333333333333331</v>
      </c>
      <c r="EA64" s="68">
        <v>0</v>
      </c>
      <c r="EB64" s="68">
        <v>0</v>
      </c>
      <c r="EC64" s="69">
        <f>8+2/3</f>
        <v>8.6666666666666661</v>
      </c>
      <c r="ED64" s="68">
        <v>1</v>
      </c>
      <c r="EE64" s="70">
        <v>0</v>
      </c>
      <c r="EF64" s="71">
        <v>0</v>
      </c>
      <c r="EG64" s="72">
        <v>0</v>
      </c>
      <c r="EH64" s="72">
        <v>0</v>
      </c>
      <c r="EI64" s="72">
        <v>2</v>
      </c>
      <c r="EJ64" s="72">
        <v>0</v>
      </c>
      <c r="EK64" s="72">
        <v>1</v>
      </c>
      <c r="EL64" s="72">
        <v>1</v>
      </c>
      <c r="EM64" s="72">
        <v>4</v>
      </c>
      <c r="EN64" s="72">
        <v>1</v>
      </c>
      <c r="EO64" s="72"/>
      <c r="EP64" s="72"/>
      <c r="EQ64" s="72"/>
      <c r="ER64" s="72"/>
      <c r="ES64" s="44">
        <f t="shared" si="24"/>
        <v>9</v>
      </c>
      <c r="ET64" s="43">
        <v>1</v>
      </c>
      <c r="EU64" s="43">
        <v>0</v>
      </c>
      <c r="EV64" s="43">
        <v>5</v>
      </c>
      <c r="EW64" s="43">
        <v>4</v>
      </c>
      <c r="EX64" s="43">
        <v>1</v>
      </c>
      <c r="EY64" s="43">
        <v>0</v>
      </c>
      <c r="EZ64" s="43">
        <v>3</v>
      </c>
      <c r="FA64" s="43">
        <v>0</v>
      </c>
      <c r="FB64" s="43">
        <v>0</v>
      </c>
      <c r="FC64" s="43"/>
      <c r="FD64" s="43"/>
      <c r="FE64" s="43"/>
      <c r="FF64" s="43"/>
      <c r="FG64" s="43">
        <f t="shared" si="25"/>
        <v>14</v>
      </c>
      <c r="FH64" s="73">
        <v>40</v>
      </c>
      <c r="FI64" s="73">
        <v>9</v>
      </c>
      <c r="FJ64" s="73">
        <v>12</v>
      </c>
      <c r="FK64" s="73">
        <v>7</v>
      </c>
      <c r="FL64" s="73">
        <v>5</v>
      </c>
      <c r="FM64" s="73">
        <v>7</v>
      </c>
      <c r="FN64" s="73">
        <f t="shared" si="26"/>
        <v>0</v>
      </c>
      <c r="FO64" s="73">
        <f t="shared" si="27"/>
        <v>0</v>
      </c>
      <c r="FP64" s="73">
        <f t="shared" si="28"/>
        <v>0</v>
      </c>
      <c r="FQ64" s="73">
        <f t="shared" si="29"/>
        <v>0</v>
      </c>
      <c r="FR64" s="73">
        <f t="shared" si="30"/>
        <v>0</v>
      </c>
      <c r="FS64" s="73">
        <f t="shared" si="31"/>
        <v>0</v>
      </c>
      <c r="FT64" s="73">
        <f t="shared" si="32"/>
        <v>0</v>
      </c>
      <c r="FU64" s="73">
        <f t="shared" si="33"/>
        <v>0</v>
      </c>
      <c r="FV64" s="73">
        <f t="shared" si="34"/>
        <v>-1</v>
      </c>
      <c r="FW64" s="73">
        <f t="shared" si="35"/>
        <v>0</v>
      </c>
      <c r="FX64" s="73">
        <f t="shared" si="36"/>
        <v>-5</v>
      </c>
      <c r="FY64" s="73">
        <f t="shared" si="37"/>
        <v>-2</v>
      </c>
      <c r="FZ64" s="73">
        <f t="shared" si="38"/>
        <v>-1</v>
      </c>
      <c r="GA64" s="73">
        <f t="shared" si="39"/>
        <v>1</v>
      </c>
      <c r="GB64" s="73">
        <f t="shared" si="40"/>
        <v>-2</v>
      </c>
      <c r="GC64" s="73">
        <f t="shared" si="41"/>
        <v>4</v>
      </c>
      <c r="GD64" s="73">
        <f t="shared" si="42"/>
        <v>1</v>
      </c>
      <c r="GE64" s="73">
        <f t="shared" si="43"/>
        <v>0</v>
      </c>
      <c r="GF64" s="73">
        <f t="shared" si="44"/>
        <v>0</v>
      </c>
      <c r="GG64" s="73">
        <f t="shared" si="45"/>
        <v>0</v>
      </c>
      <c r="GH64" s="73">
        <f t="shared" si="46"/>
        <v>0</v>
      </c>
      <c r="GI64" s="73">
        <f t="shared" si="47"/>
        <v>-5</v>
      </c>
      <c r="GJ64" s="38"/>
      <c r="GK64" s="367" t="s">
        <v>691</v>
      </c>
      <c r="GL64" s="376" t="s">
        <v>691</v>
      </c>
      <c r="GM64" s="376" t="s">
        <v>692</v>
      </c>
      <c r="GP64" s="52"/>
    </row>
    <row r="65" spans="1:198" x14ac:dyDescent="0.25">
      <c r="A65" s="74">
        <v>40341</v>
      </c>
      <c r="B65" s="74" t="s">
        <v>19</v>
      </c>
      <c r="C65" s="74" t="s">
        <v>129</v>
      </c>
      <c r="D65" s="74" t="s">
        <v>144</v>
      </c>
      <c r="E65" s="4">
        <v>29963</v>
      </c>
      <c r="F65" s="6">
        <v>177</v>
      </c>
      <c r="G65" s="58">
        <v>2</v>
      </c>
      <c r="H65" s="59" t="s">
        <v>396</v>
      </c>
      <c r="I65" s="6">
        <v>1</v>
      </c>
      <c r="J65" s="6">
        <v>0</v>
      </c>
      <c r="K65" s="60">
        <f>5+2/3</f>
        <v>5.666666666666667</v>
      </c>
      <c r="L65" s="6">
        <v>9</v>
      </c>
      <c r="M65" s="6">
        <v>4</v>
      </c>
      <c r="N65" s="6">
        <v>4</v>
      </c>
      <c r="O65" s="6">
        <v>2</v>
      </c>
      <c r="P65" s="6">
        <v>7</v>
      </c>
      <c r="Q65" s="6">
        <v>1</v>
      </c>
      <c r="R65" s="6">
        <v>0</v>
      </c>
      <c r="S65" s="6">
        <v>25</v>
      </c>
      <c r="T65" s="6">
        <v>102</v>
      </c>
      <c r="U65" s="6">
        <v>64</v>
      </c>
      <c r="V65" s="6">
        <v>1</v>
      </c>
      <c r="W65" s="61">
        <v>0</v>
      </c>
      <c r="X65" s="6">
        <v>0</v>
      </c>
      <c r="Y65" s="6">
        <v>0</v>
      </c>
      <c r="Z65" s="6">
        <v>2</v>
      </c>
      <c r="AA65" s="6">
        <v>1</v>
      </c>
      <c r="AB65" s="6">
        <v>0</v>
      </c>
      <c r="AC65" s="60">
        <f>3+1/3</f>
        <v>3.3333333333333335</v>
      </c>
      <c r="AD65" s="6">
        <v>1</v>
      </c>
      <c r="AE65" s="6">
        <v>1</v>
      </c>
      <c r="AF65" s="6">
        <v>1</v>
      </c>
      <c r="AG65" s="6">
        <v>0</v>
      </c>
      <c r="AH65" s="6">
        <v>3</v>
      </c>
      <c r="AI65" s="6">
        <v>0</v>
      </c>
      <c r="AJ65" s="6">
        <v>0</v>
      </c>
      <c r="AK65" s="6">
        <v>11</v>
      </c>
      <c r="AL65" s="6">
        <v>36</v>
      </c>
      <c r="AM65" s="6">
        <v>24</v>
      </c>
      <c r="AN65" s="1" t="s">
        <v>275</v>
      </c>
      <c r="AO65" s="75">
        <v>5</v>
      </c>
      <c r="AP65" s="75">
        <v>0</v>
      </c>
      <c r="AQ65" s="75">
        <v>0</v>
      </c>
      <c r="AR65" s="75">
        <v>0</v>
      </c>
      <c r="AS65" s="75">
        <v>0</v>
      </c>
      <c r="AT65" s="75">
        <v>1</v>
      </c>
      <c r="AU65" s="75">
        <v>0</v>
      </c>
      <c r="AV65" s="75">
        <v>0</v>
      </c>
      <c r="AW65" s="76">
        <v>0</v>
      </c>
      <c r="AX65" s="1" t="s">
        <v>391</v>
      </c>
      <c r="AY65" s="75">
        <v>5</v>
      </c>
      <c r="AZ65" s="75">
        <v>2</v>
      </c>
      <c r="BA65" s="75">
        <v>2</v>
      </c>
      <c r="BB65" s="75">
        <v>1</v>
      </c>
      <c r="BC65" s="75">
        <v>0</v>
      </c>
      <c r="BD65" s="75">
        <v>0</v>
      </c>
      <c r="BE65" s="75">
        <v>0</v>
      </c>
      <c r="BF65" s="75">
        <v>0</v>
      </c>
      <c r="BG65" s="76">
        <v>5</v>
      </c>
      <c r="BH65" s="1" t="s">
        <v>390</v>
      </c>
      <c r="BI65" s="75">
        <v>5</v>
      </c>
      <c r="BJ65" s="75">
        <v>0</v>
      </c>
      <c r="BK65" s="75">
        <v>1</v>
      </c>
      <c r="BL65" s="75">
        <v>1</v>
      </c>
      <c r="BM65" s="75">
        <v>0</v>
      </c>
      <c r="BN65" s="75">
        <v>1</v>
      </c>
      <c r="BO65" s="75">
        <v>0</v>
      </c>
      <c r="BP65" s="75">
        <v>0</v>
      </c>
      <c r="BQ65" s="76">
        <v>1</v>
      </c>
      <c r="BR65" s="1" t="s">
        <v>274</v>
      </c>
      <c r="BS65" s="75">
        <v>5</v>
      </c>
      <c r="BT65" s="75">
        <v>1</v>
      </c>
      <c r="BU65" s="75">
        <v>1</v>
      </c>
      <c r="BV65" s="75">
        <v>1</v>
      </c>
      <c r="BW65" s="75">
        <v>0</v>
      </c>
      <c r="BX65" s="75">
        <v>3</v>
      </c>
      <c r="BY65" s="75">
        <v>0</v>
      </c>
      <c r="BZ65" s="75">
        <v>0</v>
      </c>
      <c r="CA65" s="76">
        <v>4</v>
      </c>
      <c r="CB65" s="1" t="s">
        <v>389</v>
      </c>
      <c r="CC65" s="75">
        <v>4</v>
      </c>
      <c r="CD65" s="75">
        <v>0</v>
      </c>
      <c r="CE65" s="75">
        <v>2</v>
      </c>
      <c r="CF65" s="75">
        <v>1</v>
      </c>
      <c r="CG65" s="75">
        <v>0</v>
      </c>
      <c r="CH65" s="75">
        <v>1</v>
      </c>
      <c r="CI65" s="75">
        <v>0</v>
      </c>
      <c r="CJ65" s="75">
        <v>0</v>
      </c>
      <c r="CK65" s="76">
        <v>2</v>
      </c>
      <c r="CL65" s="1" t="s">
        <v>273</v>
      </c>
      <c r="CM65" s="75">
        <v>3</v>
      </c>
      <c r="CN65" s="75">
        <v>1</v>
      </c>
      <c r="CO65" s="75">
        <v>1</v>
      </c>
      <c r="CP65" s="75">
        <v>0</v>
      </c>
      <c r="CQ65" s="75">
        <v>1</v>
      </c>
      <c r="CR65" s="75">
        <v>0</v>
      </c>
      <c r="CS65" s="75">
        <v>0</v>
      </c>
      <c r="CT65" s="75">
        <v>0</v>
      </c>
      <c r="CU65" s="76">
        <v>2</v>
      </c>
      <c r="CV65" s="1" t="s">
        <v>404</v>
      </c>
      <c r="CW65" s="75">
        <v>3</v>
      </c>
      <c r="CX65" s="75">
        <v>0</v>
      </c>
      <c r="CY65" s="75">
        <v>1</v>
      </c>
      <c r="CZ65" s="75">
        <v>0</v>
      </c>
      <c r="DA65" s="75">
        <v>1</v>
      </c>
      <c r="DB65" s="75">
        <v>0</v>
      </c>
      <c r="DC65" s="75">
        <v>0</v>
      </c>
      <c r="DD65" s="75">
        <v>0</v>
      </c>
      <c r="DE65" s="76">
        <v>2</v>
      </c>
      <c r="DF65" s="1" t="s">
        <v>271</v>
      </c>
      <c r="DG65" s="75">
        <v>3</v>
      </c>
      <c r="DH65" s="75">
        <v>1</v>
      </c>
      <c r="DI65" s="75">
        <v>2</v>
      </c>
      <c r="DJ65" s="75">
        <v>1</v>
      </c>
      <c r="DK65" s="75">
        <v>0</v>
      </c>
      <c r="DL65" s="75">
        <v>1</v>
      </c>
      <c r="DM65" s="75">
        <v>0</v>
      </c>
      <c r="DN65" s="75">
        <v>0</v>
      </c>
      <c r="DO65" s="76">
        <v>5</v>
      </c>
      <c r="DP65" s="1" t="s">
        <v>385</v>
      </c>
      <c r="DQ65" s="75">
        <v>3</v>
      </c>
      <c r="DR65" s="75">
        <v>1</v>
      </c>
      <c r="DS65" s="75">
        <v>3</v>
      </c>
      <c r="DT65" s="75">
        <v>1</v>
      </c>
      <c r="DU65" s="75">
        <v>0</v>
      </c>
      <c r="DV65" s="75">
        <v>0</v>
      </c>
      <c r="DW65" s="75">
        <v>1</v>
      </c>
      <c r="DX65" s="75">
        <v>0</v>
      </c>
      <c r="DY65" s="76">
        <v>3</v>
      </c>
      <c r="DZ65" s="77">
        <f>5+2/3</f>
        <v>5.666666666666667</v>
      </c>
      <c r="EA65" s="72">
        <v>1</v>
      </c>
      <c r="EB65" s="72">
        <v>0</v>
      </c>
      <c r="EC65" s="2">
        <f>2+1/3</f>
        <v>2.3333333333333335</v>
      </c>
      <c r="ED65" s="72">
        <v>0</v>
      </c>
      <c r="EE65" s="44">
        <v>0</v>
      </c>
      <c r="EF65" s="71">
        <v>2</v>
      </c>
      <c r="EG65" s="72">
        <v>3</v>
      </c>
      <c r="EH65" s="72">
        <v>0</v>
      </c>
      <c r="EI65" s="72">
        <v>0</v>
      </c>
      <c r="EJ65" s="72">
        <v>0</v>
      </c>
      <c r="EK65" s="72">
        <v>0</v>
      </c>
      <c r="EL65" s="72">
        <v>1</v>
      </c>
      <c r="EM65" s="72">
        <v>0</v>
      </c>
      <c r="EN65" s="72"/>
      <c r="EO65" s="72"/>
      <c r="EP65" s="72"/>
      <c r="EQ65" s="72"/>
      <c r="ER65" s="72"/>
      <c r="ES65" s="44">
        <f t="shared" si="24"/>
        <v>6</v>
      </c>
      <c r="ET65" s="72">
        <v>1</v>
      </c>
      <c r="EU65" s="72">
        <v>0</v>
      </c>
      <c r="EV65" s="72">
        <v>0</v>
      </c>
      <c r="EW65" s="72">
        <v>2</v>
      </c>
      <c r="EX65" s="72">
        <v>1</v>
      </c>
      <c r="EY65" s="72">
        <v>0</v>
      </c>
      <c r="EZ65" s="72">
        <v>0</v>
      </c>
      <c r="FA65" s="72">
        <v>1</v>
      </c>
      <c r="FB65" s="72">
        <v>0</v>
      </c>
      <c r="FC65" s="72"/>
      <c r="FD65" s="72"/>
      <c r="FE65" s="72"/>
      <c r="FF65" s="72"/>
      <c r="FG65" s="72">
        <f t="shared" si="25"/>
        <v>5</v>
      </c>
      <c r="FH65" s="73">
        <v>36</v>
      </c>
      <c r="FI65" s="73">
        <v>6</v>
      </c>
      <c r="FJ65" s="73">
        <v>13</v>
      </c>
      <c r="FK65" s="73">
        <v>6</v>
      </c>
      <c r="FL65" s="73">
        <v>2</v>
      </c>
      <c r="FM65" s="73">
        <v>7</v>
      </c>
      <c r="FN65" s="73">
        <f t="shared" si="26"/>
        <v>0</v>
      </c>
      <c r="FO65" s="73">
        <f t="shared" si="27"/>
        <v>0</v>
      </c>
      <c r="FP65" s="73">
        <f t="shared" si="28"/>
        <v>0</v>
      </c>
      <c r="FQ65" s="73">
        <f t="shared" si="29"/>
        <v>0</v>
      </c>
      <c r="FR65" s="73">
        <f t="shared" si="30"/>
        <v>0</v>
      </c>
      <c r="FS65" s="73">
        <f t="shared" si="31"/>
        <v>0</v>
      </c>
      <c r="FT65" s="73">
        <f t="shared" si="32"/>
        <v>0</v>
      </c>
      <c r="FU65" s="73">
        <f t="shared" si="33"/>
        <v>0</v>
      </c>
      <c r="FV65" s="73">
        <f t="shared" si="34"/>
        <v>1</v>
      </c>
      <c r="FW65" s="73">
        <f t="shared" si="35"/>
        <v>3</v>
      </c>
      <c r="FX65" s="73">
        <f t="shared" si="36"/>
        <v>0</v>
      </c>
      <c r="FY65" s="73">
        <f t="shared" si="37"/>
        <v>-2</v>
      </c>
      <c r="FZ65" s="73">
        <f t="shared" si="38"/>
        <v>-1</v>
      </c>
      <c r="GA65" s="73">
        <f t="shared" si="39"/>
        <v>0</v>
      </c>
      <c r="GB65" s="73">
        <f t="shared" si="40"/>
        <v>1</v>
      </c>
      <c r="GC65" s="73">
        <f t="shared" si="41"/>
        <v>-1</v>
      </c>
      <c r="GD65" s="73">
        <f t="shared" si="42"/>
        <v>0</v>
      </c>
      <c r="GE65" s="73">
        <f t="shared" si="43"/>
        <v>0</v>
      </c>
      <c r="GF65" s="73">
        <f t="shared" si="44"/>
        <v>0</v>
      </c>
      <c r="GG65" s="73">
        <f t="shared" si="45"/>
        <v>0</v>
      </c>
      <c r="GH65" s="73">
        <f t="shared" si="46"/>
        <v>0</v>
      </c>
      <c r="GI65" s="73">
        <f t="shared" si="47"/>
        <v>1</v>
      </c>
      <c r="GJ65" s="38"/>
      <c r="GK65" s="367" t="s">
        <v>691</v>
      </c>
      <c r="GL65" s="376" t="s">
        <v>691</v>
      </c>
      <c r="GM65" s="376" t="s">
        <v>692</v>
      </c>
      <c r="GP65" s="52"/>
    </row>
    <row r="66" spans="1:198" x14ac:dyDescent="0.25">
      <c r="A66" s="74">
        <v>40342</v>
      </c>
      <c r="B66" s="74" t="s">
        <v>19</v>
      </c>
      <c r="C66" s="74" t="s">
        <v>131</v>
      </c>
      <c r="D66" s="74" t="s">
        <v>144</v>
      </c>
      <c r="E66" s="4">
        <v>25442</v>
      </c>
      <c r="F66" s="6">
        <v>203</v>
      </c>
      <c r="G66" s="58">
        <v>3</v>
      </c>
      <c r="H66" s="59" t="s">
        <v>395</v>
      </c>
      <c r="I66" s="6">
        <v>0</v>
      </c>
      <c r="J66" s="6">
        <v>1</v>
      </c>
      <c r="K66" s="60">
        <v>6</v>
      </c>
      <c r="L66" s="6">
        <v>9</v>
      </c>
      <c r="M66" s="6">
        <v>5</v>
      </c>
      <c r="N66" s="6">
        <v>5</v>
      </c>
      <c r="O66" s="6">
        <v>3</v>
      </c>
      <c r="P66" s="6">
        <v>4</v>
      </c>
      <c r="Q66" s="6">
        <v>2</v>
      </c>
      <c r="R66" s="6">
        <v>0</v>
      </c>
      <c r="S66" s="6">
        <v>29</v>
      </c>
      <c r="T66" s="6">
        <v>99</v>
      </c>
      <c r="U66" s="6">
        <v>62</v>
      </c>
      <c r="V66" s="6">
        <v>0</v>
      </c>
      <c r="W66" s="61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0">
        <v>3</v>
      </c>
      <c r="AD66" s="6">
        <v>1</v>
      </c>
      <c r="AE66" s="6">
        <v>1</v>
      </c>
      <c r="AF66" s="6">
        <v>1</v>
      </c>
      <c r="AG66" s="6">
        <v>4</v>
      </c>
      <c r="AH66" s="6">
        <v>3</v>
      </c>
      <c r="AI66" s="6">
        <v>0</v>
      </c>
      <c r="AJ66" s="6">
        <v>0</v>
      </c>
      <c r="AK66" s="6">
        <v>13</v>
      </c>
      <c r="AL66" s="6">
        <v>69</v>
      </c>
      <c r="AM66" s="6">
        <v>38</v>
      </c>
      <c r="AN66" s="1" t="s">
        <v>275</v>
      </c>
      <c r="AO66" s="75">
        <v>3</v>
      </c>
      <c r="AP66" s="75">
        <v>0</v>
      </c>
      <c r="AQ66" s="75">
        <v>1</v>
      </c>
      <c r="AR66" s="75">
        <v>0</v>
      </c>
      <c r="AS66" s="75">
        <v>1</v>
      </c>
      <c r="AT66" s="75">
        <v>1</v>
      </c>
      <c r="AU66" s="75">
        <v>0</v>
      </c>
      <c r="AV66" s="75">
        <v>0</v>
      </c>
      <c r="AW66" s="76">
        <v>1</v>
      </c>
      <c r="AX66" s="1" t="s">
        <v>391</v>
      </c>
      <c r="AY66" s="75">
        <v>4</v>
      </c>
      <c r="AZ66" s="75">
        <v>1</v>
      </c>
      <c r="BA66" s="75">
        <v>1</v>
      </c>
      <c r="BB66" s="75">
        <v>0</v>
      </c>
      <c r="BC66" s="75">
        <v>0</v>
      </c>
      <c r="BD66" s="75">
        <v>0</v>
      </c>
      <c r="BE66" s="75">
        <v>0</v>
      </c>
      <c r="BF66" s="75">
        <v>0</v>
      </c>
      <c r="BG66" s="76">
        <v>1</v>
      </c>
      <c r="BH66" s="1" t="s">
        <v>390</v>
      </c>
      <c r="BI66" s="75">
        <v>3</v>
      </c>
      <c r="BJ66" s="75">
        <v>0</v>
      </c>
      <c r="BK66" s="75">
        <v>0</v>
      </c>
      <c r="BL66" s="75">
        <v>0</v>
      </c>
      <c r="BM66" s="75">
        <v>1</v>
      </c>
      <c r="BN66" s="75">
        <v>0</v>
      </c>
      <c r="BO66" s="75">
        <v>0</v>
      </c>
      <c r="BP66" s="75">
        <v>0</v>
      </c>
      <c r="BQ66" s="76">
        <v>0</v>
      </c>
      <c r="BR66" s="1" t="s">
        <v>274</v>
      </c>
      <c r="BS66" s="75">
        <v>4</v>
      </c>
      <c r="BT66" s="75">
        <v>0</v>
      </c>
      <c r="BU66" s="75">
        <v>0</v>
      </c>
      <c r="BV66" s="75">
        <v>0</v>
      </c>
      <c r="BW66" s="75">
        <v>0</v>
      </c>
      <c r="BX66" s="75">
        <v>1</v>
      </c>
      <c r="BY66" s="75">
        <v>0</v>
      </c>
      <c r="BZ66" s="75">
        <v>0</v>
      </c>
      <c r="CA66" s="76">
        <v>0</v>
      </c>
      <c r="CB66" s="1" t="s">
        <v>389</v>
      </c>
      <c r="CC66" s="75">
        <v>3</v>
      </c>
      <c r="CD66" s="75">
        <v>0</v>
      </c>
      <c r="CE66" s="75">
        <v>0</v>
      </c>
      <c r="CF66" s="75">
        <v>1</v>
      </c>
      <c r="CG66" s="75">
        <v>0</v>
      </c>
      <c r="CH66" s="75">
        <v>1</v>
      </c>
      <c r="CI66" s="75">
        <v>0</v>
      </c>
      <c r="CJ66" s="75">
        <v>1</v>
      </c>
      <c r="CK66" s="76">
        <v>0</v>
      </c>
      <c r="CL66" s="1" t="s">
        <v>273</v>
      </c>
      <c r="CM66" s="75">
        <v>3</v>
      </c>
      <c r="CN66" s="75">
        <v>0</v>
      </c>
      <c r="CO66" s="75">
        <v>0</v>
      </c>
      <c r="CP66" s="75">
        <v>0</v>
      </c>
      <c r="CQ66" s="75">
        <v>1</v>
      </c>
      <c r="CR66" s="75">
        <v>0</v>
      </c>
      <c r="CS66" s="75">
        <v>0</v>
      </c>
      <c r="CT66" s="75">
        <v>0</v>
      </c>
      <c r="CU66" s="76">
        <v>0</v>
      </c>
      <c r="CV66" s="1" t="s">
        <v>388</v>
      </c>
      <c r="CW66" s="75">
        <v>4</v>
      </c>
      <c r="CX66" s="75">
        <v>0</v>
      </c>
      <c r="CY66" s="75">
        <v>0</v>
      </c>
      <c r="CZ66" s="75">
        <v>0</v>
      </c>
      <c r="DA66" s="75">
        <v>0</v>
      </c>
      <c r="DB66" s="75">
        <v>2</v>
      </c>
      <c r="DC66" s="75">
        <v>0</v>
      </c>
      <c r="DD66" s="75">
        <v>0</v>
      </c>
      <c r="DE66" s="76">
        <v>0</v>
      </c>
      <c r="DF66" s="1" t="s">
        <v>271</v>
      </c>
      <c r="DG66" s="75">
        <v>3</v>
      </c>
      <c r="DH66" s="75">
        <v>0</v>
      </c>
      <c r="DI66" s="75">
        <v>3</v>
      </c>
      <c r="DJ66" s="75">
        <v>0</v>
      </c>
      <c r="DK66" s="75">
        <v>1</v>
      </c>
      <c r="DL66" s="75">
        <v>0</v>
      </c>
      <c r="DM66" s="75">
        <v>0</v>
      </c>
      <c r="DN66" s="75">
        <v>0</v>
      </c>
      <c r="DO66" s="76">
        <v>4</v>
      </c>
      <c r="DP66" s="1" t="s">
        <v>385</v>
      </c>
      <c r="DQ66" s="75">
        <v>3</v>
      </c>
      <c r="DR66" s="75">
        <v>0</v>
      </c>
      <c r="DS66" s="75">
        <v>1</v>
      </c>
      <c r="DT66" s="75">
        <v>0</v>
      </c>
      <c r="DU66" s="75">
        <v>1</v>
      </c>
      <c r="DV66" s="75">
        <v>1</v>
      </c>
      <c r="DW66" s="75">
        <v>0</v>
      </c>
      <c r="DX66" s="75">
        <v>0</v>
      </c>
      <c r="DY66" s="76">
        <v>1</v>
      </c>
      <c r="DZ66" s="77">
        <f>0+2/3</f>
        <v>0.66666666666666663</v>
      </c>
      <c r="EA66" s="72">
        <v>0</v>
      </c>
      <c r="EB66" s="72">
        <v>0</v>
      </c>
      <c r="EC66" s="2">
        <f>8+1/3</f>
        <v>8.3333333333333339</v>
      </c>
      <c r="ED66" s="72">
        <v>3</v>
      </c>
      <c r="EE66" s="44">
        <v>0</v>
      </c>
      <c r="EF66" s="71">
        <v>0</v>
      </c>
      <c r="EG66" s="72">
        <v>0</v>
      </c>
      <c r="EH66" s="72">
        <v>0</v>
      </c>
      <c r="EI66" s="72">
        <v>1</v>
      </c>
      <c r="EJ66" s="72">
        <v>0</v>
      </c>
      <c r="EK66" s="72">
        <v>0</v>
      </c>
      <c r="EL66" s="72">
        <v>0</v>
      </c>
      <c r="EM66" s="72">
        <v>0</v>
      </c>
      <c r="EN66" s="72">
        <v>0</v>
      </c>
      <c r="EO66" s="72"/>
      <c r="EP66" s="72"/>
      <c r="EQ66" s="72"/>
      <c r="ER66" s="72"/>
      <c r="ES66" s="44">
        <f t="shared" si="24"/>
        <v>1</v>
      </c>
      <c r="ET66" s="72">
        <v>0</v>
      </c>
      <c r="EU66" s="72">
        <v>0</v>
      </c>
      <c r="EV66" s="72">
        <v>0</v>
      </c>
      <c r="EW66" s="72">
        <v>1</v>
      </c>
      <c r="EX66" s="72">
        <v>0</v>
      </c>
      <c r="EY66" s="72">
        <v>4</v>
      </c>
      <c r="EZ66" s="72">
        <v>1</v>
      </c>
      <c r="FA66" s="72">
        <v>0</v>
      </c>
      <c r="FB66" s="72">
        <v>0</v>
      </c>
      <c r="FC66" s="72"/>
      <c r="FD66" s="72"/>
      <c r="FE66" s="72"/>
      <c r="FF66" s="72"/>
      <c r="FG66" s="72">
        <f t="shared" si="25"/>
        <v>6</v>
      </c>
      <c r="FH66" s="73">
        <v>30</v>
      </c>
      <c r="FI66" s="73">
        <v>1</v>
      </c>
      <c r="FJ66" s="73">
        <v>6</v>
      </c>
      <c r="FK66" s="73">
        <v>1</v>
      </c>
      <c r="FL66" s="73">
        <v>5</v>
      </c>
      <c r="FM66" s="73">
        <v>6</v>
      </c>
      <c r="FN66" s="73">
        <f t="shared" si="26"/>
        <v>0</v>
      </c>
      <c r="FO66" s="73">
        <f t="shared" si="27"/>
        <v>0</v>
      </c>
      <c r="FP66" s="73">
        <f t="shared" si="28"/>
        <v>0</v>
      </c>
      <c r="FQ66" s="73">
        <f t="shared" si="29"/>
        <v>0</v>
      </c>
      <c r="FR66" s="73">
        <f t="shared" si="30"/>
        <v>0</v>
      </c>
      <c r="FS66" s="73">
        <f t="shared" si="31"/>
        <v>0</v>
      </c>
      <c r="FT66" s="73">
        <f t="shared" si="32"/>
        <v>0</v>
      </c>
      <c r="FU66" s="73">
        <f t="shared" si="33"/>
        <v>0</v>
      </c>
      <c r="FV66" s="73">
        <f t="shared" si="34"/>
        <v>0</v>
      </c>
      <c r="FW66" s="73">
        <f t="shared" si="35"/>
        <v>0</v>
      </c>
      <c r="FX66" s="73">
        <f t="shared" si="36"/>
        <v>0</v>
      </c>
      <c r="FY66" s="73">
        <f t="shared" si="37"/>
        <v>0</v>
      </c>
      <c r="FZ66" s="73">
        <f t="shared" si="38"/>
        <v>0</v>
      </c>
      <c r="GA66" s="73">
        <f t="shared" si="39"/>
        <v>-4</v>
      </c>
      <c r="GB66" s="73">
        <f t="shared" si="40"/>
        <v>-1</v>
      </c>
      <c r="GC66" s="73">
        <f t="shared" si="41"/>
        <v>0</v>
      </c>
      <c r="GD66" s="73">
        <f t="shared" si="42"/>
        <v>0</v>
      </c>
      <c r="GE66" s="73">
        <f t="shared" si="43"/>
        <v>0</v>
      </c>
      <c r="GF66" s="73">
        <f t="shared" si="44"/>
        <v>0</v>
      </c>
      <c r="GG66" s="73">
        <f t="shared" si="45"/>
        <v>0</v>
      </c>
      <c r="GH66" s="73">
        <f t="shared" si="46"/>
        <v>0</v>
      </c>
      <c r="GI66" s="73">
        <f t="shared" si="47"/>
        <v>-5</v>
      </c>
      <c r="GJ66" s="38"/>
      <c r="GK66" s="367" t="s">
        <v>693</v>
      </c>
      <c r="GL66" s="376" t="s">
        <v>691</v>
      </c>
      <c r="GM66" s="376" t="s">
        <v>692</v>
      </c>
      <c r="GP66" s="52"/>
    </row>
    <row r="67" spans="1:198" x14ac:dyDescent="0.25">
      <c r="A67" s="74">
        <v>40344</v>
      </c>
      <c r="B67" s="74" t="s">
        <v>133</v>
      </c>
      <c r="C67" s="74" t="s">
        <v>129</v>
      </c>
      <c r="D67" s="74" t="s">
        <v>241</v>
      </c>
      <c r="E67" s="4">
        <v>30448</v>
      </c>
      <c r="F67" s="6">
        <v>210</v>
      </c>
      <c r="G67" s="58">
        <v>4</v>
      </c>
      <c r="H67" s="59" t="s">
        <v>394</v>
      </c>
      <c r="I67" s="6">
        <v>1</v>
      </c>
      <c r="J67" s="6">
        <v>0</v>
      </c>
      <c r="K67" s="60">
        <v>5</v>
      </c>
      <c r="L67" s="6">
        <v>8</v>
      </c>
      <c r="M67" s="6">
        <v>3</v>
      </c>
      <c r="N67" s="6">
        <v>2</v>
      </c>
      <c r="O67" s="6">
        <v>3</v>
      </c>
      <c r="P67" s="6">
        <v>7</v>
      </c>
      <c r="Q67" s="6">
        <v>0</v>
      </c>
      <c r="R67" s="6">
        <v>0</v>
      </c>
      <c r="S67" s="6">
        <v>27</v>
      </c>
      <c r="T67" s="6">
        <v>113</v>
      </c>
      <c r="U67" s="6">
        <v>73</v>
      </c>
      <c r="V67" s="6">
        <v>0</v>
      </c>
      <c r="W67" s="61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0">
        <v>4</v>
      </c>
      <c r="AD67" s="6">
        <v>5</v>
      </c>
      <c r="AE67" s="6">
        <v>1</v>
      </c>
      <c r="AF67" s="6">
        <v>1</v>
      </c>
      <c r="AG67" s="6">
        <v>1</v>
      </c>
      <c r="AH67" s="6">
        <v>2</v>
      </c>
      <c r="AI67" s="6">
        <v>1</v>
      </c>
      <c r="AJ67" s="6">
        <v>0</v>
      </c>
      <c r="AK67" s="6">
        <v>18</v>
      </c>
      <c r="AL67" s="6">
        <v>74</v>
      </c>
      <c r="AM67" s="6">
        <v>53</v>
      </c>
      <c r="AN67" s="1" t="s">
        <v>275</v>
      </c>
      <c r="AO67" s="78">
        <v>6</v>
      </c>
      <c r="AP67" s="78">
        <v>2</v>
      </c>
      <c r="AQ67" s="78">
        <v>2</v>
      </c>
      <c r="AR67" s="78">
        <v>0</v>
      </c>
      <c r="AS67" s="78">
        <v>0</v>
      </c>
      <c r="AT67" s="78">
        <v>0</v>
      </c>
      <c r="AU67" s="78">
        <v>0</v>
      </c>
      <c r="AV67" s="78">
        <v>0</v>
      </c>
      <c r="AW67" s="76">
        <v>2</v>
      </c>
      <c r="AX67" s="1" t="s">
        <v>391</v>
      </c>
      <c r="AY67" s="78">
        <v>4</v>
      </c>
      <c r="AZ67" s="78">
        <v>3</v>
      </c>
      <c r="BA67" s="78">
        <v>2</v>
      </c>
      <c r="BB67" s="78">
        <v>1</v>
      </c>
      <c r="BC67" s="78">
        <v>2</v>
      </c>
      <c r="BD67" s="78">
        <v>1</v>
      </c>
      <c r="BE67" s="78">
        <v>0</v>
      </c>
      <c r="BF67" s="78">
        <v>0</v>
      </c>
      <c r="BG67" s="76">
        <v>5</v>
      </c>
      <c r="BH67" s="1" t="s">
        <v>390</v>
      </c>
      <c r="BI67" s="78">
        <v>5</v>
      </c>
      <c r="BJ67" s="78">
        <v>2</v>
      </c>
      <c r="BK67" s="78">
        <v>2</v>
      </c>
      <c r="BL67" s="78">
        <v>3</v>
      </c>
      <c r="BM67" s="78">
        <v>0</v>
      </c>
      <c r="BN67" s="78">
        <v>1</v>
      </c>
      <c r="BO67" s="78">
        <v>0</v>
      </c>
      <c r="BP67" s="78">
        <v>0</v>
      </c>
      <c r="BQ67" s="76">
        <v>6</v>
      </c>
      <c r="BR67" s="1" t="s">
        <v>274</v>
      </c>
      <c r="BS67" s="78">
        <v>3</v>
      </c>
      <c r="BT67" s="78">
        <v>0</v>
      </c>
      <c r="BU67" s="78">
        <v>1</v>
      </c>
      <c r="BV67" s="78">
        <v>2</v>
      </c>
      <c r="BW67" s="78">
        <v>1</v>
      </c>
      <c r="BX67" s="78">
        <v>1</v>
      </c>
      <c r="BY67" s="78">
        <v>0</v>
      </c>
      <c r="BZ67" s="78">
        <v>1</v>
      </c>
      <c r="CA67" s="76">
        <v>1</v>
      </c>
      <c r="CB67" s="1" t="s">
        <v>389</v>
      </c>
      <c r="CC67" s="78">
        <v>4</v>
      </c>
      <c r="CD67" s="78">
        <v>1</v>
      </c>
      <c r="CE67" s="78">
        <v>2</v>
      </c>
      <c r="CF67" s="78">
        <v>2</v>
      </c>
      <c r="CG67" s="78">
        <v>1</v>
      </c>
      <c r="CH67" s="78">
        <v>0</v>
      </c>
      <c r="CI67" s="78">
        <v>0</v>
      </c>
      <c r="CJ67" s="78">
        <v>0</v>
      </c>
      <c r="CK67" s="76">
        <v>2</v>
      </c>
      <c r="CL67" s="1" t="s">
        <v>273</v>
      </c>
      <c r="CM67" s="78">
        <v>5</v>
      </c>
      <c r="CN67" s="78">
        <v>1</v>
      </c>
      <c r="CO67" s="78">
        <v>1</v>
      </c>
      <c r="CP67" s="78">
        <v>0</v>
      </c>
      <c r="CQ67" s="78">
        <v>0</v>
      </c>
      <c r="CR67" s="78">
        <v>3</v>
      </c>
      <c r="CS67" s="78">
        <v>0</v>
      </c>
      <c r="CT67" s="78">
        <v>0</v>
      </c>
      <c r="CU67" s="76">
        <v>2</v>
      </c>
      <c r="CV67" s="1" t="s">
        <v>271</v>
      </c>
      <c r="CW67" s="78">
        <v>5</v>
      </c>
      <c r="CX67" s="78">
        <v>0</v>
      </c>
      <c r="CY67" s="78">
        <v>1</v>
      </c>
      <c r="CZ67" s="78">
        <v>2</v>
      </c>
      <c r="DA67" s="78">
        <v>0</v>
      </c>
      <c r="DB67" s="78">
        <v>0</v>
      </c>
      <c r="DC67" s="78">
        <v>0</v>
      </c>
      <c r="DD67" s="78">
        <v>0</v>
      </c>
      <c r="DE67" s="76">
        <v>2</v>
      </c>
      <c r="DF67" s="1" t="s">
        <v>385</v>
      </c>
      <c r="DG67" s="78">
        <v>4</v>
      </c>
      <c r="DH67" s="78">
        <v>0</v>
      </c>
      <c r="DI67" s="78">
        <v>1</v>
      </c>
      <c r="DJ67" s="78">
        <v>0</v>
      </c>
      <c r="DK67" s="78">
        <v>1</v>
      </c>
      <c r="DL67" s="78">
        <v>2</v>
      </c>
      <c r="DM67" s="78">
        <v>0</v>
      </c>
      <c r="DN67" s="78">
        <v>0</v>
      </c>
      <c r="DO67" s="76">
        <v>1</v>
      </c>
      <c r="DP67" s="1" t="s">
        <v>394</v>
      </c>
      <c r="DQ67" s="78">
        <v>4</v>
      </c>
      <c r="DR67" s="78">
        <v>1</v>
      </c>
      <c r="DS67" s="78">
        <v>0</v>
      </c>
      <c r="DT67" s="78">
        <v>0</v>
      </c>
      <c r="DU67" s="78">
        <v>1</v>
      </c>
      <c r="DV67" s="78">
        <v>3</v>
      </c>
      <c r="DW67" s="78">
        <v>0</v>
      </c>
      <c r="DX67" s="78">
        <v>0</v>
      </c>
      <c r="DY67" s="76">
        <v>0</v>
      </c>
      <c r="DZ67" s="77">
        <v>0</v>
      </c>
      <c r="EA67" s="43">
        <v>0</v>
      </c>
      <c r="EB67" s="43">
        <v>0</v>
      </c>
      <c r="EC67" s="45">
        <v>9</v>
      </c>
      <c r="ED67" s="43">
        <v>2</v>
      </c>
      <c r="EE67" s="44">
        <v>0</v>
      </c>
      <c r="EF67" s="71">
        <v>4</v>
      </c>
      <c r="EG67" s="43">
        <v>1</v>
      </c>
      <c r="EH67" s="43">
        <v>0</v>
      </c>
      <c r="EI67" s="43">
        <v>0</v>
      </c>
      <c r="EJ67" s="43">
        <v>0</v>
      </c>
      <c r="EK67" s="43">
        <v>2</v>
      </c>
      <c r="EL67" s="43">
        <v>3</v>
      </c>
      <c r="EM67" s="43">
        <v>0</v>
      </c>
      <c r="EN67" s="43">
        <v>0</v>
      </c>
      <c r="EO67" s="43"/>
      <c r="EP67" s="43"/>
      <c r="EQ67" s="43"/>
      <c r="ER67" s="43"/>
      <c r="ES67" s="44">
        <f t="shared" si="24"/>
        <v>10</v>
      </c>
      <c r="ET67" s="43">
        <v>1</v>
      </c>
      <c r="EU67" s="43">
        <v>0</v>
      </c>
      <c r="EV67" s="43">
        <v>1</v>
      </c>
      <c r="EW67" s="43">
        <v>0</v>
      </c>
      <c r="EX67" s="43">
        <v>1</v>
      </c>
      <c r="EY67" s="43">
        <v>0</v>
      </c>
      <c r="EZ67" s="43">
        <v>0</v>
      </c>
      <c r="FA67" s="43">
        <v>1</v>
      </c>
      <c r="FB67" s="43">
        <v>0</v>
      </c>
      <c r="FC67" s="43"/>
      <c r="FD67" s="43"/>
      <c r="FE67" s="43"/>
      <c r="FF67" s="43"/>
      <c r="FG67" s="43">
        <f t="shared" si="25"/>
        <v>4</v>
      </c>
      <c r="FH67" s="73">
        <v>40</v>
      </c>
      <c r="FI67" s="73">
        <v>10</v>
      </c>
      <c r="FJ67" s="73">
        <v>12</v>
      </c>
      <c r="FK67" s="73">
        <v>10</v>
      </c>
      <c r="FL67" s="73">
        <v>6</v>
      </c>
      <c r="FM67" s="73">
        <v>11</v>
      </c>
      <c r="FN67" s="73">
        <f t="shared" si="26"/>
        <v>0</v>
      </c>
      <c r="FO67" s="73">
        <f t="shared" si="27"/>
        <v>0</v>
      </c>
      <c r="FP67" s="73">
        <f t="shared" si="28"/>
        <v>0</v>
      </c>
      <c r="FQ67" s="73">
        <f t="shared" si="29"/>
        <v>0</v>
      </c>
      <c r="FR67" s="73">
        <f t="shared" si="30"/>
        <v>0</v>
      </c>
      <c r="FS67" s="73">
        <f t="shared" si="31"/>
        <v>0</v>
      </c>
      <c r="FT67" s="73">
        <f t="shared" si="32"/>
        <v>0</v>
      </c>
      <c r="FU67" s="73">
        <f t="shared" si="33"/>
        <v>0</v>
      </c>
      <c r="FV67" s="73">
        <f t="shared" si="34"/>
        <v>3</v>
      </c>
      <c r="FW67" s="73">
        <f t="shared" si="35"/>
        <v>1</v>
      </c>
      <c r="FX67" s="73">
        <f t="shared" si="36"/>
        <v>-1</v>
      </c>
      <c r="FY67" s="73">
        <f t="shared" si="37"/>
        <v>0</v>
      </c>
      <c r="FZ67" s="73">
        <f t="shared" si="38"/>
        <v>-1</v>
      </c>
      <c r="GA67" s="73">
        <f t="shared" si="39"/>
        <v>2</v>
      </c>
      <c r="GB67" s="73">
        <f t="shared" si="40"/>
        <v>3</v>
      </c>
      <c r="GC67" s="73">
        <f t="shared" si="41"/>
        <v>-1</v>
      </c>
      <c r="GD67" s="73">
        <f t="shared" si="42"/>
        <v>0</v>
      </c>
      <c r="GE67" s="73">
        <f t="shared" si="43"/>
        <v>0</v>
      </c>
      <c r="GF67" s="73">
        <f t="shared" si="44"/>
        <v>0</v>
      </c>
      <c r="GG67" s="73">
        <f t="shared" si="45"/>
        <v>0</v>
      </c>
      <c r="GH67" s="73">
        <f t="shared" si="46"/>
        <v>0</v>
      </c>
      <c r="GI67" s="73">
        <f t="shared" si="47"/>
        <v>6</v>
      </c>
      <c r="GJ67" s="38"/>
      <c r="GK67" s="367" t="s">
        <v>694</v>
      </c>
      <c r="GL67" s="376" t="s">
        <v>694</v>
      </c>
      <c r="GM67" s="376" t="s">
        <v>692</v>
      </c>
      <c r="GP67" s="52"/>
    </row>
    <row r="68" spans="1:198" x14ac:dyDescent="0.25">
      <c r="A68" s="74">
        <v>40345</v>
      </c>
      <c r="B68" s="74" t="s">
        <v>133</v>
      </c>
      <c r="C68" s="74" t="s">
        <v>131</v>
      </c>
      <c r="D68" s="74" t="s">
        <v>241</v>
      </c>
      <c r="E68" s="4">
        <v>26807</v>
      </c>
      <c r="F68" s="6">
        <v>167</v>
      </c>
      <c r="G68" s="58">
        <v>5</v>
      </c>
      <c r="H68" s="59" t="s">
        <v>393</v>
      </c>
      <c r="I68" s="6">
        <v>0</v>
      </c>
      <c r="J68" s="6">
        <v>1</v>
      </c>
      <c r="K68" s="60">
        <v>5</v>
      </c>
      <c r="L68" s="6">
        <v>7</v>
      </c>
      <c r="M68" s="6">
        <v>3</v>
      </c>
      <c r="N68" s="6">
        <v>3</v>
      </c>
      <c r="O68" s="6">
        <v>0</v>
      </c>
      <c r="P68" s="6">
        <v>5</v>
      </c>
      <c r="Q68" s="6">
        <v>0</v>
      </c>
      <c r="R68" s="6">
        <v>0</v>
      </c>
      <c r="S68" s="6">
        <v>22</v>
      </c>
      <c r="T68" s="6">
        <v>81</v>
      </c>
      <c r="U68" s="6">
        <v>51</v>
      </c>
      <c r="V68" s="6">
        <v>0</v>
      </c>
      <c r="W68" s="61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0">
        <v>3</v>
      </c>
      <c r="AD68" s="6">
        <v>6</v>
      </c>
      <c r="AE68" s="6">
        <v>3</v>
      </c>
      <c r="AF68" s="6">
        <v>3</v>
      </c>
      <c r="AG68" s="6">
        <v>1</v>
      </c>
      <c r="AH68" s="6">
        <v>5</v>
      </c>
      <c r="AI68" s="6">
        <v>1</v>
      </c>
      <c r="AJ68" s="6">
        <v>0</v>
      </c>
      <c r="AK68" s="6">
        <v>16</v>
      </c>
      <c r="AL68" s="6">
        <v>52</v>
      </c>
      <c r="AM68" s="6">
        <v>31</v>
      </c>
      <c r="AN68" s="1" t="s">
        <v>275</v>
      </c>
      <c r="AO68" s="78">
        <v>4</v>
      </c>
      <c r="AP68" s="78">
        <v>0</v>
      </c>
      <c r="AQ68" s="78">
        <v>1</v>
      </c>
      <c r="AR68" s="78">
        <v>0</v>
      </c>
      <c r="AS68" s="78">
        <v>0</v>
      </c>
      <c r="AT68" s="78">
        <v>1</v>
      </c>
      <c r="AU68" s="78">
        <v>0</v>
      </c>
      <c r="AV68" s="78">
        <v>0</v>
      </c>
      <c r="AW68" s="76">
        <v>2</v>
      </c>
      <c r="AX68" s="1" t="s">
        <v>391</v>
      </c>
      <c r="AY68" s="78">
        <v>2</v>
      </c>
      <c r="AZ68" s="78">
        <v>0</v>
      </c>
      <c r="BA68" s="78">
        <v>0</v>
      </c>
      <c r="BB68" s="78">
        <v>0</v>
      </c>
      <c r="BC68" s="78">
        <v>2</v>
      </c>
      <c r="BD68" s="78">
        <v>0</v>
      </c>
      <c r="BE68" s="78">
        <v>0</v>
      </c>
      <c r="BF68" s="78">
        <v>0</v>
      </c>
      <c r="BG68" s="76">
        <v>0</v>
      </c>
      <c r="BH68" s="1" t="s">
        <v>390</v>
      </c>
      <c r="BI68" s="78">
        <v>4</v>
      </c>
      <c r="BJ68" s="78">
        <v>1</v>
      </c>
      <c r="BK68" s="78">
        <v>0</v>
      </c>
      <c r="BL68" s="78">
        <v>0</v>
      </c>
      <c r="BM68" s="78">
        <v>0</v>
      </c>
      <c r="BN68" s="78">
        <v>0</v>
      </c>
      <c r="BO68" s="78">
        <v>0</v>
      </c>
      <c r="BP68" s="78">
        <v>0</v>
      </c>
      <c r="BQ68" s="76">
        <v>0</v>
      </c>
      <c r="BR68" s="1" t="s">
        <v>274</v>
      </c>
      <c r="BS68" s="78">
        <v>4</v>
      </c>
      <c r="BT68" s="78">
        <v>0</v>
      </c>
      <c r="BU68" s="78">
        <v>1</v>
      </c>
      <c r="BV68" s="78">
        <v>0</v>
      </c>
      <c r="BW68" s="78">
        <v>0</v>
      </c>
      <c r="BX68" s="78">
        <v>2</v>
      </c>
      <c r="BY68" s="78">
        <v>0</v>
      </c>
      <c r="BZ68" s="78">
        <v>0</v>
      </c>
      <c r="CA68" s="76">
        <v>1</v>
      </c>
      <c r="CB68" s="1" t="s">
        <v>389</v>
      </c>
      <c r="CC68" s="78">
        <v>4</v>
      </c>
      <c r="CD68" s="78">
        <v>1</v>
      </c>
      <c r="CE68" s="78">
        <v>1</v>
      </c>
      <c r="CF68" s="78">
        <v>1</v>
      </c>
      <c r="CG68" s="78">
        <v>0</v>
      </c>
      <c r="CH68" s="78">
        <v>1</v>
      </c>
      <c r="CI68" s="78">
        <v>0</v>
      </c>
      <c r="CJ68" s="78">
        <v>0</v>
      </c>
      <c r="CK68" s="76">
        <v>1</v>
      </c>
      <c r="CL68" s="1" t="s">
        <v>273</v>
      </c>
      <c r="CM68" s="78">
        <v>4</v>
      </c>
      <c r="CN68" s="78">
        <v>0</v>
      </c>
      <c r="CO68" s="78">
        <v>1</v>
      </c>
      <c r="CP68" s="78">
        <v>1</v>
      </c>
      <c r="CQ68" s="78">
        <v>0</v>
      </c>
      <c r="CR68" s="78">
        <v>2</v>
      </c>
      <c r="CS68" s="78">
        <v>0</v>
      </c>
      <c r="CT68" s="78">
        <v>0</v>
      </c>
      <c r="CU68" s="76">
        <v>2</v>
      </c>
      <c r="CV68" s="1" t="s">
        <v>271</v>
      </c>
      <c r="CW68" s="78">
        <v>4</v>
      </c>
      <c r="CX68" s="78">
        <v>0</v>
      </c>
      <c r="CY68" s="78">
        <v>0</v>
      </c>
      <c r="CZ68" s="78">
        <v>0</v>
      </c>
      <c r="DA68" s="78">
        <v>0</v>
      </c>
      <c r="DB68" s="78">
        <v>1</v>
      </c>
      <c r="DC68" s="78">
        <v>0</v>
      </c>
      <c r="DD68" s="78">
        <v>0</v>
      </c>
      <c r="DE68" s="76">
        <v>0</v>
      </c>
      <c r="DF68" s="1" t="s">
        <v>384</v>
      </c>
      <c r="DG68" s="78">
        <v>3</v>
      </c>
      <c r="DH68" s="78">
        <v>0</v>
      </c>
      <c r="DI68" s="78">
        <v>0</v>
      </c>
      <c r="DJ68" s="78">
        <v>0</v>
      </c>
      <c r="DK68" s="78">
        <v>0</v>
      </c>
      <c r="DL68" s="78">
        <v>2</v>
      </c>
      <c r="DM68" s="78">
        <v>0</v>
      </c>
      <c r="DN68" s="78">
        <v>0</v>
      </c>
      <c r="DO68" s="76">
        <v>0</v>
      </c>
      <c r="DP68" s="1" t="s">
        <v>393</v>
      </c>
      <c r="DQ68" s="78">
        <v>2</v>
      </c>
      <c r="DR68" s="78">
        <v>0</v>
      </c>
      <c r="DS68" s="78">
        <v>1</v>
      </c>
      <c r="DT68" s="78">
        <v>0</v>
      </c>
      <c r="DU68" s="78">
        <v>1</v>
      </c>
      <c r="DV68" s="78">
        <v>0</v>
      </c>
      <c r="DW68" s="78">
        <v>0</v>
      </c>
      <c r="DX68" s="78">
        <v>0</v>
      </c>
      <c r="DY68" s="76">
        <v>1</v>
      </c>
      <c r="DZ68" s="77">
        <f>1+1/3</f>
        <v>1.3333333333333333</v>
      </c>
      <c r="EA68" s="43">
        <v>0</v>
      </c>
      <c r="EB68" s="43">
        <v>0</v>
      </c>
      <c r="EC68" s="45">
        <f>7+2/3</f>
        <v>7.666666666666667</v>
      </c>
      <c r="ED68" s="43">
        <v>1</v>
      </c>
      <c r="EE68" s="44">
        <v>0</v>
      </c>
      <c r="EF68" s="71">
        <v>0</v>
      </c>
      <c r="EG68" s="43">
        <v>0</v>
      </c>
      <c r="EH68" s="43">
        <v>0</v>
      </c>
      <c r="EI68" s="43">
        <v>0</v>
      </c>
      <c r="EJ68" s="43">
        <v>0</v>
      </c>
      <c r="EK68" s="43">
        <v>0</v>
      </c>
      <c r="EL68" s="43">
        <v>0</v>
      </c>
      <c r="EM68" s="43">
        <v>0</v>
      </c>
      <c r="EN68" s="43">
        <v>2</v>
      </c>
      <c r="EO68" s="43"/>
      <c r="EP68" s="43"/>
      <c r="EQ68" s="43"/>
      <c r="ER68" s="43"/>
      <c r="ES68" s="44">
        <f t="shared" ref="ES68:ES96" si="48">SUM(EF68:ER68)</f>
        <v>2</v>
      </c>
      <c r="ET68" s="43">
        <v>0</v>
      </c>
      <c r="EU68" s="43">
        <v>0</v>
      </c>
      <c r="EV68" s="43">
        <v>3</v>
      </c>
      <c r="EW68" s="43">
        <v>0</v>
      </c>
      <c r="EX68" s="43">
        <v>0</v>
      </c>
      <c r="EY68" s="43">
        <v>1</v>
      </c>
      <c r="EZ68" s="43">
        <v>0</v>
      </c>
      <c r="FA68" s="43">
        <v>2</v>
      </c>
      <c r="FB68" s="43"/>
      <c r="FC68" s="43"/>
      <c r="FD68" s="43"/>
      <c r="FE68" s="43"/>
      <c r="FF68" s="43"/>
      <c r="FG68" s="43">
        <f t="shared" ref="FG68:FG96" si="49">SUM(ET68:FF68)</f>
        <v>6</v>
      </c>
      <c r="FH68" s="73">
        <v>31</v>
      </c>
      <c r="FI68" s="73">
        <v>2</v>
      </c>
      <c r="FJ68" s="73">
        <v>5</v>
      </c>
      <c r="FK68" s="73">
        <v>2</v>
      </c>
      <c r="FL68" s="73">
        <v>3</v>
      </c>
      <c r="FM68" s="73">
        <v>9</v>
      </c>
      <c r="FN68" s="73">
        <f t="shared" ref="FN68:FN77" si="50">((SUM(M68,AE68))-(FG68))</f>
        <v>0</v>
      </c>
      <c r="FO68" s="73">
        <f t="shared" ref="FO68:FO77" si="51">((SUM(AP68,AZ68,BJ68,BT68,CD68,CN68,CX68,DH68,DR68))-(ES68))</f>
        <v>0</v>
      </c>
      <c r="FP68" s="73">
        <f t="shared" ref="FP68:FP99" si="52">((SUM(AO68,AY68,BI68,BS68,CC68,CM68,CW68,DG68,DQ68))-(FH68))</f>
        <v>0</v>
      </c>
      <c r="FQ68" s="73">
        <f t="shared" ref="FQ68:FQ99" si="53">((SUM(AP68,AZ68,BJ68,BT68,CD68,CN68,CX68,DH68,DR68))-(FI68))</f>
        <v>0</v>
      </c>
      <c r="FR68" s="73">
        <f t="shared" ref="FR68:FR99" si="54">((SUM(AQ68,BA68,BK68,BU68,CE68,CO68,CY68,DI68,DS68))-(FJ68))</f>
        <v>0</v>
      </c>
      <c r="FS68" s="73">
        <f t="shared" ref="FS68:FS99" si="55">((SUM(AR68,BB68,BL68,BV68,CF68,CP68,CZ68,DJ68,DT68))-(FK68))</f>
        <v>0</v>
      </c>
      <c r="FT68" s="73">
        <f t="shared" ref="FT68:FT99" si="56">((SUM(AS68,BC68,BM68,BW68,CG68,CQ68,DA68,DK68,DU68))-(FL68))</f>
        <v>0</v>
      </c>
      <c r="FU68" s="73">
        <f t="shared" ref="FU68:FU99" si="57">((SUM(AT68,BD68,BN68,BX68,CH68,CR68,DB68,DL68,DV68))-(FM68))</f>
        <v>0</v>
      </c>
      <c r="FV68" s="73">
        <f t="shared" ref="FV68:FV99" si="58">(EF68-ET68)</f>
        <v>0</v>
      </c>
      <c r="FW68" s="73">
        <f t="shared" ref="FW68:FW99" si="59">(EG68-EU68)</f>
        <v>0</v>
      </c>
      <c r="FX68" s="73">
        <f t="shared" ref="FX68:FX99" si="60">(EH68-EV68)</f>
        <v>-3</v>
      </c>
      <c r="FY68" s="73">
        <f t="shared" ref="FY68:FY99" si="61">(EI68-EW68)</f>
        <v>0</v>
      </c>
      <c r="FZ68" s="73">
        <f t="shared" ref="FZ68:FZ99" si="62">(EJ68-EX68)</f>
        <v>0</v>
      </c>
      <c r="GA68" s="73">
        <f t="shared" ref="GA68:GA99" si="63">(EK68-EY68)</f>
        <v>-1</v>
      </c>
      <c r="GB68" s="73">
        <f t="shared" ref="GB68:GB99" si="64">(EL68-EZ68)</f>
        <v>0</v>
      </c>
      <c r="GC68" s="73">
        <f t="shared" ref="GC68:GC99" si="65">(EM68-FA68)</f>
        <v>-2</v>
      </c>
      <c r="GD68" s="73">
        <f t="shared" ref="GD68:GD99" si="66">(EN68-FB68)</f>
        <v>2</v>
      </c>
      <c r="GE68" s="73">
        <f t="shared" ref="GE68:GE99" si="67">(EO68-FC68)</f>
        <v>0</v>
      </c>
      <c r="GF68" s="73">
        <f t="shared" ref="GF68:GF99" si="68">(EP68-FD68)</f>
        <v>0</v>
      </c>
      <c r="GG68" s="73">
        <f t="shared" ref="GG68:GG99" si="69">(EQ68-FE68)</f>
        <v>0</v>
      </c>
      <c r="GH68" s="73">
        <f t="shared" ref="GH68:GH99" si="70">(ER68-FF68)</f>
        <v>0</v>
      </c>
      <c r="GI68" s="73">
        <f t="shared" ref="GI68:GI99" si="71">(ES68-FG68)</f>
        <v>-4</v>
      </c>
      <c r="GJ68" s="38"/>
      <c r="GK68" s="367" t="s">
        <v>694</v>
      </c>
      <c r="GL68" s="376" t="s">
        <v>694</v>
      </c>
      <c r="GM68" s="376" t="s">
        <v>692</v>
      </c>
      <c r="GP68" s="52"/>
    </row>
    <row r="69" spans="1:198" x14ac:dyDescent="0.25">
      <c r="A69" s="74">
        <v>40346</v>
      </c>
      <c r="B69" s="74" t="s">
        <v>133</v>
      </c>
      <c r="C69" s="74" t="s">
        <v>131</v>
      </c>
      <c r="D69" s="74" t="s">
        <v>241</v>
      </c>
      <c r="E69" s="4">
        <v>30427</v>
      </c>
      <c r="F69" s="6">
        <v>144</v>
      </c>
      <c r="G69" s="58">
        <v>1</v>
      </c>
      <c r="H69" s="59" t="s">
        <v>392</v>
      </c>
      <c r="I69" s="6">
        <v>0</v>
      </c>
      <c r="J69" s="6">
        <v>1</v>
      </c>
      <c r="K69" s="60">
        <v>6</v>
      </c>
      <c r="L69" s="6">
        <v>5</v>
      </c>
      <c r="M69" s="6">
        <v>3</v>
      </c>
      <c r="N69" s="6">
        <v>3</v>
      </c>
      <c r="O69" s="6">
        <v>1</v>
      </c>
      <c r="P69" s="6">
        <v>3</v>
      </c>
      <c r="Q69" s="6">
        <v>1</v>
      </c>
      <c r="R69" s="6">
        <v>0</v>
      </c>
      <c r="S69" s="6">
        <v>24</v>
      </c>
      <c r="T69" s="6">
        <v>82</v>
      </c>
      <c r="U69" s="6">
        <v>55</v>
      </c>
      <c r="V69" s="6">
        <v>0</v>
      </c>
      <c r="W69" s="61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0">
        <v>2</v>
      </c>
      <c r="AD69" s="6">
        <v>0</v>
      </c>
      <c r="AE69" s="6">
        <v>0</v>
      </c>
      <c r="AF69" s="6">
        <v>0</v>
      </c>
      <c r="AG69" s="6">
        <v>1</v>
      </c>
      <c r="AH69" s="6">
        <v>2</v>
      </c>
      <c r="AI69" s="6">
        <v>0</v>
      </c>
      <c r="AJ69" s="6">
        <v>0</v>
      </c>
      <c r="AK69" s="6">
        <v>6</v>
      </c>
      <c r="AL69" s="6">
        <v>25</v>
      </c>
      <c r="AM69" s="6">
        <v>17</v>
      </c>
      <c r="AN69" s="1" t="s">
        <v>385</v>
      </c>
      <c r="AO69" s="78">
        <v>4</v>
      </c>
      <c r="AP69" s="78">
        <v>0</v>
      </c>
      <c r="AQ69" s="78">
        <v>0</v>
      </c>
      <c r="AR69" s="78">
        <v>0</v>
      </c>
      <c r="AS69" s="78">
        <v>0</v>
      </c>
      <c r="AT69" s="78">
        <v>1</v>
      </c>
      <c r="AU69" s="78">
        <v>0</v>
      </c>
      <c r="AV69" s="78">
        <v>0</v>
      </c>
      <c r="AW69" s="76">
        <v>0</v>
      </c>
      <c r="AX69" s="1" t="s">
        <v>391</v>
      </c>
      <c r="AY69" s="78">
        <v>2</v>
      </c>
      <c r="AZ69" s="78">
        <v>1</v>
      </c>
      <c r="BA69" s="78">
        <v>0</v>
      </c>
      <c r="BB69" s="78">
        <v>0</v>
      </c>
      <c r="BC69" s="78">
        <v>2</v>
      </c>
      <c r="BD69" s="78">
        <v>0</v>
      </c>
      <c r="BE69" s="78">
        <v>0</v>
      </c>
      <c r="BF69" s="78">
        <v>0</v>
      </c>
      <c r="BG69" s="76">
        <v>0</v>
      </c>
      <c r="BH69" s="1" t="s">
        <v>390</v>
      </c>
      <c r="BI69" s="78">
        <v>3</v>
      </c>
      <c r="BJ69" s="78">
        <v>0</v>
      </c>
      <c r="BK69" s="78">
        <v>0</v>
      </c>
      <c r="BL69" s="78">
        <v>0</v>
      </c>
      <c r="BM69" s="78">
        <v>1</v>
      </c>
      <c r="BN69" s="78">
        <v>1</v>
      </c>
      <c r="BO69" s="78">
        <v>0</v>
      </c>
      <c r="BP69" s="78">
        <v>0</v>
      </c>
      <c r="BQ69" s="76">
        <v>0</v>
      </c>
      <c r="BR69" s="1" t="s">
        <v>274</v>
      </c>
      <c r="BS69" s="78">
        <v>3</v>
      </c>
      <c r="BT69" s="78">
        <v>0</v>
      </c>
      <c r="BU69" s="78">
        <v>1</v>
      </c>
      <c r="BV69" s="78">
        <v>1</v>
      </c>
      <c r="BW69" s="78">
        <v>1</v>
      </c>
      <c r="BX69" s="78">
        <v>1</v>
      </c>
      <c r="BY69" s="78">
        <v>0</v>
      </c>
      <c r="BZ69" s="78">
        <v>0</v>
      </c>
      <c r="CA69" s="76">
        <v>1</v>
      </c>
      <c r="CB69" s="1" t="s">
        <v>389</v>
      </c>
      <c r="CC69" s="78">
        <v>4</v>
      </c>
      <c r="CD69" s="78">
        <v>0</v>
      </c>
      <c r="CE69" s="78">
        <v>1</v>
      </c>
      <c r="CF69" s="78">
        <v>0</v>
      </c>
      <c r="CG69" s="78">
        <v>0</v>
      </c>
      <c r="CH69" s="78">
        <v>0</v>
      </c>
      <c r="CI69" s="78">
        <v>0</v>
      </c>
      <c r="CJ69" s="78">
        <v>0</v>
      </c>
      <c r="CK69" s="76">
        <v>1</v>
      </c>
      <c r="CL69" s="1" t="s">
        <v>273</v>
      </c>
      <c r="CM69" s="78">
        <v>4</v>
      </c>
      <c r="CN69" s="78">
        <v>0</v>
      </c>
      <c r="CO69" s="78">
        <v>0</v>
      </c>
      <c r="CP69" s="78">
        <v>0</v>
      </c>
      <c r="CQ69" s="78">
        <v>0</v>
      </c>
      <c r="CR69" s="78">
        <v>2</v>
      </c>
      <c r="CS69" s="78">
        <v>0</v>
      </c>
      <c r="CT69" s="78">
        <v>0</v>
      </c>
      <c r="CU69" s="76">
        <v>0</v>
      </c>
      <c r="CV69" s="1" t="s">
        <v>271</v>
      </c>
      <c r="CW69" s="78">
        <v>4</v>
      </c>
      <c r="CX69" s="78">
        <v>0</v>
      </c>
      <c r="CY69" s="78">
        <v>0</v>
      </c>
      <c r="CZ69" s="78">
        <v>0</v>
      </c>
      <c r="DA69" s="78">
        <v>0</v>
      </c>
      <c r="DB69" s="78">
        <v>1</v>
      </c>
      <c r="DC69" s="78">
        <v>0</v>
      </c>
      <c r="DD69" s="78">
        <v>0</v>
      </c>
      <c r="DE69" s="76">
        <v>0</v>
      </c>
      <c r="DF69" s="1" t="s">
        <v>406</v>
      </c>
      <c r="DG69" s="78">
        <v>2</v>
      </c>
      <c r="DH69" s="78">
        <v>0</v>
      </c>
      <c r="DI69" s="78">
        <v>1</v>
      </c>
      <c r="DJ69" s="78">
        <v>0</v>
      </c>
      <c r="DK69" s="78">
        <v>1</v>
      </c>
      <c r="DL69" s="78">
        <v>1</v>
      </c>
      <c r="DM69" s="78">
        <v>0</v>
      </c>
      <c r="DN69" s="78">
        <v>0</v>
      </c>
      <c r="DO69" s="76">
        <v>1</v>
      </c>
      <c r="DP69" s="1" t="s">
        <v>392</v>
      </c>
      <c r="DQ69" s="78">
        <v>3</v>
      </c>
      <c r="DR69" s="78">
        <v>0</v>
      </c>
      <c r="DS69" s="78">
        <v>1</v>
      </c>
      <c r="DT69" s="78">
        <v>0</v>
      </c>
      <c r="DU69" s="78">
        <v>0</v>
      </c>
      <c r="DV69" s="78">
        <v>0</v>
      </c>
      <c r="DW69" s="78">
        <v>0</v>
      </c>
      <c r="DX69" s="78">
        <v>0</v>
      </c>
      <c r="DY69" s="76">
        <v>1</v>
      </c>
      <c r="DZ69" s="77">
        <v>2</v>
      </c>
      <c r="EA69" s="43">
        <v>0</v>
      </c>
      <c r="EB69" s="43">
        <v>0</v>
      </c>
      <c r="EC69" s="45">
        <v>7</v>
      </c>
      <c r="ED69" s="43">
        <v>0</v>
      </c>
      <c r="EE69" s="44">
        <v>1</v>
      </c>
      <c r="EF69" s="71">
        <v>0</v>
      </c>
      <c r="EG69" s="43">
        <v>0</v>
      </c>
      <c r="EH69" s="43">
        <v>0</v>
      </c>
      <c r="EI69" s="43">
        <v>1</v>
      </c>
      <c r="EJ69" s="43">
        <v>0</v>
      </c>
      <c r="EK69" s="43">
        <v>0</v>
      </c>
      <c r="EL69" s="43">
        <v>0</v>
      </c>
      <c r="EM69" s="43">
        <v>0</v>
      </c>
      <c r="EN69" s="43">
        <v>0</v>
      </c>
      <c r="EO69" s="43"/>
      <c r="EP69" s="43"/>
      <c r="EQ69" s="43"/>
      <c r="ER69" s="43"/>
      <c r="ES69" s="44">
        <f t="shared" si="48"/>
        <v>1</v>
      </c>
      <c r="ET69" s="43">
        <v>0</v>
      </c>
      <c r="EU69" s="43">
        <v>0</v>
      </c>
      <c r="EV69" s="43">
        <v>0</v>
      </c>
      <c r="EW69" s="43">
        <v>1</v>
      </c>
      <c r="EX69" s="43">
        <v>0</v>
      </c>
      <c r="EY69" s="43">
        <v>2</v>
      </c>
      <c r="EZ69" s="43">
        <v>0</v>
      </c>
      <c r="FA69" s="43">
        <v>0</v>
      </c>
      <c r="FB69" s="43"/>
      <c r="FC69" s="43"/>
      <c r="FD69" s="43"/>
      <c r="FE69" s="43"/>
      <c r="FF69" s="43"/>
      <c r="FG69" s="43">
        <f t="shared" si="49"/>
        <v>3</v>
      </c>
      <c r="FH69" s="73">
        <v>29</v>
      </c>
      <c r="FI69" s="73">
        <v>1</v>
      </c>
      <c r="FJ69" s="73">
        <v>4</v>
      </c>
      <c r="FK69" s="73">
        <v>1</v>
      </c>
      <c r="FL69" s="73">
        <v>5</v>
      </c>
      <c r="FM69" s="73">
        <v>7</v>
      </c>
      <c r="FN69" s="73">
        <f t="shared" si="50"/>
        <v>0</v>
      </c>
      <c r="FO69" s="73">
        <f t="shared" si="51"/>
        <v>0</v>
      </c>
      <c r="FP69" s="73">
        <f t="shared" si="52"/>
        <v>0</v>
      </c>
      <c r="FQ69" s="73">
        <f t="shared" si="53"/>
        <v>0</v>
      </c>
      <c r="FR69" s="73">
        <f t="shared" si="54"/>
        <v>0</v>
      </c>
      <c r="FS69" s="73">
        <f t="shared" si="55"/>
        <v>0</v>
      </c>
      <c r="FT69" s="73">
        <f t="shared" si="56"/>
        <v>0</v>
      </c>
      <c r="FU69" s="73">
        <f t="shared" si="57"/>
        <v>0</v>
      </c>
      <c r="FV69" s="73">
        <f t="shared" si="58"/>
        <v>0</v>
      </c>
      <c r="FW69" s="73">
        <f t="shared" si="59"/>
        <v>0</v>
      </c>
      <c r="FX69" s="73">
        <f t="shared" si="60"/>
        <v>0</v>
      </c>
      <c r="FY69" s="73">
        <f t="shared" si="61"/>
        <v>0</v>
      </c>
      <c r="FZ69" s="73">
        <f t="shared" si="62"/>
        <v>0</v>
      </c>
      <c r="GA69" s="73">
        <f t="shared" si="63"/>
        <v>-2</v>
      </c>
      <c r="GB69" s="73">
        <f t="shared" si="64"/>
        <v>0</v>
      </c>
      <c r="GC69" s="73">
        <f t="shared" si="65"/>
        <v>0</v>
      </c>
      <c r="GD69" s="73">
        <f t="shared" si="66"/>
        <v>0</v>
      </c>
      <c r="GE69" s="73">
        <f t="shared" si="67"/>
        <v>0</v>
      </c>
      <c r="GF69" s="73">
        <f t="shared" si="68"/>
        <v>0</v>
      </c>
      <c r="GG69" s="73">
        <f t="shared" si="69"/>
        <v>0</v>
      </c>
      <c r="GH69" s="73">
        <f t="shared" si="70"/>
        <v>0</v>
      </c>
      <c r="GI69" s="73">
        <f t="shared" si="71"/>
        <v>-2</v>
      </c>
      <c r="GJ69" s="38"/>
      <c r="GK69" s="367" t="s">
        <v>694</v>
      </c>
      <c r="GL69" s="376" t="s">
        <v>694</v>
      </c>
      <c r="GM69" s="376" t="s">
        <v>692</v>
      </c>
      <c r="GP69" s="52"/>
    </row>
    <row r="70" spans="1:198" s="79" customFormat="1" x14ac:dyDescent="0.25">
      <c r="A70" s="74">
        <v>40347</v>
      </c>
      <c r="B70" s="74" t="s">
        <v>133</v>
      </c>
      <c r="C70" s="74" t="s">
        <v>131</v>
      </c>
      <c r="D70" s="74" t="s">
        <v>144</v>
      </c>
      <c r="E70" s="4">
        <v>17310</v>
      </c>
      <c r="F70" s="6">
        <v>176</v>
      </c>
      <c r="G70" s="58">
        <v>2</v>
      </c>
      <c r="H70" s="59" t="s">
        <v>396</v>
      </c>
      <c r="I70" s="6">
        <v>0</v>
      </c>
      <c r="J70" s="6">
        <v>1</v>
      </c>
      <c r="K70" s="60">
        <f>1+1/3</f>
        <v>1.3333333333333333</v>
      </c>
      <c r="L70" s="6">
        <v>7</v>
      </c>
      <c r="M70" s="6">
        <v>7</v>
      </c>
      <c r="N70" s="6">
        <v>7</v>
      </c>
      <c r="O70" s="6">
        <v>3</v>
      </c>
      <c r="P70" s="6">
        <v>2</v>
      </c>
      <c r="Q70" s="6">
        <v>1</v>
      </c>
      <c r="R70" s="6">
        <v>0</v>
      </c>
      <c r="S70" s="6">
        <v>14</v>
      </c>
      <c r="T70" s="6">
        <v>71</v>
      </c>
      <c r="U70" s="6">
        <v>44</v>
      </c>
      <c r="V70" s="6">
        <v>2</v>
      </c>
      <c r="W70" s="61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0">
        <f>6+2/3</f>
        <v>6.666666666666667</v>
      </c>
      <c r="AD70" s="6">
        <v>4</v>
      </c>
      <c r="AE70" s="6">
        <v>0</v>
      </c>
      <c r="AF70" s="6">
        <v>0</v>
      </c>
      <c r="AG70" s="6">
        <v>0</v>
      </c>
      <c r="AH70" s="6">
        <v>7</v>
      </c>
      <c r="AI70" s="6">
        <v>0</v>
      </c>
      <c r="AJ70" s="6">
        <v>1</v>
      </c>
      <c r="AK70" s="6">
        <v>24</v>
      </c>
      <c r="AL70" s="6">
        <v>84</v>
      </c>
      <c r="AM70" s="6">
        <v>58</v>
      </c>
      <c r="AN70" s="1" t="s">
        <v>273</v>
      </c>
      <c r="AO70" s="78">
        <v>5</v>
      </c>
      <c r="AP70" s="78">
        <v>0</v>
      </c>
      <c r="AQ70" s="78">
        <v>1</v>
      </c>
      <c r="AR70" s="78">
        <v>1</v>
      </c>
      <c r="AS70" s="78">
        <v>0</v>
      </c>
      <c r="AT70" s="78">
        <v>0</v>
      </c>
      <c r="AU70" s="78">
        <v>0</v>
      </c>
      <c r="AV70" s="78">
        <v>0</v>
      </c>
      <c r="AW70" s="76">
        <v>1</v>
      </c>
      <c r="AX70" s="1" t="s">
        <v>391</v>
      </c>
      <c r="AY70" s="78">
        <v>5</v>
      </c>
      <c r="AZ70" s="78">
        <v>1</v>
      </c>
      <c r="BA70" s="78">
        <v>1</v>
      </c>
      <c r="BB70" s="78">
        <v>0</v>
      </c>
      <c r="BC70" s="78">
        <v>0</v>
      </c>
      <c r="BD70" s="78">
        <v>0</v>
      </c>
      <c r="BE70" s="78">
        <v>0</v>
      </c>
      <c r="BF70" s="78">
        <v>0</v>
      </c>
      <c r="BG70" s="76">
        <v>1</v>
      </c>
      <c r="BH70" s="1" t="s">
        <v>390</v>
      </c>
      <c r="BI70" s="78">
        <v>3</v>
      </c>
      <c r="BJ70" s="78">
        <v>0</v>
      </c>
      <c r="BK70" s="78">
        <v>0</v>
      </c>
      <c r="BL70" s="78">
        <v>0</v>
      </c>
      <c r="BM70" s="78">
        <v>1</v>
      </c>
      <c r="BN70" s="78">
        <v>1</v>
      </c>
      <c r="BO70" s="78">
        <v>0</v>
      </c>
      <c r="BP70" s="78">
        <v>0</v>
      </c>
      <c r="BQ70" s="76">
        <v>0</v>
      </c>
      <c r="BR70" s="1" t="s">
        <v>274</v>
      </c>
      <c r="BS70" s="78">
        <v>3</v>
      </c>
      <c r="BT70" s="78">
        <v>1</v>
      </c>
      <c r="BU70" s="78">
        <v>1</v>
      </c>
      <c r="BV70" s="78">
        <v>0</v>
      </c>
      <c r="BW70" s="78">
        <v>1</v>
      </c>
      <c r="BX70" s="78">
        <v>1</v>
      </c>
      <c r="BY70" s="78">
        <v>0</v>
      </c>
      <c r="BZ70" s="78">
        <v>0</v>
      </c>
      <c r="CA70" s="76">
        <v>1</v>
      </c>
      <c r="CB70" s="1" t="s">
        <v>389</v>
      </c>
      <c r="CC70" s="78">
        <v>4</v>
      </c>
      <c r="CD70" s="78">
        <v>0</v>
      </c>
      <c r="CE70" s="78">
        <v>1</v>
      </c>
      <c r="CF70" s="78">
        <v>2</v>
      </c>
      <c r="CG70" s="78">
        <v>0</v>
      </c>
      <c r="CH70" s="78">
        <v>0</v>
      </c>
      <c r="CI70" s="78">
        <v>0</v>
      </c>
      <c r="CJ70" s="78">
        <v>0</v>
      </c>
      <c r="CK70" s="76">
        <v>2</v>
      </c>
      <c r="CL70" s="1" t="s">
        <v>271</v>
      </c>
      <c r="CM70" s="78">
        <v>4</v>
      </c>
      <c r="CN70" s="78">
        <v>1</v>
      </c>
      <c r="CO70" s="78">
        <v>1</v>
      </c>
      <c r="CP70" s="78">
        <v>0</v>
      </c>
      <c r="CQ70" s="78">
        <v>0</v>
      </c>
      <c r="CR70" s="78">
        <v>2</v>
      </c>
      <c r="CS70" s="78">
        <v>0</v>
      </c>
      <c r="CT70" s="78">
        <v>0</v>
      </c>
      <c r="CU70" s="76">
        <v>1</v>
      </c>
      <c r="CV70" s="1" t="s">
        <v>388</v>
      </c>
      <c r="CW70" s="78">
        <v>2</v>
      </c>
      <c r="CX70" s="78">
        <v>0</v>
      </c>
      <c r="CY70" s="78">
        <v>1</v>
      </c>
      <c r="CZ70" s="78">
        <v>0</v>
      </c>
      <c r="DA70" s="78">
        <v>1</v>
      </c>
      <c r="DB70" s="78">
        <v>1</v>
      </c>
      <c r="DC70" s="78">
        <v>1</v>
      </c>
      <c r="DD70" s="78">
        <v>0</v>
      </c>
      <c r="DE70" s="76">
        <v>1</v>
      </c>
      <c r="DF70" s="1" t="s">
        <v>384</v>
      </c>
      <c r="DG70" s="78">
        <v>4</v>
      </c>
      <c r="DH70" s="78">
        <v>0</v>
      </c>
      <c r="DI70" s="78">
        <v>0</v>
      </c>
      <c r="DJ70" s="78">
        <v>0</v>
      </c>
      <c r="DK70" s="78">
        <v>0</v>
      </c>
      <c r="DL70" s="78">
        <v>1</v>
      </c>
      <c r="DM70" s="78">
        <v>0</v>
      </c>
      <c r="DN70" s="78">
        <v>0</v>
      </c>
      <c r="DO70" s="76">
        <v>0</v>
      </c>
      <c r="DP70" s="1" t="s">
        <v>396</v>
      </c>
      <c r="DQ70" s="78">
        <v>4</v>
      </c>
      <c r="DR70" s="78">
        <v>1</v>
      </c>
      <c r="DS70" s="78">
        <v>1</v>
      </c>
      <c r="DT70" s="78">
        <v>0</v>
      </c>
      <c r="DU70" s="78">
        <v>0</v>
      </c>
      <c r="DV70" s="78">
        <v>2</v>
      </c>
      <c r="DW70" s="78">
        <v>0</v>
      </c>
      <c r="DX70" s="78">
        <v>0</v>
      </c>
      <c r="DY70" s="76">
        <v>2</v>
      </c>
      <c r="DZ70" s="77">
        <f>6+1/3</f>
        <v>6.333333333333333</v>
      </c>
      <c r="EA70" s="43">
        <v>0</v>
      </c>
      <c r="EB70" s="43">
        <v>0</v>
      </c>
      <c r="EC70" s="45">
        <f>2+2/3</f>
        <v>2.6666666666666665</v>
      </c>
      <c r="ED70" s="43">
        <v>1</v>
      </c>
      <c r="EE70" s="44">
        <v>1</v>
      </c>
      <c r="EF70" s="71">
        <v>2</v>
      </c>
      <c r="EG70" s="43">
        <v>0</v>
      </c>
      <c r="EH70" s="43">
        <v>0</v>
      </c>
      <c r="EI70" s="43">
        <v>1</v>
      </c>
      <c r="EJ70" s="43">
        <v>0</v>
      </c>
      <c r="EK70" s="43">
        <v>0</v>
      </c>
      <c r="EL70" s="43">
        <v>1</v>
      </c>
      <c r="EM70" s="43">
        <v>0</v>
      </c>
      <c r="EN70" s="43">
        <v>0</v>
      </c>
      <c r="EO70" s="43"/>
      <c r="EP70" s="43"/>
      <c r="EQ70" s="43"/>
      <c r="ER70" s="43"/>
      <c r="ES70" s="44">
        <f t="shared" si="48"/>
        <v>4</v>
      </c>
      <c r="ET70" s="43">
        <v>5</v>
      </c>
      <c r="EU70" s="43">
        <v>2</v>
      </c>
      <c r="EV70" s="43">
        <v>0</v>
      </c>
      <c r="EW70" s="43">
        <v>0</v>
      </c>
      <c r="EX70" s="43">
        <v>0</v>
      </c>
      <c r="EY70" s="43">
        <v>0</v>
      </c>
      <c r="EZ70" s="43">
        <v>0</v>
      </c>
      <c r="FA70" s="43">
        <v>0</v>
      </c>
      <c r="FB70" s="43"/>
      <c r="FC70" s="43"/>
      <c r="FD70" s="43"/>
      <c r="FE70" s="43"/>
      <c r="FF70" s="43"/>
      <c r="FG70" s="43">
        <f t="shared" si="49"/>
        <v>7</v>
      </c>
      <c r="FH70" s="73">
        <v>34</v>
      </c>
      <c r="FI70" s="73">
        <v>4</v>
      </c>
      <c r="FJ70" s="73">
        <v>7</v>
      </c>
      <c r="FK70" s="73">
        <v>3</v>
      </c>
      <c r="FL70" s="73">
        <v>3</v>
      </c>
      <c r="FM70" s="73">
        <v>8</v>
      </c>
      <c r="FN70" s="73">
        <f t="shared" si="50"/>
        <v>0</v>
      </c>
      <c r="FO70" s="73">
        <f t="shared" si="51"/>
        <v>0</v>
      </c>
      <c r="FP70" s="73">
        <f t="shared" si="52"/>
        <v>0</v>
      </c>
      <c r="FQ70" s="73">
        <f t="shared" si="53"/>
        <v>0</v>
      </c>
      <c r="FR70" s="73">
        <f t="shared" si="54"/>
        <v>0</v>
      </c>
      <c r="FS70" s="73">
        <f t="shared" si="55"/>
        <v>0</v>
      </c>
      <c r="FT70" s="73">
        <f t="shared" si="56"/>
        <v>0</v>
      </c>
      <c r="FU70" s="73">
        <f t="shared" si="57"/>
        <v>0</v>
      </c>
      <c r="FV70" s="73">
        <f t="shared" si="58"/>
        <v>-3</v>
      </c>
      <c r="FW70" s="73">
        <f t="shared" si="59"/>
        <v>-2</v>
      </c>
      <c r="FX70" s="73">
        <f t="shared" si="60"/>
        <v>0</v>
      </c>
      <c r="FY70" s="73">
        <f t="shared" si="61"/>
        <v>1</v>
      </c>
      <c r="FZ70" s="73">
        <f t="shared" si="62"/>
        <v>0</v>
      </c>
      <c r="GA70" s="73">
        <f t="shared" si="63"/>
        <v>0</v>
      </c>
      <c r="GB70" s="73">
        <f t="shared" si="64"/>
        <v>1</v>
      </c>
      <c r="GC70" s="73">
        <f t="shared" si="65"/>
        <v>0</v>
      </c>
      <c r="GD70" s="73">
        <f t="shared" si="66"/>
        <v>0</v>
      </c>
      <c r="GE70" s="73">
        <f t="shared" si="67"/>
        <v>0</v>
      </c>
      <c r="GF70" s="73">
        <f t="shared" si="68"/>
        <v>0</v>
      </c>
      <c r="GG70" s="73">
        <f t="shared" si="69"/>
        <v>0</v>
      </c>
      <c r="GH70" s="73">
        <f t="shared" si="70"/>
        <v>0</v>
      </c>
      <c r="GI70" s="73">
        <f t="shared" si="71"/>
        <v>-3</v>
      </c>
      <c r="GJ70" s="38"/>
      <c r="GK70" s="367" t="s">
        <v>694</v>
      </c>
      <c r="GL70" s="376" t="s">
        <v>694</v>
      </c>
      <c r="GM70" s="376" t="s">
        <v>692</v>
      </c>
    </row>
    <row r="71" spans="1:198" x14ac:dyDescent="0.25">
      <c r="A71" s="74">
        <v>40348</v>
      </c>
      <c r="B71" s="74" t="s">
        <v>133</v>
      </c>
      <c r="C71" s="74" t="s">
        <v>129</v>
      </c>
      <c r="D71" s="74" t="s">
        <v>144</v>
      </c>
      <c r="E71" s="4">
        <v>23242</v>
      </c>
      <c r="F71" s="6">
        <v>278</v>
      </c>
      <c r="G71" s="58">
        <v>3</v>
      </c>
      <c r="H71" s="59" t="s">
        <v>395</v>
      </c>
      <c r="I71" s="6">
        <v>0</v>
      </c>
      <c r="J71" s="6">
        <v>0</v>
      </c>
      <c r="K71" s="60">
        <v>6</v>
      </c>
      <c r="L71" s="6">
        <v>4</v>
      </c>
      <c r="M71" s="6">
        <v>2</v>
      </c>
      <c r="N71" s="6">
        <v>2</v>
      </c>
      <c r="O71" s="6">
        <v>1</v>
      </c>
      <c r="P71" s="6">
        <v>7</v>
      </c>
      <c r="Q71" s="6">
        <v>2</v>
      </c>
      <c r="R71" s="6">
        <v>0</v>
      </c>
      <c r="S71" s="6">
        <v>22</v>
      </c>
      <c r="T71" s="6">
        <v>89</v>
      </c>
      <c r="U71" s="6">
        <v>54</v>
      </c>
      <c r="V71" s="6">
        <v>0</v>
      </c>
      <c r="W71" s="61">
        <v>0</v>
      </c>
      <c r="X71" s="6">
        <v>1</v>
      </c>
      <c r="Y71" s="6">
        <v>0</v>
      </c>
      <c r="Z71" s="6">
        <v>2</v>
      </c>
      <c r="AA71" s="6">
        <v>1</v>
      </c>
      <c r="AB71" s="6">
        <v>1</v>
      </c>
      <c r="AC71" s="60">
        <v>5</v>
      </c>
      <c r="AD71" s="6">
        <v>5</v>
      </c>
      <c r="AE71" s="6">
        <v>6</v>
      </c>
      <c r="AF71" s="6">
        <v>4</v>
      </c>
      <c r="AG71" s="6">
        <v>5</v>
      </c>
      <c r="AH71" s="6">
        <v>6</v>
      </c>
      <c r="AI71" s="6">
        <v>0</v>
      </c>
      <c r="AJ71" s="6">
        <v>1</v>
      </c>
      <c r="AK71" s="6">
        <v>28</v>
      </c>
      <c r="AL71" s="6">
        <v>112</v>
      </c>
      <c r="AM71" s="6">
        <v>68</v>
      </c>
      <c r="AN71" s="1" t="s">
        <v>275</v>
      </c>
      <c r="AO71" s="78">
        <v>5</v>
      </c>
      <c r="AP71" s="78">
        <v>1</v>
      </c>
      <c r="AQ71" s="78">
        <v>2</v>
      </c>
      <c r="AR71" s="78">
        <v>0</v>
      </c>
      <c r="AS71" s="78">
        <v>1</v>
      </c>
      <c r="AT71" s="78">
        <v>1</v>
      </c>
      <c r="AU71" s="78">
        <v>0</v>
      </c>
      <c r="AV71" s="78">
        <v>0</v>
      </c>
      <c r="AW71" s="76">
        <v>2</v>
      </c>
      <c r="AX71" s="1" t="s">
        <v>391</v>
      </c>
      <c r="AY71" s="78">
        <v>5</v>
      </c>
      <c r="AZ71" s="78">
        <v>3</v>
      </c>
      <c r="BA71" s="78">
        <v>4</v>
      </c>
      <c r="BB71" s="78">
        <v>1</v>
      </c>
      <c r="BC71" s="78">
        <v>1</v>
      </c>
      <c r="BD71" s="78">
        <v>1</v>
      </c>
      <c r="BE71" s="78">
        <v>0</v>
      </c>
      <c r="BF71" s="78">
        <v>0</v>
      </c>
      <c r="BG71" s="76">
        <v>6</v>
      </c>
      <c r="BH71" s="1" t="s">
        <v>390</v>
      </c>
      <c r="BI71" s="78">
        <v>3</v>
      </c>
      <c r="BJ71" s="78">
        <v>2</v>
      </c>
      <c r="BK71" s="78">
        <v>1</v>
      </c>
      <c r="BL71" s="78">
        <v>1</v>
      </c>
      <c r="BM71" s="78">
        <v>3</v>
      </c>
      <c r="BN71" s="78">
        <v>0</v>
      </c>
      <c r="BO71" s="78">
        <v>0</v>
      </c>
      <c r="BP71" s="78">
        <v>0</v>
      </c>
      <c r="BQ71" s="76">
        <v>1</v>
      </c>
      <c r="BR71" s="1" t="s">
        <v>274</v>
      </c>
      <c r="BS71" s="78">
        <v>5</v>
      </c>
      <c r="BT71" s="78">
        <v>0</v>
      </c>
      <c r="BU71" s="78">
        <v>1</v>
      </c>
      <c r="BV71" s="78">
        <v>0</v>
      </c>
      <c r="BW71" s="78">
        <v>1</v>
      </c>
      <c r="BX71" s="78">
        <v>0</v>
      </c>
      <c r="BY71" s="78">
        <v>0</v>
      </c>
      <c r="BZ71" s="78">
        <v>0</v>
      </c>
      <c r="CA71" s="76">
        <v>1</v>
      </c>
      <c r="CB71" s="1" t="s">
        <v>389</v>
      </c>
      <c r="CC71" s="78">
        <v>4</v>
      </c>
      <c r="CD71" s="78">
        <v>2</v>
      </c>
      <c r="CE71" s="78">
        <v>1</v>
      </c>
      <c r="CF71" s="78">
        <v>1</v>
      </c>
      <c r="CG71" s="78">
        <v>1</v>
      </c>
      <c r="CH71" s="78">
        <v>0</v>
      </c>
      <c r="CI71" s="78">
        <v>0</v>
      </c>
      <c r="CJ71" s="78">
        <v>1</v>
      </c>
      <c r="CK71" s="76">
        <v>1</v>
      </c>
      <c r="CL71" s="1" t="s">
        <v>273</v>
      </c>
      <c r="CM71" s="78">
        <v>5</v>
      </c>
      <c r="CN71" s="78">
        <v>1</v>
      </c>
      <c r="CO71" s="78">
        <v>2</v>
      </c>
      <c r="CP71" s="78">
        <v>2</v>
      </c>
      <c r="CQ71" s="78">
        <v>1</v>
      </c>
      <c r="CR71" s="78">
        <v>0</v>
      </c>
      <c r="CS71" s="78">
        <v>0</v>
      </c>
      <c r="CT71" s="78">
        <v>0</v>
      </c>
      <c r="CU71" s="76">
        <v>3</v>
      </c>
      <c r="CV71" s="1" t="s">
        <v>385</v>
      </c>
      <c r="CW71" s="78">
        <v>4</v>
      </c>
      <c r="CX71" s="78">
        <v>0</v>
      </c>
      <c r="CY71" s="78">
        <v>0</v>
      </c>
      <c r="CZ71" s="78">
        <v>1</v>
      </c>
      <c r="DA71" s="78">
        <v>2</v>
      </c>
      <c r="DB71" s="78">
        <v>1</v>
      </c>
      <c r="DC71" s="78">
        <v>0</v>
      </c>
      <c r="DD71" s="78">
        <v>0</v>
      </c>
      <c r="DE71" s="76">
        <v>0</v>
      </c>
      <c r="DF71" s="1" t="s">
        <v>384</v>
      </c>
      <c r="DG71" s="78">
        <v>5</v>
      </c>
      <c r="DH71" s="78">
        <v>0</v>
      </c>
      <c r="DI71" s="78">
        <v>2</v>
      </c>
      <c r="DJ71" s="78">
        <v>2</v>
      </c>
      <c r="DK71" s="78">
        <v>1</v>
      </c>
      <c r="DL71" s="78">
        <v>2</v>
      </c>
      <c r="DM71" s="78">
        <v>0</v>
      </c>
      <c r="DN71" s="78">
        <v>0</v>
      </c>
      <c r="DO71" s="76">
        <v>2</v>
      </c>
      <c r="DP71" s="1" t="s">
        <v>395</v>
      </c>
      <c r="DQ71" s="78">
        <v>5</v>
      </c>
      <c r="DR71" s="78">
        <v>0</v>
      </c>
      <c r="DS71" s="78">
        <v>0</v>
      </c>
      <c r="DT71" s="78">
        <v>1</v>
      </c>
      <c r="DU71" s="78">
        <v>1</v>
      </c>
      <c r="DV71" s="78">
        <v>2</v>
      </c>
      <c r="DW71" s="78">
        <v>0</v>
      </c>
      <c r="DX71" s="78">
        <v>0</v>
      </c>
      <c r="DY71" s="76">
        <v>0</v>
      </c>
      <c r="DZ71" s="77">
        <v>0</v>
      </c>
      <c r="EA71" s="43">
        <v>0</v>
      </c>
      <c r="EB71" s="43">
        <v>0</v>
      </c>
      <c r="EC71" s="45">
        <v>11</v>
      </c>
      <c r="ED71" s="43">
        <v>2</v>
      </c>
      <c r="EE71" s="44">
        <v>1</v>
      </c>
      <c r="EF71" s="71">
        <v>0</v>
      </c>
      <c r="EG71" s="43">
        <v>0</v>
      </c>
      <c r="EH71" s="43">
        <v>0</v>
      </c>
      <c r="EI71" s="43">
        <v>1</v>
      </c>
      <c r="EJ71" s="43">
        <v>0</v>
      </c>
      <c r="EK71" s="43">
        <v>3</v>
      </c>
      <c r="EL71" s="43">
        <v>0</v>
      </c>
      <c r="EM71" s="43">
        <v>1</v>
      </c>
      <c r="EN71" s="43">
        <v>0</v>
      </c>
      <c r="EO71" s="43">
        <v>0</v>
      </c>
      <c r="EP71" s="43">
        <v>4</v>
      </c>
      <c r="EQ71" s="43"/>
      <c r="ER71" s="43"/>
      <c r="ES71" s="44">
        <f t="shared" si="48"/>
        <v>9</v>
      </c>
      <c r="ET71" s="43">
        <v>0</v>
      </c>
      <c r="EU71" s="43">
        <v>0</v>
      </c>
      <c r="EV71" s="43">
        <v>0</v>
      </c>
      <c r="EW71" s="43">
        <v>1</v>
      </c>
      <c r="EX71" s="43">
        <v>0</v>
      </c>
      <c r="EY71" s="43">
        <v>1</v>
      </c>
      <c r="EZ71" s="43">
        <v>0</v>
      </c>
      <c r="FA71" s="43">
        <v>3</v>
      </c>
      <c r="FB71" s="43">
        <v>0</v>
      </c>
      <c r="FC71" s="43">
        <v>0</v>
      </c>
      <c r="FD71" s="43">
        <v>3</v>
      </c>
      <c r="FE71" s="43"/>
      <c r="FF71" s="43"/>
      <c r="FG71" s="43">
        <f t="shared" si="49"/>
        <v>8</v>
      </c>
      <c r="FH71" s="73">
        <v>41</v>
      </c>
      <c r="FI71" s="73">
        <v>9</v>
      </c>
      <c r="FJ71" s="73">
        <v>13</v>
      </c>
      <c r="FK71" s="73">
        <v>9</v>
      </c>
      <c r="FL71" s="73">
        <v>12</v>
      </c>
      <c r="FM71" s="73">
        <v>7</v>
      </c>
      <c r="FN71" s="73">
        <f t="shared" si="50"/>
        <v>0</v>
      </c>
      <c r="FO71" s="73">
        <f t="shared" si="51"/>
        <v>0</v>
      </c>
      <c r="FP71" s="73">
        <f t="shared" si="52"/>
        <v>0</v>
      </c>
      <c r="FQ71" s="73">
        <f t="shared" si="53"/>
        <v>0</v>
      </c>
      <c r="FR71" s="73">
        <f t="shared" si="54"/>
        <v>0</v>
      </c>
      <c r="FS71" s="73">
        <f t="shared" si="55"/>
        <v>0</v>
      </c>
      <c r="FT71" s="73">
        <f t="shared" si="56"/>
        <v>0</v>
      </c>
      <c r="FU71" s="73">
        <f t="shared" si="57"/>
        <v>0</v>
      </c>
      <c r="FV71" s="73">
        <f t="shared" si="58"/>
        <v>0</v>
      </c>
      <c r="FW71" s="73">
        <f t="shared" si="59"/>
        <v>0</v>
      </c>
      <c r="FX71" s="73">
        <f t="shared" si="60"/>
        <v>0</v>
      </c>
      <c r="FY71" s="73">
        <f t="shared" si="61"/>
        <v>0</v>
      </c>
      <c r="FZ71" s="73">
        <f t="shared" si="62"/>
        <v>0</v>
      </c>
      <c r="GA71" s="73">
        <f t="shared" si="63"/>
        <v>2</v>
      </c>
      <c r="GB71" s="73">
        <f t="shared" si="64"/>
        <v>0</v>
      </c>
      <c r="GC71" s="73">
        <f t="shared" si="65"/>
        <v>-2</v>
      </c>
      <c r="GD71" s="73">
        <f t="shared" si="66"/>
        <v>0</v>
      </c>
      <c r="GE71" s="73">
        <f t="shared" si="67"/>
        <v>0</v>
      </c>
      <c r="GF71" s="73">
        <f t="shared" si="68"/>
        <v>1</v>
      </c>
      <c r="GG71" s="73">
        <f t="shared" si="69"/>
        <v>0</v>
      </c>
      <c r="GH71" s="73">
        <f t="shared" si="70"/>
        <v>0</v>
      </c>
      <c r="GI71" s="73">
        <f t="shared" si="71"/>
        <v>1</v>
      </c>
      <c r="GJ71" s="38"/>
      <c r="GK71" s="367" t="s">
        <v>694</v>
      </c>
      <c r="GL71" s="376" t="s">
        <v>694</v>
      </c>
      <c r="GM71" s="376" t="s">
        <v>692</v>
      </c>
      <c r="GP71" s="52"/>
    </row>
    <row r="72" spans="1:198" x14ac:dyDescent="0.25">
      <c r="A72" s="74">
        <v>40349</v>
      </c>
      <c r="B72" s="74" t="s">
        <v>133</v>
      </c>
      <c r="C72" s="74" t="s">
        <v>131</v>
      </c>
      <c r="D72" s="74" t="s">
        <v>144</v>
      </c>
      <c r="E72" s="4">
        <v>15374</v>
      </c>
      <c r="F72" s="6"/>
      <c r="G72" s="58">
        <v>4</v>
      </c>
      <c r="H72" s="59" t="s">
        <v>394</v>
      </c>
      <c r="I72" s="6">
        <v>0</v>
      </c>
      <c r="J72" s="6">
        <v>1</v>
      </c>
      <c r="K72" s="60">
        <v>6</v>
      </c>
      <c r="L72" s="6">
        <v>6</v>
      </c>
      <c r="M72" s="6">
        <v>4</v>
      </c>
      <c r="N72" s="6">
        <v>3</v>
      </c>
      <c r="O72" s="6">
        <v>2</v>
      </c>
      <c r="P72" s="6">
        <v>9</v>
      </c>
      <c r="Q72" s="6">
        <v>1</v>
      </c>
      <c r="R72" s="6">
        <v>0</v>
      </c>
      <c r="S72" s="6">
        <v>27</v>
      </c>
      <c r="T72" s="6">
        <v>108</v>
      </c>
      <c r="U72" s="6">
        <v>74</v>
      </c>
      <c r="V72" s="6">
        <v>0</v>
      </c>
      <c r="W72" s="61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0">
        <v>2</v>
      </c>
      <c r="AD72" s="6">
        <v>1</v>
      </c>
      <c r="AE72" s="6">
        <v>0</v>
      </c>
      <c r="AF72" s="6">
        <v>0</v>
      </c>
      <c r="AG72" s="6">
        <v>0</v>
      </c>
      <c r="AH72" s="6">
        <v>1</v>
      </c>
      <c r="AI72" s="6">
        <v>0</v>
      </c>
      <c r="AJ72" s="6">
        <v>0</v>
      </c>
      <c r="AK72" s="6">
        <v>7</v>
      </c>
      <c r="AL72" s="6">
        <v>36</v>
      </c>
      <c r="AM72" s="6">
        <v>21</v>
      </c>
      <c r="AN72" s="1" t="s">
        <v>275</v>
      </c>
      <c r="AO72" s="78">
        <v>4</v>
      </c>
      <c r="AP72" s="78">
        <v>0</v>
      </c>
      <c r="AQ72" s="78">
        <v>1</v>
      </c>
      <c r="AR72" s="78">
        <v>0</v>
      </c>
      <c r="AS72" s="78">
        <v>0</v>
      </c>
      <c r="AT72" s="78">
        <v>0</v>
      </c>
      <c r="AU72" s="78">
        <v>0</v>
      </c>
      <c r="AV72" s="78">
        <v>0</v>
      </c>
      <c r="AW72" s="76">
        <v>2</v>
      </c>
      <c r="AX72" s="1" t="s">
        <v>391</v>
      </c>
      <c r="AY72" s="78">
        <v>3</v>
      </c>
      <c r="AZ72" s="78">
        <v>1</v>
      </c>
      <c r="BA72" s="78">
        <v>2</v>
      </c>
      <c r="BB72" s="78">
        <v>1</v>
      </c>
      <c r="BC72" s="78">
        <v>0</v>
      </c>
      <c r="BD72" s="78">
        <v>0</v>
      </c>
      <c r="BE72" s="78">
        <v>0</v>
      </c>
      <c r="BF72" s="78">
        <v>0</v>
      </c>
      <c r="BG72" s="76">
        <v>5</v>
      </c>
      <c r="BH72" s="1" t="s">
        <v>390</v>
      </c>
      <c r="BI72" s="78">
        <v>4</v>
      </c>
      <c r="BJ72" s="78">
        <v>0</v>
      </c>
      <c r="BK72" s="78">
        <v>0</v>
      </c>
      <c r="BL72" s="78">
        <v>0</v>
      </c>
      <c r="BM72" s="78">
        <v>0</v>
      </c>
      <c r="BN72" s="78">
        <v>2</v>
      </c>
      <c r="BO72" s="78">
        <v>0</v>
      </c>
      <c r="BP72" s="78">
        <v>0</v>
      </c>
      <c r="BQ72" s="76">
        <v>0</v>
      </c>
      <c r="BR72" s="1" t="s">
        <v>274</v>
      </c>
      <c r="BS72" s="78">
        <v>4</v>
      </c>
      <c r="BT72" s="78">
        <v>0</v>
      </c>
      <c r="BU72" s="78">
        <v>1</v>
      </c>
      <c r="BV72" s="78">
        <v>0</v>
      </c>
      <c r="BW72" s="78">
        <v>0</v>
      </c>
      <c r="BX72" s="78">
        <v>2</v>
      </c>
      <c r="BY72" s="78">
        <v>0</v>
      </c>
      <c r="BZ72" s="78">
        <v>0</v>
      </c>
      <c r="CA72" s="76">
        <v>1</v>
      </c>
      <c r="CB72" s="1" t="s">
        <v>389</v>
      </c>
      <c r="CC72" s="78">
        <v>4</v>
      </c>
      <c r="CD72" s="78">
        <v>0</v>
      </c>
      <c r="CE72" s="78">
        <v>1</v>
      </c>
      <c r="CF72" s="78">
        <v>0</v>
      </c>
      <c r="CG72" s="78">
        <v>0</v>
      </c>
      <c r="CH72" s="78">
        <v>2</v>
      </c>
      <c r="CI72" s="78">
        <v>0</v>
      </c>
      <c r="CJ72" s="78">
        <v>0</v>
      </c>
      <c r="CK72" s="76">
        <v>1</v>
      </c>
      <c r="CL72" s="1" t="s">
        <v>273</v>
      </c>
      <c r="CM72" s="78">
        <v>4</v>
      </c>
      <c r="CN72" s="78">
        <v>0</v>
      </c>
      <c r="CO72" s="78">
        <v>0</v>
      </c>
      <c r="CP72" s="78">
        <v>0</v>
      </c>
      <c r="CQ72" s="78">
        <v>0</v>
      </c>
      <c r="CR72" s="78">
        <v>2</v>
      </c>
      <c r="CS72" s="78">
        <v>0</v>
      </c>
      <c r="CT72" s="78">
        <v>0</v>
      </c>
      <c r="CU72" s="76">
        <v>0</v>
      </c>
      <c r="CV72" s="1" t="s">
        <v>271</v>
      </c>
      <c r="CW72" s="78">
        <v>3</v>
      </c>
      <c r="CX72" s="78">
        <v>0</v>
      </c>
      <c r="CY72" s="78">
        <v>0</v>
      </c>
      <c r="CZ72" s="78">
        <v>0</v>
      </c>
      <c r="DA72" s="78">
        <v>0</v>
      </c>
      <c r="DB72" s="78">
        <v>1</v>
      </c>
      <c r="DC72" s="78">
        <v>0</v>
      </c>
      <c r="DD72" s="78">
        <v>0</v>
      </c>
      <c r="DE72" s="76">
        <v>0</v>
      </c>
      <c r="DF72" s="1" t="s">
        <v>385</v>
      </c>
      <c r="DG72" s="78">
        <v>3</v>
      </c>
      <c r="DH72" s="78">
        <v>0</v>
      </c>
      <c r="DI72" s="78">
        <v>0</v>
      </c>
      <c r="DJ72" s="78">
        <v>0</v>
      </c>
      <c r="DK72" s="78">
        <v>0</v>
      </c>
      <c r="DL72" s="78">
        <v>0</v>
      </c>
      <c r="DM72" s="78">
        <v>0</v>
      </c>
      <c r="DN72" s="78">
        <v>0</v>
      </c>
      <c r="DO72" s="76">
        <v>0</v>
      </c>
      <c r="DP72" s="1" t="s">
        <v>394</v>
      </c>
      <c r="DQ72" s="78">
        <v>3</v>
      </c>
      <c r="DR72" s="78">
        <v>0</v>
      </c>
      <c r="DS72" s="78">
        <v>1</v>
      </c>
      <c r="DT72" s="78">
        <v>0</v>
      </c>
      <c r="DU72" s="78">
        <v>0</v>
      </c>
      <c r="DV72" s="78">
        <v>2</v>
      </c>
      <c r="DW72" s="78">
        <v>0</v>
      </c>
      <c r="DX72" s="78">
        <v>0</v>
      </c>
      <c r="DY72" s="76">
        <v>1</v>
      </c>
      <c r="DZ72" s="77">
        <v>0</v>
      </c>
      <c r="EA72" s="43">
        <v>0</v>
      </c>
      <c r="EB72" s="43">
        <v>0</v>
      </c>
      <c r="EC72" s="45">
        <v>9</v>
      </c>
      <c r="ED72" s="43">
        <v>0</v>
      </c>
      <c r="EE72" s="44">
        <v>1</v>
      </c>
      <c r="EF72" s="71">
        <v>0</v>
      </c>
      <c r="EG72" s="43">
        <v>0</v>
      </c>
      <c r="EH72" s="43">
        <v>0</v>
      </c>
      <c r="EI72" s="43">
        <v>1</v>
      </c>
      <c r="EJ72" s="43">
        <v>0</v>
      </c>
      <c r="EK72" s="43">
        <v>0</v>
      </c>
      <c r="EL72" s="43">
        <v>0</v>
      </c>
      <c r="EM72" s="43">
        <v>0</v>
      </c>
      <c r="EN72" s="43">
        <v>0</v>
      </c>
      <c r="EO72" s="43"/>
      <c r="EP72" s="43"/>
      <c r="EQ72" s="43"/>
      <c r="ER72" s="43"/>
      <c r="ES72" s="44">
        <f t="shared" si="48"/>
        <v>1</v>
      </c>
      <c r="ET72" s="43">
        <v>0</v>
      </c>
      <c r="EU72" s="43">
        <v>1</v>
      </c>
      <c r="EV72" s="43">
        <v>0</v>
      </c>
      <c r="EW72" s="43">
        <v>0</v>
      </c>
      <c r="EX72" s="43">
        <v>1</v>
      </c>
      <c r="EY72" s="43">
        <v>2</v>
      </c>
      <c r="EZ72" s="43">
        <v>0</v>
      </c>
      <c r="FA72" s="43">
        <v>0</v>
      </c>
      <c r="FB72" s="43"/>
      <c r="FC72" s="43"/>
      <c r="FD72" s="43"/>
      <c r="FE72" s="43"/>
      <c r="FF72" s="43"/>
      <c r="FG72" s="43">
        <f t="shared" si="49"/>
        <v>4</v>
      </c>
      <c r="FH72" s="73">
        <v>32</v>
      </c>
      <c r="FI72" s="73">
        <v>1</v>
      </c>
      <c r="FJ72" s="73">
        <v>6</v>
      </c>
      <c r="FK72" s="73">
        <v>1</v>
      </c>
      <c r="FL72" s="73">
        <v>0</v>
      </c>
      <c r="FM72" s="73">
        <v>11</v>
      </c>
      <c r="FN72" s="73">
        <f t="shared" si="50"/>
        <v>0</v>
      </c>
      <c r="FO72" s="73">
        <f t="shared" si="51"/>
        <v>0</v>
      </c>
      <c r="FP72" s="73">
        <f t="shared" si="52"/>
        <v>0</v>
      </c>
      <c r="FQ72" s="73">
        <f t="shared" si="53"/>
        <v>0</v>
      </c>
      <c r="FR72" s="73">
        <f t="shared" si="54"/>
        <v>0</v>
      </c>
      <c r="FS72" s="73">
        <f t="shared" si="55"/>
        <v>0</v>
      </c>
      <c r="FT72" s="73">
        <f t="shared" si="56"/>
        <v>0</v>
      </c>
      <c r="FU72" s="73">
        <f t="shared" si="57"/>
        <v>0</v>
      </c>
      <c r="FV72" s="73">
        <f t="shared" si="58"/>
        <v>0</v>
      </c>
      <c r="FW72" s="73">
        <f t="shared" si="59"/>
        <v>-1</v>
      </c>
      <c r="FX72" s="73">
        <f t="shared" si="60"/>
        <v>0</v>
      </c>
      <c r="FY72" s="73">
        <f t="shared" si="61"/>
        <v>1</v>
      </c>
      <c r="FZ72" s="73">
        <f t="shared" si="62"/>
        <v>-1</v>
      </c>
      <c r="GA72" s="73">
        <f t="shared" si="63"/>
        <v>-2</v>
      </c>
      <c r="GB72" s="73">
        <f t="shared" si="64"/>
        <v>0</v>
      </c>
      <c r="GC72" s="73">
        <f t="shared" si="65"/>
        <v>0</v>
      </c>
      <c r="GD72" s="73">
        <f t="shared" si="66"/>
        <v>0</v>
      </c>
      <c r="GE72" s="73">
        <f t="shared" si="67"/>
        <v>0</v>
      </c>
      <c r="GF72" s="73">
        <f t="shared" si="68"/>
        <v>0</v>
      </c>
      <c r="GG72" s="73">
        <f t="shared" si="69"/>
        <v>0</v>
      </c>
      <c r="GH72" s="73">
        <f t="shared" si="70"/>
        <v>0</v>
      </c>
      <c r="GI72" s="73">
        <f t="shared" si="71"/>
        <v>-3</v>
      </c>
      <c r="GJ72" s="38"/>
      <c r="GK72" s="367"/>
      <c r="GL72" s="376"/>
      <c r="GM72" s="376"/>
      <c r="GP72" s="52"/>
    </row>
    <row r="73" spans="1:198" x14ac:dyDescent="0.25">
      <c r="A73" s="74">
        <v>40351</v>
      </c>
      <c r="B73" s="74" t="s">
        <v>19</v>
      </c>
      <c r="C73" s="74" t="s">
        <v>131</v>
      </c>
      <c r="D73" s="74" t="s">
        <v>243</v>
      </c>
      <c r="E73" s="4">
        <v>14650</v>
      </c>
      <c r="F73" s="6"/>
      <c r="G73" s="58">
        <v>5</v>
      </c>
      <c r="H73" s="59" t="s">
        <v>393</v>
      </c>
      <c r="I73" s="6">
        <v>0</v>
      </c>
      <c r="J73" s="6">
        <v>1</v>
      </c>
      <c r="K73" s="60">
        <f>4+1/3</f>
        <v>4.333333333333333</v>
      </c>
      <c r="L73" s="6">
        <v>4</v>
      </c>
      <c r="M73" s="6">
        <v>2</v>
      </c>
      <c r="N73" s="6">
        <v>2</v>
      </c>
      <c r="O73" s="6">
        <v>5</v>
      </c>
      <c r="P73" s="6">
        <v>1</v>
      </c>
      <c r="Q73" s="6">
        <v>0</v>
      </c>
      <c r="R73" s="6">
        <v>1</v>
      </c>
      <c r="S73" s="6">
        <v>22</v>
      </c>
      <c r="T73" s="6">
        <v>103</v>
      </c>
      <c r="U73" s="6">
        <v>58</v>
      </c>
      <c r="V73" s="6">
        <v>1</v>
      </c>
      <c r="W73" s="61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0">
        <f>4+2/3</f>
        <v>4.666666666666667</v>
      </c>
      <c r="AD73" s="6">
        <v>0</v>
      </c>
      <c r="AE73" s="6">
        <v>0</v>
      </c>
      <c r="AF73" s="6">
        <v>0</v>
      </c>
      <c r="AG73" s="6">
        <v>0</v>
      </c>
      <c r="AH73" s="6">
        <v>4</v>
      </c>
      <c r="AI73" s="6">
        <v>0</v>
      </c>
      <c r="AJ73" s="6">
        <v>0</v>
      </c>
      <c r="AK73" s="6">
        <v>14</v>
      </c>
      <c r="AL73" s="6">
        <v>60</v>
      </c>
      <c r="AM73" s="6">
        <v>41</v>
      </c>
      <c r="AN73" s="1" t="s">
        <v>275</v>
      </c>
      <c r="AO73" s="78">
        <v>4</v>
      </c>
      <c r="AP73" s="78">
        <v>0</v>
      </c>
      <c r="AQ73" s="78">
        <v>1</v>
      </c>
      <c r="AR73" s="78">
        <v>1</v>
      </c>
      <c r="AS73" s="78">
        <v>0</v>
      </c>
      <c r="AT73" s="78">
        <v>0</v>
      </c>
      <c r="AU73" s="78">
        <v>0</v>
      </c>
      <c r="AV73" s="78">
        <v>0</v>
      </c>
      <c r="AW73" s="76">
        <v>1</v>
      </c>
      <c r="AX73" s="1" t="s">
        <v>391</v>
      </c>
      <c r="AY73" s="78">
        <v>4</v>
      </c>
      <c r="AZ73" s="78">
        <v>0</v>
      </c>
      <c r="BA73" s="78">
        <v>2</v>
      </c>
      <c r="BB73" s="78">
        <v>0</v>
      </c>
      <c r="BC73" s="78">
        <v>0</v>
      </c>
      <c r="BD73" s="78">
        <v>1</v>
      </c>
      <c r="BE73" s="78">
        <v>0</v>
      </c>
      <c r="BF73" s="78">
        <v>0</v>
      </c>
      <c r="BG73" s="76">
        <v>2</v>
      </c>
      <c r="BH73" s="1" t="s">
        <v>390</v>
      </c>
      <c r="BI73" s="78">
        <v>4</v>
      </c>
      <c r="BJ73" s="78">
        <v>0</v>
      </c>
      <c r="BK73" s="78">
        <v>1</v>
      </c>
      <c r="BL73" s="78">
        <v>0</v>
      </c>
      <c r="BM73" s="78">
        <v>0</v>
      </c>
      <c r="BN73" s="78">
        <v>2</v>
      </c>
      <c r="BO73" s="78">
        <v>0</v>
      </c>
      <c r="BP73" s="78">
        <v>0</v>
      </c>
      <c r="BQ73" s="76">
        <v>1</v>
      </c>
      <c r="BR73" s="1" t="s">
        <v>274</v>
      </c>
      <c r="BS73" s="78">
        <v>2</v>
      </c>
      <c r="BT73" s="78">
        <v>0</v>
      </c>
      <c r="BU73" s="78">
        <v>0</v>
      </c>
      <c r="BV73" s="78">
        <v>0</v>
      </c>
      <c r="BW73" s="78">
        <v>2</v>
      </c>
      <c r="BX73" s="78">
        <v>1</v>
      </c>
      <c r="BY73" s="78">
        <v>0</v>
      </c>
      <c r="BZ73" s="78">
        <v>0</v>
      </c>
      <c r="CA73" s="76">
        <v>0</v>
      </c>
      <c r="CB73" s="1" t="s">
        <v>389</v>
      </c>
      <c r="CC73" s="78">
        <v>4</v>
      </c>
      <c r="CD73" s="78">
        <v>0</v>
      </c>
      <c r="CE73" s="78">
        <v>0</v>
      </c>
      <c r="CF73" s="78">
        <v>0</v>
      </c>
      <c r="CG73" s="78">
        <v>0</v>
      </c>
      <c r="CH73" s="78">
        <v>1</v>
      </c>
      <c r="CI73" s="78">
        <v>0</v>
      </c>
      <c r="CJ73" s="78">
        <v>0</v>
      </c>
      <c r="CK73" s="76">
        <v>0</v>
      </c>
      <c r="CL73" s="1" t="s">
        <v>273</v>
      </c>
      <c r="CM73" s="78">
        <v>4</v>
      </c>
      <c r="CN73" s="78">
        <v>0</v>
      </c>
      <c r="CO73" s="78">
        <v>0</v>
      </c>
      <c r="CP73" s="78">
        <v>0</v>
      </c>
      <c r="CQ73" s="78">
        <v>0</v>
      </c>
      <c r="CR73" s="78">
        <v>3</v>
      </c>
      <c r="CS73" s="78">
        <v>0</v>
      </c>
      <c r="CT73" s="78">
        <v>0</v>
      </c>
      <c r="CU73" s="76">
        <v>0</v>
      </c>
      <c r="CV73" s="1" t="s">
        <v>385</v>
      </c>
      <c r="CW73" s="78">
        <v>3</v>
      </c>
      <c r="CX73" s="78">
        <v>0</v>
      </c>
      <c r="CY73" s="78">
        <v>0</v>
      </c>
      <c r="CZ73" s="78">
        <v>0</v>
      </c>
      <c r="DA73" s="78">
        <v>0</v>
      </c>
      <c r="DB73" s="78">
        <v>1</v>
      </c>
      <c r="DC73" s="78">
        <v>0</v>
      </c>
      <c r="DD73" s="78">
        <v>0</v>
      </c>
      <c r="DE73" s="76">
        <v>0</v>
      </c>
      <c r="DF73" s="1" t="s">
        <v>406</v>
      </c>
      <c r="DG73" s="78">
        <v>3</v>
      </c>
      <c r="DH73" s="78">
        <v>0</v>
      </c>
      <c r="DI73" s="78">
        <v>0</v>
      </c>
      <c r="DJ73" s="78">
        <v>0</v>
      </c>
      <c r="DK73" s="78">
        <v>0</v>
      </c>
      <c r="DL73" s="78">
        <v>1</v>
      </c>
      <c r="DM73" s="78">
        <v>0</v>
      </c>
      <c r="DN73" s="78">
        <v>0</v>
      </c>
      <c r="DO73" s="76">
        <v>0</v>
      </c>
      <c r="DP73" s="1" t="s">
        <v>384</v>
      </c>
      <c r="DQ73" s="78">
        <v>3</v>
      </c>
      <c r="DR73" s="78">
        <v>1</v>
      </c>
      <c r="DS73" s="78">
        <v>2</v>
      </c>
      <c r="DT73" s="78">
        <v>0</v>
      </c>
      <c r="DU73" s="78">
        <v>0</v>
      </c>
      <c r="DV73" s="78">
        <v>0</v>
      </c>
      <c r="DW73" s="78">
        <v>0</v>
      </c>
      <c r="DX73" s="78">
        <v>0</v>
      </c>
      <c r="DY73" s="76">
        <v>3</v>
      </c>
      <c r="DZ73" s="77">
        <v>0</v>
      </c>
      <c r="EA73" s="43">
        <v>0</v>
      </c>
      <c r="EB73" s="43">
        <v>0</v>
      </c>
      <c r="EC73" s="45">
        <v>9</v>
      </c>
      <c r="ED73" s="43">
        <v>1</v>
      </c>
      <c r="EE73" s="44">
        <v>1</v>
      </c>
      <c r="EF73" s="71">
        <v>0</v>
      </c>
      <c r="EG73" s="43">
        <v>0</v>
      </c>
      <c r="EH73" s="43">
        <v>0</v>
      </c>
      <c r="EI73" s="43">
        <v>0</v>
      </c>
      <c r="EJ73" s="43">
        <v>0</v>
      </c>
      <c r="EK73" s="43">
        <v>0</v>
      </c>
      <c r="EL73" s="43">
        <v>0</v>
      </c>
      <c r="EM73" s="43">
        <v>1</v>
      </c>
      <c r="EN73" s="43">
        <v>0</v>
      </c>
      <c r="EO73" s="43"/>
      <c r="EP73" s="43"/>
      <c r="EQ73" s="43"/>
      <c r="ER73" s="43"/>
      <c r="ES73" s="44">
        <f t="shared" si="48"/>
        <v>1</v>
      </c>
      <c r="ET73" s="43">
        <v>0</v>
      </c>
      <c r="EU73" s="43">
        <v>0</v>
      </c>
      <c r="EV73" s="43">
        <v>2</v>
      </c>
      <c r="EW73" s="43">
        <v>0</v>
      </c>
      <c r="EX73" s="43">
        <v>0</v>
      </c>
      <c r="EY73" s="43">
        <v>0</v>
      </c>
      <c r="EZ73" s="43">
        <v>0</v>
      </c>
      <c r="FA73" s="43">
        <v>0</v>
      </c>
      <c r="FB73" s="43">
        <v>0</v>
      </c>
      <c r="FC73" s="43"/>
      <c r="FD73" s="43"/>
      <c r="FE73" s="43"/>
      <c r="FF73" s="43"/>
      <c r="FG73" s="43">
        <f t="shared" si="49"/>
        <v>2</v>
      </c>
      <c r="FH73" s="73">
        <v>31</v>
      </c>
      <c r="FI73" s="73">
        <v>1</v>
      </c>
      <c r="FJ73" s="73">
        <v>6</v>
      </c>
      <c r="FK73" s="73">
        <v>1</v>
      </c>
      <c r="FL73" s="73">
        <v>2</v>
      </c>
      <c r="FM73" s="73">
        <v>10</v>
      </c>
      <c r="FN73" s="73">
        <f t="shared" si="50"/>
        <v>0</v>
      </c>
      <c r="FO73" s="73">
        <f t="shared" si="51"/>
        <v>0</v>
      </c>
      <c r="FP73" s="73">
        <f t="shared" si="52"/>
        <v>0</v>
      </c>
      <c r="FQ73" s="73">
        <f t="shared" si="53"/>
        <v>0</v>
      </c>
      <c r="FR73" s="73">
        <f t="shared" si="54"/>
        <v>0</v>
      </c>
      <c r="FS73" s="73">
        <f t="shared" si="55"/>
        <v>0</v>
      </c>
      <c r="FT73" s="73">
        <f t="shared" si="56"/>
        <v>0</v>
      </c>
      <c r="FU73" s="73">
        <f t="shared" si="57"/>
        <v>0</v>
      </c>
      <c r="FV73" s="73">
        <f t="shared" si="58"/>
        <v>0</v>
      </c>
      <c r="FW73" s="73">
        <f t="shared" si="59"/>
        <v>0</v>
      </c>
      <c r="FX73" s="73">
        <f t="shared" si="60"/>
        <v>-2</v>
      </c>
      <c r="FY73" s="73">
        <f t="shared" si="61"/>
        <v>0</v>
      </c>
      <c r="FZ73" s="73">
        <f t="shared" si="62"/>
        <v>0</v>
      </c>
      <c r="GA73" s="73">
        <f t="shared" si="63"/>
        <v>0</v>
      </c>
      <c r="GB73" s="73">
        <f t="shared" si="64"/>
        <v>0</v>
      </c>
      <c r="GC73" s="73">
        <f t="shared" si="65"/>
        <v>1</v>
      </c>
      <c r="GD73" s="73">
        <f t="shared" si="66"/>
        <v>0</v>
      </c>
      <c r="GE73" s="73">
        <f t="shared" si="67"/>
        <v>0</v>
      </c>
      <c r="GF73" s="73">
        <f t="shared" si="68"/>
        <v>0</v>
      </c>
      <c r="GG73" s="73">
        <f t="shared" si="69"/>
        <v>0</v>
      </c>
      <c r="GH73" s="73">
        <f t="shared" si="70"/>
        <v>0</v>
      </c>
      <c r="GI73" s="73">
        <f t="shared" si="71"/>
        <v>-1</v>
      </c>
      <c r="GJ73" s="38"/>
      <c r="GK73" s="367"/>
      <c r="GL73" s="376"/>
      <c r="GM73" s="376"/>
      <c r="GP73" s="52"/>
    </row>
    <row r="74" spans="1:198" s="79" customFormat="1" x14ac:dyDescent="0.25">
      <c r="A74" s="74">
        <v>40352</v>
      </c>
      <c r="B74" s="74" t="s">
        <v>19</v>
      </c>
      <c r="C74" s="74" t="s">
        <v>131</v>
      </c>
      <c r="D74" s="74" t="s">
        <v>243</v>
      </c>
      <c r="E74" s="4">
        <v>15809</v>
      </c>
      <c r="F74" s="6"/>
      <c r="G74" s="58">
        <v>1</v>
      </c>
      <c r="H74" s="59" t="s">
        <v>392</v>
      </c>
      <c r="I74" s="6">
        <v>0</v>
      </c>
      <c r="J74" s="6">
        <v>1</v>
      </c>
      <c r="K74" s="60">
        <v>7</v>
      </c>
      <c r="L74" s="6">
        <v>6</v>
      </c>
      <c r="M74" s="6">
        <v>4</v>
      </c>
      <c r="N74" s="6">
        <v>4</v>
      </c>
      <c r="O74" s="6">
        <v>1</v>
      </c>
      <c r="P74" s="6">
        <v>7</v>
      </c>
      <c r="Q74" s="6">
        <v>2</v>
      </c>
      <c r="R74" s="6">
        <v>0</v>
      </c>
      <c r="S74" s="6">
        <v>28</v>
      </c>
      <c r="T74" s="6">
        <v>96</v>
      </c>
      <c r="U74" s="6">
        <v>63</v>
      </c>
      <c r="V74" s="6">
        <v>0</v>
      </c>
      <c r="W74" s="61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0">
        <v>2</v>
      </c>
      <c r="AD74" s="6">
        <v>2</v>
      </c>
      <c r="AE74" s="6">
        <v>1</v>
      </c>
      <c r="AF74" s="6">
        <v>1</v>
      </c>
      <c r="AG74" s="6">
        <v>0</v>
      </c>
      <c r="AH74" s="6">
        <v>2</v>
      </c>
      <c r="AI74" s="6">
        <v>1</v>
      </c>
      <c r="AJ74" s="6">
        <v>0</v>
      </c>
      <c r="AK74" s="6">
        <v>7</v>
      </c>
      <c r="AL74" s="6">
        <v>28</v>
      </c>
      <c r="AM74" s="6">
        <v>18</v>
      </c>
      <c r="AN74" s="1" t="s">
        <v>275</v>
      </c>
      <c r="AO74" s="78">
        <v>3</v>
      </c>
      <c r="AP74" s="78">
        <v>0</v>
      </c>
      <c r="AQ74" s="78">
        <v>0</v>
      </c>
      <c r="AR74" s="78">
        <v>0</v>
      </c>
      <c r="AS74" s="78">
        <v>2</v>
      </c>
      <c r="AT74" s="78">
        <v>0</v>
      </c>
      <c r="AU74" s="78">
        <v>0</v>
      </c>
      <c r="AV74" s="78">
        <v>0</v>
      </c>
      <c r="AW74" s="76">
        <v>0</v>
      </c>
      <c r="AX74" s="1" t="s">
        <v>391</v>
      </c>
      <c r="AY74" s="78">
        <v>2</v>
      </c>
      <c r="AZ74" s="78">
        <v>0</v>
      </c>
      <c r="BA74" s="78">
        <v>0</v>
      </c>
      <c r="BB74" s="78">
        <v>0</v>
      </c>
      <c r="BC74" s="78">
        <v>2</v>
      </c>
      <c r="BD74" s="78">
        <v>1</v>
      </c>
      <c r="BE74" s="78">
        <v>1</v>
      </c>
      <c r="BF74" s="78">
        <v>0</v>
      </c>
      <c r="BG74" s="76">
        <v>0</v>
      </c>
      <c r="BH74" s="1" t="s">
        <v>390</v>
      </c>
      <c r="BI74" s="78">
        <v>5</v>
      </c>
      <c r="BJ74" s="78">
        <v>0</v>
      </c>
      <c r="BK74" s="78">
        <v>0</v>
      </c>
      <c r="BL74" s="78">
        <v>0</v>
      </c>
      <c r="BM74" s="78">
        <v>0</v>
      </c>
      <c r="BN74" s="78">
        <v>2</v>
      </c>
      <c r="BO74" s="78">
        <v>0</v>
      </c>
      <c r="BP74" s="78">
        <v>0</v>
      </c>
      <c r="BQ74" s="76">
        <v>0</v>
      </c>
      <c r="BR74" s="1" t="s">
        <v>274</v>
      </c>
      <c r="BS74" s="78">
        <v>3</v>
      </c>
      <c r="BT74" s="78">
        <v>1</v>
      </c>
      <c r="BU74" s="78">
        <v>1</v>
      </c>
      <c r="BV74" s="78">
        <v>0</v>
      </c>
      <c r="BW74" s="78">
        <v>1</v>
      </c>
      <c r="BX74" s="78">
        <v>1</v>
      </c>
      <c r="BY74" s="78">
        <v>0</v>
      </c>
      <c r="BZ74" s="78">
        <v>0</v>
      </c>
      <c r="CA74" s="76">
        <v>1</v>
      </c>
      <c r="CB74" s="1" t="s">
        <v>389</v>
      </c>
      <c r="CC74" s="78">
        <v>3</v>
      </c>
      <c r="CD74" s="78">
        <v>0</v>
      </c>
      <c r="CE74" s="78">
        <v>0</v>
      </c>
      <c r="CF74" s="78">
        <v>0</v>
      </c>
      <c r="CG74" s="78">
        <v>1</v>
      </c>
      <c r="CH74" s="78">
        <v>1</v>
      </c>
      <c r="CI74" s="78">
        <v>0</v>
      </c>
      <c r="CJ74" s="78">
        <v>0</v>
      </c>
      <c r="CK74" s="76">
        <v>0</v>
      </c>
      <c r="CL74" s="1" t="s">
        <v>273</v>
      </c>
      <c r="CM74" s="78">
        <v>4</v>
      </c>
      <c r="CN74" s="78">
        <v>1</v>
      </c>
      <c r="CO74" s="78">
        <v>2</v>
      </c>
      <c r="CP74" s="78">
        <v>1</v>
      </c>
      <c r="CQ74" s="78">
        <v>0</v>
      </c>
      <c r="CR74" s="78">
        <v>0</v>
      </c>
      <c r="CS74" s="78">
        <v>0</v>
      </c>
      <c r="CT74" s="78">
        <v>0</v>
      </c>
      <c r="CU74" s="76">
        <v>3</v>
      </c>
      <c r="CV74" s="1" t="s">
        <v>404</v>
      </c>
      <c r="CW74" s="78">
        <v>2</v>
      </c>
      <c r="CX74" s="78">
        <v>0</v>
      </c>
      <c r="CY74" s="78">
        <v>0</v>
      </c>
      <c r="CZ74" s="78">
        <v>1</v>
      </c>
      <c r="DA74" s="78">
        <v>1</v>
      </c>
      <c r="DB74" s="78">
        <v>1</v>
      </c>
      <c r="DC74" s="78">
        <v>0</v>
      </c>
      <c r="DD74" s="78">
        <v>1</v>
      </c>
      <c r="DE74" s="76">
        <v>0</v>
      </c>
      <c r="DF74" s="1" t="s">
        <v>271</v>
      </c>
      <c r="DG74" s="78">
        <v>4</v>
      </c>
      <c r="DH74" s="78">
        <v>1</v>
      </c>
      <c r="DI74" s="78">
        <v>1</v>
      </c>
      <c r="DJ74" s="78">
        <v>1</v>
      </c>
      <c r="DK74" s="78">
        <v>0</v>
      </c>
      <c r="DL74" s="78">
        <v>1</v>
      </c>
      <c r="DM74" s="78">
        <v>0</v>
      </c>
      <c r="DN74" s="78">
        <v>0</v>
      </c>
      <c r="DO74" s="76">
        <v>4</v>
      </c>
      <c r="DP74" s="1" t="s">
        <v>384</v>
      </c>
      <c r="DQ74" s="78">
        <v>4</v>
      </c>
      <c r="DR74" s="78">
        <v>1</v>
      </c>
      <c r="DS74" s="78">
        <v>1</v>
      </c>
      <c r="DT74" s="78">
        <v>0</v>
      </c>
      <c r="DU74" s="78">
        <v>0</v>
      </c>
      <c r="DV74" s="78">
        <v>1</v>
      </c>
      <c r="DW74" s="78">
        <v>0</v>
      </c>
      <c r="DX74" s="78">
        <v>0</v>
      </c>
      <c r="DY74" s="76">
        <v>2</v>
      </c>
      <c r="DZ74" s="77">
        <f>0+1/3</f>
        <v>0.33333333333333331</v>
      </c>
      <c r="EA74" s="43">
        <v>1</v>
      </c>
      <c r="EB74" s="43">
        <v>0</v>
      </c>
      <c r="EC74" s="45">
        <f>8+2/3</f>
        <v>8.6666666666666661</v>
      </c>
      <c r="ED74" s="43">
        <v>3</v>
      </c>
      <c r="EE74" s="44">
        <v>1</v>
      </c>
      <c r="EF74" s="71">
        <v>0</v>
      </c>
      <c r="EG74" s="43">
        <v>0</v>
      </c>
      <c r="EH74" s="43">
        <v>0</v>
      </c>
      <c r="EI74" s="43">
        <v>0</v>
      </c>
      <c r="EJ74" s="43">
        <v>0</v>
      </c>
      <c r="EK74" s="43">
        <v>3</v>
      </c>
      <c r="EL74" s="43">
        <v>0</v>
      </c>
      <c r="EM74" s="43">
        <v>0</v>
      </c>
      <c r="EN74" s="43">
        <v>1</v>
      </c>
      <c r="EO74" s="43"/>
      <c r="EP74" s="43"/>
      <c r="EQ74" s="43"/>
      <c r="ER74" s="43"/>
      <c r="ES74" s="44">
        <f t="shared" si="48"/>
        <v>4</v>
      </c>
      <c r="ET74" s="43">
        <v>0</v>
      </c>
      <c r="EU74" s="43">
        <v>0</v>
      </c>
      <c r="EV74" s="43">
        <v>0</v>
      </c>
      <c r="EW74" s="43">
        <v>0</v>
      </c>
      <c r="EX74" s="43">
        <v>2</v>
      </c>
      <c r="EY74" s="43">
        <v>1</v>
      </c>
      <c r="EZ74" s="43">
        <v>1</v>
      </c>
      <c r="FA74" s="43">
        <v>0</v>
      </c>
      <c r="FB74" s="43">
        <v>1</v>
      </c>
      <c r="FC74" s="43"/>
      <c r="FD74" s="43"/>
      <c r="FE74" s="43"/>
      <c r="FF74" s="43"/>
      <c r="FG74" s="43">
        <f t="shared" si="49"/>
        <v>5</v>
      </c>
      <c r="FH74" s="73">
        <v>30</v>
      </c>
      <c r="FI74" s="73">
        <v>4</v>
      </c>
      <c r="FJ74" s="73">
        <v>5</v>
      </c>
      <c r="FK74" s="73">
        <v>3</v>
      </c>
      <c r="FL74" s="73">
        <v>7</v>
      </c>
      <c r="FM74" s="73">
        <v>8</v>
      </c>
      <c r="FN74" s="73">
        <f t="shared" si="50"/>
        <v>0</v>
      </c>
      <c r="FO74" s="73">
        <f t="shared" si="51"/>
        <v>0</v>
      </c>
      <c r="FP74" s="73">
        <f t="shared" si="52"/>
        <v>0</v>
      </c>
      <c r="FQ74" s="73">
        <f t="shared" si="53"/>
        <v>0</v>
      </c>
      <c r="FR74" s="73">
        <f t="shared" si="54"/>
        <v>0</v>
      </c>
      <c r="FS74" s="73">
        <f t="shared" si="55"/>
        <v>0</v>
      </c>
      <c r="FT74" s="73">
        <f t="shared" si="56"/>
        <v>0</v>
      </c>
      <c r="FU74" s="73">
        <f t="shared" si="57"/>
        <v>0</v>
      </c>
      <c r="FV74" s="73">
        <f t="shared" si="58"/>
        <v>0</v>
      </c>
      <c r="FW74" s="73">
        <f t="shared" si="59"/>
        <v>0</v>
      </c>
      <c r="FX74" s="73">
        <f t="shared" si="60"/>
        <v>0</v>
      </c>
      <c r="FY74" s="73">
        <f t="shared" si="61"/>
        <v>0</v>
      </c>
      <c r="FZ74" s="73">
        <f t="shared" si="62"/>
        <v>-2</v>
      </c>
      <c r="GA74" s="73">
        <f t="shared" si="63"/>
        <v>2</v>
      </c>
      <c r="GB74" s="73">
        <f t="shared" si="64"/>
        <v>-1</v>
      </c>
      <c r="GC74" s="73">
        <f t="shared" si="65"/>
        <v>0</v>
      </c>
      <c r="GD74" s="73">
        <f t="shared" si="66"/>
        <v>0</v>
      </c>
      <c r="GE74" s="73">
        <f t="shared" si="67"/>
        <v>0</v>
      </c>
      <c r="GF74" s="73">
        <f t="shared" si="68"/>
        <v>0</v>
      </c>
      <c r="GG74" s="73">
        <f t="shared" si="69"/>
        <v>0</v>
      </c>
      <c r="GH74" s="73">
        <f t="shared" si="70"/>
        <v>0</v>
      </c>
      <c r="GI74" s="73">
        <f t="shared" si="71"/>
        <v>-1</v>
      </c>
      <c r="GJ74" s="38"/>
      <c r="GK74" s="367"/>
      <c r="GL74" s="376"/>
      <c r="GM74" s="376"/>
    </row>
    <row r="75" spans="1:198" x14ac:dyDescent="0.25">
      <c r="A75" s="74">
        <v>40353</v>
      </c>
      <c r="B75" s="74" t="s">
        <v>19</v>
      </c>
      <c r="C75" s="74" t="s">
        <v>129</v>
      </c>
      <c r="D75" s="74" t="s">
        <v>243</v>
      </c>
      <c r="E75" s="4">
        <v>21877</v>
      </c>
      <c r="F75" s="6"/>
      <c r="G75" s="58">
        <v>2</v>
      </c>
      <c r="H75" s="59" t="s">
        <v>396</v>
      </c>
      <c r="I75" s="6">
        <v>1</v>
      </c>
      <c r="J75" s="6">
        <v>0</v>
      </c>
      <c r="K75" s="60">
        <v>8</v>
      </c>
      <c r="L75" s="6">
        <v>6</v>
      </c>
      <c r="M75" s="6">
        <v>3</v>
      </c>
      <c r="N75" s="6">
        <v>3</v>
      </c>
      <c r="O75" s="6">
        <v>0</v>
      </c>
      <c r="P75" s="6">
        <v>5</v>
      </c>
      <c r="Q75" s="6">
        <v>1</v>
      </c>
      <c r="R75" s="6">
        <v>0</v>
      </c>
      <c r="S75" s="6">
        <v>29</v>
      </c>
      <c r="T75" s="6">
        <v>108</v>
      </c>
      <c r="U75" s="6">
        <v>74</v>
      </c>
      <c r="V75" s="6">
        <v>0</v>
      </c>
      <c r="W75" s="61">
        <v>0</v>
      </c>
      <c r="X75" s="6">
        <v>0</v>
      </c>
      <c r="Y75" s="6">
        <v>0</v>
      </c>
      <c r="Z75" s="6">
        <v>0</v>
      </c>
      <c r="AA75" s="6">
        <v>1</v>
      </c>
      <c r="AB75" s="6">
        <v>0</v>
      </c>
      <c r="AC75" s="60">
        <v>1</v>
      </c>
      <c r="AD75" s="6">
        <v>0</v>
      </c>
      <c r="AE75" s="6">
        <v>0</v>
      </c>
      <c r="AF75" s="6">
        <v>0</v>
      </c>
      <c r="AG75" s="6">
        <v>0</v>
      </c>
      <c r="AH75" s="6">
        <v>1</v>
      </c>
      <c r="AI75" s="6">
        <v>0</v>
      </c>
      <c r="AJ75" s="6">
        <v>0</v>
      </c>
      <c r="AK75" s="6">
        <v>3</v>
      </c>
      <c r="AL75" s="6">
        <v>8</v>
      </c>
      <c r="AM75" s="6">
        <v>6</v>
      </c>
      <c r="AN75" s="1" t="s">
        <v>273</v>
      </c>
      <c r="AO75" s="78">
        <v>4</v>
      </c>
      <c r="AP75" s="78">
        <v>1</v>
      </c>
      <c r="AQ75" s="78">
        <v>1</v>
      </c>
      <c r="AR75" s="78">
        <v>1</v>
      </c>
      <c r="AS75" s="78">
        <v>0</v>
      </c>
      <c r="AT75" s="78">
        <v>0</v>
      </c>
      <c r="AU75" s="78">
        <v>0</v>
      </c>
      <c r="AV75" s="78">
        <v>0</v>
      </c>
      <c r="AW75" s="76">
        <v>4</v>
      </c>
      <c r="AX75" s="1" t="s">
        <v>391</v>
      </c>
      <c r="AY75" s="78">
        <v>3</v>
      </c>
      <c r="AZ75" s="78">
        <v>1</v>
      </c>
      <c r="BA75" s="78">
        <v>1</v>
      </c>
      <c r="BB75" s="78">
        <v>0</v>
      </c>
      <c r="BC75" s="78">
        <v>1</v>
      </c>
      <c r="BD75" s="78">
        <v>1</v>
      </c>
      <c r="BE75" s="78">
        <v>0</v>
      </c>
      <c r="BF75" s="78">
        <v>0</v>
      </c>
      <c r="BG75" s="76">
        <v>1</v>
      </c>
      <c r="BH75" s="1" t="s">
        <v>390</v>
      </c>
      <c r="BI75" s="78">
        <v>4</v>
      </c>
      <c r="BJ75" s="78">
        <v>1</v>
      </c>
      <c r="BK75" s="78">
        <v>3</v>
      </c>
      <c r="BL75" s="78">
        <v>0</v>
      </c>
      <c r="BM75" s="78">
        <v>0</v>
      </c>
      <c r="BN75" s="78">
        <v>1</v>
      </c>
      <c r="BO75" s="78">
        <v>0</v>
      </c>
      <c r="BP75" s="78">
        <v>0</v>
      </c>
      <c r="BQ75" s="76">
        <v>3</v>
      </c>
      <c r="BR75" s="1" t="s">
        <v>274</v>
      </c>
      <c r="BS75" s="78">
        <v>4</v>
      </c>
      <c r="BT75" s="78">
        <v>1</v>
      </c>
      <c r="BU75" s="78">
        <v>1</v>
      </c>
      <c r="BV75" s="78">
        <v>1</v>
      </c>
      <c r="BW75" s="78">
        <v>0</v>
      </c>
      <c r="BX75" s="78">
        <v>2</v>
      </c>
      <c r="BY75" s="78">
        <v>0</v>
      </c>
      <c r="BZ75" s="78">
        <v>0</v>
      </c>
      <c r="CA75" s="76">
        <v>4</v>
      </c>
      <c r="CB75" s="1" t="s">
        <v>272</v>
      </c>
      <c r="CC75" s="78">
        <v>4</v>
      </c>
      <c r="CD75" s="78">
        <v>0</v>
      </c>
      <c r="CE75" s="78">
        <v>1</v>
      </c>
      <c r="CF75" s="78">
        <v>2</v>
      </c>
      <c r="CG75" s="78">
        <v>0</v>
      </c>
      <c r="CH75" s="78">
        <v>1</v>
      </c>
      <c r="CI75" s="78">
        <v>0</v>
      </c>
      <c r="CJ75" s="78">
        <v>0</v>
      </c>
      <c r="CK75" s="76">
        <v>1</v>
      </c>
      <c r="CL75" s="1" t="s">
        <v>271</v>
      </c>
      <c r="CM75" s="78">
        <v>4</v>
      </c>
      <c r="CN75" s="78">
        <v>0</v>
      </c>
      <c r="CO75" s="78">
        <v>1</v>
      </c>
      <c r="CP75" s="78">
        <v>0</v>
      </c>
      <c r="CQ75" s="78">
        <v>0</v>
      </c>
      <c r="CR75" s="78">
        <v>1</v>
      </c>
      <c r="CS75" s="78">
        <v>0</v>
      </c>
      <c r="CT75" s="78">
        <v>0</v>
      </c>
      <c r="CU75" s="76">
        <v>1</v>
      </c>
      <c r="CV75" s="1" t="s">
        <v>388</v>
      </c>
      <c r="CW75" s="78">
        <v>4</v>
      </c>
      <c r="CX75" s="78">
        <v>1</v>
      </c>
      <c r="CY75" s="78">
        <v>3</v>
      </c>
      <c r="CZ75" s="78">
        <v>1</v>
      </c>
      <c r="DA75" s="78">
        <v>0</v>
      </c>
      <c r="DB75" s="78">
        <v>1</v>
      </c>
      <c r="DC75" s="78">
        <v>0</v>
      </c>
      <c r="DD75" s="78">
        <v>0</v>
      </c>
      <c r="DE75" s="76">
        <v>7</v>
      </c>
      <c r="DF75" s="1" t="s">
        <v>384</v>
      </c>
      <c r="DG75" s="78">
        <v>4</v>
      </c>
      <c r="DH75" s="78">
        <v>0</v>
      </c>
      <c r="DI75" s="78">
        <v>0</v>
      </c>
      <c r="DJ75" s="78">
        <v>0</v>
      </c>
      <c r="DK75" s="78">
        <v>0</v>
      </c>
      <c r="DL75" s="78">
        <v>2</v>
      </c>
      <c r="DM75" s="78">
        <v>0</v>
      </c>
      <c r="DN75" s="78">
        <v>0</v>
      </c>
      <c r="DO75" s="76">
        <v>0</v>
      </c>
      <c r="DP75" s="1" t="s">
        <v>385</v>
      </c>
      <c r="DQ75" s="78">
        <v>3</v>
      </c>
      <c r="DR75" s="78">
        <v>0</v>
      </c>
      <c r="DS75" s="78">
        <v>1</v>
      </c>
      <c r="DT75" s="78">
        <v>0</v>
      </c>
      <c r="DU75" s="78">
        <v>0</v>
      </c>
      <c r="DV75" s="78">
        <v>1</v>
      </c>
      <c r="DW75" s="78">
        <v>1</v>
      </c>
      <c r="DX75" s="78">
        <v>0</v>
      </c>
      <c r="DY75" s="76">
        <v>2</v>
      </c>
      <c r="DZ75" s="77">
        <f>5+1/3</f>
        <v>5.333333333333333</v>
      </c>
      <c r="EA75" s="43">
        <v>1</v>
      </c>
      <c r="EB75" s="43">
        <v>0</v>
      </c>
      <c r="EC75" s="45">
        <f>2+2/3</f>
        <v>2.6666666666666665</v>
      </c>
      <c r="ED75" s="43">
        <v>0</v>
      </c>
      <c r="EE75" s="44">
        <v>0</v>
      </c>
      <c r="EF75" s="71">
        <v>1</v>
      </c>
      <c r="EG75" s="43">
        <v>0</v>
      </c>
      <c r="EH75" s="43">
        <v>0</v>
      </c>
      <c r="EI75" s="43">
        <v>0</v>
      </c>
      <c r="EJ75" s="43">
        <v>2</v>
      </c>
      <c r="EK75" s="43">
        <v>1</v>
      </c>
      <c r="EL75" s="43">
        <v>1</v>
      </c>
      <c r="EM75" s="43">
        <v>0</v>
      </c>
      <c r="EN75" s="43"/>
      <c r="EO75" s="43"/>
      <c r="EP75" s="43"/>
      <c r="EQ75" s="43"/>
      <c r="ER75" s="43"/>
      <c r="ES75" s="44">
        <f t="shared" si="48"/>
        <v>5</v>
      </c>
      <c r="ET75" s="43">
        <v>0</v>
      </c>
      <c r="EU75" s="43">
        <v>3</v>
      </c>
      <c r="EV75" s="43">
        <v>0</v>
      </c>
      <c r="EW75" s="43">
        <v>0</v>
      </c>
      <c r="EX75" s="43">
        <v>0</v>
      </c>
      <c r="EY75" s="43">
        <v>0</v>
      </c>
      <c r="EZ75" s="43">
        <v>0</v>
      </c>
      <c r="FA75" s="43">
        <v>0</v>
      </c>
      <c r="FB75" s="43">
        <v>0</v>
      </c>
      <c r="FC75" s="43"/>
      <c r="FD75" s="43"/>
      <c r="FE75" s="43"/>
      <c r="FF75" s="43"/>
      <c r="FG75" s="43">
        <f t="shared" si="49"/>
        <v>3</v>
      </c>
      <c r="FH75" s="73">
        <v>34</v>
      </c>
      <c r="FI75" s="73">
        <v>5</v>
      </c>
      <c r="FJ75" s="73">
        <v>12</v>
      </c>
      <c r="FK75" s="73">
        <v>5</v>
      </c>
      <c r="FL75" s="73">
        <v>1</v>
      </c>
      <c r="FM75" s="73">
        <v>10</v>
      </c>
      <c r="FN75" s="73">
        <f t="shared" si="50"/>
        <v>0</v>
      </c>
      <c r="FO75" s="73">
        <f t="shared" si="51"/>
        <v>0</v>
      </c>
      <c r="FP75" s="73">
        <f t="shared" si="52"/>
        <v>0</v>
      </c>
      <c r="FQ75" s="73">
        <f t="shared" si="53"/>
        <v>0</v>
      </c>
      <c r="FR75" s="73">
        <f t="shared" si="54"/>
        <v>0</v>
      </c>
      <c r="FS75" s="73">
        <f t="shared" si="55"/>
        <v>0</v>
      </c>
      <c r="FT75" s="73">
        <f t="shared" si="56"/>
        <v>0</v>
      </c>
      <c r="FU75" s="73">
        <f t="shared" si="57"/>
        <v>0</v>
      </c>
      <c r="FV75" s="73">
        <f t="shared" si="58"/>
        <v>1</v>
      </c>
      <c r="FW75" s="73">
        <f t="shared" si="59"/>
        <v>-3</v>
      </c>
      <c r="FX75" s="73">
        <f t="shared" si="60"/>
        <v>0</v>
      </c>
      <c r="FY75" s="73">
        <f t="shared" si="61"/>
        <v>0</v>
      </c>
      <c r="FZ75" s="73">
        <f t="shared" si="62"/>
        <v>2</v>
      </c>
      <c r="GA75" s="73">
        <f t="shared" si="63"/>
        <v>1</v>
      </c>
      <c r="GB75" s="73">
        <f t="shared" si="64"/>
        <v>1</v>
      </c>
      <c r="GC75" s="73">
        <f t="shared" si="65"/>
        <v>0</v>
      </c>
      <c r="GD75" s="73">
        <f t="shared" si="66"/>
        <v>0</v>
      </c>
      <c r="GE75" s="73">
        <f t="shared" si="67"/>
        <v>0</v>
      </c>
      <c r="GF75" s="73">
        <f t="shared" si="68"/>
        <v>0</v>
      </c>
      <c r="GG75" s="73">
        <f t="shared" si="69"/>
        <v>0</v>
      </c>
      <c r="GH75" s="73">
        <f t="shared" si="70"/>
        <v>0</v>
      </c>
      <c r="GI75" s="73">
        <f t="shared" si="71"/>
        <v>2</v>
      </c>
      <c r="GJ75" s="38"/>
      <c r="GK75" s="367"/>
      <c r="GL75" s="376"/>
      <c r="GM75" s="376"/>
      <c r="GP75" s="52"/>
    </row>
    <row r="76" spans="1:198" x14ac:dyDescent="0.25">
      <c r="A76" s="74">
        <v>40354</v>
      </c>
      <c r="B76" s="74" t="s">
        <v>19</v>
      </c>
      <c r="C76" s="74" t="s">
        <v>131</v>
      </c>
      <c r="D76" s="74" t="s">
        <v>244</v>
      </c>
      <c r="E76" s="4">
        <v>18918</v>
      </c>
      <c r="F76" s="6"/>
      <c r="G76" s="58">
        <v>3</v>
      </c>
      <c r="H76" s="59" t="s">
        <v>395</v>
      </c>
      <c r="I76" s="6">
        <v>0</v>
      </c>
      <c r="J76" s="6">
        <v>1</v>
      </c>
      <c r="K76" s="60">
        <f>7+1/3</f>
        <v>7.333333333333333</v>
      </c>
      <c r="L76" s="6">
        <v>6</v>
      </c>
      <c r="M76" s="6">
        <v>1</v>
      </c>
      <c r="N76" s="6">
        <v>1</v>
      </c>
      <c r="O76" s="6">
        <v>2</v>
      </c>
      <c r="P76" s="6">
        <v>8</v>
      </c>
      <c r="Q76" s="6">
        <v>1</v>
      </c>
      <c r="R76" s="6">
        <v>0</v>
      </c>
      <c r="S76" s="6">
        <v>28</v>
      </c>
      <c r="T76" s="6">
        <v>106</v>
      </c>
      <c r="U76" s="6">
        <v>64</v>
      </c>
      <c r="V76" s="6">
        <v>1</v>
      </c>
      <c r="W76" s="61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0">
        <f>1+2/3</f>
        <v>1.6666666666666665</v>
      </c>
      <c r="AD76" s="6">
        <v>1</v>
      </c>
      <c r="AE76" s="6">
        <v>0</v>
      </c>
      <c r="AF76" s="6">
        <v>0</v>
      </c>
      <c r="AG76" s="6">
        <v>0</v>
      </c>
      <c r="AH76" s="6">
        <v>2</v>
      </c>
      <c r="AI76" s="6">
        <v>0</v>
      </c>
      <c r="AJ76" s="6">
        <v>0</v>
      </c>
      <c r="AK76" s="6">
        <v>4</v>
      </c>
      <c r="AL76" s="6">
        <v>16</v>
      </c>
      <c r="AM76" s="6">
        <v>11</v>
      </c>
      <c r="AN76" s="1" t="s">
        <v>275</v>
      </c>
      <c r="AO76" s="78">
        <v>4</v>
      </c>
      <c r="AP76" s="78">
        <v>0</v>
      </c>
      <c r="AQ76" s="78">
        <v>0</v>
      </c>
      <c r="AR76" s="78">
        <v>0</v>
      </c>
      <c r="AS76" s="78">
        <v>0</v>
      </c>
      <c r="AT76" s="78">
        <v>1</v>
      </c>
      <c r="AU76" s="78">
        <v>0</v>
      </c>
      <c r="AV76" s="78">
        <v>0</v>
      </c>
      <c r="AW76" s="76">
        <v>0</v>
      </c>
      <c r="AX76" s="1" t="s">
        <v>389</v>
      </c>
      <c r="AY76" s="78">
        <v>2</v>
      </c>
      <c r="AZ76" s="78">
        <v>0</v>
      </c>
      <c r="BA76" s="78">
        <v>0</v>
      </c>
      <c r="BB76" s="78">
        <v>0</v>
      </c>
      <c r="BC76" s="78">
        <v>2</v>
      </c>
      <c r="BD76" s="78">
        <v>0</v>
      </c>
      <c r="BE76" s="78">
        <v>0</v>
      </c>
      <c r="BF76" s="78">
        <v>0</v>
      </c>
      <c r="BG76" s="76">
        <v>0</v>
      </c>
      <c r="BH76" s="1" t="s">
        <v>390</v>
      </c>
      <c r="BI76" s="78">
        <v>3</v>
      </c>
      <c r="BJ76" s="78">
        <v>0</v>
      </c>
      <c r="BK76" s="78">
        <v>0</v>
      </c>
      <c r="BL76" s="78">
        <v>0</v>
      </c>
      <c r="BM76" s="78">
        <v>1</v>
      </c>
      <c r="BN76" s="78">
        <v>1</v>
      </c>
      <c r="BO76" s="78">
        <v>0</v>
      </c>
      <c r="BP76" s="78">
        <v>0</v>
      </c>
      <c r="BQ76" s="76">
        <v>0</v>
      </c>
      <c r="BR76" s="1" t="s">
        <v>274</v>
      </c>
      <c r="BS76" s="78">
        <v>2</v>
      </c>
      <c r="BT76" s="78">
        <v>0</v>
      </c>
      <c r="BU76" s="78">
        <v>0</v>
      </c>
      <c r="BV76" s="78">
        <v>0</v>
      </c>
      <c r="BW76" s="78">
        <v>2</v>
      </c>
      <c r="BX76" s="78">
        <v>0</v>
      </c>
      <c r="BY76" s="78">
        <v>0</v>
      </c>
      <c r="BZ76" s="78">
        <v>0</v>
      </c>
      <c r="CA76" s="76">
        <v>0</v>
      </c>
      <c r="CB76" s="1" t="s">
        <v>387</v>
      </c>
      <c r="CC76" s="78">
        <v>4</v>
      </c>
      <c r="CD76" s="78">
        <v>0</v>
      </c>
      <c r="CE76" s="78">
        <v>0</v>
      </c>
      <c r="CF76" s="78">
        <v>0</v>
      </c>
      <c r="CG76" s="78">
        <v>0</v>
      </c>
      <c r="CH76" s="78">
        <v>0</v>
      </c>
      <c r="CI76" s="78">
        <v>0</v>
      </c>
      <c r="CJ76" s="78">
        <v>0</v>
      </c>
      <c r="CK76" s="76">
        <v>0</v>
      </c>
      <c r="CL76" s="1" t="s">
        <v>273</v>
      </c>
      <c r="CM76" s="78">
        <v>2</v>
      </c>
      <c r="CN76" s="78">
        <v>0</v>
      </c>
      <c r="CO76" s="78">
        <v>0</v>
      </c>
      <c r="CP76" s="78">
        <v>0</v>
      </c>
      <c r="CQ76" s="78">
        <v>1</v>
      </c>
      <c r="CR76" s="78">
        <v>1</v>
      </c>
      <c r="CS76" s="78">
        <v>1</v>
      </c>
      <c r="CT76" s="78">
        <v>0</v>
      </c>
      <c r="CU76" s="76">
        <v>0</v>
      </c>
      <c r="CV76" s="1" t="s">
        <v>404</v>
      </c>
      <c r="CW76" s="78">
        <v>4</v>
      </c>
      <c r="CX76" s="78">
        <v>0</v>
      </c>
      <c r="CY76" s="78">
        <v>0</v>
      </c>
      <c r="CZ76" s="78">
        <v>0</v>
      </c>
      <c r="DA76" s="78">
        <v>0</v>
      </c>
      <c r="DB76" s="78">
        <v>0</v>
      </c>
      <c r="DC76" s="78">
        <v>0</v>
      </c>
      <c r="DD76" s="78">
        <v>0</v>
      </c>
      <c r="DE76" s="76">
        <v>0</v>
      </c>
      <c r="DF76" s="1" t="s">
        <v>271</v>
      </c>
      <c r="DG76" s="78">
        <v>3</v>
      </c>
      <c r="DH76" s="78">
        <v>0</v>
      </c>
      <c r="DI76" s="78">
        <v>0</v>
      </c>
      <c r="DJ76" s="78">
        <v>0</v>
      </c>
      <c r="DK76" s="78">
        <v>1</v>
      </c>
      <c r="DL76" s="78">
        <v>3</v>
      </c>
      <c r="DM76" s="78">
        <v>0</v>
      </c>
      <c r="DN76" s="78">
        <v>0</v>
      </c>
      <c r="DO76" s="76">
        <v>0</v>
      </c>
      <c r="DP76" s="1" t="s">
        <v>384</v>
      </c>
      <c r="DQ76" s="78">
        <v>3</v>
      </c>
      <c r="DR76" s="78">
        <v>0</v>
      </c>
      <c r="DS76" s="78">
        <v>0</v>
      </c>
      <c r="DT76" s="78">
        <v>0</v>
      </c>
      <c r="DU76" s="78">
        <v>1</v>
      </c>
      <c r="DV76" s="78">
        <v>0</v>
      </c>
      <c r="DW76" s="78">
        <v>0</v>
      </c>
      <c r="DX76" s="78">
        <v>0</v>
      </c>
      <c r="DY76" s="76">
        <v>0</v>
      </c>
      <c r="DZ76" s="77">
        <v>0</v>
      </c>
      <c r="EA76" s="43">
        <v>0</v>
      </c>
      <c r="EB76" s="43">
        <v>0</v>
      </c>
      <c r="EC76" s="45">
        <v>9</v>
      </c>
      <c r="ED76" s="43">
        <v>2</v>
      </c>
      <c r="EE76" s="44">
        <v>1</v>
      </c>
      <c r="EF76" s="71">
        <v>0</v>
      </c>
      <c r="EG76" s="43">
        <v>0</v>
      </c>
      <c r="EH76" s="43">
        <v>0</v>
      </c>
      <c r="EI76" s="43">
        <v>0</v>
      </c>
      <c r="EJ76" s="43">
        <v>0</v>
      </c>
      <c r="EK76" s="43">
        <v>0</v>
      </c>
      <c r="EL76" s="43">
        <v>0</v>
      </c>
      <c r="EM76" s="43">
        <v>0</v>
      </c>
      <c r="EN76" s="43">
        <v>0</v>
      </c>
      <c r="EO76" s="43"/>
      <c r="EP76" s="43"/>
      <c r="EQ76" s="43"/>
      <c r="ER76" s="43"/>
      <c r="ES76" s="44">
        <f t="shared" si="48"/>
        <v>0</v>
      </c>
      <c r="ET76" s="43">
        <v>0</v>
      </c>
      <c r="EU76" s="43">
        <v>1</v>
      </c>
      <c r="EV76" s="43">
        <v>0</v>
      </c>
      <c r="EW76" s="43">
        <v>0</v>
      </c>
      <c r="EX76" s="43">
        <v>0</v>
      </c>
      <c r="EY76" s="43">
        <v>0</v>
      </c>
      <c r="EZ76" s="43">
        <v>0</v>
      </c>
      <c r="FA76" s="43">
        <v>0</v>
      </c>
      <c r="FB76" s="43">
        <v>0</v>
      </c>
      <c r="FC76" s="43"/>
      <c r="FD76" s="43"/>
      <c r="FE76" s="43"/>
      <c r="FF76" s="43"/>
      <c r="FG76" s="43">
        <f t="shared" si="49"/>
        <v>1</v>
      </c>
      <c r="FH76" s="73">
        <v>27</v>
      </c>
      <c r="FI76" s="73">
        <v>0</v>
      </c>
      <c r="FJ76" s="73">
        <v>0</v>
      </c>
      <c r="FK76" s="73">
        <v>0</v>
      </c>
      <c r="FL76" s="73">
        <v>8</v>
      </c>
      <c r="FM76" s="73">
        <v>6</v>
      </c>
      <c r="FN76" s="73">
        <f t="shared" si="50"/>
        <v>0</v>
      </c>
      <c r="FO76" s="73">
        <f t="shared" si="51"/>
        <v>0</v>
      </c>
      <c r="FP76" s="73">
        <f t="shared" si="52"/>
        <v>0</v>
      </c>
      <c r="FQ76" s="73">
        <f t="shared" si="53"/>
        <v>0</v>
      </c>
      <c r="FR76" s="73">
        <f t="shared" si="54"/>
        <v>0</v>
      </c>
      <c r="FS76" s="73">
        <f t="shared" si="55"/>
        <v>0</v>
      </c>
      <c r="FT76" s="73">
        <f t="shared" si="56"/>
        <v>0</v>
      </c>
      <c r="FU76" s="73">
        <f t="shared" si="57"/>
        <v>0</v>
      </c>
      <c r="FV76" s="73">
        <f t="shared" si="58"/>
        <v>0</v>
      </c>
      <c r="FW76" s="73">
        <f t="shared" si="59"/>
        <v>-1</v>
      </c>
      <c r="FX76" s="73">
        <f t="shared" si="60"/>
        <v>0</v>
      </c>
      <c r="FY76" s="73">
        <f t="shared" si="61"/>
        <v>0</v>
      </c>
      <c r="FZ76" s="73">
        <f t="shared" si="62"/>
        <v>0</v>
      </c>
      <c r="GA76" s="73">
        <f t="shared" si="63"/>
        <v>0</v>
      </c>
      <c r="GB76" s="73">
        <f t="shared" si="64"/>
        <v>0</v>
      </c>
      <c r="GC76" s="73">
        <f t="shared" si="65"/>
        <v>0</v>
      </c>
      <c r="GD76" s="73">
        <f t="shared" si="66"/>
        <v>0</v>
      </c>
      <c r="GE76" s="73">
        <f t="shared" si="67"/>
        <v>0</v>
      </c>
      <c r="GF76" s="73">
        <f t="shared" si="68"/>
        <v>0</v>
      </c>
      <c r="GG76" s="73">
        <f t="shared" si="69"/>
        <v>0</v>
      </c>
      <c r="GH76" s="73">
        <f t="shared" si="70"/>
        <v>0</v>
      </c>
      <c r="GI76" s="73">
        <f t="shared" si="71"/>
        <v>-1</v>
      </c>
      <c r="GJ76" s="38"/>
      <c r="GK76" s="367"/>
      <c r="GL76" s="376"/>
      <c r="GM76" s="376"/>
      <c r="GP76" s="52"/>
    </row>
    <row r="77" spans="1:198" x14ac:dyDescent="0.25">
      <c r="A77" s="74">
        <v>40355</v>
      </c>
      <c r="B77" s="74" t="s">
        <v>19</v>
      </c>
      <c r="C77" s="74" t="s">
        <v>129</v>
      </c>
      <c r="D77" s="74" t="s">
        <v>244</v>
      </c>
      <c r="E77" s="4">
        <v>23945</v>
      </c>
      <c r="F77" s="6"/>
      <c r="G77" s="58">
        <v>4</v>
      </c>
      <c r="H77" s="59" t="s">
        <v>394</v>
      </c>
      <c r="I77" s="6">
        <v>1</v>
      </c>
      <c r="J77" s="6">
        <v>0</v>
      </c>
      <c r="K77" s="60">
        <v>8</v>
      </c>
      <c r="L77" s="6">
        <v>7</v>
      </c>
      <c r="M77" s="6">
        <v>2</v>
      </c>
      <c r="N77" s="6">
        <v>2</v>
      </c>
      <c r="O77" s="6">
        <v>1</v>
      </c>
      <c r="P77" s="6">
        <v>11</v>
      </c>
      <c r="Q77" s="6">
        <v>1</v>
      </c>
      <c r="R77" s="6">
        <v>0</v>
      </c>
      <c r="S77" s="6">
        <v>31</v>
      </c>
      <c r="T77" s="6">
        <v>113</v>
      </c>
      <c r="U77" s="6">
        <v>77</v>
      </c>
      <c r="V77" s="6">
        <v>0</v>
      </c>
      <c r="W77" s="61">
        <v>0</v>
      </c>
      <c r="X77" s="6">
        <v>0</v>
      </c>
      <c r="Y77" s="6">
        <v>0</v>
      </c>
      <c r="Z77" s="6">
        <v>0</v>
      </c>
      <c r="AA77" s="6">
        <v>1</v>
      </c>
      <c r="AB77" s="6">
        <v>0</v>
      </c>
      <c r="AC77" s="60">
        <v>1</v>
      </c>
      <c r="AD77" s="6">
        <v>1</v>
      </c>
      <c r="AE77" s="6">
        <v>1</v>
      </c>
      <c r="AF77" s="6">
        <v>1</v>
      </c>
      <c r="AG77" s="6">
        <v>0</v>
      </c>
      <c r="AH77" s="6">
        <v>1</v>
      </c>
      <c r="AI77" s="6">
        <v>1</v>
      </c>
      <c r="AJ77" s="6">
        <v>0</v>
      </c>
      <c r="AK77" s="6">
        <v>4</v>
      </c>
      <c r="AL77" s="6">
        <v>14</v>
      </c>
      <c r="AM77" s="6">
        <v>11</v>
      </c>
      <c r="AN77" s="1" t="s">
        <v>273</v>
      </c>
      <c r="AO77" s="78">
        <v>4</v>
      </c>
      <c r="AP77" s="78">
        <v>1</v>
      </c>
      <c r="AQ77" s="78">
        <v>0</v>
      </c>
      <c r="AR77" s="78">
        <v>0</v>
      </c>
      <c r="AS77" s="78">
        <v>1</v>
      </c>
      <c r="AT77" s="78">
        <v>2</v>
      </c>
      <c r="AU77" s="78">
        <v>0</v>
      </c>
      <c r="AV77" s="78">
        <v>0</v>
      </c>
      <c r="AW77" s="76">
        <v>0</v>
      </c>
      <c r="AX77" s="1" t="s">
        <v>271</v>
      </c>
      <c r="AY77" s="78">
        <v>3</v>
      </c>
      <c r="AZ77" s="78">
        <v>0</v>
      </c>
      <c r="BA77" s="78">
        <v>1</v>
      </c>
      <c r="BB77" s="78">
        <v>2</v>
      </c>
      <c r="BC77" s="78">
        <v>1</v>
      </c>
      <c r="BD77" s="78">
        <v>0</v>
      </c>
      <c r="BE77" s="78">
        <v>1</v>
      </c>
      <c r="BF77" s="78">
        <v>0</v>
      </c>
      <c r="BG77" s="76">
        <v>1</v>
      </c>
      <c r="BH77" s="1" t="s">
        <v>390</v>
      </c>
      <c r="BI77" s="78">
        <v>4</v>
      </c>
      <c r="BJ77" s="78">
        <v>0</v>
      </c>
      <c r="BK77" s="78">
        <v>1</v>
      </c>
      <c r="BL77" s="78">
        <v>0</v>
      </c>
      <c r="BM77" s="78">
        <v>1</v>
      </c>
      <c r="BN77" s="78">
        <v>1</v>
      </c>
      <c r="BO77" s="78">
        <v>0</v>
      </c>
      <c r="BP77" s="78">
        <v>0</v>
      </c>
      <c r="BQ77" s="76">
        <v>1</v>
      </c>
      <c r="BR77" s="1" t="s">
        <v>274</v>
      </c>
      <c r="BS77" s="78">
        <v>4</v>
      </c>
      <c r="BT77" s="78">
        <v>0</v>
      </c>
      <c r="BU77" s="78">
        <v>1</v>
      </c>
      <c r="BV77" s="78">
        <v>1</v>
      </c>
      <c r="BW77" s="78">
        <v>1</v>
      </c>
      <c r="BX77" s="78">
        <v>2</v>
      </c>
      <c r="BY77" s="78">
        <v>0</v>
      </c>
      <c r="BZ77" s="78">
        <v>0</v>
      </c>
      <c r="CA77" s="76">
        <v>2</v>
      </c>
      <c r="CB77" s="1" t="s">
        <v>388</v>
      </c>
      <c r="CC77" s="78">
        <v>4</v>
      </c>
      <c r="CD77" s="78">
        <v>0</v>
      </c>
      <c r="CE77" s="78">
        <v>0</v>
      </c>
      <c r="CF77" s="78">
        <v>0</v>
      </c>
      <c r="CG77" s="78">
        <v>1</v>
      </c>
      <c r="CH77" s="78">
        <v>2</v>
      </c>
      <c r="CI77" s="78">
        <v>0</v>
      </c>
      <c r="CJ77" s="78">
        <v>0</v>
      </c>
      <c r="CK77" s="76">
        <v>0</v>
      </c>
      <c r="CL77" s="1" t="s">
        <v>389</v>
      </c>
      <c r="CM77" s="78">
        <v>1</v>
      </c>
      <c r="CN77" s="78">
        <v>2</v>
      </c>
      <c r="CO77" s="78">
        <v>0</v>
      </c>
      <c r="CP77" s="78">
        <v>0</v>
      </c>
      <c r="CQ77" s="78">
        <v>2</v>
      </c>
      <c r="CR77" s="78">
        <v>0</v>
      </c>
      <c r="CS77" s="78">
        <v>1</v>
      </c>
      <c r="CT77" s="78">
        <v>0</v>
      </c>
      <c r="CU77" s="76">
        <v>0</v>
      </c>
      <c r="CV77" s="1" t="s">
        <v>272</v>
      </c>
      <c r="CW77" s="78">
        <v>3</v>
      </c>
      <c r="CX77" s="78">
        <v>0</v>
      </c>
      <c r="CY77" s="78">
        <v>0</v>
      </c>
      <c r="CZ77" s="78">
        <v>0</v>
      </c>
      <c r="DA77" s="78">
        <v>1</v>
      </c>
      <c r="DB77" s="78">
        <v>3</v>
      </c>
      <c r="DC77" s="78">
        <v>0</v>
      </c>
      <c r="DD77" s="78">
        <v>0</v>
      </c>
      <c r="DE77" s="76">
        <v>0</v>
      </c>
      <c r="DF77" s="1" t="s">
        <v>387</v>
      </c>
      <c r="DG77" s="78">
        <v>2</v>
      </c>
      <c r="DH77" s="78">
        <v>1</v>
      </c>
      <c r="DI77" s="78">
        <v>1</v>
      </c>
      <c r="DJ77" s="78">
        <v>0</v>
      </c>
      <c r="DK77" s="78">
        <v>2</v>
      </c>
      <c r="DL77" s="78">
        <v>0</v>
      </c>
      <c r="DM77" s="78">
        <v>0</v>
      </c>
      <c r="DN77" s="78">
        <v>0</v>
      </c>
      <c r="DO77" s="76">
        <v>0</v>
      </c>
      <c r="DP77" s="1" t="s">
        <v>384</v>
      </c>
      <c r="DQ77" s="78">
        <v>2</v>
      </c>
      <c r="DR77" s="78">
        <v>1</v>
      </c>
      <c r="DS77" s="78">
        <v>1</v>
      </c>
      <c r="DT77" s="78">
        <v>2</v>
      </c>
      <c r="DU77" s="78">
        <v>1</v>
      </c>
      <c r="DV77" s="78">
        <v>0</v>
      </c>
      <c r="DW77" s="78">
        <v>0</v>
      </c>
      <c r="DX77" s="78">
        <v>1</v>
      </c>
      <c r="DY77" s="76">
        <v>1</v>
      </c>
      <c r="DZ77" s="77">
        <v>0</v>
      </c>
      <c r="EA77" s="43">
        <v>0</v>
      </c>
      <c r="EB77" s="43">
        <v>0</v>
      </c>
      <c r="EC77" s="45">
        <v>8</v>
      </c>
      <c r="ED77" s="43">
        <v>4</v>
      </c>
      <c r="EE77" s="44">
        <v>0</v>
      </c>
      <c r="EF77" s="71">
        <v>0</v>
      </c>
      <c r="EG77" s="43">
        <v>1</v>
      </c>
      <c r="EH77" s="43">
        <v>0</v>
      </c>
      <c r="EI77" s="43">
        <v>0</v>
      </c>
      <c r="EJ77" s="43">
        <v>0</v>
      </c>
      <c r="EK77" s="43">
        <v>3</v>
      </c>
      <c r="EL77" s="43">
        <v>1</v>
      </c>
      <c r="EM77" s="43">
        <v>0</v>
      </c>
      <c r="EN77" s="43"/>
      <c r="EO77" s="43"/>
      <c r="EP77" s="43"/>
      <c r="EQ77" s="43"/>
      <c r="ER77" s="43"/>
      <c r="ES77" s="44">
        <f t="shared" si="48"/>
        <v>5</v>
      </c>
      <c r="ET77" s="43">
        <v>0</v>
      </c>
      <c r="EU77" s="43">
        <v>0</v>
      </c>
      <c r="EV77" s="43">
        <v>0</v>
      </c>
      <c r="EW77" s="43">
        <v>1</v>
      </c>
      <c r="EX77" s="43">
        <v>0</v>
      </c>
      <c r="EY77" s="43">
        <v>0</v>
      </c>
      <c r="EZ77" s="43">
        <v>1</v>
      </c>
      <c r="FA77" s="43">
        <v>0</v>
      </c>
      <c r="FB77" s="43">
        <v>1</v>
      </c>
      <c r="FC77" s="43"/>
      <c r="FD77" s="43"/>
      <c r="FE77" s="43"/>
      <c r="FF77" s="43"/>
      <c r="FG77" s="43">
        <f t="shared" si="49"/>
        <v>3</v>
      </c>
      <c r="FH77" s="73">
        <v>27</v>
      </c>
      <c r="FI77" s="73">
        <v>5</v>
      </c>
      <c r="FJ77" s="73">
        <v>5</v>
      </c>
      <c r="FK77" s="73">
        <v>5</v>
      </c>
      <c r="FL77" s="73">
        <v>11</v>
      </c>
      <c r="FM77" s="73">
        <v>10</v>
      </c>
      <c r="FN77" s="73">
        <f t="shared" si="50"/>
        <v>0</v>
      </c>
      <c r="FO77" s="73">
        <f t="shared" si="51"/>
        <v>0</v>
      </c>
      <c r="FP77" s="73">
        <f t="shared" si="52"/>
        <v>0</v>
      </c>
      <c r="FQ77" s="73">
        <f t="shared" si="53"/>
        <v>0</v>
      </c>
      <c r="FR77" s="73">
        <f t="shared" si="54"/>
        <v>0</v>
      </c>
      <c r="FS77" s="73">
        <f t="shared" si="55"/>
        <v>0</v>
      </c>
      <c r="FT77" s="73">
        <f t="shared" si="56"/>
        <v>0</v>
      </c>
      <c r="FU77" s="73">
        <f t="shared" si="57"/>
        <v>0</v>
      </c>
      <c r="FV77" s="73">
        <f t="shared" si="58"/>
        <v>0</v>
      </c>
      <c r="FW77" s="73">
        <f t="shared" si="59"/>
        <v>1</v>
      </c>
      <c r="FX77" s="73">
        <f t="shared" si="60"/>
        <v>0</v>
      </c>
      <c r="FY77" s="73">
        <f t="shared" si="61"/>
        <v>-1</v>
      </c>
      <c r="FZ77" s="73">
        <f t="shared" si="62"/>
        <v>0</v>
      </c>
      <c r="GA77" s="73">
        <f t="shared" si="63"/>
        <v>3</v>
      </c>
      <c r="GB77" s="73">
        <f t="shared" si="64"/>
        <v>0</v>
      </c>
      <c r="GC77" s="73">
        <f t="shared" si="65"/>
        <v>0</v>
      </c>
      <c r="GD77" s="73">
        <f t="shared" si="66"/>
        <v>-1</v>
      </c>
      <c r="GE77" s="73">
        <f t="shared" si="67"/>
        <v>0</v>
      </c>
      <c r="GF77" s="73">
        <f t="shared" si="68"/>
        <v>0</v>
      </c>
      <c r="GG77" s="73">
        <f t="shared" si="69"/>
        <v>0</v>
      </c>
      <c r="GH77" s="73">
        <f t="shared" si="70"/>
        <v>0</v>
      </c>
      <c r="GI77" s="73">
        <f t="shared" si="71"/>
        <v>2</v>
      </c>
      <c r="GJ77" s="38"/>
      <c r="GK77" s="367"/>
      <c r="GL77" s="376"/>
      <c r="GM77" s="376"/>
      <c r="GP77" s="52"/>
    </row>
    <row r="78" spans="1:198" x14ac:dyDescent="0.25">
      <c r="A78" s="74">
        <v>40356</v>
      </c>
      <c r="B78" s="74" t="s">
        <v>19</v>
      </c>
      <c r="C78" s="74" t="s">
        <v>131</v>
      </c>
      <c r="D78" s="74" t="s">
        <v>244</v>
      </c>
      <c r="E78" s="4">
        <v>25442</v>
      </c>
      <c r="F78" s="6"/>
      <c r="G78" s="58">
        <v>5</v>
      </c>
      <c r="H78" s="59" t="s">
        <v>393</v>
      </c>
      <c r="I78" s="6">
        <v>0</v>
      </c>
      <c r="J78" s="6">
        <v>1</v>
      </c>
      <c r="K78" s="60">
        <f>7+1/3</f>
        <v>7.333333333333333</v>
      </c>
      <c r="L78" s="6">
        <v>4</v>
      </c>
      <c r="M78" s="6">
        <v>2</v>
      </c>
      <c r="N78" s="6">
        <v>2</v>
      </c>
      <c r="O78" s="6">
        <v>3</v>
      </c>
      <c r="P78" s="6">
        <v>5</v>
      </c>
      <c r="Q78" s="6">
        <v>1</v>
      </c>
      <c r="R78" s="6">
        <v>0</v>
      </c>
      <c r="S78" s="6">
        <v>27</v>
      </c>
      <c r="T78" s="6">
        <v>104</v>
      </c>
      <c r="U78" s="6">
        <v>73</v>
      </c>
      <c r="V78" s="6">
        <v>0</v>
      </c>
      <c r="W78" s="61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0">
        <f>1+2/3</f>
        <v>1.6666666666666665</v>
      </c>
      <c r="AD78" s="6">
        <v>0</v>
      </c>
      <c r="AE78" s="6">
        <v>0</v>
      </c>
      <c r="AF78" s="6">
        <v>0</v>
      </c>
      <c r="AG78" s="6">
        <v>0</v>
      </c>
      <c r="AH78" s="6">
        <v>4</v>
      </c>
      <c r="AI78" s="6">
        <v>0</v>
      </c>
      <c r="AJ78" s="6">
        <v>0</v>
      </c>
      <c r="AK78" s="6">
        <v>5</v>
      </c>
      <c r="AL78" s="6">
        <v>24</v>
      </c>
      <c r="AM78" s="6">
        <v>16</v>
      </c>
      <c r="AN78" s="1" t="s">
        <v>275</v>
      </c>
      <c r="AO78" s="78">
        <v>2</v>
      </c>
      <c r="AP78" s="78">
        <v>0</v>
      </c>
      <c r="AQ78" s="78">
        <v>0</v>
      </c>
      <c r="AR78" s="78">
        <v>0</v>
      </c>
      <c r="AS78" s="78">
        <v>2</v>
      </c>
      <c r="AT78" s="78">
        <v>0</v>
      </c>
      <c r="AU78" s="78">
        <v>0</v>
      </c>
      <c r="AV78" s="78">
        <v>0</v>
      </c>
      <c r="AW78" s="76">
        <v>0</v>
      </c>
      <c r="AX78" s="1" t="s">
        <v>271</v>
      </c>
      <c r="AY78" s="78">
        <v>4</v>
      </c>
      <c r="AZ78" s="78">
        <v>1</v>
      </c>
      <c r="BA78" s="78">
        <v>0</v>
      </c>
      <c r="BB78" s="78">
        <v>0</v>
      </c>
      <c r="BC78" s="78">
        <v>0</v>
      </c>
      <c r="BD78" s="78">
        <v>1</v>
      </c>
      <c r="BE78" s="78">
        <v>0</v>
      </c>
      <c r="BF78" s="78">
        <v>0</v>
      </c>
      <c r="BG78" s="76">
        <v>0</v>
      </c>
      <c r="BH78" s="1" t="s">
        <v>390</v>
      </c>
      <c r="BI78" s="78">
        <v>3</v>
      </c>
      <c r="BJ78" s="78">
        <v>0</v>
      </c>
      <c r="BK78" s="78">
        <v>0</v>
      </c>
      <c r="BL78" s="78">
        <v>0</v>
      </c>
      <c r="BM78" s="78">
        <v>1</v>
      </c>
      <c r="BN78" s="78">
        <v>1</v>
      </c>
      <c r="BO78" s="78">
        <v>0</v>
      </c>
      <c r="BP78" s="78">
        <v>0</v>
      </c>
      <c r="BQ78" s="76">
        <v>0</v>
      </c>
      <c r="BR78" s="1" t="s">
        <v>274</v>
      </c>
      <c r="BS78" s="78">
        <v>4</v>
      </c>
      <c r="BT78" s="78">
        <v>0</v>
      </c>
      <c r="BU78" s="78">
        <v>1</v>
      </c>
      <c r="BV78" s="78">
        <v>1</v>
      </c>
      <c r="BW78" s="78">
        <v>0</v>
      </c>
      <c r="BX78" s="78">
        <v>0</v>
      </c>
      <c r="BY78" s="78">
        <v>0</v>
      </c>
      <c r="BZ78" s="78">
        <v>0</v>
      </c>
      <c r="CA78" s="76">
        <v>2</v>
      </c>
      <c r="CB78" s="1" t="s">
        <v>389</v>
      </c>
      <c r="CC78" s="78">
        <v>3</v>
      </c>
      <c r="CD78" s="78">
        <v>0</v>
      </c>
      <c r="CE78" s="78">
        <v>0</v>
      </c>
      <c r="CF78" s="78">
        <v>0</v>
      </c>
      <c r="CG78" s="78">
        <v>1</v>
      </c>
      <c r="CH78" s="78">
        <v>0</v>
      </c>
      <c r="CI78" s="78">
        <v>0</v>
      </c>
      <c r="CJ78" s="78">
        <v>0</v>
      </c>
      <c r="CK78" s="76">
        <v>0</v>
      </c>
      <c r="CL78" s="1" t="s">
        <v>387</v>
      </c>
      <c r="CM78" s="78">
        <v>3</v>
      </c>
      <c r="CN78" s="78">
        <v>0</v>
      </c>
      <c r="CO78" s="78">
        <v>0</v>
      </c>
      <c r="CP78" s="78">
        <v>0</v>
      </c>
      <c r="CQ78" s="78">
        <v>1</v>
      </c>
      <c r="CR78" s="78">
        <v>1</v>
      </c>
      <c r="CS78" s="78">
        <v>0</v>
      </c>
      <c r="CT78" s="78">
        <v>0</v>
      </c>
      <c r="CU78" s="76">
        <v>0</v>
      </c>
      <c r="CV78" s="1" t="s">
        <v>273</v>
      </c>
      <c r="CW78" s="78">
        <v>3</v>
      </c>
      <c r="CX78" s="78">
        <v>0</v>
      </c>
      <c r="CY78" s="78">
        <v>0</v>
      </c>
      <c r="CZ78" s="78">
        <v>0</v>
      </c>
      <c r="DA78" s="78">
        <v>1</v>
      </c>
      <c r="DB78" s="78">
        <v>1</v>
      </c>
      <c r="DC78" s="78">
        <v>0</v>
      </c>
      <c r="DD78" s="78">
        <v>0</v>
      </c>
      <c r="DE78" s="76">
        <v>0</v>
      </c>
      <c r="DF78" s="1" t="s">
        <v>404</v>
      </c>
      <c r="DG78" s="78">
        <v>2</v>
      </c>
      <c r="DH78" s="78">
        <v>0</v>
      </c>
      <c r="DI78" s="78">
        <v>1</v>
      </c>
      <c r="DJ78" s="78">
        <v>0</v>
      </c>
      <c r="DK78" s="78">
        <v>1</v>
      </c>
      <c r="DL78" s="78">
        <v>0</v>
      </c>
      <c r="DM78" s="78">
        <v>0</v>
      </c>
      <c r="DN78" s="78">
        <v>0</v>
      </c>
      <c r="DO78" s="76">
        <v>1</v>
      </c>
      <c r="DP78" s="1" t="s">
        <v>385</v>
      </c>
      <c r="DQ78" s="78">
        <v>3</v>
      </c>
      <c r="DR78" s="78">
        <v>0</v>
      </c>
      <c r="DS78" s="78">
        <v>0</v>
      </c>
      <c r="DT78" s="78">
        <v>0</v>
      </c>
      <c r="DU78" s="78">
        <v>0</v>
      </c>
      <c r="DV78" s="78">
        <v>1</v>
      </c>
      <c r="DW78" s="78">
        <v>0</v>
      </c>
      <c r="DX78" s="78">
        <v>0</v>
      </c>
      <c r="DY78" s="76">
        <v>0</v>
      </c>
      <c r="DZ78" s="77">
        <v>0</v>
      </c>
      <c r="EA78" s="43">
        <v>0</v>
      </c>
      <c r="EB78" s="43">
        <v>0</v>
      </c>
      <c r="EC78" s="45">
        <v>9</v>
      </c>
      <c r="ED78" s="43">
        <v>1</v>
      </c>
      <c r="EE78" s="44">
        <v>0</v>
      </c>
      <c r="EF78" s="71">
        <v>0</v>
      </c>
      <c r="EG78" s="43">
        <v>0</v>
      </c>
      <c r="EH78" s="43">
        <v>0</v>
      </c>
      <c r="EI78" s="43">
        <v>0</v>
      </c>
      <c r="EJ78" s="43">
        <v>0</v>
      </c>
      <c r="EK78" s="43">
        <v>1</v>
      </c>
      <c r="EL78" s="43">
        <v>0</v>
      </c>
      <c r="EM78" s="43">
        <v>0</v>
      </c>
      <c r="EN78" s="43">
        <v>0</v>
      </c>
      <c r="EO78" s="43"/>
      <c r="EP78" s="43"/>
      <c r="EQ78" s="43"/>
      <c r="ER78" s="43"/>
      <c r="ES78" s="44">
        <f t="shared" si="48"/>
        <v>1</v>
      </c>
      <c r="ET78" s="43">
        <v>0</v>
      </c>
      <c r="EU78" s="43">
        <v>0</v>
      </c>
      <c r="EV78" s="43">
        <v>0</v>
      </c>
      <c r="EW78" s="43">
        <v>0</v>
      </c>
      <c r="EX78" s="43">
        <v>2</v>
      </c>
      <c r="EY78" s="43">
        <v>0</v>
      </c>
      <c r="EZ78" s="43">
        <v>0</v>
      </c>
      <c r="FA78" s="43">
        <v>0</v>
      </c>
      <c r="FB78" s="43">
        <v>0</v>
      </c>
      <c r="FC78" s="43"/>
      <c r="FD78" s="43"/>
      <c r="FE78" s="43"/>
      <c r="FF78" s="43"/>
      <c r="FG78" s="43">
        <f t="shared" si="49"/>
        <v>2</v>
      </c>
      <c r="FH78" s="73">
        <v>27</v>
      </c>
      <c r="FI78" s="73">
        <v>1</v>
      </c>
      <c r="FJ78" s="73">
        <v>2</v>
      </c>
      <c r="FK78" s="73">
        <v>1</v>
      </c>
      <c r="FL78" s="73">
        <v>7</v>
      </c>
      <c r="FM78" s="73">
        <v>5</v>
      </c>
      <c r="FN78" s="73">
        <f t="shared" ref="FN78:FN83" si="72">((SUM(M78,AE78))-(FG78))</f>
        <v>0</v>
      </c>
      <c r="FO78" s="73">
        <f t="shared" ref="FO78:FO83" si="73">((SUM(AP78,AZ78,BJ78,BT78,CD78,CN78,CX78,DH78,DR78))-(ES78))</f>
        <v>0</v>
      </c>
      <c r="FP78" s="73">
        <f t="shared" si="52"/>
        <v>0</v>
      </c>
      <c r="FQ78" s="73">
        <f t="shared" si="53"/>
        <v>0</v>
      </c>
      <c r="FR78" s="73">
        <f t="shared" si="54"/>
        <v>0</v>
      </c>
      <c r="FS78" s="73">
        <f t="shared" si="55"/>
        <v>0</v>
      </c>
      <c r="FT78" s="73">
        <f t="shared" si="56"/>
        <v>0</v>
      </c>
      <c r="FU78" s="73">
        <f t="shared" si="57"/>
        <v>0</v>
      </c>
      <c r="FV78" s="73">
        <f t="shared" si="58"/>
        <v>0</v>
      </c>
      <c r="FW78" s="73">
        <f t="shared" si="59"/>
        <v>0</v>
      </c>
      <c r="FX78" s="73">
        <f t="shared" si="60"/>
        <v>0</v>
      </c>
      <c r="FY78" s="73">
        <f t="shared" si="61"/>
        <v>0</v>
      </c>
      <c r="FZ78" s="73">
        <f t="shared" si="62"/>
        <v>-2</v>
      </c>
      <c r="GA78" s="73">
        <f t="shared" si="63"/>
        <v>1</v>
      </c>
      <c r="GB78" s="73">
        <f t="shared" si="64"/>
        <v>0</v>
      </c>
      <c r="GC78" s="73">
        <f t="shared" si="65"/>
        <v>0</v>
      </c>
      <c r="GD78" s="73">
        <f t="shared" si="66"/>
        <v>0</v>
      </c>
      <c r="GE78" s="73">
        <f t="shared" si="67"/>
        <v>0</v>
      </c>
      <c r="GF78" s="73">
        <f t="shared" si="68"/>
        <v>0</v>
      </c>
      <c r="GG78" s="73">
        <f t="shared" si="69"/>
        <v>0</v>
      </c>
      <c r="GH78" s="73">
        <f t="shared" si="70"/>
        <v>0</v>
      </c>
      <c r="GI78" s="73">
        <f t="shared" si="71"/>
        <v>-1</v>
      </c>
      <c r="GJ78" s="38"/>
      <c r="GK78" s="367"/>
      <c r="GL78" s="376"/>
      <c r="GM78" s="376"/>
      <c r="GP78" s="52"/>
    </row>
    <row r="79" spans="1:198" x14ac:dyDescent="0.25">
      <c r="A79" s="74">
        <v>40358</v>
      </c>
      <c r="B79" s="74" t="s">
        <v>133</v>
      </c>
      <c r="C79" s="74" t="s">
        <v>131</v>
      </c>
      <c r="D79" s="74" t="s">
        <v>134</v>
      </c>
      <c r="E79" s="4">
        <v>38013</v>
      </c>
      <c r="F79" s="6"/>
      <c r="G79" s="58">
        <v>1</v>
      </c>
      <c r="H79" s="59" t="s">
        <v>392</v>
      </c>
      <c r="I79" s="6">
        <v>0</v>
      </c>
      <c r="J79" s="6">
        <v>1</v>
      </c>
      <c r="K79" s="60">
        <v>5</v>
      </c>
      <c r="L79" s="6">
        <v>7</v>
      </c>
      <c r="M79" s="6">
        <v>5</v>
      </c>
      <c r="N79" s="6">
        <v>5</v>
      </c>
      <c r="O79" s="6">
        <v>2</v>
      </c>
      <c r="P79" s="6">
        <v>6</v>
      </c>
      <c r="Q79" s="6">
        <v>1</v>
      </c>
      <c r="R79" s="6">
        <v>1</v>
      </c>
      <c r="S79" s="6">
        <v>25</v>
      </c>
      <c r="T79" s="6">
        <v>109</v>
      </c>
      <c r="U79" s="6">
        <v>74</v>
      </c>
      <c r="V79" s="6">
        <v>2</v>
      </c>
      <c r="W79" s="61">
        <v>1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0">
        <v>3</v>
      </c>
      <c r="AD79" s="6">
        <v>3</v>
      </c>
      <c r="AE79" s="6">
        <v>3</v>
      </c>
      <c r="AF79" s="6">
        <v>3</v>
      </c>
      <c r="AG79" s="6">
        <v>4</v>
      </c>
      <c r="AH79" s="6">
        <v>2</v>
      </c>
      <c r="AI79" s="6">
        <v>1</v>
      </c>
      <c r="AJ79" s="6">
        <v>0</v>
      </c>
      <c r="AK79" s="6">
        <v>15</v>
      </c>
      <c r="AL79" s="6">
        <v>56</v>
      </c>
      <c r="AM79" s="6">
        <v>32</v>
      </c>
      <c r="AN79" s="1" t="s">
        <v>275</v>
      </c>
      <c r="AO79" s="78">
        <v>4</v>
      </c>
      <c r="AP79" s="78">
        <v>2</v>
      </c>
      <c r="AQ79" s="78">
        <v>1</v>
      </c>
      <c r="AR79" s="78">
        <v>0</v>
      </c>
      <c r="AS79" s="78">
        <v>1</v>
      </c>
      <c r="AT79" s="78">
        <v>1</v>
      </c>
      <c r="AU79" s="78">
        <v>0</v>
      </c>
      <c r="AV79" s="78">
        <v>0</v>
      </c>
      <c r="AW79" s="76">
        <v>1</v>
      </c>
      <c r="AX79" s="1" t="s">
        <v>391</v>
      </c>
      <c r="AY79" s="78">
        <v>5</v>
      </c>
      <c r="AZ79" s="78">
        <v>1</v>
      </c>
      <c r="BA79" s="78">
        <v>4</v>
      </c>
      <c r="BB79" s="78">
        <v>0</v>
      </c>
      <c r="BC79" s="78">
        <v>0</v>
      </c>
      <c r="BD79" s="78">
        <v>0</v>
      </c>
      <c r="BE79" s="78">
        <v>0</v>
      </c>
      <c r="BF79" s="78">
        <v>0</v>
      </c>
      <c r="BG79" s="76">
        <v>5</v>
      </c>
      <c r="BH79" s="1" t="s">
        <v>390</v>
      </c>
      <c r="BI79" s="78">
        <v>5</v>
      </c>
      <c r="BJ79" s="78">
        <v>0</v>
      </c>
      <c r="BK79" s="78">
        <v>1</v>
      </c>
      <c r="BL79" s="78">
        <v>1</v>
      </c>
      <c r="BM79" s="78">
        <v>0</v>
      </c>
      <c r="BN79" s="78">
        <v>0</v>
      </c>
      <c r="BO79" s="78">
        <v>0</v>
      </c>
      <c r="BP79" s="78">
        <v>0</v>
      </c>
      <c r="BQ79" s="76">
        <v>1</v>
      </c>
      <c r="BR79" s="1" t="s">
        <v>274</v>
      </c>
      <c r="BS79" s="78">
        <v>4</v>
      </c>
      <c r="BT79" s="78">
        <v>0</v>
      </c>
      <c r="BU79" s="78">
        <v>0</v>
      </c>
      <c r="BV79" s="78">
        <v>0</v>
      </c>
      <c r="BW79" s="78">
        <v>1</v>
      </c>
      <c r="BX79" s="78">
        <v>1</v>
      </c>
      <c r="BY79" s="78">
        <v>0</v>
      </c>
      <c r="BZ79" s="78">
        <v>0</v>
      </c>
      <c r="CA79" s="76">
        <v>0</v>
      </c>
      <c r="CB79" s="1" t="s">
        <v>389</v>
      </c>
      <c r="CC79" s="78">
        <v>3</v>
      </c>
      <c r="CD79" s="78">
        <v>1</v>
      </c>
      <c r="CE79" s="78">
        <v>1</v>
      </c>
      <c r="CF79" s="78">
        <v>2</v>
      </c>
      <c r="CG79" s="78">
        <v>2</v>
      </c>
      <c r="CH79" s="78">
        <v>0</v>
      </c>
      <c r="CI79" s="78">
        <v>0</v>
      </c>
      <c r="CJ79" s="78">
        <v>0</v>
      </c>
      <c r="CK79" s="76">
        <v>1</v>
      </c>
      <c r="CL79" s="1" t="s">
        <v>387</v>
      </c>
      <c r="CM79" s="78">
        <v>5</v>
      </c>
      <c r="CN79" s="78">
        <v>1</v>
      </c>
      <c r="CO79" s="78">
        <v>1</v>
      </c>
      <c r="CP79" s="78">
        <v>2</v>
      </c>
      <c r="CQ79" s="78">
        <v>0</v>
      </c>
      <c r="CR79" s="78">
        <v>2</v>
      </c>
      <c r="CS79" s="78">
        <v>0</v>
      </c>
      <c r="CT79" s="78">
        <v>0</v>
      </c>
      <c r="CU79" s="76">
        <v>4</v>
      </c>
      <c r="CV79" s="1" t="s">
        <v>271</v>
      </c>
      <c r="CW79" s="78">
        <v>4</v>
      </c>
      <c r="CX79" s="78">
        <v>0</v>
      </c>
      <c r="CY79" s="78">
        <v>2</v>
      </c>
      <c r="CZ79" s="78">
        <v>0</v>
      </c>
      <c r="DA79" s="78">
        <v>0</v>
      </c>
      <c r="DB79" s="78">
        <v>0</v>
      </c>
      <c r="DC79" s="78">
        <v>0</v>
      </c>
      <c r="DD79" s="78">
        <v>0</v>
      </c>
      <c r="DE79" s="76">
        <v>2</v>
      </c>
      <c r="DF79" s="1" t="s">
        <v>385</v>
      </c>
      <c r="DG79" s="78">
        <v>4</v>
      </c>
      <c r="DH79" s="78">
        <v>0</v>
      </c>
      <c r="DI79" s="78">
        <v>2</v>
      </c>
      <c r="DJ79" s="78">
        <v>0</v>
      </c>
      <c r="DK79" s="78">
        <v>0</v>
      </c>
      <c r="DL79" s="78">
        <v>0</v>
      </c>
      <c r="DM79" s="78">
        <v>0</v>
      </c>
      <c r="DN79" s="78">
        <v>0</v>
      </c>
      <c r="DO79" s="76">
        <v>4</v>
      </c>
      <c r="DP79" s="1" t="s">
        <v>384</v>
      </c>
      <c r="DQ79" s="78">
        <v>4</v>
      </c>
      <c r="DR79" s="78">
        <v>0</v>
      </c>
      <c r="DS79" s="78">
        <v>0</v>
      </c>
      <c r="DT79" s="78">
        <v>0</v>
      </c>
      <c r="DU79" s="78">
        <v>0</v>
      </c>
      <c r="DV79" s="78">
        <v>1</v>
      </c>
      <c r="DW79" s="78">
        <v>0</v>
      </c>
      <c r="DX79" s="78">
        <v>0</v>
      </c>
      <c r="DY79" s="76">
        <v>0</v>
      </c>
      <c r="DZ79" s="77">
        <v>1</v>
      </c>
      <c r="EA79" s="43">
        <v>0</v>
      </c>
      <c r="EB79" s="43">
        <v>0</v>
      </c>
      <c r="EC79" s="45">
        <v>8</v>
      </c>
      <c r="ED79" s="43">
        <v>3</v>
      </c>
      <c r="EE79" s="44">
        <v>0</v>
      </c>
      <c r="EF79" s="71">
        <v>0</v>
      </c>
      <c r="EG79" s="43">
        <v>0</v>
      </c>
      <c r="EH79" s="43">
        <v>0</v>
      </c>
      <c r="EI79" s="43">
        <v>0</v>
      </c>
      <c r="EJ79" s="43">
        <v>0</v>
      </c>
      <c r="EK79" s="43">
        <v>0</v>
      </c>
      <c r="EL79" s="43">
        <v>1</v>
      </c>
      <c r="EM79" s="43">
        <v>2</v>
      </c>
      <c r="EN79" s="43">
        <v>2</v>
      </c>
      <c r="EO79" s="43"/>
      <c r="EP79" s="43"/>
      <c r="EQ79" s="43"/>
      <c r="ER79" s="43"/>
      <c r="ES79" s="44">
        <f t="shared" si="48"/>
        <v>5</v>
      </c>
      <c r="ET79" s="43">
        <v>0</v>
      </c>
      <c r="EU79" s="43">
        <v>0</v>
      </c>
      <c r="EV79" s="43">
        <v>0</v>
      </c>
      <c r="EW79" s="43">
        <v>0</v>
      </c>
      <c r="EX79" s="43">
        <v>3</v>
      </c>
      <c r="EY79" s="43">
        <v>2</v>
      </c>
      <c r="EZ79" s="43">
        <v>3</v>
      </c>
      <c r="FA79" s="43">
        <v>0</v>
      </c>
      <c r="FB79" s="43"/>
      <c r="FC79" s="43"/>
      <c r="FD79" s="43"/>
      <c r="FE79" s="43"/>
      <c r="FF79" s="43"/>
      <c r="FG79" s="43">
        <f t="shared" si="49"/>
        <v>8</v>
      </c>
      <c r="FH79" s="73">
        <v>38</v>
      </c>
      <c r="FI79" s="73">
        <v>5</v>
      </c>
      <c r="FJ79" s="73">
        <v>12</v>
      </c>
      <c r="FK79" s="73">
        <v>5</v>
      </c>
      <c r="FL79" s="73">
        <v>4</v>
      </c>
      <c r="FM79" s="73">
        <v>5</v>
      </c>
      <c r="FN79" s="73">
        <f t="shared" si="72"/>
        <v>0</v>
      </c>
      <c r="FO79" s="73">
        <f t="shared" si="73"/>
        <v>0</v>
      </c>
      <c r="FP79" s="73">
        <f t="shared" si="52"/>
        <v>0</v>
      </c>
      <c r="FQ79" s="73">
        <f t="shared" si="53"/>
        <v>0</v>
      </c>
      <c r="FR79" s="73">
        <f t="shared" si="54"/>
        <v>0</v>
      </c>
      <c r="FS79" s="73">
        <f t="shared" si="55"/>
        <v>0</v>
      </c>
      <c r="FT79" s="73">
        <f t="shared" si="56"/>
        <v>0</v>
      </c>
      <c r="FU79" s="73">
        <f t="shared" si="57"/>
        <v>0</v>
      </c>
      <c r="FV79" s="73">
        <f t="shared" si="58"/>
        <v>0</v>
      </c>
      <c r="FW79" s="73">
        <f t="shared" si="59"/>
        <v>0</v>
      </c>
      <c r="FX79" s="73">
        <f t="shared" si="60"/>
        <v>0</v>
      </c>
      <c r="FY79" s="73">
        <f t="shared" si="61"/>
        <v>0</v>
      </c>
      <c r="FZ79" s="73">
        <f t="shared" si="62"/>
        <v>-3</v>
      </c>
      <c r="GA79" s="73">
        <f t="shared" si="63"/>
        <v>-2</v>
      </c>
      <c r="GB79" s="73">
        <f t="shared" si="64"/>
        <v>-2</v>
      </c>
      <c r="GC79" s="73">
        <f t="shared" si="65"/>
        <v>2</v>
      </c>
      <c r="GD79" s="73">
        <f t="shared" si="66"/>
        <v>2</v>
      </c>
      <c r="GE79" s="73">
        <f t="shared" si="67"/>
        <v>0</v>
      </c>
      <c r="GF79" s="73">
        <f t="shared" si="68"/>
        <v>0</v>
      </c>
      <c r="GG79" s="73">
        <f t="shared" si="69"/>
        <v>0</v>
      </c>
      <c r="GH79" s="73">
        <f t="shared" si="70"/>
        <v>0</v>
      </c>
      <c r="GI79" s="73">
        <f t="shared" si="71"/>
        <v>-3</v>
      </c>
      <c r="GJ79" s="38"/>
      <c r="GK79" s="367"/>
      <c r="GL79" s="376"/>
      <c r="GM79" s="376"/>
      <c r="GP79" s="52"/>
    </row>
    <row r="80" spans="1:198" x14ac:dyDescent="0.25">
      <c r="A80" s="74">
        <v>40359</v>
      </c>
      <c r="B80" s="74" t="s">
        <v>133</v>
      </c>
      <c r="C80" s="74" t="s">
        <v>129</v>
      </c>
      <c r="D80" s="74" t="s">
        <v>134</v>
      </c>
      <c r="E80" s="4">
        <v>38055</v>
      </c>
      <c r="F80" s="6"/>
      <c r="G80" s="58">
        <v>2</v>
      </c>
      <c r="H80" s="59" t="s">
        <v>396</v>
      </c>
      <c r="I80" s="6">
        <v>1</v>
      </c>
      <c r="J80" s="6">
        <v>0</v>
      </c>
      <c r="K80" s="60">
        <v>7</v>
      </c>
      <c r="L80" s="6">
        <v>6</v>
      </c>
      <c r="M80" s="6">
        <v>3</v>
      </c>
      <c r="N80" s="6">
        <v>3</v>
      </c>
      <c r="O80" s="6">
        <v>2</v>
      </c>
      <c r="P80" s="6">
        <v>5</v>
      </c>
      <c r="Q80" s="6">
        <v>0</v>
      </c>
      <c r="R80" s="6">
        <v>1</v>
      </c>
      <c r="S80" s="6">
        <v>29</v>
      </c>
      <c r="T80" s="6">
        <v>110</v>
      </c>
      <c r="U80" s="6">
        <v>66</v>
      </c>
      <c r="V80" s="6">
        <v>2</v>
      </c>
      <c r="W80" s="61">
        <v>2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0">
        <v>2</v>
      </c>
      <c r="AD80" s="6">
        <v>2</v>
      </c>
      <c r="AE80" s="6">
        <v>1</v>
      </c>
      <c r="AF80" s="6">
        <v>1</v>
      </c>
      <c r="AG80" s="6">
        <v>0</v>
      </c>
      <c r="AH80" s="6">
        <v>2</v>
      </c>
      <c r="AI80" s="6">
        <v>0</v>
      </c>
      <c r="AJ80" s="6">
        <v>0</v>
      </c>
      <c r="AK80" s="6">
        <v>8</v>
      </c>
      <c r="AL80" s="6">
        <v>30</v>
      </c>
      <c r="AM80" s="6">
        <v>21</v>
      </c>
      <c r="AN80" s="1" t="s">
        <v>389</v>
      </c>
      <c r="AO80" s="78">
        <v>4</v>
      </c>
      <c r="AP80" s="78">
        <v>0</v>
      </c>
      <c r="AQ80" s="78">
        <v>1</v>
      </c>
      <c r="AR80" s="78">
        <v>1</v>
      </c>
      <c r="AS80" s="78">
        <v>1</v>
      </c>
      <c r="AT80" s="78">
        <v>1</v>
      </c>
      <c r="AU80" s="78">
        <v>0</v>
      </c>
      <c r="AV80" s="78">
        <v>0</v>
      </c>
      <c r="AW80" s="76">
        <v>1</v>
      </c>
      <c r="AX80" s="1" t="s">
        <v>391</v>
      </c>
      <c r="AY80" s="78">
        <v>5</v>
      </c>
      <c r="AZ80" s="78">
        <v>0</v>
      </c>
      <c r="BA80" s="78">
        <v>0</v>
      </c>
      <c r="BB80" s="78">
        <v>0</v>
      </c>
      <c r="BC80" s="78">
        <v>0</v>
      </c>
      <c r="BD80" s="78">
        <v>2</v>
      </c>
      <c r="BE80" s="78">
        <v>0</v>
      </c>
      <c r="BF80" s="78">
        <v>0</v>
      </c>
      <c r="BG80" s="76">
        <v>0</v>
      </c>
      <c r="BH80" s="1" t="s">
        <v>390</v>
      </c>
      <c r="BI80" s="78">
        <v>5</v>
      </c>
      <c r="BJ80" s="78">
        <v>1</v>
      </c>
      <c r="BK80" s="78">
        <v>1</v>
      </c>
      <c r="BL80" s="78">
        <v>0</v>
      </c>
      <c r="BM80" s="78">
        <v>0</v>
      </c>
      <c r="BN80" s="78">
        <v>1</v>
      </c>
      <c r="BO80" s="78">
        <v>0</v>
      </c>
      <c r="BP80" s="78">
        <v>0</v>
      </c>
      <c r="BQ80" s="76">
        <v>1</v>
      </c>
      <c r="BR80" s="1" t="s">
        <v>274</v>
      </c>
      <c r="BS80" s="78">
        <v>4</v>
      </c>
      <c r="BT80" s="78">
        <v>1</v>
      </c>
      <c r="BU80" s="78">
        <v>2</v>
      </c>
      <c r="BV80" s="78">
        <v>1</v>
      </c>
      <c r="BW80" s="78">
        <v>1</v>
      </c>
      <c r="BX80" s="78">
        <v>1</v>
      </c>
      <c r="BY80" s="78">
        <v>0</v>
      </c>
      <c r="BZ80" s="78">
        <v>0</v>
      </c>
      <c r="CA80" s="76">
        <v>3</v>
      </c>
      <c r="CB80" s="1" t="s">
        <v>387</v>
      </c>
      <c r="CC80" s="78">
        <v>2</v>
      </c>
      <c r="CD80" s="78">
        <v>2</v>
      </c>
      <c r="CE80" s="78">
        <v>2</v>
      </c>
      <c r="CF80" s="78">
        <v>0</v>
      </c>
      <c r="CG80" s="78">
        <v>2</v>
      </c>
      <c r="CH80" s="78">
        <v>0</v>
      </c>
      <c r="CI80" s="78">
        <v>1</v>
      </c>
      <c r="CJ80" s="78">
        <v>0</v>
      </c>
      <c r="CK80" s="76">
        <v>3</v>
      </c>
      <c r="CL80" s="1" t="s">
        <v>275</v>
      </c>
      <c r="CM80" s="78">
        <v>4</v>
      </c>
      <c r="CN80" s="78">
        <v>2</v>
      </c>
      <c r="CO80" s="78">
        <v>1</v>
      </c>
      <c r="CP80" s="78">
        <v>0</v>
      </c>
      <c r="CQ80" s="78">
        <v>1</v>
      </c>
      <c r="CR80" s="78">
        <v>0</v>
      </c>
      <c r="CS80" s="78">
        <v>0</v>
      </c>
      <c r="CT80" s="78">
        <v>0</v>
      </c>
      <c r="CU80" s="76">
        <v>1</v>
      </c>
      <c r="CV80" s="1" t="s">
        <v>271</v>
      </c>
      <c r="CW80" s="78">
        <v>5</v>
      </c>
      <c r="CX80" s="78">
        <v>1</v>
      </c>
      <c r="CY80" s="78">
        <v>2</v>
      </c>
      <c r="CZ80" s="78">
        <v>2</v>
      </c>
      <c r="DA80" s="78">
        <v>0</v>
      </c>
      <c r="DB80" s="78">
        <v>0</v>
      </c>
      <c r="DC80" s="78">
        <v>0</v>
      </c>
      <c r="DD80" s="78">
        <v>0</v>
      </c>
      <c r="DE80" s="76">
        <v>2</v>
      </c>
      <c r="DF80" s="1" t="s">
        <v>388</v>
      </c>
      <c r="DG80" s="78">
        <v>3</v>
      </c>
      <c r="DH80" s="78">
        <v>1</v>
      </c>
      <c r="DI80" s="78">
        <v>1</v>
      </c>
      <c r="DJ80" s="78">
        <v>2</v>
      </c>
      <c r="DK80" s="78">
        <v>0</v>
      </c>
      <c r="DL80" s="78">
        <v>2</v>
      </c>
      <c r="DM80" s="78">
        <v>0</v>
      </c>
      <c r="DN80" s="78">
        <v>0</v>
      </c>
      <c r="DO80" s="76">
        <v>2</v>
      </c>
      <c r="DP80" s="1" t="s">
        <v>384</v>
      </c>
      <c r="DQ80" s="78">
        <v>4</v>
      </c>
      <c r="DR80" s="78">
        <v>1</v>
      </c>
      <c r="DS80" s="78">
        <v>1</v>
      </c>
      <c r="DT80" s="78">
        <v>3</v>
      </c>
      <c r="DU80" s="78">
        <v>0</v>
      </c>
      <c r="DV80" s="78">
        <v>1</v>
      </c>
      <c r="DW80" s="78">
        <v>0</v>
      </c>
      <c r="DX80" s="78">
        <v>0</v>
      </c>
      <c r="DY80" s="76">
        <v>4</v>
      </c>
      <c r="DZ80" s="77">
        <v>0</v>
      </c>
      <c r="EA80" s="43">
        <v>0</v>
      </c>
      <c r="EB80" s="43">
        <v>0</v>
      </c>
      <c r="EC80" s="45">
        <v>9</v>
      </c>
      <c r="ED80" s="43">
        <v>2</v>
      </c>
      <c r="EE80" s="44">
        <v>1</v>
      </c>
      <c r="EF80" s="71">
        <v>0</v>
      </c>
      <c r="EG80" s="43">
        <v>0</v>
      </c>
      <c r="EH80" s="43">
        <v>0</v>
      </c>
      <c r="EI80" s="43">
        <v>3</v>
      </c>
      <c r="EJ80" s="43">
        <v>0</v>
      </c>
      <c r="EK80" s="43">
        <v>0</v>
      </c>
      <c r="EL80" s="43">
        <v>0</v>
      </c>
      <c r="EM80" s="43">
        <v>6</v>
      </c>
      <c r="EN80" s="43">
        <v>0</v>
      </c>
      <c r="EO80" s="43"/>
      <c r="EP80" s="43"/>
      <c r="EQ80" s="43"/>
      <c r="ER80" s="43"/>
      <c r="ES80" s="44">
        <f t="shared" si="48"/>
        <v>9</v>
      </c>
      <c r="ET80" s="43">
        <v>0</v>
      </c>
      <c r="EU80" s="43">
        <v>0</v>
      </c>
      <c r="EV80" s="43">
        <v>0</v>
      </c>
      <c r="EW80" s="43">
        <v>0</v>
      </c>
      <c r="EX80" s="43">
        <v>0</v>
      </c>
      <c r="EY80" s="43">
        <v>1</v>
      </c>
      <c r="EZ80" s="43">
        <v>0</v>
      </c>
      <c r="FA80" s="43">
        <v>3</v>
      </c>
      <c r="FB80" s="43">
        <v>0</v>
      </c>
      <c r="FC80" s="43"/>
      <c r="FD80" s="43"/>
      <c r="FE80" s="43"/>
      <c r="FF80" s="43"/>
      <c r="FG80" s="43">
        <f t="shared" si="49"/>
        <v>4</v>
      </c>
      <c r="FH80" s="73">
        <v>36</v>
      </c>
      <c r="FI80" s="73">
        <v>9</v>
      </c>
      <c r="FJ80" s="73">
        <v>11</v>
      </c>
      <c r="FK80" s="73">
        <v>9</v>
      </c>
      <c r="FL80" s="73">
        <v>5</v>
      </c>
      <c r="FM80" s="73">
        <v>8</v>
      </c>
      <c r="FN80" s="73">
        <f t="shared" si="72"/>
        <v>0</v>
      </c>
      <c r="FO80" s="73">
        <f t="shared" si="73"/>
        <v>0</v>
      </c>
      <c r="FP80" s="73">
        <f t="shared" si="52"/>
        <v>0</v>
      </c>
      <c r="FQ80" s="73">
        <f t="shared" si="53"/>
        <v>0</v>
      </c>
      <c r="FR80" s="73">
        <f t="shared" si="54"/>
        <v>0</v>
      </c>
      <c r="FS80" s="73">
        <f t="shared" si="55"/>
        <v>0</v>
      </c>
      <c r="FT80" s="73">
        <f t="shared" si="56"/>
        <v>0</v>
      </c>
      <c r="FU80" s="73">
        <f t="shared" si="57"/>
        <v>0</v>
      </c>
      <c r="FV80" s="73">
        <f t="shared" si="58"/>
        <v>0</v>
      </c>
      <c r="FW80" s="73">
        <f t="shared" si="59"/>
        <v>0</v>
      </c>
      <c r="FX80" s="73">
        <f t="shared" si="60"/>
        <v>0</v>
      </c>
      <c r="FY80" s="73">
        <f t="shared" si="61"/>
        <v>3</v>
      </c>
      <c r="FZ80" s="73">
        <f t="shared" si="62"/>
        <v>0</v>
      </c>
      <c r="GA80" s="73">
        <f t="shared" si="63"/>
        <v>-1</v>
      </c>
      <c r="GB80" s="73">
        <f t="shared" si="64"/>
        <v>0</v>
      </c>
      <c r="GC80" s="73">
        <f t="shared" si="65"/>
        <v>3</v>
      </c>
      <c r="GD80" s="73">
        <f t="shared" si="66"/>
        <v>0</v>
      </c>
      <c r="GE80" s="73">
        <f t="shared" si="67"/>
        <v>0</v>
      </c>
      <c r="GF80" s="73">
        <f t="shared" si="68"/>
        <v>0</v>
      </c>
      <c r="GG80" s="73">
        <f t="shared" si="69"/>
        <v>0</v>
      </c>
      <c r="GH80" s="73">
        <f t="shared" si="70"/>
        <v>0</v>
      </c>
      <c r="GI80" s="73">
        <f t="shared" si="71"/>
        <v>5</v>
      </c>
      <c r="GJ80" s="38"/>
      <c r="GK80" s="367"/>
      <c r="GL80" s="376"/>
      <c r="GM80" s="376"/>
      <c r="GP80" s="52"/>
    </row>
    <row r="81" spans="1:198" x14ac:dyDescent="0.25">
      <c r="A81" s="74">
        <v>40360</v>
      </c>
      <c r="B81" s="74" t="s">
        <v>133</v>
      </c>
      <c r="C81" s="74" t="s">
        <v>129</v>
      </c>
      <c r="D81" s="74" t="s">
        <v>250</v>
      </c>
      <c r="E81" s="4">
        <v>40665</v>
      </c>
      <c r="F81" s="6"/>
      <c r="G81" s="58">
        <v>3</v>
      </c>
      <c r="H81" s="59" t="s">
        <v>395</v>
      </c>
      <c r="I81" s="6">
        <v>0</v>
      </c>
      <c r="J81" s="6">
        <v>0</v>
      </c>
      <c r="K81" s="60">
        <f>6+2/3</f>
        <v>6.666666666666667</v>
      </c>
      <c r="L81" s="6">
        <v>6</v>
      </c>
      <c r="M81" s="6">
        <v>3</v>
      </c>
      <c r="N81" s="6">
        <v>3</v>
      </c>
      <c r="O81" s="6">
        <v>2</v>
      </c>
      <c r="P81" s="6">
        <v>5</v>
      </c>
      <c r="Q81" s="6">
        <v>1</v>
      </c>
      <c r="R81" s="6">
        <v>0</v>
      </c>
      <c r="S81" s="6">
        <v>28</v>
      </c>
      <c r="T81" s="6">
        <v>104</v>
      </c>
      <c r="U81" s="6">
        <v>69</v>
      </c>
      <c r="V81" s="6">
        <v>1</v>
      </c>
      <c r="W81" s="61">
        <v>0</v>
      </c>
      <c r="X81" s="6">
        <v>1</v>
      </c>
      <c r="Y81" s="6">
        <v>0</v>
      </c>
      <c r="Z81" s="6">
        <v>0</v>
      </c>
      <c r="AA81" s="6">
        <v>1</v>
      </c>
      <c r="AB81" s="6">
        <v>0</v>
      </c>
      <c r="AC81" s="60">
        <f>3+1/3</f>
        <v>3.3333333333333335</v>
      </c>
      <c r="AD81" s="6">
        <v>1</v>
      </c>
      <c r="AE81" s="6">
        <v>1</v>
      </c>
      <c r="AF81" s="6">
        <v>1</v>
      </c>
      <c r="AG81" s="6">
        <v>0</v>
      </c>
      <c r="AH81" s="6">
        <v>2</v>
      </c>
      <c r="AI81" s="6">
        <v>0</v>
      </c>
      <c r="AJ81" s="6">
        <v>0</v>
      </c>
      <c r="AK81" s="6">
        <v>11</v>
      </c>
      <c r="AL81" s="6">
        <v>41</v>
      </c>
      <c r="AM81" s="6">
        <v>26</v>
      </c>
      <c r="AN81" s="1" t="s">
        <v>389</v>
      </c>
      <c r="AO81" s="78">
        <v>4</v>
      </c>
      <c r="AP81" s="78">
        <v>1</v>
      </c>
      <c r="AQ81" s="78">
        <v>2</v>
      </c>
      <c r="AR81" s="78">
        <v>0</v>
      </c>
      <c r="AS81" s="78">
        <v>2</v>
      </c>
      <c r="AT81" s="78">
        <v>0</v>
      </c>
      <c r="AU81" s="78">
        <v>0</v>
      </c>
      <c r="AV81" s="78">
        <v>0</v>
      </c>
      <c r="AW81" s="76">
        <v>3</v>
      </c>
      <c r="AX81" s="1" t="s">
        <v>391</v>
      </c>
      <c r="AY81" s="78">
        <v>6</v>
      </c>
      <c r="AZ81" s="78">
        <v>2</v>
      </c>
      <c r="BA81" s="78">
        <v>4</v>
      </c>
      <c r="BB81" s="78">
        <v>1</v>
      </c>
      <c r="BC81" s="78">
        <v>0</v>
      </c>
      <c r="BD81" s="78">
        <v>0</v>
      </c>
      <c r="BE81" s="78">
        <v>0</v>
      </c>
      <c r="BF81" s="78">
        <v>0</v>
      </c>
      <c r="BG81" s="76">
        <v>4</v>
      </c>
      <c r="BH81" s="1" t="s">
        <v>390</v>
      </c>
      <c r="BI81" s="78">
        <v>5</v>
      </c>
      <c r="BJ81" s="78">
        <v>0</v>
      </c>
      <c r="BK81" s="78">
        <v>1</v>
      </c>
      <c r="BL81" s="78">
        <v>1</v>
      </c>
      <c r="BM81" s="78">
        <v>0</v>
      </c>
      <c r="BN81" s="78">
        <v>2</v>
      </c>
      <c r="BO81" s="78">
        <v>0</v>
      </c>
      <c r="BP81" s="78">
        <v>0</v>
      </c>
      <c r="BQ81" s="76">
        <v>2</v>
      </c>
      <c r="BR81" s="1" t="s">
        <v>274</v>
      </c>
      <c r="BS81" s="78">
        <v>5</v>
      </c>
      <c r="BT81" s="78">
        <v>0</v>
      </c>
      <c r="BU81" s="78">
        <v>0</v>
      </c>
      <c r="BV81" s="78">
        <v>0</v>
      </c>
      <c r="BW81" s="78">
        <v>0</v>
      </c>
      <c r="BX81" s="78">
        <v>3</v>
      </c>
      <c r="BY81" s="78">
        <v>0</v>
      </c>
      <c r="BZ81" s="78">
        <v>0</v>
      </c>
      <c r="CA81" s="76">
        <v>0</v>
      </c>
      <c r="CB81" s="1" t="s">
        <v>387</v>
      </c>
      <c r="CC81" s="78">
        <v>4</v>
      </c>
      <c r="CD81" s="78">
        <v>1</v>
      </c>
      <c r="CE81" s="78">
        <v>1</v>
      </c>
      <c r="CF81" s="78">
        <v>0</v>
      </c>
      <c r="CG81" s="78">
        <v>1</v>
      </c>
      <c r="CH81" s="78">
        <v>0</v>
      </c>
      <c r="CI81" s="78">
        <v>0</v>
      </c>
      <c r="CJ81" s="78">
        <v>0</v>
      </c>
      <c r="CK81" s="76">
        <v>1</v>
      </c>
      <c r="CL81" s="1" t="s">
        <v>275</v>
      </c>
      <c r="CM81" s="78">
        <v>3</v>
      </c>
      <c r="CN81" s="78">
        <v>0</v>
      </c>
      <c r="CO81" s="78">
        <v>1</v>
      </c>
      <c r="CP81" s="78">
        <v>1</v>
      </c>
      <c r="CQ81" s="78">
        <v>1</v>
      </c>
      <c r="CR81" s="78">
        <v>0</v>
      </c>
      <c r="CS81" s="78">
        <v>1</v>
      </c>
      <c r="CT81" s="78">
        <v>0</v>
      </c>
      <c r="CU81" s="76">
        <v>1</v>
      </c>
      <c r="CV81" s="1" t="s">
        <v>272</v>
      </c>
      <c r="CW81" s="78">
        <v>5</v>
      </c>
      <c r="CX81" s="78">
        <v>0</v>
      </c>
      <c r="CY81" s="78">
        <v>2</v>
      </c>
      <c r="CZ81" s="78">
        <v>1</v>
      </c>
      <c r="DA81" s="78">
        <v>0</v>
      </c>
      <c r="DB81" s="78">
        <v>1</v>
      </c>
      <c r="DC81" s="78">
        <v>0</v>
      </c>
      <c r="DD81" s="78">
        <v>0</v>
      </c>
      <c r="DE81" s="76">
        <v>2</v>
      </c>
      <c r="DF81" s="1" t="s">
        <v>271</v>
      </c>
      <c r="DG81" s="78">
        <v>5</v>
      </c>
      <c r="DH81" s="78">
        <v>1</v>
      </c>
      <c r="DI81" s="78">
        <v>1</v>
      </c>
      <c r="DJ81" s="78">
        <v>0</v>
      </c>
      <c r="DK81" s="78">
        <v>0</v>
      </c>
      <c r="DL81" s="78">
        <v>1</v>
      </c>
      <c r="DM81" s="78">
        <v>0</v>
      </c>
      <c r="DN81" s="78">
        <v>0</v>
      </c>
      <c r="DO81" s="76">
        <v>1</v>
      </c>
      <c r="DP81" s="1" t="s">
        <v>384</v>
      </c>
      <c r="DQ81" s="78">
        <v>4</v>
      </c>
      <c r="DR81" s="78">
        <v>0</v>
      </c>
      <c r="DS81" s="78">
        <v>0</v>
      </c>
      <c r="DT81" s="78">
        <v>0</v>
      </c>
      <c r="DU81" s="78">
        <v>0</v>
      </c>
      <c r="DV81" s="78">
        <v>1</v>
      </c>
      <c r="DW81" s="78">
        <v>0</v>
      </c>
      <c r="DX81" s="78">
        <v>0</v>
      </c>
      <c r="DY81" s="76">
        <v>0</v>
      </c>
      <c r="DZ81" s="77">
        <f>1+1/3</f>
        <v>1.3333333333333333</v>
      </c>
      <c r="EA81" s="43">
        <v>0</v>
      </c>
      <c r="EB81" s="43">
        <v>0</v>
      </c>
      <c r="EC81" s="45">
        <f>8+2/3</f>
        <v>8.6666666666666661</v>
      </c>
      <c r="ED81" s="43">
        <v>2</v>
      </c>
      <c r="EE81" s="44">
        <v>0</v>
      </c>
      <c r="EF81" s="71">
        <v>0</v>
      </c>
      <c r="EG81" s="43">
        <v>0</v>
      </c>
      <c r="EH81" s="43">
        <v>0</v>
      </c>
      <c r="EI81" s="43">
        <v>1</v>
      </c>
      <c r="EJ81" s="43">
        <v>1</v>
      </c>
      <c r="EK81" s="43">
        <v>0</v>
      </c>
      <c r="EL81" s="43">
        <v>1</v>
      </c>
      <c r="EM81" s="43">
        <v>0</v>
      </c>
      <c r="EN81" s="43">
        <v>1</v>
      </c>
      <c r="EO81" s="43">
        <v>1</v>
      </c>
      <c r="EP81" s="43"/>
      <c r="EQ81" s="43"/>
      <c r="ER81" s="43"/>
      <c r="ES81" s="44">
        <f t="shared" si="48"/>
        <v>5</v>
      </c>
      <c r="ET81" s="43">
        <v>0</v>
      </c>
      <c r="EU81" s="43">
        <v>2</v>
      </c>
      <c r="EV81" s="43">
        <v>0</v>
      </c>
      <c r="EW81" s="43">
        <v>0</v>
      </c>
      <c r="EX81" s="43">
        <v>0</v>
      </c>
      <c r="EY81" s="43">
        <v>0</v>
      </c>
      <c r="EZ81" s="43">
        <v>1</v>
      </c>
      <c r="FA81" s="43">
        <v>1</v>
      </c>
      <c r="FB81" s="43">
        <v>0</v>
      </c>
      <c r="FC81" s="43">
        <v>0</v>
      </c>
      <c r="FD81" s="43"/>
      <c r="FE81" s="43"/>
      <c r="FF81" s="43"/>
      <c r="FG81" s="43">
        <f t="shared" si="49"/>
        <v>4</v>
      </c>
      <c r="FH81" s="73">
        <v>41</v>
      </c>
      <c r="FI81" s="73">
        <v>5</v>
      </c>
      <c r="FJ81" s="73">
        <v>12</v>
      </c>
      <c r="FK81" s="73">
        <v>4</v>
      </c>
      <c r="FL81" s="73">
        <v>4</v>
      </c>
      <c r="FM81" s="73">
        <v>8</v>
      </c>
      <c r="FN81" s="73">
        <f t="shared" si="72"/>
        <v>0</v>
      </c>
      <c r="FO81" s="73">
        <f t="shared" si="73"/>
        <v>0</v>
      </c>
      <c r="FP81" s="73">
        <f t="shared" si="52"/>
        <v>0</v>
      </c>
      <c r="FQ81" s="73">
        <f t="shared" si="53"/>
        <v>0</v>
      </c>
      <c r="FR81" s="73">
        <f t="shared" si="54"/>
        <v>0</v>
      </c>
      <c r="FS81" s="73">
        <f t="shared" si="55"/>
        <v>0</v>
      </c>
      <c r="FT81" s="73">
        <f t="shared" si="56"/>
        <v>0</v>
      </c>
      <c r="FU81" s="73">
        <f t="shared" si="57"/>
        <v>0</v>
      </c>
      <c r="FV81" s="73">
        <f t="shared" si="58"/>
        <v>0</v>
      </c>
      <c r="FW81" s="73">
        <f t="shared" si="59"/>
        <v>-2</v>
      </c>
      <c r="FX81" s="73">
        <f t="shared" si="60"/>
        <v>0</v>
      </c>
      <c r="FY81" s="73">
        <f t="shared" si="61"/>
        <v>1</v>
      </c>
      <c r="FZ81" s="73">
        <f t="shared" si="62"/>
        <v>1</v>
      </c>
      <c r="GA81" s="73">
        <f t="shared" si="63"/>
        <v>0</v>
      </c>
      <c r="GB81" s="73">
        <f t="shared" si="64"/>
        <v>0</v>
      </c>
      <c r="GC81" s="73">
        <f t="shared" si="65"/>
        <v>-1</v>
      </c>
      <c r="GD81" s="73">
        <f t="shared" si="66"/>
        <v>1</v>
      </c>
      <c r="GE81" s="73">
        <f t="shared" si="67"/>
        <v>1</v>
      </c>
      <c r="GF81" s="73">
        <f t="shared" si="68"/>
        <v>0</v>
      </c>
      <c r="GG81" s="73">
        <f t="shared" si="69"/>
        <v>0</v>
      </c>
      <c r="GH81" s="73">
        <f t="shared" si="70"/>
        <v>0</v>
      </c>
      <c r="GI81" s="73">
        <f t="shared" si="71"/>
        <v>1</v>
      </c>
      <c r="GJ81" s="38"/>
      <c r="GK81" s="367"/>
      <c r="GL81" s="376"/>
      <c r="GM81" s="376"/>
      <c r="GP81" s="52"/>
    </row>
    <row r="82" spans="1:198" x14ac:dyDescent="0.25">
      <c r="A82" s="74">
        <v>40361</v>
      </c>
      <c r="B82" s="74" t="s">
        <v>133</v>
      </c>
      <c r="C82" s="74" t="s">
        <v>131</v>
      </c>
      <c r="D82" s="74" t="s">
        <v>250</v>
      </c>
      <c r="E82" s="4">
        <v>39226</v>
      </c>
      <c r="F82" s="6"/>
      <c r="G82" s="58">
        <v>4</v>
      </c>
      <c r="H82" s="59" t="s">
        <v>394</v>
      </c>
      <c r="I82" s="6">
        <v>0</v>
      </c>
      <c r="J82" s="6">
        <v>1</v>
      </c>
      <c r="K82" s="60">
        <v>8</v>
      </c>
      <c r="L82" s="6">
        <v>4</v>
      </c>
      <c r="M82" s="6">
        <v>2</v>
      </c>
      <c r="N82" s="6">
        <v>2</v>
      </c>
      <c r="O82" s="6">
        <v>4</v>
      </c>
      <c r="P82" s="6">
        <v>6</v>
      </c>
      <c r="Q82" s="6">
        <v>0</v>
      </c>
      <c r="R82" s="6">
        <v>0</v>
      </c>
      <c r="S82" s="6">
        <v>31</v>
      </c>
      <c r="T82" s="6">
        <v>122</v>
      </c>
      <c r="U82" s="6">
        <v>73</v>
      </c>
      <c r="V82" s="6">
        <v>0</v>
      </c>
      <c r="W82" s="61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0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1" t="s">
        <v>389</v>
      </c>
      <c r="AO82" s="78">
        <v>4</v>
      </c>
      <c r="AP82" s="78">
        <v>0</v>
      </c>
      <c r="AQ82" s="78">
        <v>0</v>
      </c>
      <c r="AR82" s="78">
        <v>0</v>
      </c>
      <c r="AS82" s="78">
        <v>1</v>
      </c>
      <c r="AT82" s="78">
        <v>2</v>
      </c>
      <c r="AU82" s="78">
        <v>0</v>
      </c>
      <c r="AV82" s="78">
        <v>0</v>
      </c>
      <c r="AW82" s="76">
        <v>0</v>
      </c>
      <c r="AX82" s="1" t="s">
        <v>391</v>
      </c>
      <c r="AY82" s="78">
        <v>5</v>
      </c>
      <c r="AZ82" s="78">
        <v>1</v>
      </c>
      <c r="BA82" s="78">
        <v>2</v>
      </c>
      <c r="BB82" s="78">
        <v>0</v>
      </c>
      <c r="BC82" s="78">
        <v>0</v>
      </c>
      <c r="BD82" s="78">
        <v>2</v>
      </c>
      <c r="BE82" s="78">
        <v>0</v>
      </c>
      <c r="BF82" s="78">
        <v>0</v>
      </c>
      <c r="BG82" s="76">
        <v>3</v>
      </c>
      <c r="BH82" s="1" t="s">
        <v>390</v>
      </c>
      <c r="BI82" s="78">
        <v>4</v>
      </c>
      <c r="BJ82" s="78">
        <v>0</v>
      </c>
      <c r="BK82" s="78">
        <v>1</v>
      </c>
      <c r="BL82" s="78">
        <v>1</v>
      </c>
      <c r="BM82" s="78">
        <v>0</v>
      </c>
      <c r="BN82" s="78">
        <v>0</v>
      </c>
      <c r="BO82" s="78">
        <v>0</v>
      </c>
      <c r="BP82" s="78">
        <v>0</v>
      </c>
      <c r="BQ82" s="76">
        <v>2</v>
      </c>
      <c r="BR82" s="1" t="s">
        <v>272</v>
      </c>
      <c r="BS82" s="78">
        <v>3</v>
      </c>
      <c r="BT82" s="78">
        <v>0</v>
      </c>
      <c r="BU82" s="78">
        <v>2</v>
      </c>
      <c r="BV82" s="78">
        <v>0</v>
      </c>
      <c r="BW82" s="78">
        <v>0</v>
      </c>
      <c r="BX82" s="78">
        <v>0</v>
      </c>
      <c r="BY82" s="78">
        <v>1</v>
      </c>
      <c r="BZ82" s="78">
        <v>0</v>
      </c>
      <c r="CA82" s="76">
        <v>2</v>
      </c>
      <c r="CB82" s="1" t="s">
        <v>387</v>
      </c>
      <c r="CC82" s="78">
        <v>4</v>
      </c>
      <c r="CD82" s="78">
        <v>0</v>
      </c>
      <c r="CE82" s="78">
        <v>1</v>
      </c>
      <c r="CF82" s="78">
        <v>0</v>
      </c>
      <c r="CG82" s="78">
        <v>0</v>
      </c>
      <c r="CH82" s="78">
        <v>1</v>
      </c>
      <c r="CI82" s="78">
        <v>0</v>
      </c>
      <c r="CJ82" s="78">
        <v>0</v>
      </c>
      <c r="CK82" s="76">
        <v>1</v>
      </c>
      <c r="CL82" s="1" t="s">
        <v>388</v>
      </c>
      <c r="CM82" s="78">
        <v>4</v>
      </c>
      <c r="CN82" s="78">
        <v>0</v>
      </c>
      <c r="CO82" s="78">
        <v>0</v>
      </c>
      <c r="CP82" s="78">
        <v>0</v>
      </c>
      <c r="CQ82" s="78">
        <v>0</v>
      </c>
      <c r="CR82" s="78">
        <v>2</v>
      </c>
      <c r="CS82" s="78">
        <v>0</v>
      </c>
      <c r="CT82" s="78">
        <v>0</v>
      </c>
      <c r="CU82" s="76">
        <v>0</v>
      </c>
      <c r="CV82" s="1" t="s">
        <v>274</v>
      </c>
      <c r="CW82" s="78">
        <v>4</v>
      </c>
      <c r="CX82" s="78">
        <v>0</v>
      </c>
      <c r="CY82" s="78">
        <v>0</v>
      </c>
      <c r="CZ82" s="78">
        <v>0</v>
      </c>
      <c r="DA82" s="78">
        <v>0</v>
      </c>
      <c r="DB82" s="78">
        <v>0</v>
      </c>
      <c r="DC82" s="78">
        <v>0</v>
      </c>
      <c r="DD82" s="78">
        <v>0</v>
      </c>
      <c r="DE82" s="76">
        <v>0</v>
      </c>
      <c r="DF82" s="1" t="s">
        <v>271</v>
      </c>
      <c r="DG82" s="78">
        <v>4</v>
      </c>
      <c r="DH82" s="78">
        <v>0</v>
      </c>
      <c r="DI82" s="78">
        <v>2</v>
      </c>
      <c r="DJ82" s="78">
        <v>0</v>
      </c>
      <c r="DK82" s="78">
        <v>0</v>
      </c>
      <c r="DL82" s="78">
        <v>0</v>
      </c>
      <c r="DM82" s="78">
        <v>0</v>
      </c>
      <c r="DN82" s="78">
        <v>0</v>
      </c>
      <c r="DO82" s="76">
        <v>3</v>
      </c>
      <c r="DP82" s="1" t="s">
        <v>385</v>
      </c>
      <c r="DQ82" s="78">
        <v>4</v>
      </c>
      <c r="DR82" s="78">
        <v>0</v>
      </c>
      <c r="DS82" s="78">
        <v>1</v>
      </c>
      <c r="DT82" s="78">
        <v>0</v>
      </c>
      <c r="DU82" s="78">
        <v>0</v>
      </c>
      <c r="DV82" s="78">
        <v>3</v>
      </c>
      <c r="DW82" s="78">
        <v>0</v>
      </c>
      <c r="DX82" s="78">
        <v>0</v>
      </c>
      <c r="DY82" s="76">
        <v>1</v>
      </c>
      <c r="DZ82" s="77">
        <f>2/3</f>
        <v>0.66666666666666663</v>
      </c>
      <c r="EA82" s="43">
        <v>0</v>
      </c>
      <c r="EB82" s="43">
        <v>0</v>
      </c>
      <c r="EC82" s="45">
        <f>8+1/3</f>
        <v>8.3333333333333339</v>
      </c>
      <c r="ED82" s="43">
        <v>0</v>
      </c>
      <c r="EE82" s="44">
        <v>0</v>
      </c>
      <c r="EF82" s="71">
        <v>1</v>
      </c>
      <c r="EG82" s="43">
        <v>0</v>
      </c>
      <c r="EH82" s="43">
        <v>0</v>
      </c>
      <c r="EI82" s="43">
        <v>0</v>
      </c>
      <c r="EJ82" s="43">
        <v>0</v>
      </c>
      <c r="EK82" s="43">
        <v>0</v>
      </c>
      <c r="EL82" s="43">
        <v>0</v>
      </c>
      <c r="EM82" s="43">
        <v>0</v>
      </c>
      <c r="EN82" s="43">
        <v>0</v>
      </c>
      <c r="EO82" s="43"/>
      <c r="EP82" s="43"/>
      <c r="EQ82" s="43"/>
      <c r="ER82" s="43"/>
      <c r="ES82" s="44">
        <f t="shared" si="48"/>
        <v>1</v>
      </c>
      <c r="ET82" s="43">
        <v>0</v>
      </c>
      <c r="EU82" s="43">
        <v>0</v>
      </c>
      <c r="EV82" s="43">
        <v>0</v>
      </c>
      <c r="EW82" s="43">
        <v>0</v>
      </c>
      <c r="EX82" s="43">
        <v>0</v>
      </c>
      <c r="EY82" s="43">
        <v>0</v>
      </c>
      <c r="EZ82" s="43">
        <v>2</v>
      </c>
      <c r="FA82" s="43">
        <v>0</v>
      </c>
      <c r="FB82" s="43"/>
      <c r="FC82" s="43"/>
      <c r="FD82" s="43"/>
      <c r="FE82" s="43"/>
      <c r="FF82" s="43"/>
      <c r="FG82" s="43">
        <f t="shared" si="49"/>
        <v>2</v>
      </c>
      <c r="FH82" s="73">
        <v>36</v>
      </c>
      <c r="FI82" s="73">
        <v>1</v>
      </c>
      <c r="FJ82" s="73">
        <v>9</v>
      </c>
      <c r="FK82" s="73">
        <v>1</v>
      </c>
      <c r="FL82" s="73">
        <v>1</v>
      </c>
      <c r="FM82" s="73">
        <v>10</v>
      </c>
      <c r="FN82" s="73">
        <f t="shared" si="72"/>
        <v>0</v>
      </c>
      <c r="FO82" s="73">
        <f t="shared" si="73"/>
        <v>0</v>
      </c>
      <c r="FP82" s="73">
        <f t="shared" si="52"/>
        <v>0</v>
      </c>
      <c r="FQ82" s="73">
        <f t="shared" si="53"/>
        <v>0</v>
      </c>
      <c r="FR82" s="73">
        <f t="shared" si="54"/>
        <v>0</v>
      </c>
      <c r="FS82" s="73">
        <f t="shared" si="55"/>
        <v>0</v>
      </c>
      <c r="FT82" s="73">
        <f t="shared" si="56"/>
        <v>0</v>
      </c>
      <c r="FU82" s="73">
        <f t="shared" si="57"/>
        <v>0</v>
      </c>
      <c r="FV82" s="73">
        <f t="shared" si="58"/>
        <v>1</v>
      </c>
      <c r="FW82" s="73">
        <f t="shared" si="59"/>
        <v>0</v>
      </c>
      <c r="FX82" s="73">
        <f t="shared" si="60"/>
        <v>0</v>
      </c>
      <c r="FY82" s="73">
        <f t="shared" si="61"/>
        <v>0</v>
      </c>
      <c r="FZ82" s="73">
        <f t="shared" si="62"/>
        <v>0</v>
      </c>
      <c r="GA82" s="73">
        <f t="shared" si="63"/>
        <v>0</v>
      </c>
      <c r="GB82" s="73">
        <f t="shared" si="64"/>
        <v>-2</v>
      </c>
      <c r="GC82" s="73">
        <f t="shared" si="65"/>
        <v>0</v>
      </c>
      <c r="GD82" s="73">
        <f t="shared" si="66"/>
        <v>0</v>
      </c>
      <c r="GE82" s="73">
        <f t="shared" si="67"/>
        <v>0</v>
      </c>
      <c r="GF82" s="73">
        <f t="shared" si="68"/>
        <v>0</v>
      </c>
      <c r="GG82" s="73">
        <f t="shared" si="69"/>
        <v>0</v>
      </c>
      <c r="GH82" s="73">
        <f t="shared" si="70"/>
        <v>0</v>
      </c>
      <c r="GI82" s="73">
        <f t="shared" si="71"/>
        <v>-1</v>
      </c>
      <c r="GJ82" s="38"/>
      <c r="GK82" s="367"/>
      <c r="GL82" s="376"/>
      <c r="GM82" s="376"/>
      <c r="GP82" s="52"/>
    </row>
    <row r="83" spans="1:198" x14ac:dyDescent="0.25">
      <c r="A83" s="74">
        <v>40362</v>
      </c>
      <c r="B83" s="74" t="s">
        <v>133</v>
      </c>
      <c r="C83" s="74" t="s">
        <v>129</v>
      </c>
      <c r="D83" s="74" t="s">
        <v>250</v>
      </c>
      <c r="E83" s="4">
        <v>40852</v>
      </c>
      <c r="F83" s="6"/>
      <c r="G83" s="58">
        <v>5</v>
      </c>
      <c r="H83" s="59" t="s">
        <v>393</v>
      </c>
      <c r="I83" s="6">
        <v>0</v>
      </c>
      <c r="J83" s="6">
        <v>0</v>
      </c>
      <c r="K83" s="60">
        <f>4+1/3</f>
        <v>4.333333333333333</v>
      </c>
      <c r="L83" s="6">
        <v>8</v>
      </c>
      <c r="M83" s="6">
        <v>4</v>
      </c>
      <c r="N83" s="6">
        <v>4</v>
      </c>
      <c r="O83" s="6">
        <v>0</v>
      </c>
      <c r="P83" s="6">
        <v>1</v>
      </c>
      <c r="Q83" s="6">
        <v>3</v>
      </c>
      <c r="R83" s="6">
        <v>0</v>
      </c>
      <c r="S83" s="6">
        <v>21</v>
      </c>
      <c r="T83" s="6">
        <v>73</v>
      </c>
      <c r="U83" s="6">
        <v>52</v>
      </c>
      <c r="V83" s="6">
        <v>1</v>
      </c>
      <c r="W83" s="61">
        <v>0</v>
      </c>
      <c r="X83" s="6">
        <v>1</v>
      </c>
      <c r="Y83" s="6">
        <v>0</v>
      </c>
      <c r="Z83" s="6">
        <v>0</v>
      </c>
      <c r="AA83" s="6">
        <v>1</v>
      </c>
      <c r="AB83" s="6">
        <v>0</v>
      </c>
      <c r="AC83" s="60">
        <f>4+2/3</f>
        <v>4.666666666666667</v>
      </c>
      <c r="AD83" s="6">
        <v>5</v>
      </c>
      <c r="AE83" s="6">
        <v>2</v>
      </c>
      <c r="AF83" s="6">
        <v>2</v>
      </c>
      <c r="AG83" s="6">
        <v>0</v>
      </c>
      <c r="AH83" s="6">
        <v>3</v>
      </c>
      <c r="AI83" s="6">
        <v>0</v>
      </c>
      <c r="AJ83" s="6">
        <v>0</v>
      </c>
      <c r="AK83" s="6">
        <v>17</v>
      </c>
      <c r="AL83" s="6">
        <v>55</v>
      </c>
      <c r="AM83" s="6">
        <v>37</v>
      </c>
      <c r="AN83" s="1" t="s">
        <v>271</v>
      </c>
      <c r="AO83" s="78">
        <v>5</v>
      </c>
      <c r="AP83" s="78">
        <v>1</v>
      </c>
      <c r="AQ83" s="78">
        <v>2</v>
      </c>
      <c r="AR83" s="78">
        <v>0</v>
      </c>
      <c r="AS83" s="78">
        <v>0</v>
      </c>
      <c r="AT83" s="78">
        <v>1</v>
      </c>
      <c r="AU83" s="78">
        <v>0</v>
      </c>
      <c r="AV83" s="78">
        <v>0</v>
      </c>
      <c r="AW83" s="76">
        <v>2</v>
      </c>
      <c r="AX83" s="1" t="s">
        <v>391</v>
      </c>
      <c r="AY83" s="78">
        <v>5</v>
      </c>
      <c r="AZ83" s="78">
        <v>1</v>
      </c>
      <c r="BA83" s="78">
        <v>2</v>
      </c>
      <c r="BB83" s="78">
        <v>2</v>
      </c>
      <c r="BC83" s="78">
        <v>0</v>
      </c>
      <c r="BD83" s="78">
        <v>1</v>
      </c>
      <c r="BE83" s="78">
        <v>0</v>
      </c>
      <c r="BF83" s="78">
        <v>0</v>
      </c>
      <c r="BG83" s="76">
        <v>3</v>
      </c>
      <c r="BH83" s="1" t="s">
        <v>390</v>
      </c>
      <c r="BI83" s="78">
        <v>5</v>
      </c>
      <c r="BJ83" s="78">
        <v>1</v>
      </c>
      <c r="BK83" s="78">
        <v>2</v>
      </c>
      <c r="BL83" s="78">
        <v>1</v>
      </c>
      <c r="BM83" s="78">
        <v>0</v>
      </c>
      <c r="BN83" s="78">
        <v>1</v>
      </c>
      <c r="BO83" s="78">
        <v>0</v>
      </c>
      <c r="BP83" s="78">
        <v>0</v>
      </c>
      <c r="BQ83" s="76">
        <v>2</v>
      </c>
      <c r="BR83" s="1" t="s">
        <v>272</v>
      </c>
      <c r="BS83" s="78">
        <v>4</v>
      </c>
      <c r="BT83" s="78">
        <v>1</v>
      </c>
      <c r="BU83" s="78">
        <v>1</v>
      </c>
      <c r="BV83" s="78">
        <v>1</v>
      </c>
      <c r="BW83" s="78">
        <v>0</v>
      </c>
      <c r="BX83" s="78">
        <v>1</v>
      </c>
      <c r="BY83" s="78">
        <v>0</v>
      </c>
      <c r="BZ83" s="78">
        <v>0</v>
      </c>
      <c r="CA83" s="76">
        <v>2</v>
      </c>
      <c r="CB83" s="1" t="s">
        <v>388</v>
      </c>
      <c r="CC83" s="78">
        <v>3</v>
      </c>
      <c r="CD83" s="78">
        <v>0</v>
      </c>
      <c r="CE83" s="78">
        <v>0</v>
      </c>
      <c r="CF83" s="78">
        <v>0</v>
      </c>
      <c r="CG83" s="78">
        <v>1</v>
      </c>
      <c r="CH83" s="78">
        <v>1</v>
      </c>
      <c r="CI83" s="78">
        <v>0</v>
      </c>
      <c r="CJ83" s="78">
        <v>0</v>
      </c>
      <c r="CK83" s="76">
        <v>0</v>
      </c>
      <c r="CL83" s="1" t="s">
        <v>273</v>
      </c>
      <c r="CM83" s="78">
        <v>3</v>
      </c>
      <c r="CN83" s="78">
        <v>1</v>
      </c>
      <c r="CO83" s="78">
        <v>0</v>
      </c>
      <c r="CP83" s="78">
        <v>0</v>
      </c>
      <c r="CQ83" s="78">
        <v>1</v>
      </c>
      <c r="CR83" s="78">
        <v>1</v>
      </c>
      <c r="CS83" s="78">
        <v>0</v>
      </c>
      <c r="CT83" s="78">
        <v>0</v>
      </c>
      <c r="CU83" s="76">
        <v>0</v>
      </c>
      <c r="CV83" s="1" t="s">
        <v>389</v>
      </c>
      <c r="CW83" s="78">
        <v>4</v>
      </c>
      <c r="CX83" s="78">
        <v>0</v>
      </c>
      <c r="CY83" s="78">
        <v>0</v>
      </c>
      <c r="CZ83" s="78">
        <v>0</v>
      </c>
      <c r="DA83" s="78">
        <v>0</v>
      </c>
      <c r="DB83" s="78">
        <v>2</v>
      </c>
      <c r="DC83" s="78">
        <v>0</v>
      </c>
      <c r="DD83" s="78">
        <v>0</v>
      </c>
      <c r="DE83" s="76">
        <v>0</v>
      </c>
      <c r="DF83" s="1" t="s">
        <v>386</v>
      </c>
      <c r="DG83" s="78">
        <v>4</v>
      </c>
      <c r="DH83" s="78">
        <v>2</v>
      </c>
      <c r="DI83" s="78">
        <v>2</v>
      </c>
      <c r="DJ83" s="78">
        <v>4</v>
      </c>
      <c r="DK83" s="78">
        <v>0</v>
      </c>
      <c r="DL83" s="78">
        <v>1</v>
      </c>
      <c r="DM83" s="78">
        <v>0</v>
      </c>
      <c r="DN83" s="78">
        <v>0</v>
      </c>
      <c r="DO83" s="76">
        <v>5</v>
      </c>
      <c r="DP83" s="1" t="s">
        <v>384</v>
      </c>
      <c r="DQ83" s="78">
        <v>3</v>
      </c>
      <c r="DR83" s="78">
        <v>1</v>
      </c>
      <c r="DS83" s="78">
        <v>1</v>
      </c>
      <c r="DT83" s="78">
        <v>0</v>
      </c>
      <c r="DU83" s="78">
        <v>0</v>
      </c>
      <c r="DV83" s="78">
        <v>1</v>
      </c>
      <c r="DW83" s="78">
        <v>0</v>
      </c>
      <c r="DX83" s="78">
        <v>0</v>
      </c>
      <c r="DY83" s="76">
        <v>2</v>
      </c>
      <c r="DZ83" s="77">
        <v>8</v>
      </c>
      <c r="EA83" s="43">
        <v>0</v>
      </c>
      <c r="EB83" s="43">
        <v>0</v>
      </c>
      <c r="EC83" s="45">
        <v>1</v>
      </c>
      <c r="ED83" s="43">
        <v>0</v>
      </c>
      <c r="EE83" s="44">
        <v>0</v>
      </c>
      <c r="EF83" s="71">
        <v>0</v>
      </c>
      <c r="EG83" s="43">
        <v>0</v>
      </c>
      <c r="EH83" s="43">
        <v>1</v>
      </c>
      <c r="EI83" s="43">
        <v>0</v>
      </c>
      <c r="EJ83" s="43">
        <v>0</v>
      </c>
      <c r="EK83" s="43">
        <v>0</v>
      </c>
      <c r="EL83" s="43">
        <v>0</v>
      </c>
      <c r="EM83" s="43">
        <v>7</v>
      </c>
      <c r="EN83" s="43">
        <v>0</v>
      </c>
      <c r="EO83" s="43"/>
      <c r="EP83" s="43"/>
      <c r="EQ83" s="43"/>
      <c r="ER83" s="43"/>
      <c r="ES83" s="44">
        <f t="shared" si="48"/>
        <v>8</v>
      </c>
      <c r="ET83" s="43">
        <v>0</v>
      </c>
      <c r="EU83" s="43">
        <v>1</v>
      </c>
      <c r="EV83" s="43">
        <v>2</v>
      </c>
      <c r="EW83" s="43">
        <v>1</v>
      </c>
      <c r="EX83" s="43">
        <v>0</v>
      </c>
      <c r="EY83" s="43">
        <v>0</v>
      </c>
      <c r="EZ83" s="43">
        <v>0</v>
      </c>
      <c r="FA83" s="43">
        <v>0</v>
      </c>
      <c r="FB83" s="43">
        <v>2</v>
      </c>
      <c r="FC83" s="43"/>
      <c r="FD83" s="43"/>
      <c r="FE83" s="43"/>
      <c r="FF83" s="43"/>
      <c r="FG83" s="43">
        <f t="shared" si="49"/>
        <v>6</v>
      </c>
      <c r="FH83" s="73">
        <v>36</v>
      </c>
      <c r="FI83" s="73">
        <v>8</v>
      </c>
      <c r="FJ83" s="73">
        <v>10</v>
      </c>
      <c r="FK83" s="73">
        <v>8</v>
      </c>
      <c r="FL83" s="73">
        <v>2</v>
      </c>
      <c r="FM83" s="73">
        <v>10</v>
      </c>
      <c r="FN83" s="73">
        <f t="shared" si="72"/>
        <v>0</v>
      </c>
      <c r="FO83" s="73">
        <f t="shared" si="73"/>
        <v>0</v>
      </c>
      <c r="FP83" s="73">
        <f t="shared" si="52"/>
        <v>0</v>
      </c>
      <c r="FQ83" s="73">
        <f t="shared" si="53"/>
        <v>0</v>
      </c>
      <c r="FR83" s="73">
        <f t="shared" si="54"/>
        <v>0</v>
      </c>
      <c r="FS83" s="73">
        <f t="shared" si="55"/>
        <v>0</v>
      </c>
      <c r="FT83" s="73">
        <f t="shared" si="56"/>
        <v>0</v>
      </c>
      <c r="FU83" s="73">
        <f t="shared" si="57"/>
        <v>0</v>
      </c>
      <c r="FV83" s="73">
        <f t="shared" si="58"/>
        <v>0</v>
      </c>
      <c r="FW83" s="73">
        <f t="shared" si="59"/>
        <v>-1</v>
      </c>
      <c r="FX83" s="73">
        <f t="shared" si="60"/>
        <v>-1</v>
      </c>
      <c r="FY83" s="73">
        <f t="shared" si="61"/>
        <v>-1</v>
      </c>
      <c r="FZ83" s="73">
        <f t="shared" si="62"/>
        <v>0</v>
      </c>
      <c r="GA83" s="73">
        <f t="shared" si="63"/>
        <v>0</v>
      </c>
      <c r="GB83" s="73">
        <f t="shared" si="64"/>
        <v>0</v>
      </c>
      <c r="GC83" s="73">
        <f t="shared" si="65"/>
        <v>7</v>
      </c>
      <c r="GD83" s="73">
        <f t="shared" si="66"/>
        <v>-2</v>
      </c>
      <c r="GE83" s="73">
        <f t="shared" si="67"/>
        <v>0</v>
      </c>
      <c r="GF83" s="73">
        <f t="shared" si="68"/>
        <v>0</v>
      </c>
      <c r="GG83" s="73">
        <f t="shared" si="69"/>
        <v>0</v>
      </c>
      <c r="GH83" s="73">
        <f t="shared" si="70"/>
        <v>0</v>
      </c>
      <c r="GI83" s="73">
        <f t="shared" si="71"/>
        <v>2</v>
      </c>
      <c r="GJ83" s="38"/>
      <c r="GK83" s="367"/>
      <c r="GL83" s="376"/>
      <c r="GM83" s="376"/>
      <c r="GP83" s="52"/>
    </row>
    <row r="84" spans="1:198" x14ac:dyDescent="0.25">
      <c r="A84" s="74">
        <v>40363</v>
      </c>
      <c r="B84" s="74" t="s">
        <v>133</v>
      </c>
      <c r="C84" s="74" t="s">
        <v>129</v>
      </c>
      <c r="D84" s="74" t="s">
        <v>250</v>
      </c>
      <c r="E84" s="4">
        <v>40328</v>
      </c>
      <c r="F84" s="6"/>
      <c r="G84" s="58">
        <v>1</v>
      </c>
      <c r="H84" s="59" t="s">
        <v>392</v>
      </c>
      <c r="I84" s="6">
        <v>1</v>
      </c>
      <c r="J84" s="6">
        <v>0</v>
      </c>
      <c r="K84" s="60">
        <v>6</v>
      </c>
      <c r="L84" s="6">
        <v>8</v>
      </c>
      <c r="M84" s="6">
        <v>4</v>
      </c>
      <c r="N84" s="6">
        <v>4</v>
      </c>
      <c r="O84" s="6">
        <v>1</v>
      </c>
      <c r="P84" s="6">
        <v>2</v>
      </c>
      <c r="Q84" s="6">
        <v>0</v>
      </c>
      <c r="R84" s="6">
        <v>0</v>
      </c>
      <c r="S84" s="6">
        <v>25</v>
      </c>
      <c r="T84" s="6">
        <v>92</v>
      </c>
      <c r="U84" s="6">
        <v>57</v>
      </c>
      <c r="V84" s="6">
        <v>2</v>
      </c>
      <c r="W84" s="61">
        <v>1</v>
      </c>
      <c r="X84" s="6">
        <v>0</v>
      </c>
      <c r="Y84" s="6">
        <v>0</v>
      </c>
      <c r="Z84" s="6">
        <v>2</v>
      </c>
      <c r="AA84" s="6">
        <v>1</v>
      </c>
      <c r="AB84" s="6">
        <v>0</v>
      </c>
      <c r="AC84" s="60">
        <v>3</v>
      </c>
      <c r="AD84" s="6">
        <v>2</v>
      </c>
      <c r="AE84" s="6">
        <v>0</v>
      </c>
      <c r="AF84" s="6">
        <v>0</v>
      </c>
      <c r="AG84" s="6">
        <v>0</v>
      </c>
      <c r="AH84" s="6">
        <v>2</v>
      </c>
      <c r="AI84" s="6">
        <v>0</v>
      </c>
      <c r="AJ84" s="6">
        <v>0</v>
      </c>
      <c r="AK84" s="6">
        <v>11</v>
      </c>
      <c r="AL84" s="6">
        <v>45</v>
      </c>
      <c r="AM84" s="6">
        <v>27</v>
      </c>
      <c r="AN84" s="1" t="s">
        <v>271</v>
      </c>
      <c r="AO84" s="78">
        <v>5</v>
      </c>
      <c r="AP84" s="78">
        <v>2</v>
      </c>
      <c r="AQ84" s="78">
        <v>3</v>
      </c>
      <c r="AR84" s="78">
        <v>1</v>
      </c>
      <c r="AS84" s="78">
        <v>0</v>
      </c>
      <c r="AT84" s="78">
        <v>0</v>
      </c>
      <c r="AU84" s="78">
        <v>0</v>
      </c>
      <c r="AV84" s="78">
        <v>0</v>
      </c>
      <c r="AW84" s="76">
        <v>6</v>
      </c>
      <c r="AX84" s="1" t="s">
        <v>391</v>
      </c>
      <c r="AY84" s="78">
        <v>4</v>
      </c>
      <c r="AZ84" s="78">
        <v>1</v>
      </c>
      <c r="BA84" s="78">
        <v>0</v>
      </c>
      <c r="BB84" s="78">
        <v>0</v>
      </c>
      <c r="BC84" s="78">
        <v>1</v>
      </c>
      <c r="BD84" s="78">
        <v>2</v>
      </c>
      <c r="BE84" s="78">
        <v>0</v>
      </c>
      <c r="BF84" s="78">
        <v>0</v>
      </c>
      <c r="BG84" s="76">
        <v>0</v>
      </c>
      <c r="BH84" s="1" t="s">
        <v>390</v>
      </c>
      <c r="BI84" s="78">
        <v>5</v>
      </c>
      <c r="BJ84" s="78">
        <v>1</v>
      </c>
      <c r="BK84" s="78">
        <v>3</v>
      </c>
      <c r="BL84" s="78">
        <v>3</v>
      </c>
      <c r="BM84" s="78">
        <v>0</v>
      </c>
      <c r="BN84" s="78">
        <v>0</v>
      </c>
      <c r="BO84" s="78">
        <v>0</v>
      </c>
      <c r="BP84" s="78">
        <v>0</v>
      </c>
      <c r="BQ84" s="76">
        <v>6</v>
      </c>
      <c r="BR84" s="1" t="s">
        <v>272</v>
      </c>
      <c r="BS84" s="78">
        <v>4</v>
      </c>
      <c r="BT84" s="78">
        <v>0</v>
      </c>
      <c r="BU84" s="78">
        <v>0</v>
      </c>
      <c r="BV84" s="78">
        <v>0</v>
      </c>
      <c r="BW84" s="78">
        <v>1</v>
      </c>
      <c r="BX84" s="78">
        <v>2</v>
      </c>
      <c r="BY84" s="78">
        <v>0</v>
      </c>
      <c r="BZ84" s="78">
        <v>0</v>
      </c>
      <c r="CA84" s="76">
        <v>0</v>
      </c>
      <c r="CB84" s="1" t="s">
        <v>387</v>
      </c>
      <c r="CC84" s="78">
        <v>5</v>
      </c>
      <c r="CD84" s="78">
        <v>0</v>
      </c>
      <c r="CE84" s="78">
        <v>1</v>
      </c>
      <c r="CF84" s="78">
        <v>2</v>
      </c>
      <c r="CG84" s="78">
        <v>0</v>
      </c>
      <c r="CH84" s="78">
        <v>1</v>
      </c>
      <c r="CI84" s="78">
        <v>0</v>
      </c>
      <c r="CJ84" s="78">
        <v>0</v>
      </c>
      <c r="CK84" s="76">
        <v>2</v>
      </c>
      <c r="CL84" s="1" t="s">
        <v>388</v>
      </c>
      <c r="CM84" s="78">
        <v>4</v>
      </c>
      <c r="CN84" s="78">
        <v>0</v>
      </c>
      <c r="CO84" s="78">
        <v>1</v>
      </c>
      <c r="CP84" s="78">
        <v>0</v>
      </c>
      <c r="CQ84" s="78">
        <v>0</v>
      </c>
      <c r="CR84" s="78">
        <v>1</v>
      </c>
      <c r="CS84" s="78">
        <v>0</v>
      </c>
      <c r="CT84" s="78">
        <v>0</v>
      </c>
      <c r="CU84" s="76">
        <v>1</v>
      </c>
      <c r="CV84" s="1" t="s">
        <v>274</v>
      </c>
      <c r="CW84" s="78">
        <v>4</v>
      </c>
      <c r="CX84" s="78">
        <v>1</v>
      </c>
      <c r="CY84" s="78">
        <v>2</v>
      </c>
      <c r="CZ84" s="78">
        <v>0</v>
      </c>
      <c r="DA84" s="78">
        <v>0</v>
      </c>
      <c r="DB84" s="78">
        <v>0</v>
      </c>
      <c r="DC84" s="78">
        <v>0</v>
      </c>
      <c r="DD84" s="78">
        <v>0</v>
      </c>
      <c r="DE84" s="76">
        <v>2</v>
      </c>
      <c r="DF84" s="1" t="s">
        <v>273</v>
      </c>
      <c r="DG84" s="78">
        <v>4</v>
      </c>
      <c r="DH84" s="78">
        <v>1</v>
      </c>
      <c r="DI84" s="78">
        <v>2</v>
      </c>
      <c r="DJ84" s="78">
        <v>0</v>
      </c>
      <c r="DK84" s="78">
        <v>0</v>
      </c>
      <c r="DL84" s="78">
        <v>0</v>
      </c>
      <c r="DM84" s="78">
        <v>0</v>
      </c>
      <c r="DN84" s="78">
        <v>0</v>
      </c>
      <c r="DO84" s="76">
        <v>2</v>
      </c>
      <c r="DP84" s="1" t="s">
        <v>384</v>
      </c>
      <c r="DQ84" s="78">
        <v>3</v>
      </c>
      <c r="DR84" s="78">
        <v>1</v>
      </c>
      <c r="DS84" s="78">
        <v>1</v>
      </c>
      <c r="DT84" s="78">
        <v>0</v>
      </c>
      <c r="DU84" s="78">
        <v>0</v>
      </c>
      <c r="DV84" s="78">
        <v>0</v>
      </c>
      <c r="DW84" s="78">
        <v>0</v>
      </c>
      <c r="DX84" s="78">
        <v>0</v>
      </c>
      <c r="DY84" s="76">
        <v>1</v>
      </c>
      <c r="DZ84" s="77">
        <f>1+2/3</f>
        <v>1.6666666666666665</v>
      </c>
      <c r="EA84" s="43">
        <v>0</v>
      </c>
      <c r="EB84" s="43">
        <v>0</v>
      </c>
      <c r="EC84" s="45">
        <f>7+1/3</f>
        <v>7.333333333333333</v>
      </c>
      <c r="ED84" s="43">
        <v>0</v>
      </c>
      <c r="EE84" s="44">
        <v>0</v>
      </c>
      <c r="EF84" s="71">
        <v>1</v>
      </c>
      <c r="EG84" s="43">
        <v>0</v>
      </c>
      <c r="EH84" s="43">
        <v>1</v>
      </c>
      <c r="EI84" s="43">
        <v>0</v>
      </c>
      <c r="EJ84" s="43">
        <v>0</v>
      </c>
      <c r="EK84" s="43">
        <v>0</v>
      </c>
      <c r="EL84" s="43">
        <v>5</v>
      </c>
      <c r="EM84" s="43">
        <v>0</v>
      </c>
      <c r="EN84" s="43">
        <v>0</v>
      </c>
      <c r="EO84" s="43"/>
      <c r="EP84" s="43"/>
      <c r="EQ84" s="43"/>
      <c r="ER84" s="43"/>
      <c r="ES84" s="44">
        <f t="shared" si="48"/>
        <v>7</v>
      </c>
      <c r="ET84" s="43">
        <v>1</v>
      </c>
      <c r="EU84" s="43">
        <v>0</v>
      </c>
      <c r="EV84" s="43">
        <v>0</v>
      </c>
      <c r="EW84" s="43">
        <v>0</v>
      </c>
      <c r="EX84" s="43">
        <v>0</v>
      </c>
      <c r="EY84" s="43">
        <v>0</v>
      </c>
      <c r="EZ84" s="43">
        <v>3</v>
      </c>
      <c r="FA84" s="43">
        <v>0</v>
      </c>
      <c r="FB84" s="43">
        <v>0</v>
      </c>
      <c r="FC84" s="43"/>
      <c r="FD84" s="43"/>
      <c r="FE84" s="43"/>
      <c r="FF84" s="43"/>
      <c r="FG84" s="43">
        <f t="shared" si="49"/>
        <v>4</v>
      </c>
      <c r="FH84" s="73">
        <v>38</v>
      </c>
      <c r="FI84" s="73">
        <v>7</v>
      </c>
      <c r="FJ84" s="73">
        <v>13</v>
      </c>
      <c r="FK84" s="73">
        <v>6</v>
      </c>
      <c r="FL84" s="73">
        <v>2</v>
      </c>
      <c r="FM84" s="73">
        <v>6</v>
      </c>
      <c r="FN84" s="73">
        <f t="shared" ref="FN84:FN89" si="74">((SUM(M84,AE84))-(FG84))</f>
        <v>0</v>
      </c>
      <c r="FO84" s="73">
        <f t="shared" ref="FO84:FO89" si="75">((SUM(AP84,AZ84,BJ84,BT84,CD84,CN84,CX84,DH84,DR84))-(ES84))</f>
        <v>0</v>
      </c>
      <c r="FP84" s="73">
        <f t="shared" si="52"/>
        <v>0</v>
      </c>
      <c r="FQ84" s="73">
        <f t="shared" si="53"/>
        <v>0</v>
      </c>
      <c r="FR84" s="73">
        <f t="shared" si="54"/>
        <v>0</v>
      </c>
      <c r="FS84" s="73">
        <f t="shared" si="55"/>
        <v>0</v>
      </c>
      <c r="FT84" s="73">
        <f t="shared" si="56"/>
        <v>0</v>
      </c>
      <c r="FU84" s="73">
        <f t="shared" si="57"/>
        <v>0</v>
      </c>
      <c r="FV84" s="73">
        <f t="shared" si="58"/>
        <v>0</v>
      </c>
      <c r="FW84" s="73">
        <f t="shared" si="59"/>
        <v>0</v>
      </c>
      <c r="FX84" s="73">
        <f t="shared" si="60"/>
        <v>1</v>
      </c>
      <c r="FY84" s="73">
        <f t="shared" si="61"/>
        <v>0</v>
      </c>
      <c r="FZ84" s="73">
        <f t="shared" si="62"/>
        <v>0</v>
      </c>
      <c r="GA84" s="73">
        <f t="shared" si="63"/>
        <v>0</v>
      </c>
      <c r="GB84" s="73">
        <f t="shared" si="64"/>
        <v>2</v>
      </c>
      <c r="GC84" s="73">
        <f t="shared" si="65"/>
        <v>0</v>
      </c>
      <c r="GD84" s="73">
        <f t="shared" si="66"/>
        <v>0</v>
      </c>
      <c r="GE84" s="73">
        <f t="shared" si="67"/>
        <v>0</v>
      </c>
      <c r="GF84" s="73">
        <f t="shared" si="68"/>
        <v>0</v>
      </c>
      <c r="GG84" s="73">
        <f t="shared" si="69"/>
        <v>0</v>
      </c>
      <c r="GH84" s="73">
        <f t="shared" si="70"/>
        <v>0</v>
      </c>
      <c r="GI84" s="73">
        <f t="shared" si="71"/>
        <v>3</v>
      </c>
      <c r="GJ84" s="38"/>
      <c r="GK84" s="367"/>
      <c r="GL84" s="376"/>
      <c r="GM84" s="376"/>
      <c r="GP84" s="52"/>
    </row>
    <row r="85" spans="1:198" x14ac:dyDescent="0.25">
      <c r="A85" s="110">
        <v>40364</v>
      </c>
      <c r="B85" s="110" t="s">
        <v>19</v>
      </c>
      <c r="C85" s="110" t="s">
        <v>129</v>
      </c>
      <c r="D85" s="110" t="s">
        <v>134</v>
      </c>
      <c r="E85" s="111">
        <v>28528</v>
      </c>
      <c r="F85" s="95"/>
      <c r="G85" s="93">
        <v>2</v>
      </c>
      <c r="H85" s="59" t="s">
        <v>396</v>
      </c>
      <c r="I85" s="95">
        <v>0</v>
      </c>
      <c r="J85" s="95">
        <v>0</v>
      </c>
      <c r="K85" s="96">
        <v>3</v>
      </c>
      <c r="L85" s="95">
        <v>7</v>
      </c>
      <c r="M85" s="95">
        <v>4</v>
      </c>
      <c r="N85" s="95">
        <v>4</v>
      </c>
      <c r="O85" s="95">
        <v>2</v>
      </c>
      <c r="P85" s="95">
        <v>1</v>
      </c>
      <c r="Q85" s="95">
        <v>1</v>
      </c>
      <c r="R85" s="95">
        <v>0</v>
      </c>
      <c r="S85" s="95">
        <v>17</v>
      </c>
      <c r="T85" s="95">
        <v>84</v>
      </c>
      <c r="U85" s="95">
        <v>52</v>
      </c>
      <c r="V85" s="95">
        <v>0</v>
      </c>
      <c r="W85" s="97">
        <v>0</v>
      </c>
      <c r="X85" s="95">
        <v>1</v>
      </c>
      <c r="Y85" s="95">
        <v>0</v>
      </c>
      <c r="Z85" s="95">
        <v>1</v>
      </c>
      <c r="AA85" s="95">
        <v>1</v>
      </c>
      <c r="AB85" s="95">
        <v>0</v>
      </c>
      <c r="AC85" s="96">
        <v>6</v>
      </c>
      <c r="AD85" s="95">
        <v>3</v>
      </c>
      <c r="AE85" s="95">
        <v>1</v>
      </c>
      <c r="AF85" s="95">
        <v>1</v>
      </c>
      <c r="AG85" s="95">
        <v>2</v>
      </c>
      <c r="AH85" s="95">
        <v>7</v>
      </c>
      <c r="AI85" s="95">
        <v>1</v>
      </c>
      <c r="AJ85" s="95">
        <v>0</v>
      </c>
      <c r="AK85" s="95">
        <v>23</v>
      </c>
      <c r="AL85" s="95">
        <v>113</v>
      </c>
      <c r="AM85" s="95">
        <v>71</v>
      </c>
      <c r="AN85" s="1" t="s">
        <v>389</v>
      </c>
      <c r="AO85" s="101">
        <v>3</v>
      </c>
      <c r="AP85" s="101">
        <v>2</v>
      </c>
      <c r="AQ85" s="101">
        <v>1</v>
      </c>
      <c r="AR85" s="101">
        <v>0</v>
      </c>
      <c r="AS85" s="101">
        <v>2</v>
      </c>
      <c r="AT85" s="101">
        <v>0</v>
      </c>
      <c r="AU85" s="101">
        <v>0</v>
      </c>
      <c r="AV85" s="101">
        <v>0</v>
      </c>
      <c r="AW85" s="102">
        <v>1</v>
      </c>
      <c r="AX85" s="1" t="s">
        <v>391</v>
      </c>
      <c r="AY85" s="101">
        <v>5</v>
      </c>
      <c r="AZ85" s="101">
        <v>1</v>
      </c>
      <c r="BA85" s="101">
        <v>3</v>
      </c>
      <c r="BB85" s="101">
        <v>1</v>
      </c>
      <c r="BC85" s="101">
        <v>0</v>
      </c>
      <c r="BD85" s="101">
        <v>1</v>
      </c>
      <c r="BE85" s="101">
        <v>0</v>
      </c>
      <c r="BF85" s="101">
        <v>0</v>
      </c>
      <c r="BG85" s="102">
        <v>4</v>
      </c>
      <c r="BH85" s="1" t="s">
        <v>390</v>
      </c>
      <c r="BI85" s="101">
        <v>3</v>
      </c>
      <c r="BJ85" s="101">
        <v>0</v>
      </c>
      <c r="BK85" s="101">
        <v>0</v>
      </c>
      <c r="BL85" s="101">
        <v>1</v>
      </c>
      <c r="BM85" s="101">
        <v>1</v>
      </c>
      <c r="BN85" s="101">
        <v>1</v>
      </c>
      <c r="BO85" s="101">
        <v>0</v>
      </c>
      <c r="BP85" s="101">
        <v>1</v>
      </c>
      <c r="BQ85" s="102">
        <v>0</v>
      </c>
      <c r="BR85" s="1" t="s">
        <v>272</v>
      </c>
      <c r="BS85" s="101">
        <v>4</v>
      </c>
      <c r="BT85" s="101">
        <v>0</v>
      </c>
      <c r="BU85" s="101">
        <v>1</v>
      </c>
      <c r="BV85" s="101">
        <v>0</v>
      </c>
      <c r="BW85" s="101">
        <v>0</v>
      </c>
      <c r="BX85" s="101">
        <v>2</v>
      </c>
      <c r="BY85" s="101">
        <v>0</v>
      </c>
      <c r="BZ85" s="101">
        <v>0</v>
      </c>
      <c r="CA85" s="102">
        <v>2</v>
      </c>
      <c r="CB85" s="1" t="s">
        <v>387</v>
      </c>
      <c r="CC85" s="101">
        <v>3</v>
      </c>
      <c r="CD85" s="101">
        <v>1</v>
      </c>
      <c r="CE85" s="101">
        <v>1</v>
      </c>
      <c r="CF85" s="101">
        <v>0</v>
      </c>
      <c r="CG85" s="101">
        <v>1</v>
      </c>
      <c r="CH85" s="101">
        <v>0</v>
      </c>
      <c r="CI85" s="101">
        <v>0</v>
      </c>
      <c r="CJ85" s="101">
        <v>0</v>
      </c>
      <c r="CK85" s="102">
        <v>1</v>
      </c>
      <c r="CL85" s="1" t="s">
        <v>271</v>
      </c>
      <c r="CM85" s="101">
        <v>4</v>
      </c>
      <c r="CN85" s="101">
        <v>1</v>
      </c>
      <c r="CO85" s="101">
        <v>2</v>
      </c>
      <c r="CP85" s="101">
        <v>0</v>
      </c>
      <c r="CQ85" s="101">
        <v>0</v>
      </c>
      <c r="CR85" s="101">
        <v>2</v>
      </c>
      <c r="CS85" s="101">
        <v>0</v>
      </c>
      <c r="CT85" s="101">
        <v>0</v>
      </c>
      <c r="CU85" s="102">
        <v>3</v>
      </c>
      <c r="CV85" s="1" t="s">
        <v>274</v>
      </c>
      <c r="CW85" s="101">
        <v>3</v>
      </c>
      <c r="CX85" s="101">
        <v>1</v>
      </c>
      <c r="CY85" s="101">
        <v>0</v>
      </c>
      <c r="CZ85" s="101">
        <v>0</v>
      </c>
      <c r="DA85" s="101">
        <v>1</v>
      </c>
      <c r="DB85" s="101">
        <v>0</v>
      </c>
      <c r="DC85" s="101">
        <v>0</v>
      </c>
      <c r="DD85" s="101">
        <v>0</v>
      </c>
      <c r="DE85" s="102">
        <v>0</v>
      </c>
      <c r="DF85" s="1" t="s">
        <v>384</v>
      </c>
      <c r="DG85" s="101">
        <v>3</v>
      </c>
      <c r="DH85" s="101">
        <v>0</v>
      </c>
      <c r="DI85" s="101">
        <v>1</v>
      </c>
      <c r="DJ85" s="101">
        <v>1</v>
      </c>
      <c r="DK85" s="101">
        <v>0</v>
      </c>
      <c r="DL85" s="101">
        <v>0</v>
      </c>
      <c r="DM85" s="101">
        <v>0</v>
      </c>
      <c r="DN85" s="101">
        <v>1</v>
      </c>
      <c r="DO85" s="102">
        <v>1</v>
      </c>
      <c r="DP85" s="1" t="s">
        <v>275</v>
      </c>
      <c r="DQ85" s="101">
        <v>4</v>
      </c>
      <c r="DR85" s="101">
        <v>0</v>
      </c>
      <c r="DS85" s="101">
        <v>1</v>
      </c>
      <c r="DT85" s="101">
        <v>2</v>
      </c>
      <c r="DU85" s="101">
        <v>0</v>
      </c>
      <c r="DV85" s="101">
        <v>0</v>
      </c>
      <c r="DW85" s="101">
        <v>0</v>
      </c>
      <c r="DX85" s="101">
        <v>0</v>
      </c>
      <c r="DY85" s="102">
        <v>1</v>
      </c>
      <c r="DZ85" s="103">
        <f>0+2/3</f>
        <v>0.66666666666666663</v>
      </c>
      <c r="EA85" s="104">
        <v>0</v>
      </c>
      <c r="EB85" s="104">
        <v>0</v>
      </c>
      <c r="EC85" s="105">
        <f>7+1/3</f>
        <v>7.333333333333333</v>
      </c>
      <c r="ED85" s="104">
        <v>1</v>
      </c>
      <c r="EE85" s="106">
        <v>0</v>
      </c>
      <c r="EF85" s="107">
        <v>1</v>
      </c>
      <c r="EG85" s="104">
        <v>0</v>
      </c>
      <c r="EH85" s="104">
        <v>0</v>
      </c>
      <c r="EI85" s="104">
        <v>0</v>
      </c>
      <c r="EJ85" s="104">
        <v>2</v>
      </c>
      <c r="EK85" s="104">
        <v>2</v>
      </c>
      <c r="EL85" s="104">
        <v>1</v>
      </c>
      <c r="EM85" s="104">
        <v>0</v>
      </c>
      <c r="EN85" s="104"/>
      <c r="EO85" s="104"/>
      <c r="EP85" s="104"/>
      <c r="EQ85" s="104"/>
      <c r="ER85" s="104"/>
      <c r="ES85" s="106">
        <f t="shared" si="48"/>
        <v>6</v>
      </c>
      <c r="ET85" s="104">
        <v>0</v>
      </c>
      <c r="EU85" s="104">
        <v>0</v>
      </c>
      <c r="EV85" s="104">
        <v>4</v>
      </c>
      <c r="EW85" s="104">
        <v>1</v>
      </c>
      <c r="EX85" s="104">
        <v>0</v>
      </c>
      <c r="EY85" s="104">
        <v>0</v>
      </c>
      <c r="EZ85" s="104">
        <v>0</v>
      </c>
      <c r="FA85" s="104">
        <v>0</v>
      </c>
      <c r="FB85" s="104">
        <v>0</v>
      </c>
      <c r="FC85" s="104"/>
      <c r="FD85" s="104"/>
      <c r="FE85" s="104"/>
      <c r="FF85" s="104"/>
      <c r="FG85" s="104">
        <f t="shared" si="49"/>
        <v>5</v>
      </c>
      <c r="FH85" s="108">
        <v>32</v>
      </c>
      <c r="FI85" s="108">
        <v>6</v>
      </c>
      <c r="FJ85" s="108">
        <v>10</v>
      </c>
      <c r="FK85" s="108">
        <v>5</v>
      </c>
      <c r="FL85" s="108">
        <v>5</v>
      </c>
      <c r="FM85" s="108">
        <v>6</v>
      </c>
      <c r="FN85" s="108">
        <f t="shared" si="74"/>
        <v>0</v>
      </c>
      <c r="FO85" s="108">
        <f t="shared" si="75"/>
        <v>0</v>
      </c>
      <c r="FP85" s="108">
        <f t="shared" si="52"/>
        <v>0</v>
      </c>
      <c r="FQ85" s="108">
        <f t="shared" si="53"/>
        <v>0</v>
      </c>
      <c r="FR85" s="108">
        <f t="shared" si="54"/>
        <v>0</v>
      </c>
      <c r="FS85" s="108">
        <f t="shared" si="55"/>
        <v>0</v>
      </c>
      <c r="FT85" s="108">
        <f t="shared" si="56"/>
        <v>0</v>
      </c>
      <c r="FU85" s="108">
        <f t="shared" si="57"/>
        <v>0</v>
      </c>
      <c r="FV85" s="108">
        <f t="shared" si="58"/>
        <v>1</v>
      </c>
      <c r="FW85" s="108">
        <f t="shared" si="59"/>
        <v>0</v>
      </c>
      <c r="FX85" s="108">
        <f t="shared" si="60"/>
        <v>-4</v>
      </c>
      <c r="FY85" s="108">
        <f t="shared" si="61"/>
        <v>-1</v>
      </c>
      <c r="FZ85" s="108">
        <f t="shared" si="62"/>
        <v>2</v>
      </c>
      <c r="GA85" s="108">
        <f t="shared" si="63"/>
        <v>2</v>
      </c>
      <c r="GB85" s="108">
        <f t="shared" si="64"/>
        <v>1</v>
      </c>
      <c r="GC85" s="108">
        <f t="shared" si="65"/>
        <v>0</v>
      </c>
      <c r="GD85" s="108">
        <f t="shared" si="66"/>
        <v>0</v>
      </c>
      <c r="GE85" s="108">
        <f t="shared" si="67"/>
        <v>0</v>
      </c>
      <c r="GF85" s="108">
        <f t="shared" si="68"/>
        <v>0</v>
      </c>
      <c r="GG85" s="108">
        <f t="shared" si="69"/>
        <v>0</v>
      </c>
      <c r="GH85" s="108">
        <f t="shared" si="70"/>
        <v>0</v>
      </c>
      <c r="GI85" s="108">
        <f t="shared" si="71"/>
        <v>1</v>
      </c>
      <c r="GJ85" s="109"/>
      <c r="GK85" s="367"/>
      <c r="GL85" s="376"/>
      <c r="GM85" s="376"/>
      <c r="GP85" s="52"/>
    </row>
    <row r="86" spans="1:198" x14ac:dyDescent="0.25">
      <c r="A86" s="110">
        <v>40365</v>
      </c>
      <c r="B86" s="110" t="s">
        <v>19</v>
      </c>
      <c r="C86" s="110" t="s">
        <v>129</v>
      </c>
      <c r="D86" s="110" t="s">
        <v>134</v>
      </c>
      <c r="E86" s="111">
        <v>19902</v>
      </c>
      <c r="F86" s="95"/>
      <c r="G86" s="93">
        <v>3</v>
      </c>
      <c r="H86" s="94" t="s">
        <v>395</v>
      </c>
      <c r="I86" s="95">
        <v>1</v>
      </c>
      <c r="J86" s="95">
        <v>0</v>
      </c>
      <c r="K86" s="96">
        <v>6</v>
      </c>
      <c r="L86" s="95">
        <v>4</v>
      </c>
      <c r="M86" s="95">
        <v>1</v>
      </c>
      <c r="N86" s="95">
        <v>0</v>
      </c>
      <c r="O86" s="95">
        <v>3</v>
      </c>
      <c r="P86" s="95">
        <v>5</v>
      </c>
      <c r="Q86" s="95">
        <v>0</v>
      </c>
      <c r="R86" s="95">
        <v>0</v>
      </c>
      <c r="S86" s="95">
        <v>26</v>
      </c>
      <c r="T86" s="95">
        <v>107</v>
      </c>
      <c r="U86" s="95">
        <v>60</v>
      </c>
      <c r="V86" s="95">
        <v>0</v>
      </c>
      <c r="W86" s="97">
        <v>0</v>
      </c>
      <c r="X86" s="95">
        <v>0</v>
      </c>
      <c r="Y86" s="95">
        <v>0</v>
      </c>
      <c r="Z86" s="95">
        <v>3</v>
      </c>
      <c r="AA86" s="95">
        <v>1</v>
      </c>
      <c r="AB86" s="95">
        <v>0</v>
      </c>
      <c r="AC86" s="96">
        <v>3</v>
      </c>
      <c r="AD86" s="95">
        <v>2</v>
      </c>
      <c r="AE86" s="95">
        <v>1</v>
      </c>
      <c r="AF86" s="95">
        <v>1</v>
      </c>
      <c r="AG86" s="95">
        <v>3</v>
      </c>
      <c r="AH86" s="95">
        <v>5</v>
      </c>
      <c r="AI86" s="95">
        <v>0</v>
      </c>
      <c r="AJ86" s="95">
        <v>0</v>
      </c>
      <c r="AK86" s="95">
        <v>14</v>
      </c>
      <c r="AL86" s="95">
        <v>59</v>
      </c>
      <c r="AM86" s="95">
        <v>31</v>
      </c>
      <c r="AN86" s="100" t="s">
        <v>273</v>
      </c>
      <c r="AO86" s="101">
        <v>4</v>
      </c>
      <c r="AP86" s="101">
        <v>0</v>
      </c>
      <c r="AQ86" s="101">
        <v>0</v>
      </c>
      <c r="AR86" s="101">
        <v>0</v>
      </c>
      <c r="AS86" s="101">
        <v>0</v>
      </c>
      <c r="AT86" s="101">
        <v>1</v>
      </c>
      <c r="AU86" s="101">
        <v>0</v>
      </c>
      <c r="AV86" s="101">
        <v>0</v>
      </c>
      <c r="AW86" s="102">
        <v>0</v>
      </c>
      <c r="AX86" s="100" t="s">
        <v>391</v>
      </c>
      <c r="AY86" s="101">
        <v>4</v>
      </c>
      <c r="AZ86" s="101">
        <v>1</v>
      </c>
      <c r="BA86" s="101">
        <v>1</v>
      </c>
      <c r="BB86" s="101">
        <v>1</v>
      </c>
      <c r="BC86" s="101">
        <v>0</v>
      </c>
      <c r="BD86" s="101">
        <v>1</v>
      </c>
      <c r="BE86" s="101">
        <v>0</v>
      </c>
      <c r="BF86" s="101">
        <v>0</v>
      </c>
      <c r="BG86" s="102">
        <v>4</v>
      </c>
      <c r="BH86" s="100" t="s">
        <v>390</v>
      </c>
      <c r="BI86" s="101">
        <v>3</v>
      </c>
      <c r="BJ86" s="101">
        <v>0</v>
      </c>
      <c r="BK86" s="101">
        <v>1</v>
      </c>
      <c r="BL86" s="101">
        <v>0</v>
      </c>
      <c r="BM86" s="101">
        <v>1</v>
      </c>
      <c r="BN86" s="101">
        <v>0</v>
      </c>
      <c r="BO86" s="101">
        <v>0</v>
      </c>
      <c r="BP86" s="101">
        <v>0</v>
      </c>
      <c r="BQ86" s="102">
        <v>2</v>
      </c>
      <c r="BR86" s="100" t="s">
        <v>272</v>
      </c>
      <c r="BS86" s="101">
        <v>3</v>
      </c>
      <c r="BT86" s="101">
        <v>0</v>
      </c>
      <c r="BU86" s="101">
        <v>1</v>
      </c>
      <c r="BV86" s="101">
        <v>0</v>
      </c>
      <c r="BW86" s="101">
        <v>1</v>
      </c>
      <c r="BX86" s="101">
        <v>1</v>
      </c>
      <c r="BY86" s="101">
        <v>0</v>
      </c>
      <c r="BZ86" s="101">
        <v>0</v>
      </c>
      <c r="CA86" s="102">
        <v>1</v>
      </c>
      <c r="CB86" s="100" t="s">
        <v>386</v>
      </c>
      <c r="CC86" s="101">
        <v>2</v>
      </c>
      <c r="CD86" s="101">
        <v>0</v>
      </c>
      <c r="CE86" s="101">
        <v>0</v>
      </c>
      <c r="CF86" s="101">
        <v>0</v>
      </c>
      <c r="CG86" s="101">
        <v>2</v>
      </c>
      <c r="CH86" s="101">
        <v>0</v>
      </c>
      <c r="CI86" s="101">
        <v>0</v>
      </c>
      <c r="CJ86" s="101">
        <v>0</v>
      </c>
      <c r="CK86" s="102">
        <v>0</v>
      </c>
      <c r="CL86" s="100" t="s">
        <v>274</v>
      </c>
      <c r="CM86" s="101">
        <v>3</v>
      </c>
      <c r="CN86" s="101">
        <v>0</v>
      </c>
      <c r="CO86" s="101">
        <v>1</v>
      </c>
      <c r="CP86" s="101">
        <v>0</v>
      </c>
      <c r="CQ86" s="101">
        <v>1</v>
      </c>
      <c r="CR86" s="101">
        <v>1</v>
      </c>
      <c r="CS86" s="101">
        <v>0</v>
      </c>
      <c r="CT86" s="101">
        <v>0</v>
      </c>
      <c r="CU86" s="102">
        <v>1</v>
      </c>
      <c r="CV86" s="100" t="s">
        <v>271</v>
      </c>
      <c r="CW86" s="101">
        <v>4</v>
      </c>
      <c r="CX86" s="101">
        <v>1</v>
      </c>
      <c r="CY86" s="101">
        <v>1</v>
      </c>
      <c r="CZ86" s="101">
        <v>0</v>
      </c>
      <c r="DA86" s="101">
        <v>0</v>
      </c>
      <c r="DB86" s="101">
        <v>1</v>
      </c>
      <c r="DC86" s="101">
        <v>0</v>
      </c>
      <c r="DD86" s="101">
        <v>0</v>
      </c>
      <c r="DE86" s="102">
        <v>3</v>
      </c>
      <c r="DF86" s="100" t="s">
        <v>275</v>
      </c>
      <c r="DG86" s="101">
        <v>3</v>
      </c>
      <c r="DH86" s="101">
        <v>1</v>
      </c>
      <c r="DI86" s="101">
        <v>1</v>
      </c>
      <c r="DJ86" s="101">
        <v>1</v>
      </c>
      <c r="DK86" s="101">
        <v>0</v>
      </c>
      <c r="DL86" s="101">
        <v>0</v>
      </c>
      <c r="DM86" s="101">
        <v>0</v>
      </c>
      <c r="DN86" s="101">
        <v>0</v>
      </c>
      <c r="DO86" s="102">
        <v>1</v>
      </c>
      <c r="DP86" s="100" t="s">
        <v>384</v>
      </c>
      <c r="DQ86" s="101">
        <v>3</v>
      </c>
      <c r="DR86" s="101">
        <v>0</v>
      </c>
      <c r="DS86" s="101">
        <v>1</v>
      </c>
      <c r="DT86" s="101">
        <v>1</v>
      </c>
      <c r="DU86" s="101">
        <v>0</v>
      </c>
      <c r="DV86" s="101">
        <v>0</v>
      </c>
      <c r="DW86" s="101">
        <v>0</v>
      </c>
      <c r="DX86" s="101">
        <v>0</v>
      </c>
      <c r="DY86" s="102">
        <v>1</v>
      </c>
      <c r="DZ86" s="103">
        <f>6+1/3</f>
        <v>6.333333333333333</v>
      </c>
      <c r="EA86" s="104">
        <v>1</v>
      </c>
      <c r="EB86" s="104">
        <v>0</v>
      </c>
      <c r="EC86" s="105">
        <f>1+2/3</f>
        <v>1.6666666666666665</v>
      </c>
      <c r="ED86" s="104">
        <v>0</v>
      </c>
      <c r="EE86" s="106">
        <v>0</v>
      </c>
      <c r="EF86" s="107">
        <v>0</v>
      </c>
      <c r="EG86" s="104">
        <v>0</v>
      </c>
      <c r="EH86" s="104">
        <v>1</v>
      </c>
      <c r="EI86" s="104">
        <v>0</v>
      </c>
      <c r="EJ86" s="104">
        <v>1</v>
      </c>
      <c r="EK86" s="104">
        <v>0</v>
      </c>
      <c r="EL86" s="104">
        <v>0</v>
      </c>
      <c r="EM86" s="104">
        <v>1</v>
      </c>
      <c r="EN86" s="104"/>
      <c r="EO86" s="104"/>
      <c r="EP86" s="104"/>
      <c r="EQ86" s="104"/>
      <c r="ER86" s="104"/>
      <c r="ES86" s="106">
        <f t="shared" si="48"/>
        <v>3</v>
      </c>
      <c r="ET86" s="104">
        <v>0</v>
      </c>
      <c r="EU86" s="104">
        <v>0</v>
      </c>
      <c r="EV86" s="104">
        <v>0</v>
      </c>
      <c r="EW86" s="104">
        <v>1</v>
      </c>
      <c r="EX86" s="104">
        <v>0</v>
      </c>
      <c r="EY86" s="104">
        <v>0</v>
      </c>
      <c r="EZ86" s="104">
        <v>0</v>
      </c>
      <c r="FA86" s="104">
        <v>0</v>
      </c>
      <c r="FB86" s="104">
        <v>1</v>
      </c>
      <c r="FC86" s="104"/>
      <c r="FD86" s="104"/>
      <c r="FE86" s="104"/>
      <c r="FF86" s="104"/>
      <c r="FG86" s="104">
        <f t="shared" si="49"/>
        <v>2</v>
      </c>
      <c r="FH86" s="108">
        <v>29</v>
      </c>
      <c r="FI86" s="108">
        <v>3</v>
      </c>
      <c r="FJ86" s="108">
        <v>7</v>
      </c>
      <c r="FK86" s="108">
        <v>3</v>
      </c>
      <c r="FL86" s="108">
        <v>5</v>
      </c>
      <c r="FM86" s="108">
        <v>5</v>
      </c>
      <c r="FN86" s="108">
        <f t="shared" si="74"/>
        <v>0</v>
      </c>
      <c r="FO86" s="108">
        <f t="shared" si="75"/>
        <v>0</v>
      </c>
      <c r="FP86" s="108">
        <f t="shared" si="52"/>
        <v>0</v>
      </c>
      <c r="FQ86" s="108">
        <f t="shared" si="53"/>
        <v>0</v>
      </c>
      <c r="FR86" s="108">
        <f t="shared" si="54"/>
        <v>0</v>
      </c>
      <c r="FS86" s="108">
        <f t="shared" si="55"/>
        <v>0</v>
      </c>
      <c r="FT86" s="108">
        <f t="shared" si="56"/>
        <v>0</v>
      </c>
      <c r="FU86" s="108">
        <f t="shared" si="57"/>
        <v>0</v>
      </c>
      <c r="FV86" s="108">
        <f t="shared" si="58"/>
        <v>0</v>
      </c>
      <c r="FW86" s="108">
        <f t="shared" si="59"/>
        <v>0</v>
      </c>
      <c r="FX86" s="108">
        <f t="shared" si="60"/>
        <v>1</v>
      </c>
      <c r="FY86" s="108">
        <f t="shared" si="61"/>
        <v>-1</v>
      </c>
      <c r="FZ86" s="108">
        <f t="shared" si="62"/>
        <v>1</v>
      </c>
      <c r="GA86" s="108">
        <f t="shared" si="63"/>
        <v>0</v>
      </c>
      <c r="GB86" s="108">
        <f t="shared" si="64"/>
        <v>0</v>
      </c>
      <c r="GC86" s="108">
        <f t="shared" si="65"/>
        <v>1</v>
      </c>
      <c r="GD86" s="108">
        <f t="shared" si="66"/>
        <v>-1</v>
      </c>
      <c r="GE86" s="108">
        <f t="shared" si="67"/>
        <v>0</v>
      </c>
      <c r="GF86" s="108">
        <f t="shared" si="68"/>
        <v>0</v>
      </c>
      <c r="GG86" s="108">
        <f t="shared" si="69"/>
        <v>0</v>
      </c>
      <c r="GH86" s="108">
        <f t="shared" si="70"/>
        <v>0</v>
      </c>
      <c r="GI86" s="108">
        <f t="shared" si="71"/>
        <v>1</v>
      </c>
      <c r="GJ86" s="109"/>
      <c r="GK86" s="367"/>
      <c r="GL86" s="376"/>
      <c r="GM86" s="376"/>
      <c r="GP86" s="52"/>
    </row>
    <row r="87" spans="1:198" x14ac:dyDescent="0.25">
      <c r="A87" s="110">
        <v>40366</v>
      </c>
      <c r="B87" s="110" t="s">
        <v>19</v>
      </c>
      <c r="C87" s="110" t="s">
        <v>129</v>
      </c>
      <c r="D87" s="110" t="s">
        <v>134</v>
      </c>
      <c r="E87" s="111">
        <v>24356</v>
      </c>
      <c r="F87" s="95"/>
      <c r="G87" s="93">
        <v>4</v>
      </c>
      <c r="H87" s="94" t="s">
        <v>394</v>
      </c>
      <c r="I87" s="95">
        <v>1</v>
      </c>
      <c r="J87" s="95">
        <v>0</v>
      </c>
      <c r="K87" s="96">
        <f>7+2/3</f>
        <v>7.666666666666667</v>
      </c>
      <c r="L87" s="95">
        <v>8</v>
      </c>
      <c r="M87" s="95">
        <v>2</v>
      </c>
      <c r="N87" s="95">
        <v>2</v>
      </c>
      <c r="O87" s="95">
        <v>1</v>
      </c>
      <c r="P87" s="95">
        <v>10</v>
      </c>
      <c r="Q87" s="95">
        <v>1</v>
      </c>
      <c r="R87" s="95">
        <v>0</v>
      </c>
      <c r="S87" s="95">
        <v>32</v>
      </c>
      <c r="T87" s="95">
        <v>111</v>
      </c>
      <c r="U87" s="95">
        <v>83</v>
      </c>
      <c r="V87" s="95">
        <v>1</v>
      </c>
      <c r="W87" s="97">
        <v>0</v>
      </c>
      <c r="X87" s="95">
        <v>0</v>
      </c>
      <c r="Y87" s="95">
        <v>0</v>
      </c>
      <c r="Z87" s="95">
        <v>0</v>
      </c>
      <c r="AA87" s="95">
        <v>1</v>
      </c>
      <c r="AB87" s="95">
        <v>0</v>
      </c>
      <c r="AC87" s="96">
        <f>1+1/3</f>
        <v>1.3333333333333333</v>
      </c>
      <c r="AD87" s="95">
        <v>3</v>
      </c>
      <c r="AE87" s="95">
        <v>2</v>
      </c>
      <c r="AF87" s="95">
        <v>2</v>
      </c>
      <c r="AG87" s="95">
        <v>1</v>
      </c>
      <c r="AH87" s="95">
        <v>1</v>
      </c>
      <c r="AI87" s="95">
        <v>0</v>
      </c>
      <c r="AJ87" s="95">
        <v>0</v>
      </c>
      <c r="AK87" s="95">
        <v>8</v>
      </c>
      <c r="AL87" s="95">
        <v>40</v>
      </c>
      <c r="AM87" s="95">
        <v>22</v>
      </c>
      <c r="AN87" s="100" t="s">
        <v>389</v>
      </c>
      <c r="AO87" s="101">
        <v>2</v>
      </c>
      <c r="AP87" s="101">
        <v>2</v>
      </c>
      <c r="AQ87" s="101">
        <v>0</v>
      </c>
      <c r="AR87" s="101">
        <v>0</v>
      </c>
      <c r="AS87" s="101">
        <v>2</v>
      </c>
      <c r="AT87" s="101">
        <v>1</v>
      </c>
      <c r="AU87" s="101">
        <v>0</v>
      </c>
      <c r="AV87" s="101">
        <v>0</v>
      </c>
      <c r="AW87" s="102">
        <v>0</v>
      </c>
      <c r="AX87" s="100" t="s">
        <v>391</v>
      </c>
      <c r="AY87" s="101">
        <v>4</v>
      </c>
      <c r="AZ87" s="101">
        <v>0</v>
      </c>
      <c r="BA87" s="101">
        <v>1</v>
      </c>
      <c r="BB87" s="101">
        <v>1</v>
      </c>
      <c r="BC87" s="101">
        <v>0</v>
      </c>
      <c r="BD87" s="101">
        <v>0</v>
      </c>
      <c r="BE87" s="101">
        <v>0</v>
      </c>
      <c r="BF87" s="101">
        <v>0</v>
      </c>
      <c r="BG87" s="102">
        <v>1</v>
      </c>
      <c r="BH87" s="100" t="s">
        <v>390</v>
      </c>
      <c r="BI87" s="101">
        <v>3</v>
      </c>
      <c r="BJ87" s="101">
        <v>2</v>
      </c>
      <c r="BK87" s="101">
        <v>1</v>
      </c>
      <c r="BL87" s="101">
        <v>1</v>
      </c>
      <c r="BM87" s="101">
        <v>1</v>
      </c>
      <c r="BN87" s="101">
        <v>0</v>
      </c>
      <c r="BO87" s="101">
        <v>0</v>
      </c>
      <c r="BP87" s="101">
        <v>0</v>
      </c>
      <c r="BQ87" s="102">
        <v>4</v>
      </c>
      <c r="BR87" s="100" t="s">
        <v>274</v>
      </c>
      <c r="BS87" s="101">
        <v>3</v>
      </c>
      <c r="BT87" s="101">
        <v>1</v>
      </c>
      <c r="BU87" s="101">
        <v>1</v>
      </c>
      <c r="BV87" s="101">
        <v>1</v>
      </c>
      <c r="BW87" s="101">
        <v>1</v>
      </c>
      <c r="BX87" s="101">
        <v>1</v>
      </c>
      <c r="BY87" s="101">
        <v>0</v>
      </c>
      <c r="BZ87" s="101">
        <v>0</v>
      </c>
      <c r="CA87" s="102">
        <v>1</v>
      </c>
      <c r="CB87" s="100" t="s">
        <v>271</v>
      </c>
      <c r="CC87" s="101">
        <v>4</v>
      </c>
      <c r="CD87" s="101">
        <v>0</v>
      </c>
      <c r="CE87" s="101">
        <v>1</v>
      </c>
      <c r="CF87" s="101">
        <v>1</v>
      </c>
      <c r="CG87" s="101">
        <v>0</v>
      </c>
      <c r="CH87" s="101">
        <v>0</v>
      </c>
      <c r="CI87" s="101">
        <v>0</v>
      </c>
      <c r="CJ87" s="101">
        <v>0</v>
      </c>
      <c r="CK87" s="102">
        <v>1</v>
      </c>
      <c r="CL87" s="100" t="s">
        <v>387</v>
      </c>
      <c r="CM87" s="101">
        <v>3</v>
      </c>
      <c r="CN87" s="101">
        <v>0</v>
      </c>
      <c r="CO87" s="101">
        <v>0</v>
      </c>
      <c r="CP87" s="101">
        <v>0</v>
      </c>
      <c r="CQ87" s="101">
        <v>1</v>
      </c>
      <c r="CR87" s="101">
        <v>1</v>
      </c>
      <c r="CS87" s="101">
        <v>0</v>
      </c>
      <c r="CT87" s="101">
        <v>0</v>
      </c>
      <c r="CU87" s="102">
        <v>0</v>
      </c>
      <c r="CV87" s="100" t="s">
        <v>273</v>
      </c>
      <c r="CW87" s="101">
        <v>4</v>
      </c>
      <c r="CX87" s="101">
        <v>0</v>
      </c>
      <c r="CY87" s="101">
        <v>1</v>
      </c>
      <c r="CZ87" s="101">
        <v>1</v>
      </c>
      <c r="DA87" s="101">
        <v>0</v>
      </c>
      <c r="DB87" s="101">
        <v>1</v>
      </c>
      <c r="DC87" s="101">
        <v>0</v>
      </c>
      <c r="DD87" s="101">
        <v>0</v>
      </c>
      <c r="DE87" s="102">
        <v>1</v>
      </c>
      <c r="DF87" s="100" t="s">
        <v>385</v>
      </c>
      <c r="DG87" s="101">
        <v>4</v>
      </c>
      <c r="DH87" s="101">
        <v>0</v>
      </c>
      <c r="DI87" s="101">
        <v>0</v>
      </c>
      <c r="DJ87" s="101">
        <v>0</v>
      </c>
      <c r="DK87" s="101">
        <v>0</v>
      </c>
      <c r="DL87" s="101">
        <v>0</v>
      </c>
      <c r="DM87" s="101">
        <v>0</v>
      </c>
      <c r="DN87" s="101">
        <v>0</v>
      </c>
      <c r="DO87" s="102">
        <v>0</v>
      </c>
      <c r="DP87" s="100" t="s">
        <v>388</v>
      </c>
      <c r="DQ87" s="101">
        <v>3</v>
      </c>
      <c r="DR87" s="101">
        <v>1</v>
      </c>
      <c r="DS87" s="101">
        <v>0</v>
      </c>
      <c r="DT87" s="101">
        <v>0</v>
      </c>
      <c r="DU87" s="101">
        <v>1</v>
      </c>
      <c r="DV87" s="101">
        <v>1</v>
      </c>
      <c r="DW87" s="101">
        <v>0</v>
      </c>
      <c r="DX87" s="101">
        <v>0</v>
      </c>
      <c r="DY87" s="102">
        <v>0</v>
      </c>
      <c r="DZ87" s="103">
        <v>0</v>
      </c>
      <c r="EA87" s="104">
        <v>1</v>
      </c>
      <c r="EB87" s="104">
        <v>0</v>
      </c>
      <c r="EC87" s="105">
        <v>8</v>
      </c>
      <c r="ED87" s="104">
        <v>2</v>
      </c>
      <c r="EE87" s="106">
        <v>0</v>
      </c>
      <c r="EF87" s="107">
        <v>0</v>
      </c>
      <c r="EG87" s="104">
        <v>0</v>
      </c>
      <c r="EH87" s="104">
        <v>0</v>
      </c>
      <c r="EI87" s="104">
        <v>2</v>
      </c>
      <c r="EJ87" s="104">
        <v>3</v>
      </c>
      <c r="EK87" s="104">
        <v>1</v>
      </c>
      <c r="EL87" s="104">
        <v>0</v>
      </c>
      <c r="EM87" s="104">
        <v>0</v>
      </c>
      <c r="EN87" s="104"/>
      <c r="EO87" s="104"/>
      <c r="EP87" s="104"/>
      <c r="EQ87" s="104"/>
      <c r="ER87" s="104"/>
      <c r="ES87" s="106">
        <f t="shared" si="48"/>
        <v>6</v>
      </c>
      <c r="ET87" s="104">
        <v>0</v>
      </c>
      <c r="EU87" s="104">
        <v>0</v>
      </c>
      <c r="EV87" s="104">
        <v>0</v>
      </c>
      <c r="EW87" s="104">
        <v>0</v>
      </c>
      <c r="EX87" s="104">
        <v>0</v>
      </c>
      <c r="EY87" s="104">
        <v>1</v>
      </c>
      <c r="EZ87" s="104">
        <v>1</v>
      </c>
      <c r="FA87" s="104">
        <v>0</v>
      </c>
      <c r="FB87" s="104">
        <v>2</v>
      </c>
      <c r="FC87" s="104"/>
      <c r="FD87" s="104"/>
      <c r="FE87" s="104"/>
      <c r="FF87" s="104"/>
      <c r="FG87" s="104">
        <f t="shared" si="49"/>
        <v>4</v>
      </c>
      <c r="FH87" s="108">
        <v>30</v>
      </c>
      <c r="FI87" s="108">
        <v>6</v>
      </c>
      <c r="FJ87" s="108">
        <v>5</v>
      </c>
      <c r="FK87" s="108">
        <v>5</v>
      </c>
      <c r="FL87" s="108">
        <v>6</v>
      </c>
      <c r="FM87" s="108">
        <v>5</v>
      </c>
      <c r="FN87" s="108">
        <f t="shared" si="74"/>
        <v>0</v>
      </c>
      <c r="FO87" s="108">
        <f t="shared" si="75"/>
        <v>0</v>
      </c>
      <c r="FP87" s="108">
        <f t="shared" si="52"/>
        <v>0</v>
      </c>
      <c r="FQ87" s="108">
        <f t="shared" si="53"/>
        <v>0</v>
      </c>
      <c r="FR87" s="108">
        <f t="shared" si="54"/>
        <v>0</v>
      </c>
      <c r="FS87" s="108">
        <f t="shared" si="55"/>
        <v>0</v>
      </c>
      <c r="FT87" s="108">
        <f t="shared" si="56"/>
        <v>0</v>
      </c>
      <c r="FU87" s="108">
        <f t="shared" si="57"/>
        <v>0</v>
      </c>
      <c r="FV87" s="108">
        <f t="shared" si="58"/>
        <v>0</v>
      </c>
      <c r="FW87" s="108">
        <f t="shared" si="59"/>
        <v>0</v>
      </c>
      <c r="FX87" s="108">
        <f t="shared" si="60"/>
        <v>0</v>
      </c>
      <c r="FY87" s="108">
        <f t="shared" si="61"/>
        <v>2</v>
      </c>
      <c r="FZ87" s="108">
        <f t="shared" si="62"/>
        <v>3</v>
      </c>
      <c r="GA87" s="108">
        <f t="shared" si="63"/>
        <v>0</v>
      </c>
      <c r="GB87" s="108">
        <f t="shared" si="64"/>
        <v>-1</v>
      </c>
      <c r="GC87" s="108">
        <f t="shared" si="65"/>
        <v>0</v>
      </c>
      <c r="GD87" s="108">
        <f t="shared" si="66"/>
        <v>-2</v>
      </c>
      <c r="GE87" s="108">
        <f t="shared" si="67"/>
        <v>0</v>
      </c>
      <c r="GF87" s="108">
        <f t="shared" si="68"/>
        <v>0</v>
      </c>
      <c r="GG87" s="108">
        <f t="shared" si="69"/>
        <v>0</v>
      </c>
      <c r="GH87" s="108">
        <f t="shared" si="70"/>
        <v>0</v>
      </c>
      <c r="GI87" s="108">
        <f t="shared" si="71"/>
        <v>2</v>
      </c>
      <c r="GJ87" s="109"/>
      <c r="GK87" s="367"/>
      <c r="GL87" s="376"/>
      <c r="GM87" s="376"/>
      <c r="GP87" s="52"/>
    </row>
    <row r="88" spans="1:198" x14ac:dyDescent="0.25">
      <c r="A88" s="110">
        <v>40367</v>
      </c>
      <c r="B88" s="110" t="s">
        <v>19</v>
      </c>
      <c r="C88" s="110" t="s">
        <v>129</v>
      </c>
      <c r="D88" s="110" t="s">
        <v>141</v>
      </c>
      <c r="E88" s="111">
        <v>16892</v>
      </c>
      <c r="F88" s="95"/>
      <c r="G88" s="93">
        <v>5</v>
      </c>
      <c r="H88" s="94" t="s">
        <v>393</v>
      </c>
      <c r="I88" s="95">
        <v>1</v>
      </c>
      <c r="J88" s="95">
        <v>0</v>
      </c>
      <c r="K88" s="96">
        <v>7</v>
      </c>
      <c r="L88" s="95">
        <v>4</v>
      </c>
      <c r="M88" s="95">
        <v>2</v>
      </c>
      <c r="N88" s="95">
        <v>2</v>
      </c>
      <c r="O88" s="95">
        <v>4</v>
      </c>
      <c r="P88" s="95">
        <v>4</v>
      </c>
      <c r="Q88" s="95">
        <v>2</v>
      </c>
      <c r="R88" s="95">
        <v>0</v>
      </c>
      <c r="S88" s="95">
        <v>29</v>
      </c>
      <c r="T88" s="95">
        <v>112</v>
      </c>
      <c r="U88" s="95">
        <v>63</v>
      </c>
      <c r="V88" s="95">
        <v>0</v>
      </c>
      <c r="W88" s="97">
        <v>0</v>
      </c>
      <c r="X88" s="95">
        <v>0</v>
      </c>
      <c r="Y88" s="95">
        <v>0</v>
      </c>
      <c r="Z88" s="95">
        <v>1</v>
      </c>
      <c r="AA88" s="95">
        <v>1</v>
      </c>
      <c r="AB88" s="95">
        <v>0</v>
      </c>
      <c r="AC88" s="96">
        <v>2</v>
      </c>
      <c r="AD88" s="95">
        <v>3</v>
      </c>
      <c r="AE88" s="95">
        <v>0</v>
      </c>
      <c r="AF88" s="95">
        <v>0</v>
      </c>
      <c r="AG88" s="95">
        <v>0</v>
      </c>
      <c r="AH88" s="95">
        <v>2</v>
      </c>
      <c r="AI88" s="95">
        <v>0</v>
      </c>
      <c r="AJ88" s="95">
        <v>0</v>
      </c>
      <c r="AK88" s="95">
        <v>9</v>
      </c>
      <c r="AL88" s="95">
        <v>26</v>
      </c>
      <c r="AM88" s="95">
        <v>19</v>
      </c>
      <c r="AN88" s="100" t="s">
        <v>389</v>
      </c>
      <c r="AO88" s="101">
        <v>3</v>
      </c>
      <c r="AP88" s="101">
        <v>2</v>
      </c>
      <c r="AQ88" s="101">
        <v>2</v>
      </c>
      <c r="AR88" s="101">
        <v>0</v>
      </c>
      <c r="AS88" s="101">
        <v>0</v>
      </c>
      <c r="AT88" s="101">
        <v>0</v>
      </c>
      <c r="AU88" s="101">
        <v>0</v>
      </c>
      <c r="AV88" s="101">
        <v>0</v>
      </c>
      <c r="AW88" s="102">
        <v>3</v>
      </c>
      <c r="AX88" s="100" t="s">
        <v>391</v>
      </c>
      <c r="AY88" s="101">
        <v>4</v>
      </c>
      <c r="AZ88" s="101">
        <v>2</v>
      </c>
      <c r="BA88" s="101">
        <v>2</v>
      </c>
      <c r="BB88" s="101">
        <v>4</v>
      </c>
      <c r="BC88" s="101">
        <v>0</v>
      </c>
      <c r="BD88" s="101">
        <v>1</v>
      </c>
      <c r="BE88" s="101">
        <v>0</v>
      </c>
      <c r="BF88" s="101">
        <v>0</v>
      </c>
      <c r="BG88" s="102">
        <v>8</v>
      </c>
      <c r="BH88" s="100" t="s">
        <v>390</v>
      </c>
      <c r="BI88" s="101">
        <v>3</v>
      </c>
      <c r="BJ88" s="101">
        <v>0</v>
      </c>
      <c r="BK88" s="101">
        <v>1</v>
      </c>
      <c r="BL88" s="101">
        <v>0</v>
      </c>
      <c r="BM88" s="101">
        <v>1</v>
      </c>
      <c r="BN88" s="101">
        <v>0</v>
      </c>
      <c r="BO88" s="101">
        <v>0</v>
      </c>
      <c r="BP88" s="101">
        <v>0</v>
      </c>
      <c r="BQ88" s="102">
        <v>1</v>
      </c>
      <c r="BR88" s="100" t="s">
        <v>274</v>
      </c>
      <c r="BS88" s="101">
        <v>4</v>
      </c>
      <c r="BT88" s="101">
        <v>1</v>
      </c>
      <c r="BU88" s="101">
        <v>1</v>
      </c>
      <c r="BV88" s="101">
        <v>1</v>
      </c>
      <c r="BW88" s="101">
        <v>0</v>
      </c>
      <c r="BX88" s="101">
        <v>1</v>
      </c>
      <c r="BY88" s="101">
        <v>0</v>
      </c>
      <c r="BZ88" s="101">
        <v>0</v>
      </c>
      <c r="CA88" s="102">
        <v>4</v>
      </c>
      <c r="CB88" s="100" t="s">
        <v>271</v>
      </c>
      <c r="CC88" s="101">
        <v>4</v>
      </c>
      <c r="CD88" s="101">
        <v>0</v>
      </c>
      <c r="CE88" s="101">
        <v>0</v>
      </c>
      <c r="CF88" s="101">
        <v>0</v>
      </c>
      <c r="CG88" s="101">
        <v>0</v>
      </c>
      <c r="CH88" s="101">
        <v>3</v>
      </c>
      <c r="CI88" s="101">
        <v>0</v>
      </c>
      <c r="CJ88" s="101">
        <v>0</v>
      </c>
      <c r="CK88" s="102">
        <v>0</v>
      </c>
      <c r="CL88" s="100" t="s">
        <v>387</v>
      </c>
      <c r="CM88" s="101">
        <v>4</v>
      </c>
      <c r="CN88" s="101">
        <v>0</v>
      </c>
      <c r="CO88" s="101">
        <v>1</v>
      </c>
      <c r="CP88" s="101">
        <v>0</v>
      </c>
      <c r="CQ88" s="101">
        <v>0</v>
      </c>
      <c r="CR88" s="101">
        <v>1</v>
      </c>
      <c r="CS88" s="101">
        <v>0</v>
      </c>
      <c r="CT88" s="101">
        <v>0</v>
      </c>
      <c r="CU88" s="102">
        <v>2</v>
      </c>
      <c r="CV88" s="100" t="s">
        <v>273</v>
      </c>
      <c r="CW88" s="101">
        <v>3</v>
      </c>
      <c r="CX88" s="101">
        <v>0</v>
      </c>
      <c r="CY88" s="101">
        <v>1</v>
      </c>
      <c r="CZ88" s="101">
        <v>0</v>
      </c>
      <c r="DA88" s="101">
        <v>1</v>
      </c>
      <c r="DB88" s="101">
        <v>2</v>
      </c>
      <c r="DC88" s="101">
        <v>0</v>
      </c>
      <c r="DD88" s="101">
        <v>0</v>
      </c>
      <c r="DE88" s="102">
        <v>1</v>
      </c>
      <c r="DF88" s="100" t="s">
        <v>275</v>
      </c>
      <c r="DG88" s="101">
        <v>4</v>
      </c>
      <c r="DH88" s="101">
        <v>0</v>
      </c>
      <c r="DI88" s="101">
        <v>1</v>
      </c>
      <c r="DJ88" s="101">
        <v>0</v>
      </c>
      <c r="DK88" s="101">
        <v>0</v>
      </c>
      <c r="DL88" s="101">
        <v>0</v>
      </c>
      <c r="DM88" s="101">
        <v>0</v>
      </c>
      <c r="DN88" s="101">
        <v>0</v>
      </c>
      <c r="DO88" s="102">
        <v>1</v>
      </c>
      <c r="DP88" s="100" t="s">
        <v>384</v>
      </c>
      <c r="DQ88" s="101">
        <v>2</v>
      </c>
      <c r="DR88" s="101">
        <v>0</v>
      </c>
      <c r="DS88" s="101">
        <v>0</v>
      </c>
      <c r="DT88" s="101">
        <v>0</v>
      </c>
      <c r="DU88" s="101">
        <v>1</v>
      </c>
      <c r="DV88" s="101">
        <v>0</v>
      </c>
      <c r="DW88" s="101">
        <v>0</v>
      </c>
      <c r="DX88" s="101">
        <v>0</v>
      </c>
      <c r="DY88" s="102">
        <v>0</v>
      </c>
      <c r="DZ88" s="103">
        <v>1</v>
      </c>
      <c r="EA88" s="104">
        <v>0</v>
      </c>
      <c r="EB88" s="104">
        <v>0</v>
      </c>
      <c r="EC88" s="105">
        <v>7</v>
      </c>
      <c r="ED88" s="104">
        <v>1</v>
      </c>
      <c r="EE88" s="106">
        <v>0</v>
      </c>
      <c r="EF88" s="107">
        <v>2</v>
      </c>
      <c r="EG88" s="104">
        <v>0</v>
      </c>
      <c r="EH88" s="104">
        <v>3</v>
      </c>
      <c r="EI88" s="104">
        <v>0</v>
      </c>
      <c r="EJ88" s="104">
        <v>0</v>
      </c>
      <c r="EK88" s="104">
        <v>0</v>
      </c>
      <c r="EL88" s="104">
        <v>0</v>
      </c>
      <c r="EM88" s="104">
        <v>0</v>
      </c>
      <c r="EN88" s="104"/>
      <c r="EO88" s="104"/>
      <c r="EP88" s="104"/>
      <c r="EQ88" s="104"/>
      <c r="ER88" s="104"/>
      <c r="ES88" s="106">
        <f t="shared" si="48"/>
        <v>5</v>
      </c>
      <c r="ET88" s="104">
        <v>1</v>
      </c>
      <c r="EU88" s="104">
        <v>1</v>
      </c>
      <c r="EV88" s="104">
        <v>0</v>
      </c>
      <c r="EW88" s="104">
        <v>0</v>
      </c>
      <c r="EX88" s="104">
        <v>0</v>
      </c>
      <c r="EY88" s="104">
        <v>0</v>
      </c>
      <c r="EZ88" s="104">
        <v>0</v>
      </c>
      <c r="FA88" s="104">
        <v>0</v>
      </c>
      <c r="FB88" s="104">
        <v>0</v>
      </c>
      <c r="FC88" s="104"/>
      <c r="FD88" s="104"/>
      <c r="FE88" s="104"/>
      <c r="FF88" s="104"/>
      <c r="FG88" s="104">
        <f t="shared" si="49"/>
        <v>2</v>
      </c>
      <c r="FH88" s="108">
        <v>31</v>
      </c>
      <c r="FI88" s="108">
        <v>5</v>
      </c>
      <c r="FJ88" s="108">
        <v>9</v>
      </c>
      <c r="FK88" s="108">
        <v>5</v>
      </c>
      <c r="FL88" s="108">
        <v>3</v>
      </c>
      <c r="FM88" s="108">
        <v>8</v>
      </c>
      <c r="FN88" s="108">
        <f t="shared" si="74"/>
        <v>0</v>
      </c>
      <c r="FO88" s="108">
        <f t="shared" si="75"/>
        <v>0</v>
      </c>
      <c r="FP88" s="108">
        <f t="shared" si="52"/>
        <v>0</v>
      </c>
      <c r="FQ88" s="108">
        <f t="shared" si="53"/>
        <v>0</v>
      </c>
      <c r="FR88" s="108">
        <f t="shared" si="54"/>
        <v>0</v>
      </c>
      <c r="FS88" s="108">
        <f t="shared" si="55"/>
        <v>0</v>
      </c>
      <c r="FT88" s="108">
        <f t="shared" si="56"/>
        <v>0</v>
      </c>
      <c r="FU88" s="108">
        <f t="shared" si="57"/>
        <v>0</v>
      </c>
      <c r="FV88" s="108">
        <f t="shared" si="58"/>
        <v>1</v>
      </c>
      <c r="FW88" s="108">
        <f t="shared" si="59"/>
        <v>-1</v>
      </c>
      <c r="FX88" s="108">
        <f t="shared" si="60"/>
        <v>3</v>
      </c>
      <c r="FY88" s="108">
        <f t="shared" si="61"/>
        <v>0</v>
      </c>
      <c r="FZ88" s="108">
        <f t="shared" si="62"/>
        <v>0</v>
      </c>
      <c r="GA88" s="108">
        <f t="shared" si="63"/>
        <v>0</v>
      </c>
      <c r="GB88" s="108">
        <f t="shared" si="64"/>
        <v>0</v>
      </c>
      <c r="GC88" s="108">
        <f t="shared" si="65"/>
        <v>0</v>
      </c>
      <c r="GD88" s="108">
        <f t="shared" si="66"/>
        <v>0</v>
      </c>
      <c r="GE88" s="108">
        <f t="shared" si="67"/>
        <v>0</v>
      </c>
      <c r="GF88" s="108">
        <f t="shared" si="68"/>
        <v>0</v>
      </c>
      <c r="GG88" s="108">
        <f t="shared" si="69"/>
        <v>0</v>
      </c>
      <c r="GH88" s="108">
        <f t="shared" si="70"/>
        <v>0</v>
      </c>
      <c r="GI88" s="108">
        <f t="shared" si="71"/>
        <v>3</v>
      </c>
      <c r="GJ88" s="109"/>
      <c r="GK88" s="367"/>
      <c r="GL88" s="376"/>
      <c r="GM88" s="376"/>
      <c r="GP88" s="52"/>
    </row>
    <row r="89" spans="1:198" x14ac:dyDescent="0.25">
      <c r="A89" s="110">
        <v>40368</v>
      </c>
      <c r="B89" s="110" t="s">
        <v>19</v>
      </c>
      <c r="C89" s="110" t="s">
        <v>131</v>
      </c>
      <c r="D89" s="110" t="s">
        <v>141</v>
      </c>
      <c r="E89" s="111">
        <v>23166</v>
      </c>
      <c r="F89" s="95"/>
      <c r="G89" s="93">
        <v>1</v>
      </c>
      <c r="H89" s="94" t="s">
        <v>392</v>
      </c>
      <c r="I89" s="95">
        <v>0</v>
      </c>
      <c r="J89" s="95">
        <v>1</v>
      </c>
      <c r="K89" s="96">
        <f>6+1/3</f>
        <v>6.333333333333333</v>
      </c>
      <c r="L89" s="95">
        <v>6</v>
      </c>
      <c r="M89" s="95">
        <v>4</v>
      </c>
      <c r="N89" s="95">
        <v>4</v>
      </c>
      <c r="O89" s="95">
        <v>1</v>
      </c>
      <c r="P89" s="95">
        <v>9</v>
      </c>
      <c r="Q89" s="95">
        <v>2</v>
      </c>
      <c r="R89" s="95">
        <v>1</v>
      </c>
      <c r="S89" s="95">
        <v>27</v>
      </c>
      <c r="T89" s="95">
        <v>106</v>
      </c>
      <c r="U89" s="95">
        <v>69</v>
      </c>
      <c r="V89" s="95">
        <v>0</v>
      </c>
      <c r="W89" s="97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6">
        <f>2+2/3</f>
        <v>2.6666666666666665</v>
      </c>
      <c r="AD89" s="95">
        <v>7</v>
      </c>
      <c r="AE89" s="95">
        <v>5</v>
      </c>
      <c r="AF89" s="95">
        <v>5</v>
      </c>
      <c r="AG89" s="95">
        <v>1</v>
      </c>
      <c r="AH89" s="95">
        <v>2</v>
      </c>
      <c r="AI89" s="95">
        <v>1</v>
      </c>
      <c r="AJ89" s="95">
        <v>0</v>
      </c>
      <c r="AK89" s="95">
        <v>16</v>
      </c>
      <c r="AL89" s="95">
        <v>58</v>
      </c>
      <c r="AM89" s="95">
        <v>35</v>
      </c>
      <c r="AN89" s="100" t="s">
        <v>389</v>
      </c>
      <c r="AO89" s="101">
        <v>5</v>
      </c>
      <c r="AP89" s="101">
        <v>0</v>
      </c>
      <c r="AQ89" s="101">
        <v>0</v>
      </c>
      <c r="AR89" s="101">
        <v>0</v>
      </c>
      <c r="AS89" s="101">
        <v>0</v>
      </c>
      <c r="AT89" s="101">
        <v>2</v>
      </c>
      <c r="AU89" s="101">
        <v>0</v>
      </c>
      <c r="AV89" s="101">
        <v>0</v>
      </c>
      <c r="AW89" s="102">
        <v>0</v>
      </c>
      <c r="AX89" s="100" t="s">
        <v>391</v>
      </c>
      <c r="AY89" s="101">
        <v>4</v>
      </c>
      <c r="AZ89" s="101">
        <v>1</v>
      </c>
      <c r="BA89" s="101">
        <v>1</v>
      </c>
      <c r="BB89" s="101">
        <v>0</v>
      </c>
      <c r="BC89" s="101">
        <v>1</v>
      </c>
      <c r="BD89" s="101">
        <v>1</v>
      </c>
      <c r="BE89" s="101">
        <v>0</v>
      </c>
      <c r="BF89" s="101">
        <v>0</v>
      </c>
      <c r="BG89" s="102">
        <v>2</v>
      </c>
      <c r="BH89" s="100" t="s">
        <v>390</v>
      </c>
      <c r="BI89" s="101">
        <v>2</v>
      </c>
      <c r="BJ89" s="101">
        <v>1</v>
      </c>
      <c r="BK89" s="101">
        <v>0</v>
      </c>
      <c r="BL89" s="101">
        <v>0</v>
      </c>
      <c r="BM89" s="101">
        <v>3</v>
      </c>
      <c r="BN89" s="101">
        <v>0</v>
      </c>
      <c r="BO89" s="101">
        <v>0</v>
      </c>
      <c r="BP89" s="101">
        <v>0</v>
      </c>
      <c r="BQ89" s="102">
        <v>0</v>
      </c>
      <c r="BR89" s="100" t="s">
        <v>274</v>
      </c>
      <c r="BS89" s="101">
        <v>4</v>
      </c>
      <c r="BT89" s="101">
        <v>1</v>
      </c>
      <c r="BU89" s="101">
        <v>2</v>
      </c>
      <c r="BV89" s="101">
        <v>2</v>
      </c>
      <c r="BW89" s="101">
        <v>1</v>
      </c>
      <c r="BX89" s="101">
        <v>0</v>
      </c>
      <c r="BY89" s="101">
        <v>0</v>
      </c>
      <c r="BZ89" s="101">
        <v>0</v>
      </c>
      <c r="CA89" s="102">
        <v>4</v>
      </c>
      <c r="CB89" s="100" t="s">
        <v>387</v>
      </c>
      <c r="CC89" s="101">
        <v>4</v>
      </c>
      <c r="CD89" s="101">
        <v>0</v>
      </c>
      <c r="CE89" s="101">
        <v>0</v>
      </c>
      <c r="CF89" s="101">
        <v>1</v>
      </c>
      <c r="CG89" s="101">
        <v>1</v>
      </c>
      <c r="CH89" s="101">
        <v>1</v>
      </c>
      <c r="CI89" s="101">
        <v>0</v>
      </c>
      <c r="CJ89" s="101">
        <v>0</v>
      </c>
      <c r="CK89" s="102">
        <v>0</v>
      </c>
      <c r="CL89" s="100" t="s">
        <v>275</v>
      </c>
      <c r="CM89" s="101">
        <v>3</v>
      </c>
      <c r="CN89" s="101">
        <v>0</v>
      </c>
      <c r="CO89" s="101">
        <v>1</v>
      </c>
      <c r="CP89" s="101">
        <v>0</v>
      </c>
      <c r="CQ89" s="101">
        <v>1</v>
      </c>
      <c r="CR89" s="101">
        <v>1</v>
      </c>
      <c r="CS89" s="101">
        <v>0</v>
      </c>
      <c r="CT89" s="101">
        <v>0</v>
      </c>
      <c r="CU89" s="102">
        <v>1</v>
      </c>
      <c r="CV89" s="100" t="s">
        <v>273</v>
      </c>
      <c r="CW89" s="101">
        <v>4</v>
      </c>
      <c r="CX89" s="101">
        <v>0</v>
      </c>
      <c r="CY89" s="101">
        <v>2</v>
      </c>
      <c r="CZ89" s="101">
        <v>0</v>
      </c>
      <c r="DA89" s="101">
        <v>0</v>
      </c>
      <c r="DB89" s="101">
        <v>0</v>
      </c>
      <c r="DC89" s="101">
        <v>0</v>
      </c>
      <c r="DD89" s="101">
        <v>0</v>
      </c>
      <c r="DE89" s="102">
        <v>3</v>
      </c>
      <c r="DF89" s="100" t="s">
        <v>385</v>
      </c>
      <c r="DG89" s="101">
        <v>3</v>
      </c>
      <c r="DH89" s="101">
        <v>0</v>
      </c>
      <c r="DI89" s="101">
        <v>0</v>
      </c>
      <c r="DJ89" s="101">
        <v>0</v>
      </c>
      <c r="DK89" s="101">
        <v>1</v>
      </c>
      <c r="DL89" s="101">
        <v>1</v>
      </c>
      <c r="DM89" s="101">
        <v>0</v>
      </c>
      <c r="DN89" s="101">
        <v>0</v>
      </c>
      <c r="DO89" s="102">
        <v>0</v>
      </c>
      <c r="DP89" s="100" t="s">
        <v>271</v>
      </c>
      <c r="DQ89" s="101">
        <v>3</v>
      </c>
      <c r="DR89" s="101">
        <v>0</v>
      </c>
      <c r="DS89" s="101">
        <v>0</v>
      </c>
      <c r="DT89" s="101">
        <v>0</v>
      </c>
      <c r="DU89" s="101">
        <v>0</v>
      </c>
      <c r="DV89" s="101">
        <v>0</v>
      </c>
      <c r="DW89" s="101">
        <v>1</v>
      </c>
      <c r="DX89" s="101">
        <v>0</v>
      </c>
      <c r="DY89" s="102">
        <v>0</v>
      </c>
      <c r="DZ89" s="103">
        <v>0</v>
      </c>
      <c r="EA89" s="104">
        <v>0</v>
      </c>
      <c r="EB89" s="104">
        <v>0</v>
      </c>
      <c r="EC89" s="105">
        <v>9</v>
      </c>
      <c r="ED89" s="104">
        <v>2</v>
      </c>
      <c r="EE89" s="106">
        <v>0</v>
      </c>
      <c r="EF89" s="107">
        <v>0</v>
      </c>
      <c r="EG89" s="104">
        <v>0</v>
      </c>
      <c r="EH89" s="104">
        <v>1</v>
      </c>
      <c r="EI89" s="104">
        <v>0</v>
      </c>
      <c r="EJ89" s="104">
        <v>0</v>
      </c>
      <c r="EK89" s="104">
        <v>0</v>
      </c>
      <c r="EL89" s="104">
        <v>1</v>
      </c>
      <c r="EM89" s="104">
        <v>0</v>
      </c>
      <c r="EN89" s="104">
        <v>1</v>
      </c>
      <c r="EO89" s="104"/>
      <c r="EP89" s="104"/>
      <c r="EQ89" s="104"/>
      <c r="ER89" s="104"/>
      <c r="ES89" s="106">
        <f t="shared" si="48"/>
        <v>3</v>
      </c>
      <c r="ET89" s="104">
        <v>0</v>
      </c>
      <c r="EU89" s="104">
        <v>2</v>
      </c>
      <c r="EV89" s="104">
        <v>0</v>
      </c>
      <c r="EW89" s="104">
        <v>0</v>
      </c>
      <c r="EX89" s="104">
        <v>1</v>
      </c>
      <c r="EY89" s="104">
        <v>0</v>
      </c>
      <c r="EZ89" s="104">
        <v>1</v>
      </c>
      <c r="FA89" s="104">
        <v>4</v>
      </c>
      <c r="FB89" s="104">
        <v>1</v>
      </c>
      <c r="FC89" s="104"/>
      <c r="FD89" s="104"/>
      <c r="FE89" s="104"/>
      <c r="FF89" s="104"/>
      <c r="FG89" s="104">
        <f t="shared" si="49"/>
        <v>9</v>
      </c>
      <c r="FH89" s="108">
        <v>32</v>
      </c>
      <c r="FI89" s="108">
        <v>3</v>
      </c>
      <c r="FJ89" s="108">
        <v>6</v>
      </c>
      <c r="FK89" s="108">
        <v>3</v>
      </c>
      <c r="FL89" s="108">
        <v>8</v>
      </c>
      <c r="FM89" s="108">
        <v>6</v>
      </c>
      <c r="FN89" s="108">
        <f t="shared" si="74"/>
        <v>0</v>
      </c>
      <c r="FO89" s="108">
        <f t="shared" si="75"/>
        <v>0</v>
      </c>
      <c r="FP89" s="108">
        <f t="shared" si="52"/>
        <v>0</v>
      </c>
      <c r="FQ89" s="108">
        <f t="shared" si="53"/>
        <v>0</v>
      </c>
      <c r="FR89" s="108">
        <f t="shared" si="54"/>
        <v>0</v>
      </c>
      <c r="FS89" s="108">
        <f t="shared" si="55"/>
        <v>0</v>
      </c>
      <c r="FT89" s="108">
        <f t="shared" si="56"/>
        <v>0</v>
      </c>
      <c r="FU89" s="108">
        <f t="shared" si="57"/>
        <v>0</v>
      </c>
      <c r="FV89" s="108">
        <f t="shared" si="58"/>
        <v>0</v>
      </c>
      <c r="FW89" s="108">
        <f t="shared" si="59"/>
        <v>-2</v>
      </c>
      <c r="FX89" s="108">
        <f t="shared" si="60"/>
        <v>1</v>
      </c>
      <c r="FY89" s="108">
        <f t="shared" si="61"/>
        <v>0</v>
      </c>
      <c r="FZ89" s="108">
        <f t="shared" si="62"/>
        <v>-1</v>
      </c>
      <c r="GA89" s="108">
        <f t="shared" si="63"/>
        <v>0</v>
      </c>
      <c r="GB89" s="108">
        <f t="shared" si="64"/>
        <v>0</v>
      </c>
      <c r="GC89" s="108">
        <f t="shared" si="65"/>
        <v>-4</v>
      </c>
      <c r="GD89" s="108">
        <f t="shared" si="66"/>
        <v>0</v>
      </c>
      <c r="GE89" s="108">
        <f t="shared" si="67"/>
        <v>0</v>
      </c>
      <c r="GF89" s="108">
        <f t="shared" si="68"/>
        <v>0</v>
      </c>
      <c r="GG89" s="108">
        <f t="shared" si="69"/>
        <v>0</v>
      </c>
      <c r="GH89" s="108">
        <f t="shared" si="70"/>
        <v>0</v>
      </c>
      <c r="GI89" s="108">
        <f t="shared" si="71"/>
        <v>-6</v>
      </c>
      <c r="GJ89" s="109"/>
      <c r="GK89" s="367"/>
      <c r="GL89" s="376"/>
      <c r="GM89" s="376"/>
      <c r="GP89" s="52"/>
    </row>
    <row r="90" spans="1:198" x14ac:dyDescent="0.25">
      <c r="A90" s="110">
        <v>40369</v>
      </c>
      <c r="B90" s="110" t="s">
        <v>19</v>
      </c>
      <c r="C90" s="110" t="s">
        <v>129</v>
      </c>
      <c r="D90" s="110" t="s">
        <v>141</v>
      </c>
      <c r="E90" s="111">
        <v>20091</v>
      </c>
      <c r="F90" s="95"/>
      <c r="G90" s="93">
        <v>2</v>
      </c>
      <c r="H90" s="94" t="s">
        <v>396</v>
      </c>
      <c r="I90" s="95">
        <v>1</v>
      </c>
      <c r="J90" s="95">
        <v>0</v>
      </c>
      <c r="K90" s="96">
        <v>6</v>
      </c>
      <c r="L90" s="95">
        <v>1</v>
      </c>
      <c r="M90" s="95">
        <v>0</v>
      </c>
      <c r="N90" s="95">
        <v>0</v>
      </c>
      <c r="O90" s="95">
        <v>1</v>
      </c>
      <c r="P90" s="95">
        <v>2</v>
      </c>
      <c r="Q90" s="95">
        <v>0</v>
      </c>
      <c r="R90" s="95">
        <v>1</v>
      </c>
      <c r="S90" s="95">
        <v>21</v>
      </c>
      <c r="T90" s="95">
        <v>88</v>
      </c>
      <c r="U90" s="95">
        <v>64</v>
      </c>
      <c r="V90" s="95">
        <v>0</v>
      </c>
      <c r="W90" s="97">
        <v>0</v>
      </c>
      <c r="X90" s="95">
        <v>0</v>
      </c>
      <c r="Y90" s="95">
        <v>0</v>
      </c>
      <c r="Z90" s="95">
        <v>2</v>
      </c>
      <c r="AA90" s="95">
        <v>0</v>
      </c>
      <c r="AB90" s="95">
        <v>0</v>
      </c>
      <c r="AC90" s="96">
        <v>3</v>
      </c>
      <c r="AD90" s="95">
        <v>2</v>
      </c>
      <c r="AE90" s="95">
        <v>0</v>
      </c>
      <c r="AF90" s="95">
        <v>0</v>
      </c>
      <c r="AG90" s="95">
        <v>2</v>
      </c>
      <c r="AH90" s="95">
        <v>1</v>
      </c>
      <c r="AI90" s="95">
        <v>0</v>
      </c>
      <c r="AJ90" s="95">
        <v>0</v>
      </c>
      <c r="AK90" s="95">
        <v>12</v>
      </c>
      <c r="AL90" s="95">
        <v>57</v>
      </c>
      <c r="AM90" s="95">
        <v>34</v>
      </c>
      <c r="AN90" s="100" t="s">
        <v>273</v>
      </c>
      <c r="AO90" s="101">
        <v>4</v>
      </c>
      <c r="AP90" s="101">
        <v>0</v>
      </c>
      <c r="AQ90" s="101">
        <v>1</v>
      </c>
      <c r="AR90" s="101">
        <v>0</v>
      </c>
      <c r="AS90" s="101">
        <v>1</v>
      </c>
      <c r="AT90" s="101">
        <v>0</v>
      </c>
      <c r="AU90" s="101">
        <v>0</v>
      </c>
      <c r="AV90" s="101">
        <v>0</v>
      </c>
      <c r="AW90" s="102">
        <v>1</v>
      </c>
      <c r="AX90" s="100" t="s">
        <v>391</v>
      </c>
      <c r="AY90" s="101">
        <v>3</v>
      </c>
      <c r="AZ90" s="101">
        <v>0</v>
      </c>
      <c r="BA90" s="101">
        <v>1</v>
      </c>
      <c r="BB90" s="101">
        <v>0</v>
      </c>
      <c r="BC90" s="101">
        <v>0</v>
      </c>
      <c r="BD90" s="101">
        <v>1</v>
      </c>
      <c r="BE90" s="101">
        <v>0</v>
      </c>
      <c r="BF90" s="101">
        <v>0</v>
      </c>
      <c r="BG90" s="102">
        <v>1</v>
      </c>
      <c r="BH90" s="100" t="s">
        <v>390</v>
      </c>
      <c r="BI90" s="101">
        <v>4</v>
      </c>
      <c r="BJ90" s="101">
        <v>1</v>
      </c>
      <c r="BK90" s="101">
        <v>1</v>
      </c>
      <c r="BL90" s="101">
        <v>0</v>
      </c>
      <c r="BM90" s="101">
        <v>0</v>
      </c>
      <c r="BN90" s="101">
        <v>0</v>
      </c>
      <c r="BO90" s="101">
        <v>0</v>
      </c>
      <c r="BP90" s="101">
        <v>0</v>
      </c>
      <c r="BQ90" s="102">
        <v>2</v>
      </c>
      <c r="BR90" s="100" t="s">
        <v>272</v>
      </c>
      <c r="BS90" s="101">
        <v>3</v>
      </c>
      <c r="BT90" s="101">
        <v>0</v>
      </c>
      <c r="BU90" s="101">
        <v>1</v>
      </c>
      <c r="BV90" s="101">
        <v>1</v>
      </c>
      <c r="BW90" s="101">
        <v>1</v>
      </c>
      <c r="BX90" s="101">
        <v>0</v>
      </c>
      <c r="BY90" s="101">
        <v>0</v>
      </c>
      <c r="BZ90" s="101">
        <v>0</v>
      </c>
      <c r="CA90" s="102">
        <v>1</v>
      </c>
      <c r="CB90" s="100" t="s">
        <v>388</v>
      </c>
      <c r="CC90" s="101">
        <v>4</v>
      </c>
      <c r="CD90" s="101">
        <v>0</v>
      </c>
      <c r="CE90" s="101">
        <v>0</v>
      </c>
      <c r="CF90" s="101">
        <v>0</v>
      </c>
      <c r="CG90" s="101">
        <v>0</v>
      </c>
      <c r="CH90" s="101">
        <v>1</v>
      </c>
      <c r="CI90" s="101">
        <v>0</v>
      </c>
      <c r="CJ90" s="101">
        <v>0</v>
      </c>
      <c r="CK90" s="102">
        <v>0</v>
      </c>
      <c r="CL90" s="100" t="s">
        <v>389</v>
      </c>
      <c r="CM90" s="101">
        <v>1</v>
      </c>
      <c r="CN90" s="101">
        <v>2</v>
      </c>
      <c r="CO90" s="101">
        <v>0</v>
      </c>
      <c r="CP90" s="101">
        <v>0</v>
      </c>
      <c r="CQ90" s="101">
        <v>3</v>
      </c>
      <c r="CR90" s="101">
        <v>0</v>
      </c>
      <c r="CS90" s="101">
        <v>0</v>
      </c>
      <c r="CT90" s="101">
        <v>0</v>
      </c>
      <c r="CU90" s="102">
        <v>0</v>
      </c>
      <c r="CV90" s="100" t="s">
        <v>271</v>
      </c>
      <c r="CW90" s="101">
        <v>3</v>
      </c>
      <c r="CX90" s="101">
        <v>1</v>
      </c>
      <c r="CY90" s="101">
        <v>1</v>
      </c>
      <c r="CZ90" s="101">
        <v>0</v>
      </c>
      <c r="DA90" s="101">
        <v>0</v>
      </c>
      <c r="DB90" s="101">
        <v>1</v>
      </c>
      <c r="DC90" s="101">
        <v>1</v>
      </c>
      <c r="DD90" s="101">
        <v>0</v>
      </c>
      <c r="DE90" s="102">
        <v>2</v>
      </c>
      <c r="DF90" s="100" t="s">
        <v>386</v>
      </c>
      <c r="DG90" s="101">
        <v>4</v>
      </c>
      <c r="DH90" s="101">
        <v>0</v>
      </c>
      <c r="DI90" s="101">
        <v>1</v>
      </c>
      <c r="DJ90" s="101">
        <v>2</v>
      </c>
      <c r="DK90" s="101">
        <v>0</v>
      </c>
      <c r="DL90" s="101">
        <v>1</v>
      </c>
      <c r="DM90" s="101">
        <v>0</v>
      </c>
      <c r="DN90" s="101">
        <v>0</v>
      </c>
      <c r="DO90" s="102">
        <v>1</v>
      </c>
      <c r="DP90" s="100" t="s">
        <v>384</v>
      </c>
      <c r="DQ90" s="101">
        <v>4</v>
      </c>
      <c r="DR90" s="101">
        <v>0</v>
      </c>
      <c r="DS90" s="101">
        <v>2</v>
      </c>
      <c r="DT90" s="101">
        <v>1</v>
      </c>
      <c r="DU90" s="101">
        <v>0</v>
      </c>
      <c r="DV90" s="101">
        <v>0</v>
      </c>
      <c r="DW90" s="101">
        <v>0</v>
      </c>
      <c r="DX90" s="101">
        <v>0</v>
      </c>
      <c r="DY90" s="102">
        <v>3</v>
      </c>
      <c r="DZ90" s="103">
        <f>6+2/3</f>
        <v>6.666666666666667</v>
      </c>
      <c r="EA90" s="104">
        <v>1</v>
      </c>
      <c r="EB90" s="104">
        <v>0</v>
      </c>
      <c r="EC90" s="105">
        <f>1+1/3</f>
        <v>1.3333333333333333</v>
      </c>
      <c r="ED90" s="104">
        <v>0</v>
      </c>
      <c r="EE90" s="106">
        <v>0</v>
      </c>
      <c r="EF90" s="107">
        <v>0</v>
      </c>
      <c r="EG90" s="104">
        <v>0</v>
      </c>
      <c r="EH90" s="104">
        <v>0</v>
      </c>
      <c r="EI90" s="104">
        <v>2</v>
      </c>
      <c r="EJ90" s="104">
        <v>1</v>
      </c>
      <c r="EK90" s="104">
        <v>0</v>
      </c>
      <c r="EL90" s="104">
        <v>0</v>
      </c>
      <c r="EM90" s="104">
        <v>1</v>
      </c>
      <c r="EN90" s="104"/>
      <c r="EO90" s="104"/>
      <c r="EP90" s="104"/>
      <c r="EQ90" s="104"/>
      <c r="ER90" s="104"/>
      <c r="ES90" s="106">
        <f t="shared" si="48"/>
        <v>4</v>
      </c>
      <c r="ET90" s="104">
        <v>0</v>
      </c>
      <c r="EU90" s="104">
        <v>0</v>
      </c>
      <c r="EV90" s="104">
        <v>0</v>
      </c>
      <c r="EW90" s="104">
        <v>0</v>
      </c>
      <c r="EX90" s="104">
        <v>0</v>
      </c>
      <c r="EY90" s="104">
        <v>0</v>
      </c>
      <c r="EZ90" s="104">
        <v>0</v>
      </c>
      <c r="FA90" s="104">
        <v>0</v>
      </c>
      <c r="FB90" s="104">
        <v>0</v>
      </c>
      <c r="FC90" s="104"/>
      <c r="FD90" s="104"/>
      <c r="FE90" s="104"/>
      <c r="FF90" s="104"/>
      <c r="FG90" s="104">
        <f t="shared" si="49"/>
        <v>0</v>
      </c>
      <c r="FH90" s="108">
        <v>30</v>
      </c>
      <c r="FI90" s="108">
        <v>4</v>
      </c>
      <c r="FJ90" s="108">
        <v>8</v>
      </c>
      <c r="FK90" s="108">
        <v>4</v>
      </c>
      <c r="FL90" s="108">
        <v>5</v>
      </c>
      <c r="FM90" s="108">
        <v>4</v>
      </c>
      <c r="FN90" s="108">
        <f t="shared" ref="FN90:FN95" si="76">((SUM(M90,AE90))-(FG90))</f>
        <v>0</v>
      </c>
      <c r="FO90" s="108">
        <f t="shared" ref="FO90:FO95" si="77">((SUM(AP90,AZ90,BJ90,BT90,CD90,CN90,CX90,DH90,DR90))-(ES90))</f>
        <v>0</v>
      </c>
      <c r="FP90" s="108">
        <f t="shared" si="52"/>
        <v>0</v>
      </c>
      <c r="FQ90" s="108">
        <f t="shared" si="53"/>
        <v>0</v>
      </c>
      <c r="FR90" s="108">
        <f t="shared" si="54"/>
        <v>0</v>
      </c>
      <c r="FS90" s="108">
        <f t="shared" si="55"/>
        <v>0</v>
      </c>
      <c r="FT90" s="108">
        <f t="shared" si="56"/>
        <v>0</v>
      </c>
      <c r="FU90" s="108">
        <f t="shared" si="57"/>
        <v>0</v>
      </c>
      <c r="FV90" s="108">
        <f t="shared" si="58"/>
        <v>0</v>
      </c>
      <c r="FW90" s="108">
        <f t="shared" si="59"/>
        <v>0</v>
      </c>
      <c r="FX90" s="108">
        <f t="shared" si="60"/>
        <v>0</v>
      </c>
      <c r="FY90" s="108">
        <f t="shared" si="61"/>
        <v>2</v>
      </c>
      <c r="FZ90" s="108">
        <f t="shared" si="62"/>
        <v>1</v>
      </c>
      <c r="GA90" s="108">
        <f t="shared" si="63"/>
        <v>0</v>
      </c>
      <c r="GB90" s="108">
        <f t="shared" si="64"/>
        <v>0</v>
      </c>
      <c r="GC90" s="108">
        <f t="shared" si="65"/>
        <v>1</v>
      </c>
      <c r="GD90" s="108">
        <f t="shared" si="66"/>
        <v>0</v>
      </c>
      <c r="GE90" s="108">
        <f t="shared" si="67"/>
        <v>0</v>
      </c>
      <c r="GF90" s="108">
        <f t="shared" si="68"/>
        <v>0</v>
      </c>
      <c r="GG90" s="108">
        <f t="shared" si="69"/>
        <v>0</v>
      </c>
      <c r="GH90" s="108">
        <f t="shared" si="70"/>
        <v>0</v>
      </c>
      <c r="GI90" s="108">
        <f t="shared" si="71"/>
        <v>4</v>
      </c>
      <c r="GJ90" s="109"/>
      <c r="GK90" s="367"/>
      <c r="GL90" s="376"/>
      <c r="GM90" s="376"/>
      <c r="GP90" s="52"/>
    </row>
    <row r="91" spans="1:198" x14ac:dyDescent="0.25">
      <c r="A91" s="110">
        <v>40370</v>
      </c>
      <c r="B91" s="110" t="s">
        <v>19</v>
      </c>
      <c r="C91" s="110" t="s">
        <v>129</v>
      </c>
      <c r="D91" s="110" t="s">
        <v>141</v>
      </c>
      <c r="E91" s="111">
        <v>24687</v>
      </c>
      <c r="F91" s="95"/>
      <c r="G91" s="93">
        <v>3</v>
      </c>
      <c r="H91" s="94" t="s">
        <v>395</v>
      </c>
      <c r="I91" s="95">
        <v>0</v>
      </c>
      <c r="J91" s="95">
        <v>0</v>
      </c>
      <c r="K91" s="96">
        <v>5</v>
      </c>
      <c r="L91" s="95">
        <v>6</v>
      </c>
      <c r="M91" s="95">
        <v>3</v>
      </c>
      <c r="N91" s="95">
        <v>3</v>
      </c>
      <c r="O91" s="95">
        <v>0</v>
      </c>
      <c r="P91" s="95">
        <v>4</v>
      </c>
      <c r="Q91" s="95">
        <v>0</v>
      </c>
      <c r="R91" s="95">
        <v>1</v>
      </c>
      <c r="S91" s="95">
        <v>22</v>
      </c>
      <c r="T91" s="95">
        <v>70</v>
      </c>
      <c r="U91" s="95">
        <v>45</v>
      </c>
      <c r="V91" s="95">
        <v>0</v>
      </c>
      <c r="W91" s="97">
        <v>0</v>
      </c>
      <c r="X91" s="95">
        <v>1</v>
      </c>
      <c r="Y91" s="95">
        <v>0</v>
      </c>
      <c r="Z91" s="95">
        <v>0</v>
      </c>
      <c r="AA91" s="95">
        <v>0</v>
      </c>
      <c r="AB91" s="95">
        <v>1</v>
      </c>
      <c r="AC91" s="96">
        <v>5</v>
      </c>
      <c r="AD91" s="95">
        <v>4</v>
      </c>
      <c r="AE91" s="95">
        <v>2</v>
      </c>
      <c r="AF91" s="95">
        <v>2</v>
      </c>
      <c r="AG91" s="95">
        <v>1</v>
      </c>
      <c r="AH91" s="95">
        <v>5</v>
      </c>
      <c r="AI91" s="95">
        <v>0</v>
      </c>
      <c r="AJ91" s="95">
        <v>0</v>
      </c>
      <c r="AK91" s="95">
        <v>19</v>
      </c>
      <c r="AL91" s="95">
        <v>77</v>
      </c>
      <c r="AM91" s="95">
        <v>47</v>
      </c>
      <c r="AN91" s="100" t="s">
        <v>389</v>
      </c>
      <c r="AO91" s="101">
        <v>3</v>
      </c>
      <c r="AP91" s="101">
        <v>1</v>
      </c>
      <c r="AQ91" s="101">
        <v>1</v>
      </c>
      <c r="AR91" s="101">
        <v>0</v>
      </c>
      <c r="AS91" s="101">
        <v>3</v>
      </c>
      <c r="AT91" s="101">
        <v>0</v>
      </c>
      <c r="AU91" s="101">
        <v>0</v>
      </c>
      <c r="AV91" s="101">
        <v>0</v>
      </c>
      <c r="AW91" s="102">
        <v>1</v>
      </c>
      <c r="AX91" s="100" t="s">
        <v>391</v>
      </c>
      <c r="AY91" s="101">
        <v>5</v>
      </c>
      <c r="AZ91" s="101">
        <v>3</v>
      </c>
      <c r="BA91" s="101">
        <v>2</v>
      </c>
      <c r="BB91" s="101">
        <v>2</v>
      </c>
      <c r="BC91" s="101">
        <v>1</v>
      </c>
      <c r="BD91" s="101">
        <v>0</v>
      </c>
      <c r="BE91" s="101">
        <v>0</v>
      </c>
      <c r="BF91" s="101">
        <v>0</v>
      </c>
      <c r="BG91" s="102">
        <v>5</v>
      </c>
      <c r="BH91" s="100" t="s">
        <v>390</v>
      </c>
      <c r="BI91" s="101">
        <v>4</v>
      </c>
      <c r="BJ91" s="101">
        <v>1</v>
      </c>
      <c r="BK91" s="101">
        <v>3</v>
      </c>
      <c r="BL91" s="101">
        <v>0</v>
      </c>
      <c r="BM91" s="101">
        <v>2</v>
      </c>
      <c r="BN91" s="101">
        <v>1</v>
      </c>
      <c r="BO91" s="101">
        <v>0</v>
      </c>
      <c r="BP91" s="101">
        <v>0</v>
      </c>
      <c r="BQ91" s="102">
        <v>3</v>
      </c>
      <c r="BR91" s="100" t="s">
        <v>274</v>
      </c>
      <c r="BS91" s="101">
        <v>5</v>
      </c>
      <c r="BT91" s="101">
        <v>0</v>
      </c>
      <c r="BU91" s="101">
        <v>1</v>
      </c>
      <c r="BV91" s="101">
        <v>1</v>
      </c>
      <c r="BW91" s="101">
        <v>1</v>
      </c>
      <c r="BX91" s="101">
        <v>2</v>
      </c>
      <c r="BY91" s="101">
        <v>0</v>
      </c>
      <c r="BZ91" s="101">
        <v>0</v>
      </c>
      <c r="CA91" s="102">
        <v>1</v>
      </c>
      <c r="CB91" s="100" t="s">
        <v>387</v>
      </c>
      <c r="CC91" s="101">
        <v>3</v>
      </c>
      <c r="CD91" s="101">
        <v>0</v>
      </c>
      <c r="CE91" s="101">
        <v>1</v>
      </c>
      <c r="CF91" s="101">
        <v>0</v>
      </c>
      <c r="CG91" s="101">
        <v>2</v>
      </c>
      <c r="CH91" s="101">
        <v>0</v>
      </c>
      <c r="CI91" s="101">
        <v>0</v>
      </c>
      <c r="CJ91" s="101">
        <v>0</v>
      </c>
      <c r="CK91" s="102">
        <v>2</v>
      </c>
      <c r="CL91" s="100" t="s">
        <v>275</v>
      </c>
      <c r="CM91" s="101">
        <v>4</v>
      </c>
      <c r="CN91" s="101">
        <v>0</v>
      </c>
      <c r="CO91" s="101">
        <v>1</v>
      </c>
      <c r="CP91" s="101">
        <v>0</v>
      </c>
      <c r="CQ91" s="101">
        <v>1</v>
      </c>
      <c r="CR91" s="101">
        <v>0</v>
      </c>
      <c r="CS91" s="101">
        <v>0</v>
      </c>
      <c r="CT91" s="101">
        <v>0</v>
      </c>
      <c r="CU91" s="102">
        <v>1</v>
      </c>
      <c r="CV91" s="100" t="s">
        <v>273</v>
      </c>
      <c r="CW91" s="101">
        <v>4</v>
      </c>
      <c r="CX91" s="101">
        <v>1</v>
      </c>
      <c r="CY91" s="101">
        <v>1</v>
      </c>
      <c r="CZ91" s="101">
        <v>1</v>
      </c>
      <c r="DA91" s="101">
        <v>0</v>
      </c>
      <c r="DB91" s="101">
        <v>1</v>
      </c>
      <c r="DC91" s="101">
        <v>0</v>
      </c>
      <c r="DD91" s="101">
        <v>1</v>
      </c>
      <c r="DE91" s="102">
        <v>2</v>
      </c>
      <c r="DF91" s="100" t="s">
        <v>385</v>
      </c>
      <c r="DG91" s="101">
        <v>5</v>
      </c>
      <c r="DH91" s="101">
        <v>0</v>
      </c>
      <c r="DI91" s="101">
        <v>1</v>
      </c>
      <c r="DJ91" s="101">
        <v>1</v>
      </c>
      <c r="DK91" s="101">
        <v>0</v>
      </c>
      <c r="DL91" s="101">
        <v>1</v>
      </c>
      <c r="DM91" s="101">
        <v>0</v>
      </c>
      <c r="DN91" s="101">
        <v>0</v>
      </c>
      <c r="DO91" s="102">
        <v>1</v>
      </c>
      <c r="DP91" s="100" t="s">
        <v>271</v>
      </c>
      <c r="DQ91" s="101">
        <v>5</v>
      </c>
      <c r="DR91" s="101">
        <v>0</v>
      </c>
      <c r="DS91" s="101">
        <v>0</v>
      </c>
      <c r="DT91" s="101">
        <v>0</v>
      </c>
      <c r="DU91" s="101">
        <v>0</v>
      </c>
      <c r="DV91" s="101">
        <v>2</v>
      </c>
      <c r="DW91" s="101">
        <v>0</v>
      </c>
      <c r="DX91" s="101">
        <v>0</v>
      </c>
      <c r="DY91" s="102">
        <v>0</v>
      </c>
      <c r="DZ91" s="103">
        <f>1+2/3</f>
        <v>1.6666666666666665</v>
      </c>
      <c r="EA91" s="104">
        <v>1</v>
      </c>
      <c r="EB91" s="104">
        <v>0</v>
      </c>
      <c r="EC91" s="105">
        <f>7+2/3</f>
        <v>7.666666666666667</v>
      </c>
      <c r="ED91" s="104">
        <v>2</v>
      </c>
      <c r="EE91" s="106">
        <v>0</v>
      </c>
      <c r="EF91" s="107">
        <v>1</v>
      </c>
      <c r="EG91" s="104">
        <v>0</v>
      </c>
      <c r="EH91" s="104">
        <v>0</v>
      </c>
      <c r="EI91" s="104">
        <v>1</v>
      </c>
      <c r="EJ91" s="104">
        <v>3</v>
      </c>
      <c r="EK91" s="104">
        <v>0</v>
      </c>
      <c r="EL91" s="104">
        <v>0</v>
      </c>
      <c r="EM91" s="104">
        <v>0</v>
      </c>
      <c r="EN91" s="104">
        <v>0</v>
      </c>
      <c r="EO91" s="104">
        <v>1</v>
      </c>
      <c r="EP91" s="104"/>
      <c r="EQ91" s="104"/>
      <c r="ER91" s="104"/>
      <c r="ES91" s="106">
        <f t="shared" si="48"/>
        <v>6</v>
      </c>
      <c r="ET91" s="104">
        <v>3</v>
      </c>
      <c r="EU91" s="104">
        <v>0</v>
      </c>
      <c r="EV91" s="104">
        <v>0</v>
      </c>
      <c r="EW91" s="104">
        <v>0</v>
      </c>
      <c r="EX91" s="104">
        <v>0</v>
      </c>
      <c r="EY91" s="104">
        <v>2</v>
      </c>
      <c r="EZ91" s="104">
        <v>0</v>
      </c>
      <c r="FA91" s="104">
        <v>0</v>
      </c>
      <c r="FB91" s="104">
        <v>0</v>
      </c>
      <c r="FC91" s="104">
        <v>0</v>
      </c>
      <c r="FD91" s="104"/>
      <c r="FE91" s="104"/>
      <c r="FF91" s="104"/>
      <c r="FG91" s="104">
        <f t="shared" si="49"/>
        <v>5</v>
      </c>
      <c r="FH91" s="108">
        <v>38</v>
      </c>
      <c r="FI91" s="108">
        <v>6</v>
      </c>
      <c r="FJ91" s="108">
        <v>11</v>
      </c>
      <c r="FK91" s="108">
        <v>5</v>
      </c>
      <c r="FL91" s="108">
        <v>10</v>
      </c>
      <c r="FM91" s="108">
        <v>7</v>
      </c>
      <c r="FN91" s="108">
        <f t="shared" si="76"/>
        <v>0</v>
      </c>
      <c r="FO91" s="108">
        <f t="shared" si="77"/>
        <v>0</v>
      </c>
      <c r="FP91" s="108">
        <f t="shared" si="52"/>
        <v>0</v>
      </c>
      <c r="FQ91" s="108">
        <f t="shared" si="53"/>
        <v>0</v>
      </c>
      <c r="FR91" s="108">
        <f t="shared" si="54"/>
        <v>0</v>
      </c>
      <c r="FS91" s="108">
        <f t="shared" si="55"/>
        <v>0</v>
      </c>
      <c r="FT91" s="108">
        <f t="shared" si="56"/>
        <v>0</v>
      </c>
      <c r="FU91" s="108">
        <f t="shared" si="57"/>
        <v>0</v>
      </c>
      <c r="FV91" s="108">
        <f t="shared" si="58"/>
        <v>-2</v>
      </c>
      <c r="FW91" s="108">
        <f t="shared" si="59"/>
        <v>0</v>
      </c>
      <c r="FX91" s="108">
        <f t="shared" si="60"/>
        <v>0</v>
      </c>
      <c r="FY91" s="108">
        <f t="shared" si="61"/>
        <v>1</v>
      </c>
      <c r="FZ91" s="108">
        <f t="shared" si="62"/>
        <v>3</v>
      </c>
      <c r="GA91" s="108">
        <f t="shared" si="63"/>
        <v>-2</v>
      </c>
      <c r="GB91" s="108">
        <f t="shared" si="64"/>
        <v>0</v>
      </c>
      <c r="GC91" s="108">
        <f t="shared" si="65"/>
        <v>0</v>
      </c>
      <c r="GD91" s="108">
        <f t="shared" si="66"/>
        <v>0</v>
      </c>
      <c r="GE91" s="108">
        <f t="shared" si="67"/>
        <v>1</v>
      </c>
      <c r="GF91" s="108">
        <f t="shared" si="68"/>
        <v>0</v>
      </c>
      <c r="GG91" s="108">
        <f t="shared" si="69"/>
        <v>0</v>
      </c>
      <c r="GH91" s="108">
        <f t="shared" si="70"/>
        <v>0</v>
      </c>
      <c r="GI91" s="108">
        <f t="shared" si="71"/>
        <v>1</v>
      </c>
      <c r="GJ91" s="109"/>
      <c r="GK91" s="367"/>
      <c r="GL91" s="376"/>
      <c r="GM91" s="376"/>
      <c r="GP91" s="52"/>
    </row>
    <row r="92" spans="1:198" x14ac:dyDescent="0.25">
      <c r="A92" s="74">
        <v>40375</v>
      </c>
      <c r="B92" s="74" t="s">
        <v>133</v>
      </c>
      <c r="C92" s="74" t="s">
        <v>131</v>
      </c>
      <c r="D92" s="74" t="s">
        <v>132</v>
      </c>
      <c r="E92" s="4">
        <v>47524</v>
      </c>
      <c r="F92" s="6"/>
      <c r="G92" s="58">
        <v>1</v>
      </c>
      <c r="H92" s="59" t="s">
        <v>392</v>
      </c>
      <c r="I92" s="6">
        <v>0</v>
      </c>
      <c r="J92" s="6">
        <v>0</v>
      </c>
      <c r="K92" s="60">
        <v>6</v>
      </c>
      <c r="L92" s="6">
        <v>4</v>
      </c>
      <c r="M92" s="6">
        <v>3</v>
      </c>
      <c r="N92" s="6">
        <v>3</v>
      </c>
      <c r="O92" s="6">
        <v>3</v>
      </c>
      <c r="P92" s="6">
        <v>5</v>
      </c>
      <c r="Q92" s="6">
        <v>2</v>
      </c>
      <c r="R92" s="6">
        <v>0</v>
      </c>
      <c r="S92" s="6">
        <v>25</v>
      </c>
      <c r="T92" s="6">
        <v>96</v>
      </c>
      <c r="U92" s="6">
        <v>54</v>
      </c>
      <c r="V92" s="6">
        <v>0</v>
      </c>
      <c r="W92" s="61">
        <v>0</v>
      </c>
      <c r="X92" s="6">
        <v>0</v>
      </c>
      <c r="Y92" s="6">
        <v>1</v>
      </c>
      <c r="Z92" s="6">
        <v>1</v>
      </c>
      <c r="AA92" s="6">
        <v>0</v>
      </c>
      <c r="AB92" s="6">
        <v>1</v>
      </c>
      <c r="AC92" s="60">
        <f>2+2/3</f>
        <v>2.6666666666666665</v>
      </c>
      <c r="AD92" s="6">
        <v>3</v>
      </c>
      <c r="AE92" s="6">
        <v>2</v>
      </c>
      <c r="AF92" s="6">
        <v>2</v>
      </c>
      <c r="AG92" s="6">
        <v>2</v>
      </c>
      <c r="AH92" s="6">
        <v>3</v>
      </c>
      <c r="AI92" s="6">
        <v>1</v>
      </c>
      <c r="AJ92" s="6">
        <v>0</v>
      </c>
      <c r="AK92" s="6">
        <v>13</v>
      </c>
      <c r="AL92" s="6">
        <v>66</v>
      </c>
      <c r="AM92" s="6">
        <v>38</v>
      </c>
      <c r="AN92" s="1" t="s">
        <v>273</v>
      </c>
      <c r="AO92" s="78">
        <v>4</v>
      </c>
      <c r="AP92" s="78">
        <v>1</v>
      </c>
      <c r="AQ92" s="78">
        <v>2</v>
      </c>
      <c r="AR92" s="78">
        <v>0</v>
      </c>
      <c r="AS92" s="78">
        <v>1</v>
      </c>
      <c r="AT92" s="78">
        <v>2</v>
      </c>
      <c r="AU92" s="78">
        <v>0</v>
      </c>
      <c r="AV92" s="78">
        <v>0</v>
      </c>
      <c r="AW92" s="76">
        <v>2</v>
      </c>
      <c r="AX92" s="1" t="s">
        <v>391</v>
      </c>
      <c r="AY92" s="78">
        <v>5</v>
      </c>
      <c r="AZ92" s="78">
        <v>0</v>
      </c>
      <c r="BA92" s="78">
        <v>2</v>
      </c>
      <c r="BB92" s="78">
        <v>0</v>
      </c>
      <c r="BC92" s="78">
        <v>0</v>
      </c>
      <c r="BD92" s="78">
        <v>0</v>
      </c>
      <c r="BE92" s="78">
        <v>0</v>
      </c>
      <c r="BF92" s="78">
        <v>0</v>
      </c>
      <c r="BG92" s="76">
        <v>2</v>
      </c>
      <c r="BH92" s="1" t="s">
        <v>390</v>
      </c>
      <c r="BI92" s="78">
        <v>4</v>
      </c>
      <c r="BJ92" s="78">
        <v>0</v>
      </c>
      <c r="BK92" s="78">
        <v>1</v>
      </c>
      <c r="BL92" s="78">
        <v>1</v>
      </c>
      <c r="BM92" s="78">
        <v>1</v>
      </c>
      <c r="BN92" s="78">
        <v>1</v>
      </c>
      <c r="BO92" s="78">
        <v>0</v>
      </c>
      <c r="BP92" s="78">
        <v>0</v>
      </c>
      <c r="BQ92" s="76">
        <v>2</v>
      </c>
      <c r="BR92" s="1" t="s">
        <v>274</v>
      </c>
      <c r="BS92" s="78">
        <v>3</v>
      </c>
      <c r="BT92" s="78">
        <v>0</v>
      </c>
      <c r="BU92" s="78">
        <v>0</v>
      </c>
      <c r="BV92" s="78">
        <v>0</v>
      </c>
      <c r="BW92" s="78">
        <v>1</v>
      </c>
      <c r="BX92" s="78">
        <v>3</v>
      </c>
      <c r="BY92" s="78">
        <v>0</v>
      </c>
      <c r="BZ92" s="78">
        <v>0</v>
      </c>
      <c r="CA92" s="76">
        <v>0</v>
      </c>
      <c r="CB92" s="1" t="s">
        <v>389</v>
      </c>
      <c r="CC92" s="78">
        <v>4</v>
      </c>
      <c r="CD92" s="78">
        <v>1</v>
      </c>
      <c r="CE92" s="78">
        <v>1</v>
      </c>
      <c r="CF92" s="78">
        <v>1</v>
      </c>
      <c r="CG92" s="78">
        <v>0</v>
      </c>
      <c r="CH92" s="78">
        <v>1</v>
      </c>
      <c r="CI92" s="78">
        <v>0</v>
      </c>
      <c r="CJ92" s="78">
        <v>0</v>
      </c>
      <c r="CK92" s="76">
        <v>1</v>
      </c>
      <c r="CL92" s="1" t="s">
        <v>388</v>
      </c>
      <c r="CM92" s="78">
        <v>4</v>
      </c>
      <c r="CN92" s="78">
        <v>0</v>
      </c>
      <c r="CO92" s="78">
        <v>1</v>
      </c>
      <c r="CP92" s="78">
        <v>0</v>
      </c>
      <c r="CQ92" s="78">
        <v>0</v>
      </c>
      <c r="CR92" s="78">
        <v>0</v>
      </c>
      <c r="CS92" s="78">
        <v>0</v>
      </c>
      <c r="CT92" s="78">
        <v>0</v>
      </c>
      <c r="CU92" s="76">
        <v>1</v>
      </c>
      <c r="CV92" s="1" t="s">
        <v>272</v>
      </c>
      <c r="CW92" s="78">
        <v>1</v>
      </c>
      <c r="CX92" s="78">
        <v>0</v>
      </c>
      <c r="CY92" s="78">
        <v>0</v>
      </c>
      <c r="CZ92" s="78">
        <v>1</v>
      </c>
      <c r="DA92" s="78">
        <v>1</v>
      </c>
      <c r="DB92" s="78">
        <v>1</v>
      </c>
      <c r="DC92" s="78">
        <v>0</v>
      </c>
      <c r="DD92" s="78">
        <v>1</v>
      </c>
      <c r="DE92" s="76">
        <v>0</v>
      </c>
      <c r="DF92" s="1" t="s">
        <v>386</v>
      </c>
      <c r="DG92" s="78">
        <v>4</v>
      </c>
      <c r="DH92" s="78">
        <v>0</v>
      </c>
      <c r="DI92" s="78">
        <v>0</v>
      </c>
      <c r="DJ92" s="78">
        <v>0</v>
      </c>
      <c r="DK92" s="78">
        <v>0</v>
      </c>
      <c r="DL92" s="78">
        <v>1</v>
      </c>
      <c r="DM92" s="78">
        <v>0</v>
      </c>
      <c r="DN92" s="78">
        <v>0</v>
      </c>
      <c r="DO92" s="76">
        <v>0</v>
      </c>
      <c r="DP92" s="1" t="s">
        <v>384</v>
      </c>
      <c r="DQ92" s="78">
        <v>4</v>
      </c>
      <c r="DR92" s="78">
        <v>2</v>
      </c>
      <c r="DS92" s="78">
        <v>2</v>
      </c>
      <c r="DT92" s="78">
        <v>0</v>
      </c>
      <c r="DU92" s="78">
        <v>0</v>
      </c>
      <c r="DV92" s="78">
        <v>1</v>
      </c>
      <c r="DW92" s="78">
        <v>0</v>
      </c>
      <c r="DX92" s="78">
        <v>0</v>
      </c>
      <c r="DY92" s="76">
        <v>2</v>
      </c>
      <c r="DZ92" s="77">
        <v>7</v>
      </c>
      <c r="EA92" s="43">
        <v>0</v>
      </c>
      <c r="EB92" s="43">
        <v>0</v>
      </c>
      <c r="EC92" s="45">
        <v>2</v>
      </c>
      <c r="ED92" s="43">
        <v>0</v>
      </c>
      <c r="EE92" s="44">
        <v>0</v>
      </c>
      <c r="EF92" s="71">
        <v>0</v>
      </c>
      <c r="EG92" s="43">
        <v>1</v>
      </c>
      <c r="EH92" s="43">
        <v>1</v>
      </c>
      <c r="EI92" s="43">
        <v>0</v>
      </c>
      <c r="EJ92" s="43">
        <v>1</v>
      </c>
      <c r="EK92" s="43">
        <v>0</v>
      </c>
      <c r="EL92" s="43">
        <v>1</v>
      </c>
      <c r="EM92" s="43">
        <v>0</v>
      </c>
      <c r="EN92" s="43">
        <v>0</v>
      </c>
      <c r="EO92" s="43"/>
      <c r="EP92" s="43"/>
      <c r="EQ92" s="43"/>
      <c r="ER92" s="43"/>
      <c r="ES92" s="44">
        <f t="shared" si="48"/>
        <v>4</v>
      </c>
      <c r="ET92" s="43">
        <v>0</v>
      </c>
      <c r="EU92" s="43">
        <v>0</v>
      </c>
      <c r="EV92" s="43">
        <v>1</v>
      </c>
      <c r="EW92" s="43">
        <v>0</v>
      </c>
      <c r="EX92" s="43">
        <v>0</v>
      </c>
      <c r="EY92" s="43">
        <v>2</v>
      </c>
      <c r="EZ92" s="43">
        <v>0</v>
      </c>
      <c r="FA92" s="43">
        <v>1</v>
      </c>
      <c r="FB92" s="43">
        <v>1</v>
      </c>
      <c r="FC92" s="43"/>
      <c r="FD92" s="43"/>
      <c r="FE92" s="43"/>
      <c r="FF92" s="43"/>
      <c r="FG92" s="43">
        <f t="shared" si="49"/>
        <v>5</v>
      </c>
      <c r="FH92" s="73">
        <v>33</v>
      </c>
      <c r="FI92" s="73">
        <v>4</v>
      </c>
      <c r="FJ92" s="73">
        <v>9</v>
      </c>
      <c r="FK92" s="73">
        <v>3</v>
      </c>
      <c r="FL92" s="73">
        <v>4</v>
      </c>
      <c r="FM92" s="73">
        <v>10</v>
      </c>
      <c r="FN92" s="73">
        <f t="shared" si="76"/>
        <v>0</v>
      </c>
      <c r="FO92" s="73">
        <f t="shared" si="77"/>
        <v>0</v>
      </c>
      <c r="FP92" s="73">
        <f t="shared" si="52"/>
        <v>0</v>
      </c>
      <c r="FQ92" s="73">
        <f t="shared" si="53"/>
        <v>0</v>
      </c>
      <c r="FR92" s="73">
        <f t="shared" si="54"/>
        <v>0</v>
      </c>
      <c r="FS92" s="73">
        <f t="shared" si="55"/>
        <v>0</v>
      </c>
      <c r="FT92" s="73">
        <f t="shared" si="56"/>
        <v>0</v>
      </c>
      <c r="FU92" s="73">
        <f t="shared" si="57"/>
        <v>0</v>
      </c>
      <c r="FV92" s="73">
        <f t="shared" si="58"/>
        <v>0</v>
      </c>
      <c r="FW92" s="73">
        <f t="shared" si="59"/>
        <v>1</v>
      </c>
      <c r="FX92" s="73">
        <f t="shared" si="60"/>
        <v>0</v>
      </c>
      <c r="FY92" s="73">
        <f t="shared" si="61"/>
        <v>0</v>
      </c>
      <c r="FZ92" s="73">
        <f t="shared" si="62"/>
        <v>1</v>
      </c>
      <c r="GA92" s="73">
        <f t="shared" si="63"/>
        <v>-2</v>
      </c>
      <c r="GB92" s="73">
        <f t="shared" si="64"/>
        <v>1</v>
      </c>
      <c r="GC92" s="73">
        <f t="shared" si="65"/>
        <v>-1</v>
      </c>
      <c r="GD92" s="73">
        <f t="shared" si="66"/>
        <v>-1</v>
      </c>
      <c r="GE92" s="73">
        <f t="shared" si="67"/>
        <v>0</v>
      </c>
      <c r="GF92" s="73">
        <f t="shared" si="68"/>
        <v>0</v>
      </c>
      <c r="GG92" s="73">
        <f t="shared" si="69"/>
        <v>0</v>
      </c>
      <c r="GH92" s="73">
        <f t="shared" si="70"/>
        <v>0</v>
      </c>
      <c r="GI92" s="73">
        <f t="shared" si="71"/>
        <v>-1</v>
      </c>
      <c r="GJ92" s="38"/>
      <c r="GK92" s="367"/>
      <c r="GL92" s="376"/>
      <c r="GM92" s="376"/>
      <c r="GP92" s="52"/>
    </row>
    <row r="93" spans="1:198" x14ac:dyDescent="0.25">
      <c r="A93" s="74">
        <v>40376</v>
      </c>
      <c r="B93" s="74" t="s">
        <v>133</v>
      </c>
      <c r="C93" s="74" t="s">
        <v>129</v>
      </c>
      <c r="D93" s="74" t="s">
        <v>132</v>
      </c>
      <c r="E93" s="4">
        <v>48957</v>
      </c>
      <c r="F93" s="6"/>
      <c r="G93" s="58">
        <v>2</v>
      </c>
      <c r="H93" s="59" t="s">
        <v>395</v>
      </c>
      <c r="I93" s="6">
        <v>1</v>
      </c>
      <c r="J93" s="6">
        <v>0</v>
      </c>
      <c r="K93" s="60">
        <f>6+1/3</f>
        <v>6.333333333333333</v>
      </c>
      <c r="L93" s="6">
        <v>6</v>
      </c>
      <c r="M93" s="6">
        <v>4</v>
      </c>
      <c r="N93" s="6">
        <v>4</v>
      </c>
      <c r="O93" s="6">
        <v>4</v>
      </c>
      <c r="P93" s="6">
        <v>6</v>
      </c>
      <c r="Q93" s="6">
        <v>2</v>
      </c>
      <c r="R93" s="6">
        <v>0</v>
      </c>
      <c r="S93" s="6">
        <v>29</v>
      </c>
      <c r="T93" s="6">
        <v>108</v>
      </c>
      <c r="U93" s="6">
        <v>63</v>
      </c>
      <c r="V93" s="6">
        <v>1</v>
      </c>
      <c r="W93" s="61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0">
        <f>2+2/3</f>
        <v>2.6666666666666665</v>
      </c>
      <c r="AD93" s="6">
        <v>2</v>
      </c>
      <c r="AE93" s="6">
        <v>1</v>
      </c>
      <c r="AF93" s="6">
        <v>1</v>
      </c>
      <c r="AG93" s="6">
        <v>3</v>
      </c>
      <c r="AH93" s="6">
        <v>1</v>
      </c>
      <c r="AI93" s="6">
        <v>0</v>
      </c>
      <c r="AJ93" s="6">
        <v>0</v>
      </c>
      <c r="AK93" s="6">
        <v>13</v>
      </c>
      <c r="AL93" s="6">
        <v>59</v>
      </c>
      <c r="AM93" s="6">
        <v>36</v>
      </c>
      <c r="AN93" s="1" t="s">
        <v>389</v>
      </c>
      <c r="AO93" s="78">
        <v>5</v>
      </c>
      <c r="AP93" s="78">
        <v>0</v>
      </c>
      <c r="AQ93" s="78">
        <v>1</v>
      </c>
      <c r="AR93" s="78">
        <v>0</v>
      </c>
      <c r="AS93" s="78">
        <v>1</v>
      </c>
      <c r="AT93" s="78">
        <v>0</v>
      </c>
      <c r="AU93" s="78">
        <v>0</v>
      </c>
      <c r="AV93" s="78">
        <v>0</v>
      </c>
      <c r="AW93" s="76">
        <v>1</v>
      </c>
      <c r="AX93" s="1" t="s">
        <v>391</v>
      </c>
      <c r="AY93" s="78">
        <v>5</v>
      </c>
      <c r="AZ93" s="78">
        <v>0</v>
      </c>
      <c r="BA93" s="78">
        <v>0</v>
      </c>
      <c r="BB93" s="78">
        <v>0</v>
      </c>
      <c r="BC93" s="78">
        <v>0</v>
      </c>
      <c r="BD93" s="78">
        <v>3</v>
      </c>
      <c r="BE93" s="78">
        <v>0</v>
      </c>
      <c r="BF93" s="78">
        <v>0</v>
      </c>
      <c r="BG93" s="76">
        <v>0</v>
      </c>
      <c r="BH93" s="1" t="s">
        <v>390</v>
      </c>
      <c r="BI93" s="78">
        <v>4</v>
      </c>
      <c r="BJ93" s="78">
        <v>3</v>
      </c>
      <c r="BK93" s="78">
        <v>2</v>
      </c>
      <c r="BL93" s="78">
        <v>0</v>
      </c>
      <c r="BM93" s="78">
        <v>0</v>
      </c>
      <c r="BN93" s="78">
        <v>1</v>
      </c>
      <c r="BO93" s="78">
        <v>1</v>
      </c>
      <c r="BP93" s="78">
        <v>0</v>
      </c>
      <c r="BQ93" s="76">
        <v>3</v>
      </c>
      <c r="BR93" s="1" t="s">
        <v>274</v>
      </c>
      <c r="BS93" s="78">
        <v>5</v>
      </c>
      <c r="BT93" s="78">
        <v>1</v>
      </c>
      <c r="BU93" s="78">
        <v>4</v>
      </c>
      <c r="BV93" s="78">
        <v>3</v>
      </c>
      <c r="BW93" s="78">
        <v>0</v>
      </c>
      <c r="BX93" s="78">
        <v>0</v>
      </c>
      <c r="BY93" s="78">
        <v>0</v>
      </c>
      <c r="BZ93" s="78">
        <v>0</v>
      </c>
      <c r="CA93" s="76">
        <v>8</v>
      </c>
      <c r="CB93" s="1" t="s">
        <v>387</v>
      </c>
      <c r="CC93" s="78">
        <v>3</v>
      </c>
      <c r="CD93" s="78">
        <v>1</v>
      </c>
      <c r="CE93" s="78">
        <v>1</v>
      </c>
      <c r="CF93" s="78">
        <v>0</v>
      </c>
      <c r="CG93" s="78">
        <v>2</v>
      </c>
      <c r="CH93" s="78">
        <v>1</v>
      </c>
      <c r="CI93" s="78">
        <v>0</v>
      </c>
      <c r="CJ93" s="78">
        <v>0</v>
      </c>
      <c r="CK93" s="76">
        <v>1</v>
      </c>
      <c r="CL93" s="1" t="s">
        <v>275</v>
      </c>
      <c r="CM93" s="78">
        <v>4</v>
      </c>
      <c r="CN93" s="78">
        <v>1</v>
      </c>
      <c r="CO93" s="78">
        <v>1</v>
      </c>
      <c r="CP93" s="78">
        <v>1</v>
      </c>
      <c r="CQ93" s="78">
        <v>0</v>
      </c>
      <c r="CR93" s="78">
        <v>0</v>
      </c>
      <c r="CS93" s="78">
        <v>0</v>
      </c>
      <c r="CT93" s="78">
        <v>1</v>
      </c>
      <c r="CU93" s="76">
        <v>1</v>
      </c>
      <c r="CV93" s="1" t="s">
        <v>273</v>
      </c>
      <c r="CW93" s="78">
        <v>3</v>
      </c>
      <c r="CX93" s="78">
        <v>0</v>
      </c>
      <c r="CY93" s="78">
        <v>0</v>
      </c>
      <c r="CZ93" s="78">
        <v>1</v>
      </c>
      <c r="DA93" s="78">
        <v>1</v>
      </c>
      <c r="DB93" s="78">
        <v>0</v>
      </c>
      <c r="DC93" s="78">
        <v>0</v>
      </c>
      <c r="DD93" s="78">
        <v>1</v>
      </c>
      <c r="DE93" s="76">
        <v>0</v>
      </c>
      <c r="DF93" s="1" t="s">
        <v>384</v>
      </c>
      <c r="DG93" s="78">
        <v>4</v>
      </c>
      <c r="DH93" s="78">
        <v>2</v>
      </c>
      <c r="DI93" s="78">
        <v>1</v>
      </c>
      <c r="DJ93" s="78">
        <v>0</v>
      </c>
      <c r="DK93" s="78">
        <v>0</v>
      </c>
      <c r="DL93" s="78">
        <v>1</v>
      </c>
      <c r="DM93" s="78">
        <v>1</v>
      </c>
      <c r="DN93" s="78">
        <v>0</v>
      </c>
      <c r="DO93" s="76">
        <v>1</v>
      </c>
      <c r="DP93" s="1" t="s">
        <v>385</v>
      </c>
      <c r="DQ93" s="78">
        <v>5</v>
      </c>
      <c r="DR93" s="78">
        <v>2</v>
      </c>
      <c r="DS93" s="78">
        <v>3</v>
      </c>
      <c r="DT93" s="78">
        <v>5</v>
      </c>
      <c r="DU93" s="78">
        <v>0</v>
      </c>
      <c r="DV93" s="78">
        <v>2</v>
      </c>
      <c r="DW93" s="78">
        <v>0</v>
      </c>
      <c r="DX93" s="78">
        <v>0</v>
      </c>
      <c r="DY93" s="76">
        <v>9</v>
      </c>
      <c r="DZ93" s="77">
        <v>0</v>
      </c>
      <c r="EA93" s="43">
        <v>0</v>
      </c>
      <c r="EB93" s="43">
        <v>0</v>
      </c>
      <c r="EC93" s="45">
        <v>9</v>
      </c>
      <c r="ED93" s="43">
        <v>1</v>
      </c>
      <c r="EE93" s="44">
        <v>0</v>
      </c>
      <c r="EF93" s="71">
        <v>1</v>
      </c>
      <c r="EG93" s="43">
        <v>2</v>
      </c>
      <c r="EH93" s="43">
        <v>1</v>
      </c>
      <c r="EI93" s="43">
        <v>0</v>
      </c>
      <c r="EJ93" s="43">
        <v>4</v>
      </c>
      <c r="EK93" s="43">
        <v>1</v>
      </c>
      <c r="EL93" s="43">
        <v>0</v>
      </c>
      <c r="EM93" s="43">
        <v>1</v>
      </c>
      <c r="EN93" s="43">
        <v>0</v>
      </c>
      <c r="EO93" s="43"/>
      <c r="EP93" s="43"/>
      <c r="EQ93" s="43"/>
      <c r="ER93" s="43"/>
      <c r="ES93" s="44">
        <f t="shared" si="48"/>
        <v>10</v>
      </c>
      <c r="ET93" s="43">
        <v>0</v>
      </c>
      <c r="EU93" s="43">
        <v>2</v>
      </c>
      <c r="EV93" s="43">
        <v>0</v>
      </c>
      <c r="EW93" s="43">
        <v>0</v>
      </c>
      <c r="EX93" s="43">
        <v>1</v>
      </c>
      <c r="EY93" s="43">
        <v>1</v>
      </c>
      <c r="EZ93" s="43">
        <v>0</v>
      </c>
      <c r="FA93" s="43">
        <v>0</v>
      </c>
      <c r="FB93" s="43">
        <v>1</v>
      </c>
      <c r="FC93" s="43"/>
      <c r="FD93" s="43"/>
      <c r="FE93" s="43"/>
      <c r="FF93" s="43"/>
      <c r="FG93" s="43">
        <f t="shared" si="49"/>
        <v>5</v>
      </c>
      <c r="FH93" s="73">
        <v>38</v>
      </c>
      <c r="FI93" s="73">
        <v>10</v>
      </c>
      <c r="FJ93" s="73">
        <v>13</v>
      </c>
      <c r="FK93" s="73">
        <v>10</v>
      </c>
      <c r="FL93" s="73">
        <v>4</v>
      </c>
      <c r="FM93" s="73">
        <v>8</v>
      </c>
      <c r="FN93" s="73">
        <f t="shared" si="76"/>
        <v>0</v>
      </c>
      <c r="FO93" s="73">
        <f t="shared" si="77"/>
        <v>0</v>
      </c>
      <c r="FP93" s="73">
        <f t="shared" si="52"/>
        <v>0</v>
      </c>
      <c r="FQ93" s="73">
        <f t="shared" si="53"/>
        <v>0</v>
      </c>
      <c r="FR93" s="73">
        <f t="shared" si="54"/>
        <v>0</v>
      </c>
      <c r="FS93" s="73">
        <f t="shared" si="55"/>
        <v>0</v>
      </c>
      <c r="FT93" s="73">
        <f t="shared" si="56"/>
        <v>0</v>
      </c>
      <c r="FU93" s="73">
        <f t="shared" si="57"/>
        <v>0</v>
      </c>
      <c r="FV93" s="73">
        <f t="shared" si="58"/>
        <v>1</v>
      </c>
      <c r="FW93" s="73">
        <f t="shared" si="59"/>
        <v>0</v>
      </c>
      <c r="FX93" s="73">
        <f t="shared" si="60"/>
        <v>1</v>
      </c>
      <c r="FY93" s="73">
        <f t="shared" si="61"/>
        <v>0</v>
      </c>
      <c r="FZ93" s="73">
        <f t="shared" si="62"/>
        <v>3</v>
      </c>
      <c r="GA93" s="73">
        <f t="shared" si="63"/>
        <v>0</v>
      </c>
      <c r="GB93" s="73">
        <f t="shared" si="64"/>
        <v>0</v>
      </c>
      <c r="GC93" s="73">
        <f t="shared" si="65"/>
        <v>1</v>
      </c>
      <c r="GD93" s="73">
        <f t="shared" si="66"/>
        <v>-1</v>
      </c>
      <c r="GE93" s="73">
        <f t="shared" si="67"/>
        <v>0</v>
      </c>
      <c r="GF93" s="73">
        <f t="shared" si="68"/>
        <v>0</v>
      </c>
      <c r="GG93" s="73">
        <f t="shared" si="69"/>
        <v>0</v>
      </c>
      <c r="GH93" s="73">
        <f t="shared" si="70"/>
        <v>0</v>
      </c>
      <c r="GI93" s="73">
        <f t="shared" si="71"/>
        <v>5</v>
      </c>
      <c r="GJ93" s="38"/>
      <c r="GK93" s="367"/>
      <c r="GL93" s="376"/>
      <c r="GM93" s="376"/>
      <c r="GP93" s="52"/>
    </row>
    <row r="94" spans="1:198" x14ac:dyDescent="0.25">
      <c r="A94" s="259">
        <v>40377</v>
      </c>
      <c r="B94" s="259" t="s">
        <v>133</v>
      </c>
      <c r="C94" s="259" t="s">
        <v>131</v>
      </c>
      <c r="D94" s="259" t="s">
        <v>132</v>
      </c>
      <c r="E94" s="260">
        <v>46969</v>
      </c>
      <c r="F94" s="208"/>
      <c r="G94" s="206">
        <v>3</v>
      </c>
      <c r="H94" s="207" t="s">
        <v>394</v>
      </c>
      <c r="I94" s="208">
        <v>0</v>
      </c>
      <c r="J94" s="208">
        <v>1</v>
      </c>
      <c r="K94" s="209">
        <v>5</v>
      </c>
      <c r="L94" s="208">
        <v>7</v>
      </c>
      <c r="M94" s="208">
        <v>7</v>
      </c>
      <c r="N94" s="208">
        <v>7</v>
      </c>
      <c r="O94" s="208">
        <v>4</v>
      </c>
      <c r="P94" s="208">
        <v>3</v>
      </c>
      <c r="Q94" s="208">
        <v>0</v>
      </c>
      <c r="R94" s="208">
        <v>0</v>
      </c>
      <c r="S94" s="208">
        <v>25</v>
      </c>
      <c r="T94" s="208">
        <v>96</v>
      </c>
      <c r="U94" s="208">
        <v>60</v>
      </c>
      <c r="V94" s="208">
        <v>0</v>
      </c>
      <c r="W94" s="210">
        <v>0</v>
      </c>
      <c r="X94" s="208">
        <v>0</v>
      </c>
      <c r="Y94" s="208">
        <v>0</v>
      </c>
      <c r="Z94" s="208">
        <v>0</v>
      </c>
      <c r="AA94" s="208">
        <v>0</v>
      </c>
      <c r="AB94" s="208">
        <v>0</v>
      </c>
      <c r="AC94" s="209">
        <v>3</v>
      </c>
      <c r="AD94" s="208">
        <v>4</v>
      </c>
      <c r="AE94" s="208">
        <v>2</v>
      </c>
      <c r="AF94" s="208">
        <v>2</v>
      </c>
      <c r="AG94" s="208">
        <v>1</v>
      </c>
      <c r="AH94" s="208">
        <v>5</v>
      </c>
      <c r="AI94" s="208">
        <v>1</v>
      </c>
      <c r="AJ94" s="208">
        <v>0</v>
      </c>
      <c r="AK94" s="208">
        <v>14</v>
      </c>
      <c r="AL94" s="208">
        <v>53</v>
      </c>
      <c r="AM94" s="208">
        <v>37</v>
      </c>
      <c r="AN94" s="213" t="s">
        <v>273</v>
      </c>
      <c r="AO94" s="214">
        <v>5</v>
      </c>
      <c r="AP94" s="214">
        <v>1</v>
      </c>
      <c r="AQ94" s="214">
        <v>1</v>
      </c>
      <c r="AR94" s="214">
        <v>0</v>
      </c>
      <c r="AS94" s="214">
        <v>0</v>
      </c>
      <c r="AT94" s="214">
        <v>3</v>
      </c>
      <c r="AU94" s="214">
        <v>0</v>
      </c>
      <c r="AV94" s="214">
        <v>0</v>
      </c>
      <c r="AW94" s="215">
        <v>2</v>
      </c>
      <c r="AX94" s="213" t="s">
        <v>391</v>
      </c>
      <c r="AY94" s="214">
        <v>4</v>
      </c>
      <c r="AZ94" s="214">
        <v>0</v>
      </c>
      <c r="BA94" s="214">
        <v>2</v>
      </c>
      <c r="BB94" s="214">
        <v>0</v>
      </c>
      <c r="BC94" s="214">
        <v>0</v>
      </c>
      <c r="BD94" s="214">
        <v>1</v>
      </c>
      <c r="BE94" s="214">
        <v>0</v>
      </c>
      <c r="BF94" s="214">
        <v>0</v>
      </c>
      <c r="BG94" s="215">
        <v>2</v>
      </c>
      <c r="BH94" s="213" t="s">
        <v>390</v>
      </c>
      <c r="BI94" s="214">
        <v>3</v>
      </c>
      <c r="BJ94" s="214">
        <v>1</v>
      </c>
      <c r="BK94" s="214">
        <v>1</v>
      </c>
      <c r="BL94" s="214">
        <v>0</v>
      </c>
      <c r="BM94" s="214">
        <v>1</v>
      </c>
      <c r="BN94" s="214">
        <v>0</v>
      </c>
      <c r="BO94" s="214">
        <v>1</v>
      </c>
      <c r="BP94" s="214">
        <v>0</v>
      </c>
      <c r="BQ94" s="215">
        <v>1</v>
      </c>
      <c r="BR94" s="213" t="s">
        <v>274</v>
      </c>
      <c r="BS94" s="214">
        <v>5</v>
      </c>
      <c r="BT94" s="214">
        <v>2</v>
      </c>
      <c r="BU94" s="214">
        <v>2</v>
      </c>
      <c r="BV94" s="214">
        <v>3</v>
      </c>
      <c r="BW94" s="214">
        <v>0</v>
      </c>
      <c r="BX94" s="214">
        <v>2</v>
      </c>
      <c r="BY94" s="214">
        <v>0</v>
      </c>
      <c r="BZ94" s="214">
        <v>0</v>
      </c>
      <c r="CA94" s="215">
        <v>6</v>
      </c>
      <c r="CB94" s="213" t="s">
        <v>389</v>
      </c>
      <c r="CC94" s="214">
        <v>5</v>
      </c>
      <c r="CD94" s="214">
        <v>0</v>
      </c>
      <c r="CE94" s="214">
        <v>1</v>
      </c>
      <c r="CF94" s="214">
        <v>0</v>
      </c>
      <c r="CG94" s="214">
        <v>0</v>
      </c>
      <c r="CH94" s="214">
        <v>2</v>
      </c>
      <c r="CI94" s="214">
        <v>0</v>
      </c>
      <c r="CJ94" s="214">
        <v>0</v>
      </c>
      <c r="CK94" s="215">
        <v>1</v>
      </c>
      <c r="CL94" s="213" t="s">
        <v>384</v>
      </c>
      <c r="CM94" s="214">
        <v>5</v>
      </c>
      <c r="CN94" s="214">
        <v>0</v>
      </c>
      <c r="CO94" s="214">
        <v>2</v>
      </c>
      <c r="CP94" s="214">
        <v>0</v>
      </c>
      <c r="CQ94" s="214">
        <v>0</v>
      </c>
      <c r="CR94" s="214">
        <v>1</v>
      </c>
      <c r="CS94" s="214">
        <v>0</v>
      </c>
      <c r="CT94" s="214">
        <v>0</v>
      </c>
      <c r="CU94" s="215">
        <v>2</v>
      </c>
      <c r="CV94" s="213" t="s">
        <v>386</v>
      </c>
      <c r="CW94" s="214">
        <v>5</v>
      </c>
      <c r="CX94" s="214">
        <v>1</v>
      </c>
      <c r="CY94" s="214">
        <v>3</v>
      </c>
      <c r="CZ94" s="214">
        <v>2</v>
      </c>
      <c r="DA94" s="214">
        <v>0</v>
      </c>
      <c r="DB94" s="214">
        <v>0</v>
      </c>
      <c r="DC94" s="214">
        <v>0</v>
      </c>
      <c r="DD94" s="214">
        <v>0</v>
      </c>
      <c r="DE94" s="215">
        <v>7</v>
      </c>
      <c r="DF94" s="213" t="s">
        <v>388</v>
      </c>
      <c r="DG94" s="214">
        <v>4</v>
      </c>
      <c r="DH94" s="214">
        <v>0</v>
      </c>
      <c r="DI94" s="214">
        <v>0</v>
      </c>
      <c r="DJ94" s="214">
        <v>0</v>
      </c>
      <c r="DK94" s="214">
        <v>1</v>
      </c>
      <c r="DL94" s="214">
        <v>1</v>
      </c>
      <c r="DM94" s="214">
        <v>0</v>
      </c>
      <c r="DN94" s="214">
        <v>0</v>
      </c>
      <c r="DO94" s="215">
        <v>0</v>
      </c>
      <c r="DP94" s="213" t="s">
        <v>271</v>
      </c>
      <c r="DQ94" s="214">
        <v>3</v>
      </c>
      <c r="DR94" s="214">
        <v>0</v>
      </c>
      <c r="DS94" s="214">
        <v>0</v>
      </c>
      <c r="DT94" s="214">
        <v>0</v>
      </c>
      <c r="DU94" s="214">
        <v>1</v>
      </c>
      <c r="DV94" s="214">
        <v>1</v>
      </c>
      <c r="DW94" s="214">
        <v>0</v>
      </c>
      <c r="DX94" s="214">
        <v>0</v>
      </c>
      <c r="DY94" s="215">
        <v>0</v>
      </c>
      <c r="DZ94" s="216">
        <v>4</v>
      </c>
      <c r="EA94" s="217">
        <v>0</v>
      </c>
      <c r="EB94" s="217">
        <v>0</v>
      </c>
      <c r="EC94" s="218">
        <v>5</v>
      </c>
      <c r="ED94" s="217">
        <v>2</v>
      </c>
      <c r="EE94" s="219">
        <v>0</v>
      </c>
      <c r="EF94" s="220">
        <v>3</v>
      </c>
      <c r="EG94" s="217">
        <v>0</v>
      </c>
      <c r="EH94" s="217">
        <v>0</v>
      </c>
      <c r="EI94" s="217">
        <v>0</v>
      </c>
      <c r="EJ94" s="217">
        <v>0</v>
      </c>
      <c r="EK94" s="217">
        <v>0</v>
      </c>
      <c r="EL94" s="217">
        <v>1</v>
      </c>
      <c r="EM94" s="217">
        <v>0</v>
      </c>
      <c r="EN94" s="217">
        <v>1</v>
      </c>
      <c r="EO94" s="217"/>
      <c r="EP94" s="217"/>
      <c r="EQ94" s="217"/>
      <c r="ER94" s="217"/>
      <c r="ES94" s="219">
        <f t="shared" si="48"/>
        <v>5</v>
      </c>
      <c r="ET94" s="217">
        <v>2</v>
      </c>
      <c r="EU94" s="217">
        <v>0</v>
      </c>
      <c r="EV94" s="217">
        <v>1</v>
      </c>
      <c r="EW94" s="217">
        <v>0</v>
      </c>
      <c r="EX94" s="217">
        <v>4</v>
      </c>
      <c r="EY94" s="217">
        <v>1</v>
      </c>
      <c r="EZ94" s="217">
        <v>1</v>
      </c>
      <c r="FA94" s="217">
        <v>0</v>
      </c>
      <c r="FB94" s="217"/>
      <c r="FC94" s="217"/>
      <c r="FD94" s="217"/>
      <c r="FE94" s="217"/>
      <c r="FF94" s="217"/>
      <c r="FG94" s="217">
        <f t="shared" si="49"/>
        <v>9</v>
      </c>
      <c r="FH94" s="221">
        <v>39</v>
      </c>
      <c r="FI94" s="221">
        <v>5</v>
      </c>
      <c r="FJ94" s="221">
        <v>12</v>
      </c>
      <c r="FK94" s="221">
        <v>5</v>
      </c>
      <c r="FL94" s="221">
        <v>3</v>
      </c>
      <c r="FM94" s="221">
        <v>11</v>
      </c>
      <c r="FN94" s="221">
        <f t="shared" si="76"/>
        <v>0</v>
      </c>
      <c r="FO94" s="221">
        <f t="shared" si="77"/>
        <v>0</v>
      </c>
      <c r="FP94" s="221">
        <f t="shared" si="52"/>
        <v>0</v>
      </c>
      <c r="FQ94" s="221">
        <f t="shared" si="53"/>
        <v>0</v>
      </c>
      <c r="FR94" s="221">
        <f t="shared" si="54"/>
        <v>0</v>
      </c>
      <c r="FS94" s="221">
        <f t="shared" si="55"/>
        <v>0</v>
      </c>
      <c r="FT94" s="221">
        <f t="shared" si="56"/>
        <v>0</v>
      </c>
      <c r="FU94" s="221">
        <f t="shared" si="57"/>
        <v>0</v>
      </c>
      <c r="FV94" s="221">
        <f t="shared" si="58"/>
        <v>1</v>
      </c>
      <c r="FW94" s="221">
        <f t="shared" si="59"/>
        <v>0</v>
      </c>
      <c r="FX94" s="221">
        <f t="shared" si="60"/>
        <v>-1</v>
      </c>
      <c r="FY94" s="221">
        <f t="shared" si="61"/>
        <v>0</v>
      </c>
      <c r="FZ94" s="221">
        <f t="shared" si="62"/>
        <v>-4</v>
      </c>
      <c r="GA94" s="221">
        <f t="shared" si="63"/>
        <v>-1</v>
      </c>
      <c r="GB94" s="221">
        <f t="shared" si="64"/>
        <v>0</v>
      </c>
      <c r="GC94" s="221">
        <f t="shared" si="65"/>
        <v>0</v>
      </c>
      <c r="GD94" s="221">
        <f t="shared" si="66"/>
        <v>1</v>
      </c>
      <c r="GE94" s="221">
        <f t="shared" si="67"/>
        <v>0</v>
      </c>
      <c r="GF94" s="221">
        <f t="shared" si="68"/>
        <v>0</v>
      </c>
      <c r="GG94" s="221">
        <f t="shared" si="69"/>
        <v>0</v>
      </c>
      <c r="GH94" s="221">
        <f t="shared" si="70"/>
        <v>0</v>
      </c>
      <c r="GI94" s="221">
        <f t="shared" si="71"/>
        <v>-4</v>
      </c>
      <c r="GJ94" s="222"/>
      <c r="GK94" s="367"/>
      <c r="GL94" s="376"/>
      <c r="GM94" s="376"/>
      <c r="GP94" s="52"/>
    </row>
    <row r="95" spans="1:198" x14ac:dyDescent="0.25">
      <c r="A95" s="259">
        <v>40378</v>
      </c>
      <c r="B95" s="259" t="s">
        <v>133</v>
      </c>
      <c r="C95" s="259" t="s">
        <v>129</v>
      </c>
      <c r="D95" s="259" t="s">
        <v>130</v>
      </c>
      <c r="E95" s="260">
        <v>12792</v>
      </c>
      <c r="F95" s="208"/>
      <c r="G95" s="206">
        <v>4</v>
      </c>
      <c r="H95" s="207" t="s">
        <v>393</v>
      </c>
      <c r="I95" s="208">
        <v>1</v>
      </c>
      <c r="J95" s="208">
        <v>0</v>
      </c>
      <c r="K95" s="209">
        <v>8</v>
      </c>
      <c r="L95" s="208">
        <v>7</v>
      </c>
      <c r="M95" s="208">
        <v>1</v>
      </c>
      <c r="N95" s="208">
        <v>1</v>
      </c>
      <c r="O95" s="208">
        <v>1</v>
      </c>
      <c r="P95" s="208">
        <v>3</v>
      </c>
      <c r="Q95" s="208">
        <v>0</v>
      </c>
      <c r="R95" s="208">
        <v>1</v>
      </c>
      <c r="S95" s="208">
        <v>32</v>
      </c>
      <c r="T95" s="208">
        <v>110</v>
      </c>
      <c r="U95" s="208">
        <v>73</v>
      </c>
      <c r="V95" s="208">
        <v>0</v>
      </c>
      <c r="W95" s="210">
        <v>0</v>
      </c>
      <c r="X95" s="208">
        <v>0</v>
      </c>
      <c r="Y95" s="208">
        <v>0</v>
      </c>
      <c r="Z95" s="208">
        <v>0</v>
      </c>
      <c r="AA95" s="208">
        <v>0</v>
      </c>
      <c r="AB95" s="208">
        <v>0</v>
      </c>
      <c r="AC95" s="209">
        <v>1</v>
      </c>
      <c r="AD95" s="208">
        <v>0</v>
      </c>
      <c r="AE95" s="208">
        <v>0</v>
      </c>
      <c r="AF95" s="208">
        <v>0</v>
      </c>
      <c r="AG95" s="208">
        <v>0</v>
      </c>
      <c r="AH95" s="208">
        <v>1</v>
      </c>
      <c r="AI95" s="208">
        <v>0</v>
      </c>
      <c r="AJ95" s="208">
        <v>0</v>
      </c>
      <c r="AK95" s="208">
        <v>3</v>
      </c>
      <c r="AL95" s="208">
        <v>9</v>
      </c>
      <c r="AM95" s="208">
        <v>7</v>
      </c>
      <c r="AN95" s="213" t="s">
        <v>389</v>
      </c>
      <c r="AO95" s="214">
        <v>5</v>
      </c>
      <c r="AP95" s="214">
        <v>0</v>
      </c>
      <c r="AQ95" s="214">
        <v>1</v>
      </c>
      <c r="AR95" s="214">
        <v>1</v>
      </c>
      <c r="AS95" s="214">
        <v>0</v>
      </c>
      <c r="AT95" s="214">
        <v>0</v>
      </c>
      <c r="AU95" s="214">
        <v>0</v>
      </c>
      <c r="AV95" s="214">
        <v>0</v>
      </c>
      <c r="AW95" s="215">
        <v>2</v>
      </c>
      <c r="AX95" s="213" t="s">
        <v>391</v>
      </c>
      <c r="AY95" s="214">
        <v>5</v>
      </c>
      <c r="AZ95" s="214">
        <v>1</v>
      </c>
      <c r="BA95" s="214">
        <v>1</v>
      </c>
      <c r="BB95" s="214">
        <v>1</v>
      </c>
      <c r="BC95" s="214">
        <v>0</v>
      </c>
      <c r="BD95" s="214">
        <v>0</v>
      </c>
      <c r="BE95" s="214">
        <v>0</v>
      </c>
      <c r="BF95" s="214">
        <v>0</v>
      </c>
      <c r="BG95" s="215">
        <v>3</v>
      </c>
      <c r="BH95" s="213" t="s">
        <v>390</v>
      </c>
      <c r="BI95" s="214">
        <v>5</v>
      </c>
      <c r="BJ95" s="214">
        <v>1</v>
      </c>
      <c r="BK95" s="214">
        <v>3</v>
      </c>
      <c r="BL95" s="214">
        <v>1</v>
      </c>
      <c r="BM95" s="214">
        <v>0</v>
      </c>
      <c r="BN95" s="214">
        <v>2</v>
      </c>
      <c r="BO95" s="214">
        <v>0</v>
      </c>
      <c r="BP95" s="214">
        <v>0</v>
      </c>
      <c r="BQ95" s="215">
        <v>3</v>
      </c>
      <c r="BR95" s="213" t="s">
        <v>274</v>
      </c>
      <c r="BS95" s="214">
        <v>3</v>
      </c>
      <c r="BT95" s="214">
        <v>1</v>
      </c>
      <c r="BU95" s="214">
        <v>0</v>
      </c>
      <c r="BV95" s="214">
        <v>0</v>
      </c>
      <c r="BW95" s="214">
        <v>1</v>
      </c>
      <c r="BX95" s="214">
        <v>3</v>
      </c>
      <c r="BY95" s="214">
        <v>1</v>
      </c>
      <c r="BZ95" s="214">
        <v>0</v>
      </c>
      <c r="CA95" s="215">
        <v>0</v>
      </c>
      <c r="CB95" s="213" t="s">
        <v>387</v>
      </c>
      <c r="CC95" s="214">
        <v>4</v>
      </c>
      <c r="CD95" s="214">
        <v>1</v>
      </c>
      <c r="CE95" s="214">
        <v>1</v>
      </c>
      <c r="CF95" s="214">
        <v>1</v>
      </c>
      <c r="CG95" s="214">
        <v>1</v>
      </c>
      <c r="CH95" s="214">
        <v>1</v>
      </c>
      <c r="CI95" s="214">
        <v>0</v>
      </c>
      <c r="CJ95" s="214">
        <v>0</v>
      </c>
      <c r="CK95" s="215">
        <v>2</v>
      </c>
      <c r="CL95" s="213" t="s">
        <v>275</v>
      </c>
      <c r="CM95" s="214">
        <v>3</v>
      </c>
      <c r="CN95" s="214">
        <v>2</v>
      </c>
      <c r="CO95" s="214">
        <v>0</v>
      </c>
      <c r="CP95" s="214">
        <v>0</v>
      </c>
      <c r="CQ95" s="214">
        <v>2</v>
      </c>
      <c r="CR95" s="214">
        <v>0</v>
      </c>
      <c r="CS95" s="214">
        <v>0</v>
      </c>
      <c r="CT95" s="214">
        <v>0</v>
      </c>
      <c r="CU95" s="215">
        <v>0</v>
      </c>
      <c r="CV95" s="213" t="s">
        <v>273</v>
      </c>
      <c r="CW95" s="214">
        <v>4</v>
      </c>
      <c r="CX95" s="214">
        <v>1</v>
      </c>
      <c r="CY95" s="214">
        <v>1</v>
      </c>
      <c r="CZ95" s="214">
        <v>1</v>
      </c>
      <c r="DA95" s="214">
        <v>1</v>
      </c>
      <c r="DB95" s="214">
        <v>0</v>
      </c>
      <c r="DC95" s="214">
        <v>0</v>
      </c>
      <c r="DD95" s="214">
        <v>0</v>
      </c>
      <c r="DE95" s="215">
        <v>1</v>
      </c>
      <c r="DF95" s="213" t="s">
        <v>384</v>
      </c>
      <c r="DG95" s="214">
        <v>3</v>
      </c>
      <c r="DH95" s="214">
        <v>1</v>
      </c>
      <c r="DI95" s="214">
        <v>2</v>
      </c>
      <c r="DJ95" s="214">
        <v>2</v>
      </c>
      <c r="DK95" s="214">
        <v>1</v>
      </c>
      <c r="DL95" s="214">
        <v>1</v>
      </c>
      <c r="DM95" s="214">
        <v>0</v>
      </c>
      <c r="DN95" s="214">
        <v>0</v>
      </c>
      <c r="DO95" s="215">
        <v>2</v>
      </c>
      <c r="DP95" s="213" t="s">
        <v>271</v>
      </c>
      <c r="DQ95" s="214">
        <v>3</v>
      </c>
      <c r="DR95" s="214">
        <v>0</v>
      </c>
      <c r="DS95" s="214">
        <v>0</v>
      </c>
      <c r="DT95" s="214">
        <v>1</v>
      </c>
      <c r="DU95" s="214">
        <v>0</v>
      </c>
      <c r="DV95" s="214">
        <v>2</v>
      </c>
      <c r="DW95" s="214">
        <v>0</v>
      </c>
      <c r="DX95" s="214">
        <v>0</v>
      </c>
      <c r="DY95" s="215">
        <v>0</v>
      </c>
      <c r="DZ95" s="216">
        <v>0</v>
      </c>
      <c r="EA95" s="217">
        <v>0</v>
      </c>
      <c r="EB95" s="217">
        <v>0</v>
      </c>
      <c r="EC95" s="218">
        <v>9</v>
      </c>
      <c r="ED95" s="217">
        <v>1</v>
      </c>
      <c r="EE95" s="219">
        <v>0</v>
      </c>
      <c r="EF95" s="220">
        <v>0</v>
      </c>
      <c r="EG95" s="217">
        <v>1</v>
      </c>
      <c r="EH95" s="217">
        <v>7</v>
      </c>
      <c r="EI95" s="217">
        <v>0</v>
      </c>
      <c r="EJ95" s="217">
        <v>0</v>
      </c>
      <c r="EK95" s="217">
        <v>0</v>
      </c>
      <c r="EL95" s="217">
        <v>0</v>
      </c>
      <c r="EM95" s="217">
        <v>0</v>
      </c>
      <c r="EN95" s="217">
        <v>0</v>
      </c>
      <c r="EO95" s="217"/>
      <c r="EP95" s="217"/>
      <c r="EQ95" s="217"/>
      <c r="ER95" s="217"/>
      <c r="ES95" s="219">
        <f t="shared" si="48"/>
        <v>8</v>
      </c>
      <c r="ET95" s="217">
        <v>0</v>
      </c>
      <c r="EU95" s="217">
        <v>0</v>
      </c>
      <c r="EV95" s="217">
        <v>0</v>
      </c>
      <c r="EW95" s="217">
        <v>0</v>
      </c>
      <c r="EX95" s="217">
        <v>1</v>
      </c>
      <c r="EY95" s="217">
        <v>0</v>
      </c>
      <c r="EZ95" s="217">
        <v>0</v>
      </c>
      <c r="FA95" s="217">
        <v>0</v>
      </c>
      <c r="FB95" s="217">
        <v>0</v>
      </c>
      <c r="FC95" s="217"/>
      <c r="FD95" s="217"/>
      <c r="FE95" s="217"/>
      <c r="FF95" s="217"/>
      <c r="FG95" s="217">
        <f t="shared" si="49"/>
        <v>1</v>
      </c>
      <c r="FH95" s="221">
        <v>35</v>
      </c>
      <c r="FI95" s="221">
        <v>8</v>
      </c>
      <c r="FJ95" s="221">
        <v>9</v>
      </c>
      <c r="FK95" s="221">
        <v>8</v>
      </c>
      <c r="FL95" s="221">
        <v>6</v>
      </c>
      <c r="FM95" s="221">
        <v>9</v>
      </c>
      <c r="FN95" s="221">
        <f t="shared" si="76"/>
        <v>0</v>
      </c>
      <c r="FO95" s="221">
        <f t="shared" si="77"/>
        <v>0</v>
      </c>
      <c r="FP95" s="221">
        <f t="shared" si="52"/>
        <v>0</v>
      </c>
      <c r="FQ95" s="221">
        <f t="shared" si="53"/>
        <v>0</v>
      </c>
      <c r="FR95" s="221">
        <f t="shared" si="54"/>
        <v>0</v>
      </c>
      <c r="FS95" s="221">
        <f t="shared" si="55"/>
        <v>0</v>
      </c>
      <c r="FT95" s="221">
        <f t="shared" si="56"/>
        <v>0</v>
      </c>
      <c r="FU95" s="221">
        <f t="shared" si="57"/>
        <v>0</v>
      </c>
      <c r="FV95" s="221">
        <f t="shared" si="58"/>
        <v>0</v>
      </c>
      <c r="FW95" s="221">
        <f t="shared" si="59"/>
        <v>1</v>
      </c>
      <c r="FX95" s="221">
        <f t="shared" si="60"/>
        <v>7</v>
      </c>
      <c r="FY95" s="221">
        <f t="shared" si="61"/>
        <v>0</v>
      </c>
      <c r="FZ95" s="221">
        <f t="shared" si="62"/>
        <v>-1</v>
      </c>
      <c r="GA95" s="221">
        <f t="shared" si="63"/>
        <v>0</v>
      </c>
      <c r="GB95" s="221">
        <f t="shared" si="64"/>
        <v>0</v>
      </c>
      <c r="GC95" s="221">
        <f t="shared" si="65"/>
        <v>0</v>
      </c>
      <c r="GD95" s="221">
        <f t="shared" si="66"/>
        <v>0</v>
      </c>
      <c r="GE95" s="221">
        <f t="shared" si="67"/>
        <v>0</v>
      </c>
      <c r="GF95" s="221">
        <f t="shared" si="68"/>
        <v>0</v>
      </c>
      <c r="GG95" s="221">
        <f t="shared" si="69"/>
        <v>0</v>
      </c>
      <c r="GH95" s="221">
        <f t="shared" si="70"/>
        <v>0</v>
      </c>
      <c r="GI95" s="221">
        <f t="shared" si="71"/>
        <v>7</v>
      </c>
      <c r="GJ95" s="222"/>
      <c r="GK95" s="367"/>
      <c r="GL95" s="376"/>
      <c r="GM95" s="376"/>
      <c r="GP95" s="52"/>
    </row>
    <row r="96" spans="1:198" x14ac:dyDescent="0.25">
      <c r="A96" s="259">
        <v>40379</v>
      </c>
      <c r="B96" s="259" t="s">
        <v>133</v>
      </c>
      <c r="C96" s="259" t="s">
        <v>131</v>
      </c>
      <c r="D96" s="259" t="s">
        <v>130</v>
      </c>
      <c r="E96" s="260">
        <v>16623</v>
      </c>
      <c r="F96" s="208"/>
      <c r="G96" s="206">
        <v>5</v>
      </c>
      <c r="H96" s="207" t="s">
        <v>396</v>
      </c>
      <c r="I96" s="208">
        <v>0</v>
      </c>
      <c r="J96" s="208">
        <v>0</v>
      </c>
      <c r="K96" s="209">
        <f>6+1/3</f>
        <v>6.333333333333333</v>
      </c>
      <c r="L96" s="208">
        <v>10</v>
      </c>
      <c r="M96" s="208">
        <v>7</v>
      </c>
      <c r="N96" s="208">
        <v>7</v>
      </c>
      <c r="O96" s="208">
        <v>0</v>
      </c>
      <c r="P96" s="208">
        <v>5</v>
      </c>
      <c r="Q96" s="208">
        <v>4</v>
      </c>
      <c r="R96" s="208">
        <v>0</v>
      </c>
      <c r="S96" s="208">
        <v>29</v>
      </c>
      <c r="T96" s="208">
        <v>99</v>
      </c>
      <c r="U96" s="208">
        <v>66</v>
      </c>
      <c r="V96" s="208">
        <v>1</v>
      </c>
      <c r="W96" s="210">
        <v>1</v>
      </c>
      <c r="X96" s="208">
        <v>0</v>
      </c>
      <c r="Y96" s="208">
        <v>1</v>
      </c>
      <c r="Z96" s="208">
        <v>2</v>
      </c>
      <c r="AA96" s="208">
        <v>0</v>
      </c>
      <c r="AB96" s="208">
        <v>2</v>
      </c>
      <c r="AC96" s="209">
        <v>6</v>
      </c>
      <c r="AD96" s="208">
        <v>6</v>
      </c>
      <c r="AE96" s="208">
        <v>4</v>
      </c>
      <c r="AF96" s="208">
        <v>4</v>
      </c>
      <c r="AG96" s="208">
        <v>3</v>
      </c>
      <c r="AH96" s="208">
        <v>4</v>
      </c>
      <c r="AI96" s="208">
        <v>0</v>
      </c>
      <c r="AJ96" s="208">
        <v>0</v>
      </c>
      <c r="AK96" s="208">
        <v>27</v>
      </c>
      <c r="AL96" s="208">
        <v>101</v>
      </c>
      <c r="AM96" s="208">
        <v>61</v>
      </c>
      <c r="AN96" s="213" t="s">
        <v>389</v>
      </c>
      <c r="AO96" s="214">
        <v>4</v>
      </c>
      <c r="AP96" s="214">
        <v>1</v>
      </c>
      <c r="AQ96" s="214">
        <v>0</v>
      </c>
      <c r="AR96" s="214">
        <v>0</v>
      </c>
      <c r="AS96" s="214">
        <v>3</v>
      </c>
      <c r="AT96" s="214">
        <v>1</v>
      </c>
      <c r="AU96" s="214">
        <v>0</v>
      </c>
      <c r="AV96" s="214">
        <v>0</v>
      </c>
      <c r="AW96" s="215">
        <v>0</v>
      </c>
      <c r="AX96" s="213" t="s">
        <v>391</v>
      </c>
      <c r="AY96" s="214">
        <v>6</v>
      </c>
      <c r="AZ96" s="214">
        <v>1</v>
      </c>
      <c r="BA96" s="214">
        <v>1</v>
      </c>
      <c r="BB96" s="214">
        <v>0</v>
      </c>
      <c r="BC96" s="214">
        <v>0</v>
      </c>
      <c r="BD96" s="214">
        <v>2</v>
      </c>
      <c r="BE96" s="214">
        <v>0</v>
      </c>
      <c r="BF96" s="214">
        <v>0</v>
      </c>
      <c r="BG96" s="215">
        <v>2</v>
      </c>
      <c r="BH96" s="213" t="s">
        <v>390</v>
      </c>
      <c r="BI96" s="214">
        <v>5</v>
      </c>
      <c r="BJ96" s="214">
        <v>1</v>
      </c>
      <c r="BK96" s="214">
        <v>0</v>
      </c>
      <c r="BL96" s="214">
        <v>0</v>
      </c>
      <c r="BM96" s="214">
        <v>1</v>
      </c>
      <c r="BN96" s="214">
        <v>1</v>
      </c>
      <c r="BO96" s="214">
        <v>1</v>
      </c>
      <c r="BP96" s="214">
        <v>0</v>
      </c>
      <c r="BQ96" s="215">
        <v>0</v>
      </c>
      <c r="BR96" s="213" t="s">
        <v>274</v>
      </c>
      <c r="BS96" s="214">
        <v>3</v>
      </c>
      <c r="BT96" s="214">
        <v>2</v>
      </c>
      <c r="BU96" s="214">
        <v>1</v>
      </c>
      <c r="BV96" s="214">
        <v>0</v>
      </c>
      <c r="BW96" s="214">
        <v>3</v>
      </c>
      <c r="BX96" s="214">
        <v>0</v>
      </c>
      <c r="BY96" s="214">
        <v>0</v>
      </c>
      <c r="BZ96" s="214">
        <v>0</v>
      </c>
      <c r="CA96" s="215">
        <v>1</v>
      </c>
      <c r="CB96" s="213" t="s">
        <v>387</v>
      </c>
      <c r="CC96" s="214">
        <v>5</v>
      </c>
      <c r="CD96" s="214">
        <v>2</v>
      </c>
      <c r="CE96" s="214">
        <v>1</v>
      </c>
      <c r="CF96" s="214">
        <v>1</v>
      </c>
      <c r="CG96" s="214">
        <v>1</v>
      </c>
      <c r="CH96" s="214">
        <v>2</v>
      </c>
      <c r="CI96" s="214">
        <v>0</v>
      </c>
      <c r="CJ96" s="214">
        <v>0</v>
      </c>
      <c r="CK96" s="215">
        <v>4</v>
      </c>
      <c r="CL96" s="213" t="s">
        <v>272</v>
      </c>
      <c r="CM96" s="214">
        <v>6</v>
      </c>
      <c r="CN96" s="214">
        <v>1</v>
      </c>
      <c r="CO96" s="214">
        <v>2</v>
      </c>
      <c r="CP96" s="214">
        <v>3</v>
      </c>
      <c r="CQ96" s="214">
        <v>0</v>
      </c>
      <c r="CR96" s="214">
        <v>0</v>
      </c>
      <c r="CS96" s="214">
        <v>0</v>
      </c>
      <c r="CT96" s="214">
        <v>0</v>
      </c>
      <c r="CU96" s="215">
        <v>2</v>
      </c>
      <c r="CV96" s="213" t="s">
        <v>275</v>
      </c>
      <c r="CW96" s="214">
        <v>4</v>
      </c>
      <c r="CX96" s="214">
        <v>0</v>
      </c>
      <c r="CY96" s="214">
        <v>1</v>
      </c>
      <c r="CZ96" s="214">
        <v>2</v>
      </c>
      <c r="DA96" s="214">
        <v>2</v>
      </c>
      <c r="DB96" s="214">
        <v>0</v>
      </c>
      <c r="DC96" s="214">
        <v>0</v>
      </c>
      <c r="DD96" s="214">
        <v>0</v>
      </c>
      <c r="DE96" s="215">
        <v>1</v>
      </c>
      <c r="DF96" s="213" t="s">
        <v>273</v>
      </c>
      <c r="DG96" s="214">
        <v>6</v>
      </c>
      <c r="DH96" s="214">
        <v>1</v>
      </c>
      <c r="DI96" s="214">
        <v>1</v>
      </c>
      <c r="DJ96" s="214">
        <v>1</v>
      </c>
      <c r="DK96" s="214">
        <v>0</v>
      </c>
      <c r="DL96" s="214">
        <v>2</v>
      </c>
      <c r="DM96" s="214">
        <v>0</v>
      </c>
      <c r="DN96" s="214">
        <v>0</v>
      </c>
      <c r="DO96" s="215">
        <v>4</v>
      </c>
      <c r="DP96" s="213" t="s">
        <v>385</v>
      </c>
      <c r="DQ96" s="214">
        <v>6</v>
      </c>
      <c r="DR96" s="214">
        <v>1</v>
      </c>
      <c r="DS96" s="214">
        <v>2</v>
      </c>
      <c r="DT96" s="214">
        <v>1</v>
      </c>
      <c r="DU96" s="214">
        <v>0</v>
      </c>
      <c r="DV96" s="214">
        <v>1</v>
      </c>
      <c r="DW96" s="214">
        <v>0</v>
      </c>
      <c r="DX96" s="214">
        <v>0</v>
      </c>
      <c r="DY96" s="215">
        <v>5</v>
      </c>
      <c r="DZ96" s="216">
        <f>0+2/3</f>
        <v>0.66666666666666663</v>
      </c>
      <c r="EA96" s="217">
        <v>0</v>
      </c>
      <c r="EB96" s="217">
        <v>0</v>
      </c>
      <c r="EC96" s="218">
        <f>12+1/3</f>
        <v>12.333333333333334</v>
      </c>
      <c r="ED96" s="217">
        <v>1</v>
      </c>
      <c r="EE96" s="219">
        <v>0</v>
      </c>
      <c r="EF96" s="220">
        <v>0</v>
      </c>
      <c r="EG96" s="217">
        <v>0</v>
      </c>
      <c r="EH96" s="217">
        <v>1</v>
      </c>
      <c r="EI96" s="217">
        <v>1</v>
      </c>
      <c r="EJ96" s="217">
        <v>0</v>
      </c>
      <c r="EK96" s="217">
        <v>4</v>
      </c>
      <c r="EL96" s="217">
        <v>2</v>
      </c>
      <c r="EM96" s="217">
        <v>1</v>
      </c>
      <c r="EN96" s="217">
        <v>0</v>
      </c>
      <c r="EO96" s="217">
        <v>0</v>
      </c>
      <c r="EP96" s="217">
        <v>0</v>
      </c>
      <c r="EQ96" s="217">
        <v>1</v>
      </c>
      <c r="ER96" s="217">
        <v>0</v>
      </c>
      <c r="ES96" s="219">
        <f t="shared" si="48"/>
        <v>10</v>
      </c>
      <c r="ET96" s="217">
        <v>0</v>
      </c>
      <c r="EU96" s="217">
        <v>3</v>
      </c>
      <c r="EV96" s="217">
        <v>1</v>
      </c>
      <c r="EW96" s="217">
        <v>0</v>
      </c>
      <c r="EX96" s="217">
        <v>0</v>
      </c>
      <c r="EY96" s="217">
        <v>0</v>
      </c>
      <c r="EZ96" s="217">
        <v>3</v>
      </c>
      <c r="FA96" s="217">
        <v>0</v>
      </c>
      <c r="FB96" s="217">
        <v>2</v>
      </c>
      <c r="FC96" s="217">
        <v>0</v>
      </c>
      <c r="FD96" s="217">
        <v>0</v>
      </c>
      <c r="FE96" s="217">
        <v>1</v>
      </c>
      <c r="FF96" s="217">
        <v>1</v>
      </c>
      <c r="FG96" s="217">
        <f t="shared" si="49"/>
        <v>11</v>
      </c>
      <c r="FH96" s="221">
        <v>45</v>
      </c>
      <c r="FI96" s="221">
        <v>10</v>
      </c>
      <c r="FJ96" s="221">
        <v>9</v>
      </c>
      <c r="FK96" s="221">
        <v>8</v>
      </c>
      <c r="FL96" s="221">
        <v>10</v>
      </c>
      <c r="FM96" s="221">
        <v>9</v>
      </c>
      <c r="FN96" s="221">
        <f t="shared" ref="FN96:FN101" si="78">((SUM(M96,AE96))-(FG96))</f>
        <v>0</v>
      </c>
      <c r="FO96" s="221">
        <f t="shared" ref="FO96:FO101" si="79">((SUM(AP96,AZ96,BJ96,BT96,CD96,CN96,CX96,DH96,DR96))-(ES96))</f>
        <v>0</v>
      </c>
      <c r="FP96" s="221">
        <f t="shared" si="52"/>
        <v>0</v>
      </c>
      <c r="FQ96" s="221">
        <f t="shared" si="53"/>
        <v>0</v>
      </c>
      <c r="FR96" s="221">
        <f t="shared" si="54"/>
        <v>0</v>
      </c>
      <c r="FS96" s="221">
        <f t="shared" si="55"/>
        <v>0</v>
      </c>
      <c r="FT96" s="221">
        <f t="shared" si="56"/>
        <v>0</v>
      </c>
      <c r="FU96" s="221">
        <f t="shared" si="57"/>
        <v>0</v>
      </c>
      <c r="FV96" s="221">
        <f t="shared" si="58"/>
        <v>0</v>
      </c>
      <c r="FW96" s="221">
        <f t="shared" si="59"/>
        <v>-3</v>
      </c>
      <c r="FX96" s="221">
        <f t="shared" si="60"/>
        <v>0</v>
      </c>
      <c r="FY96" s="221">
        <f t="shared" si="61"/>
        <v>1</v>
      </c>
      <c r="FZ96" s="221">
        <f t="shared" si="62"/>
        <v>0</v>
      </c>
      <c r="GA96" s="221">
        <f t="shared" si="63"/>
        <v>4</v>
      </c>
      <c r="GB96" s="221">
        <f t="shared" si="64"/>
        <v>-1</v>
      </c>
      <c r="GC96" s="221">
        <f t="shared" si="65"/>
        <v>1</v>
      </c>
      <c r="GD96" s="221">
        <f t="shared" si="66"/>
        <v>-2</v>
      </c>
      <c r="GE96" s="221">
        <f t="shared" si="67"/>
        <v>0</v>
      </c>
      <c r="GF96" s="221">
        <f t="shared" si="68"/>
        <v>0</v>
      </c>
      <c r="GG96" s="221">
        <f t="shared" si="69"/>
        <v>0</v>
      </c>
      <c r="GH96" s="221">
        <f t="shared" si="70"/>
        <v>-1</v>
      </c>
      <c r="GI96" s="221">
        <f t="shared" si="71"/>
        <v>-1</v>
      </c>
      <c r="GJ96" s="222"/>
      <c r="GK96" s="367"/>
      <c r="GL96" s="376"/>
      <c r="GM96" s="376"/>
      <c r="GP96" s="52"/>
    </row>
    <row r="97" spans="1:198" x14ac:dyDescent="0.25">
      <c r="A97" s="259">
        <v>40380</v>
      </c>
      <c r="B97" s="259" t="s">
        <v>133</v>
      </c>
      <c r="C97" s="259" t="s">
        <v>129</v>
      </c>
      <c r="D97" s="259" t="s">
        <v>130</v>
      </c>
      <c r="E97" s="260">
        <v>19286</v>
      </c>
      <c r="F97" s="208"/>
      <c r="G97" s="206">
        <v>1</v>
      </c>
      <c r="H97" s="207" t="s">
        <v>392</v>
      </c>
      <c r="I97" s="208">
        <v>1</v>
      </c>
      <c r="J97" s="208">
        <v>0</v>
      </c>
      <c r="K97" s="209">
        <f>6+1/3</f>
        <v>6.333333333333333</v>
      </c>
      <c r="L97" s="208">
        <v>8</v>
      </c>
      <c r="M97" s="208">
        <v>4</v>
      </c>
      <c r="N97" s="208">
        <v>4</v>
      </c>
      <c r="O97" s="208">
        <v>1</v>
      </c>
      <c r="P97" s="208">
        <v>1</v>
      </c>
      <c r="Q97" s="208">
        <v>1</v>
      </c>
      <c r="R97" s="208">
        <v>1</v>
      </c>
      <c r="S97" s="208">
        <v>29</v>
      </c>
      <c r="T97" s="208">
        <v>93</v>
      </c>
      <c r="U97" s="208">
        <v>66</v>
      </c>
      <c r="V97" s="208">
        <v>1</v>
      </c>
      <c r="W97" s="210">
        <v>0</v>
      </c>
      <c r="X97" s="208">
        <v>0</v>
      </c>
      <c r="Y97" s="208">
        <v>0</v>
      </c>
      <c r="Z97" s="208">
        <v>2</v>
      </c>
      <c r="AA97" s="208">
        <v>1</v>
      </c>
      <c r="AB97" s="208">
        <v>0</v>
      </c>
      <c r="AC97" s="209">
        <f>2+2/3</f>
        <v>2.6666666666666665</v>
      </c>
      <c r="AD97" s="208">
        <v>1</v>
      </c>
      <c r="AE97" s="208">
        <v>0</v>
      </c>
      <c r="AF97" s="208">
        <v>0</v>
      </c>
      <c r="AG97" s="208">
        <v>0</v>
      </c>
      <c r="AH97" s="208">
        <v>3</v>
      </c>
      <c r="AI97" s="208">
        <v>0</v>
      </c>
      <c r="AJ97" s="208">
        <v>0</v>
      </c>
      <c r="AK97" s="208">
        <v>8</v>
      </c>
      <c r="AL97" s="208">
        <v>42</v>
      </c>
      <c r="AM97" s="208">
        <v>29</v>
      </c>
      <c r="AN97" s="213" t="s">
        <v>389</v>
      </c>
      <c r="AO97" s="214">
        <v>4</v>
      </c>
      <c r="AP97" s="214">
        <v>0</v>
      </c>
      <c r="AQ97" s="214">
        <v>1</v>
      </c>
      <c r="AR97" s="214">
        <v>1</v>
      </c>
      <c r="AS97" s="214">
        <v>1</v>
      </c>
      <c r="AT97" s="214">
        <v>0</v>
      </c>
      <c r="AU97" s="214">
        <v>0</v>
      </c>
      <c r="AV97" s="214">
        <v>0</v>
      </c>
      <c r="AW97" s="215">
        <v>2</v>
      </c>
      <c r="AX97" s="213" t="s">
        <v>384</v>
      </c>
      <c r="AY97" s="214">
        <v>4</v>
      </c>
      <c r="AZ97" s="214">
        <v>0</v>
      </c>
      <c r="BA97" s="214">
        <v>0</v>
      </c>
      <c r="BB97" s="214">
        <v>0</v>
      </c>
      <c r="BC97" s="214">
        <v>1</v>
      </c>
      <c r="BD97" s="214">
        <v>2</v>
      </c>
      <c r="BE97" s="214">
        <v>0</v>
      </c>
      <c r="BF97" s="214">
        <v>0</v>
      </c>
      <c r="BG97" s="215">
        <v>0</v>
      </c>
      <c r="BH97" s="213" t="s">
        <v>390</v>
      </c>
      <c r="BI97" s="214">
        <v>4</v>
      </c>
      <c r="BJ97" s="214">
        <v>2</v>
      </c>
      <c r="BK97" s="214">
        <v>2</v>
      </c>
      <c r="BL97" s="214">
        <v>2</v>
      </c>
      <c r="BM97" s="214">
        <v>1</v>
      </c>
      <c r="BN97" s="214">
        <v>1</v>
      </c>
      <c r="BO97" s="214">
        <v>0</v>
      </c>
      <c r="BP97" s="214">
        <v>0</v>
      </c>
      <c r="BQ97" s="215">
        <v>6</v>
      </c>
      <c r="BR97" s="213" t="s">
        <v>274</v>
      </c>
      <c r="BS97" s="214">
        <v>5</v>
      </c>
      <c r="BT97" s="214">
        <v>0</v>
      </c>
      <c r="BU97" s="214">
        <v>0</v>
      </c>
      <c r="BV97" s="214">
        <v>0</v>
      </c>
      <c r="BW97" s="214">
        <v>0</v>
      </c>
      <c r="BX97" s="214">
        <v>2</v>
      </c>
      <c r="BY97" s="214">
        <v>0</v>
      </c>
      <c r="BZ97" s="214">
        <v>0</v>
      </c>
      <c r="CA97" s="215">
        <v>0</v>
      </c>
      <c r="CB97" s="213" t="s">
        <v>387</v>
      </c>
      <c r="CC97" s="214">
        <v>5</v>
      </c>
      <c r="CD97" s="214">
        <v>1</v>
      </c>
      <c r="CE97" s="214">
        <v>2</v>
      </c>
      <c r="CF97" s="214">
        <v>0</v>
      </c>
      <c r="CG97" s="214">
        <v>0</v>
      </c>
      <c r="CH97" s="214">
        <v>1</v>
      </c>
      <c r="CI97" s="214">
        <v>0</v>
      </c>
      <c r="CJ97" s="214">
        <v>0</v>
      </c>
      <c r="CK97" s="215">
        <v>3</v>
      </c>
      <c r="CL97" s="213" t="s">
        <v>272</v>
      </c>
      <c r="CM97" s="214">
        <v>5</v>
      </c>
      <c r="CN97" s="214">
        <v>1</v>
      </c>
      <c r="CO97" s="214">
        <v>2</v>
      </c>
      <c r="CP97" s="214">
        <v>1</v>
      </c>
      <c r="CQ97" s="214">
        <v>0</v>
      </c>
      <c r="CR97" s="214">
        <v>2</v>
      </c>
      <c r="CS97" s="214">
        <v>0</v>
      </c>
      <c r="CT97" s="214">
        <v>0</v>
      </c>
      <c r="CU97" s="215">
        <v>3</v>
      </c>
      <c r="CV97" s="213" t="s">
        <v>273</v>
      </c>
      <c r="CW97" s="214">
        <v>4</v>
      </c>
      <c r="CX97" s="214">
        <v>0</v>
      </c>
      <c r="CY97" s="214">
        <v>1</v>
      </c>
      <c r="CZ97" s="214">
        <v>0</v>
      </c>
      <c r="DA97" s="214">
        <v>0</v>
      </c>
      <c r="DB97" s="214">
        <v>2</v>
      </c>
      <c r="DC97" s="214">
        <v>0</v>
      </c>
      <c r="DD97" s="214">
        <v>0</v>
      </c>
      <c r="DE97" s="215">
        <v>1</v>
      </c>
      <c r="DF97" s="213" t="s">
        <v>385</v>
      </c>
      <c r="DG97" s="214">
        <v>4</v>
      </c>
      <c r="DH97" s="214">
        <v>0</v>
      </c>
      <c r="DI97" s="214">
        <v>2</v>
      </c>
      <c r="DJ97" s="214">
        <v>1</v>
      </c>
      <c r="DK97" s="214">
        <v>0</v>
      </c>
      <c r="DL97" s="214">
        <v>0</v>
      </c>
      <c r="DM97" s="214">
        <v>0</v>
      </c>
      <c r="DN97" s="214">
        <v>0</v>
      </c>
      <c r="DO97" s="215">
        <v>2</v>
      </c>
      <c r="DP97" s="213" t="s">
        <v>388</v>
      </c>
      <c r="DQ97" s="214">
        <v>3</v>
      </c>
      <c r="DR97" s="214">
        <v>1</v>
      </c>
      <c r="DS97" s="214">
        <v>1</v>
      </c>
      <c r="DT97" s="214">
        <v>0</v>
      </c>
      <c r="DU97" s="214">
        <v>1</v>
      </c>
      <c r="DV97" s="214">
        <v>1</v>
      </c>
      <c r="DW97" s="214">
        <v>0</v>
      </c>
      <c r="DX97" s="214">
        <v>0</v>
      </c>
      <c r="DY97" s="215">
        <v>1</v>
      </c>
      <c r="DZ97" s="216">
        <f>2+1/3</f>
        <v>2.3333333333333335</v>
      </c>
      <c r="EA97" s="217">
        <v>0</v>
      </c>
      <c r="EB97" s="217">
        <v>0</v>
      </c>
      <c r="EC97" s="218">
        <f>6+1/3</f>
        <v>6.333333333333333</v>
      </c>
      <c r="ED97" s="217">
        <v>1</v>
      </c>
      <c r="EE97" s="219">
        <v>0</v>
      </c>
      <c r="EF97" s="220">
        <v>1</v>
      </c>
      <c r="EG97" s="217">
        <v>2</v>
      </c>
      <c r="EH97" s="217">
        <v>1</v>
      </c>
      <c r="EI97" s="217">
        <v>0</v>
      </c>
      <c r="EJ97" s="217">
        <v>0</v>
      </c>
      <c r="EK97" s="217">
        <v>1</v>
      </c>
      <c r="EL97" s="217">
        <v>0</v>
      </c>
      <c r="EM97" s="217">
        <v>0</v>
      </c>
      <c r="EN97" s="217">
        <v>0</v>
      </c>
      <c r="EO97" s="217"/>
      <c r="EP97" s="217"/>
      <c r="EQ97" s="217"/>
      <c r="ER97" s="217"/>
      <c r="ES97" s="219">
        <f t="shared" ref="ES97:ES102" si="80">SUM(EF97:ER97)</f>
        <v>5</v>
      </c>
      <c r="ET97" s="217">
        <v>0</v>
      </c>
      <c r="EU97" s="217">
        <v>0</v>
      </c>
      <c r="EV97" s="217">
        <v>0</v>
      </c>
      <c r="EW97" s="217">
        <v>3</v>
      </c>
      <c r="EX97" s="217">
        <v>1</v>
      </c>
      <c r="EY97" s="217">
        <v>0</v>
      </c>
      <c r="EZ97" s="217">
        <v>0</v>
      </c>
      <c r="FA97" s="217">
        <v>0</v>
      </c>
      <c r="FB97" s="217">
        <v>0</v>
      </c>
      <c r="FC97" s="217"/>
      <c r="FD97" s="217"/>
      <c r="FE97" s="217"/>
      <c r="FF97" s="217"/>
      <c r="FG97" s="217">
        <f t="shared" ref="FG97:FG102" si="81">SUM(ET97:FF97)</f>
        <v>4</v>
      </c>
      <c r="FH97" s="221">
        <v>38</v>
      </c>
      <c r="FI97" s="221">
        <v>5</v>
      </c>
      <c r="FJ97" s="221">
        <v>11</v>
      </c>
      <c r="FK97" s="221">
        <v>5</v>
      </c>
      <c r="FL97" s="221">
        <v>4</v>
      </c>
      <c r="FM97" s="221">
        <v>11</v>
      </c>
      <c r="FN97" s="221">
        <f t="shared" si="78"/>
        <v>0</v>
      </c>
      <c r="FO97" s="221">
        <f t="shared" si="79"/>
        <v>0</v>
      </c>
      <c r="FP97" s="221">
        <f t="shared" si="52"/>
        <v>0</v>
      </c>
      <c r="FQ97" s="221">
        <f t="shared" si="53"/>
        <v>0</v>
      </c>
      <c r="FR97" s="221">
        <f t="shared" si="54"/>
        <v>0</v>
      </c>
      <c r="FS97" s="221">
        <f t="shared" si="55"/>
        <v>0</v>
      </c>
      <c r="FT97" s="221">
        <f t="shared" si="56"/>
        <v>0</v>
      </c>
      <c r="FU97" s="221">
        <f t="shared" si="57"/>
        <v>0</v>
      </c>
      <c r="FV97" s="221">
        <f t="shared" si="58"/>
        <v>1</v>
      </c>
      <c r="FW97" s="221">
        <f t="shared" si="59"/>
        <v>2</v>
      </c>
      <c r="FX97" s="221">
        <f t="shared" si="60"/>
        <v>1</v>
      </c>
      <c r="FY97" s="221">
        <f t="shared" si="61"/>
        <v>-3</v>
      </c>
      <c r="FZ97" s="221">
        <f t="shared" si="62"/>
        <v>-1</v>
      </c>
      <c r="GA97" s="221">
        <f t="shared" si="63"/>
        <v>1</v>
      </c>
      <c r="GB97" s="221">
        <f t="shared" si="64"/>
        <v>0</v>
      </c>
      <c r="GC97" s="221">
        <f t="shared" si="65"/>
        <v>0</v>
      </c>
      <c r="GD97" s="221">
        <f t="shared" si="66"/>
        <v>0</v>
      </c>
      <c r="GE97" s="221">
        <f t="shared" si="67"/>
        <v>0</v>
      </c>
      <c r="GF97" s="221">
        <f t="shared" si="68"/>
        <v>0</v>
      </c>
      <c r="GG97" s="221">
        <f t="shared" si="69"/>
        <v>0</v>
      </c>
      <c r="GH97" s="221">
        <f t="shared" si="70"/>
        <v>0</v>
      </c>
      <c r="GI97" s="221">
        <f t="shared" si="71"/>
        <v>1</v>
      </c>
      <c r="GJ97" s="222"/>
      <c r="GK97" s="367"/>
      <c r="GL97" s="376"/>
      <c r="GM97" s="376"/>
      <c r="GP97" s="52"/>
    </row>
    <row r="98" spans="1:198" x14ac:dyDescent="0.25">
      <c r="A98" s="259">
        <v>40382</v>
      </c>
      <c r="B98" s="259" t="s">
        <v>133</v>
      </c>
      <c r="C98" s="259" t="s">
        <v>131</v>
      </c>
      <c r="D98" s="259" t="s">
        <v>141</v>
      </c>
      <c r="E98" s="260">
        <v>16904</v>
      </c>
      <c r="F98" s="208"/>
      <c r="G98" s="206">
        <v>2</v>
      </c>
      <c r="H98" s="207" t="s">
        <v>395</v>
      </c>
      <c r="I98" s="208">
        <v>0</v>
      </c>
      <c r="J98" s="208">
        <v>1</v>
      </c>
      <c r="K98" s="209">
        <v>5</v>
      </c>
      <c r="L98" s="208">
        <v>5</v>
      </c>
      <c r="M98" s="208">
        <v>2</v>
      </c>
      <c r="N98" s="208">
        <v>2</v>
      </c>
      <c r="O98" s="208">
        <v>3</v>
      </c>
      <c r="P98" s="208">
        <v>4</v>
      </c>
      <c r="Q98" s="208">
        <v>0</v>
      </c>
      <c r="R98" s="208">
        <v>0</v>
      </c>
      <c r="S98" s="208">
        <v>23</v>
      </c>
      <c r="T98" s="208">
        <v>83</v>
      </c>
      <c r="U98" s="208">
        <v>48</v>
      </c>
      <c r="V98" s="208">
        <v>0</v>
      </c>
      <c r="W98" s="210">
        <v>0</v>
      </c>
      <c r="X98" s="208">
        <v>0</v>
      </c>
      <c r="Y98" s="208">
        <v>0</v>
      </c>
      <c r="Z98" s="208">
        <v>0</v>
      </c>
      <c r="AA98" s="208">
        <v>0</v>
      </c>
      <c r="AB98" s="208">
        <v>0</v>
      </c>
      <c r="AC98" s="209">
        <v>1</v>
      </c>
      <c r="AD98" s="208">
        <v>3</v>
      </c>
      <c r="AE98" s="208">
        <v>1</v>
      </c>
      <c r="AF98" s="208">
        <v>1</v>
      </c>
      <c r="AG98" s="208">
        <v>0</v>
      </c>
      <c r="AH98" s="208">
        <v>1</v>
      </c>
      <c r="AI98" s="208">
        <v>1</v>
      </c>
      <c r="AJ98" s="208">
        <v>0</v>
      </c>
      <c r="AK98" s="208">
        <v>6</v>
      </c>
      <c r="AL98" s="208">
        <v>24</v>
      </c>
      <c r="AM98" s="208">
        <v>16</v>
      </c>
      <c r="AN98" s="213" t="s">
        <v>389</v>
      </c>
      <c r="AO98" s="214">
        <v>3</v>
      </c>
      <c r="AP98" s="214">
        <v>0</v>
      </c>
      <c r="AQ98" s="214">
        <v>0</v>
      </c>
      <c r="AR98" s="214">
        <v>0</v>
      </c>
      <c r="AS98" s="214">
        <v>0</v>
      </c>
      <c r="AT98" s="214">
        <v>1</v>
      </c>
      <c r="AU98" s="214">
        <v>0</v>
      </c>
      <c r="AV98" s="214">
        <v>0</v>
      </c>
      <c r="AW98" s="215">
        <v>0</v>
      </c>
      <c r="AX98" s="213" t="s">
        <v>391</v>
      </c>
      <c r="AY98" s="214">
        <v>3</v>
      </c>
      <c r="AZ98" s="214">
        <v>0</v>
      </c>
      <c r="BA98" s="214">
        <v>0</v>
      </c>
      <c r="BB98" s="214">
        <v>0</v>
      </c>
      <c r="BC98" s="214">
        <v>0</v>
      </c>
      <c r="BD98" s="214">
        <v>2</v>
      </c>
      <c r="BE98" s="214">
        <v>0</v>
      </c>
      <c r="BF98" s="214">
        <v>0</v>
      </c>
      <c r="BG98" s="215">
        <v>0</v>
      </c>
      <c r="BH98" s="213" t="s">
        <v>390</v>
      </c>
      <c r="BI98" s="214">
        <v>2</v>
      </c>
      <c r="BJ98" s="214">
        <v>0</v>
      </c>
      <c r="BK98" s="214">
        <v>0</v>
      </c>
      <c r="BL98" s="214">
        <v>0</v>
      </c>
      <c r="BM98" s="214">
        <v>1</v>
      </c>
      <c r="BN98" s="214">
        <v>0</v>
      </c>
      <c r="BO98" s="214">
        <v>0</v>
      </c>
      <c r="BP98" s="214">
        <v>0</v>
      </c>
      <c r="BQ98" s="215">
        <v>0</v>
      </c>
      <c r="BR98" s="213" t="s">
        <v>274</v>
      </c>
      <c r="BS98" s="214">
        <v>2</v>
      </c>
      <c r="BT98" s="214">
        <v>1</v>
      </c>
      <c r="BU98" s="214">
        <v>0</v>
      </c>
      <c r="BV98" s="214">
        <v>0</v>
      </c>
      <c r="BW98" s="214">
        <v>1</v>
      </c>
      <c r="BX98" s="214">
        <v>1</v>
      </c>
      <c r="BY98" s="214">
        <v>0</v>
      </c>
      <c r="BZ98" s="214">
        <v>0</v>
      </c>
      <c r="CA98" s="215">
        <v>0</v>
      </c>
      <c r="CB98" s="213" t="s">
        <v>387</v>
      </c>
      <c r="CC98" s="214">
        <v>3</v>
      </c>
      <c r="CD98" s="214">
        <v>0</v>
      </c>
      <c r="CE98" s="214">
        <v>0</v>
      </c>
      <c r="CF98" s="214">
        <v>0</v>
      </c>
      <c r="CG98" s="214">
        <v>0</v>
      </c>
      <c r="CH98" s="214">
        <v>3</v>
      </c>
      <c r="CI98" s="214">
        <v>0</v>
      </c>
      <c r="CJ98" s="214">
        <v>0</v>
      </c>
      <c r="CK98" s="215">
        <v>0</v>
      </c>
      <c r="CL98" s="213" t="s">
        <v>275</v>
      </c>
      <c r="CM98" s="214">
        <v>3</v>
      </c>
      <c r="CN98" s="214">
        <v>0</v>
      </c>
      <c r="CO98" s="214">
        <v>0</v>
      </c>
      <c r="CP98" s="214">
        <v>1</v>
      </c>
      <c r="CQ98" s="214">
        <v>0</v>
      </c>
      <c r="CR98" s="214">
        <v>0</v>
      </c>
      <c r="CS98" s="214">
        <v>0</v>
      </c>
      <c r="CT98" s="214">
        <v>0</v>
      </c>
      <c r="CU98" s="215">
        <v>0</v>
      </c>
      <c r="CV98" s="213" t="s">
        <v>273</v>
      </c>
      <c r="CW98" s="214">
        <v>2</v>
      </c>
      <c r="CX98" s="214">
        <v>0</v>
      </c>
      <c r="CY98" s="214">
        <v>0</v>
      </c>
      <c r="CZ98" s="214">
        <v>0</v>
      </c>
      <c r="DA98" s="214">
        <v>0</v>
      </c>
      <c r="DB98" s="214">
        <v>2</v>
      </c>
      <c r="DC98" s="214">
        <v>0</v>
      </c>
      <c r="DD98" s="214">
        <v>0</v>
      </c>
      <c r="DE98" s="215">
        <v>0</v>
      </c>
      <c r="DF98" s="213" t="s">
        <v>385</v>
      </c>
      <c r="DG98" s="214">
        <v>2</v>
      </c>
      <c r="DH98" s="214">
        <v>0</v>
      </c>
      <c r="DI98" s="214">
        <v>1</v>
      </c>
      <c r="DJ98" s="214">
        <v>0</v>
      </c>
      <c r="DK98" s="214">
        <v>0</v>
      </c>
      <c r="DL98" s="214">
        <v>1</v>
      </c>
      <c r="DM98" s="214">
        <v>0</v>
      </c>
      <c r="DN98" s="214">
        <v>0</v>
      </c>
      <c r="DO98" s="215">
        <v>1</v>
      </c>
      <c r="DP98" s="213" t="s">
        <v>384</v>
      </c>
      <c r="DQ98" s="214">
        <v>2</v>
      </c>
      <c r="DR98" s="214">
        <v>0</v>
      </c>
      <c r="DS98" s="214">
        <v>0</v>
      </c>
      <c r="DT98" s="214">
        <v>0</v>
      </c>
      <c r="DU98" s="214">
        <v>0</v>
      </c>
      <c r="DV98" s="214">
        <v>0</v>
      </c>
      <c r="DW98" s="214">
        <v>0</v>
      </c>
      <c r="DX98" s="214">
        <v>0</v>
      </c>
      <c r="DY98" s="215">
        <v>0</v>
      </c>
      <c r="DZ98" s="216">
        <v>2</v>
      </c>
      <c r="EA98" s="217">
        <v>0</v>
      </c>
      <c r="EB98" s="217">
        <v>0</v>
      </c>
      <c r="EC98" s="218">
        <v>5</v>
      </c>
      <c r="ED98" s="217">
        <v>1</v>
      </c>
      <c r="EE98" s="219">
        <v>1</v>
      </c>
      <c r="EF98" s="220">
        <v>0</v>
      </c>
      <c r="EG98" s="217">
        <v>1</v>
      </c>
      <c r="EH98" s="217">
        <v>0</v>
      </c>
      <c r="EI98" s="217">
        <v>0</v>
      </c>
      <c r="EJ98" s="217">
        <v>0</v>
      </c>
      <c r="EK98" s="217">
        <v>0</v>
      </c>
      <c r="EL98" s="217">
        <v>0</v>
      </c>
      <c r="EM98" s="217"/>
      <c r="EN98" s="217"/>
      <c r="EO98" s="217"/>
      <c r="EP98" s="217"/>
      <c r="EQ98" s="217"/>
      <c r="ER98" s="217"/>
      <c r="ES98" s="219">
        <f t="shared" si="80"/>
        <v>1</v>
      </c>
      <c r="ET98" s="217">
        <v>1</v>
      </c>
      <c r="EU98" s="217">
        <v>0</v>
      </c>
      <c r="EV98" s="217">
        <v>1</v>
      </c>
      <c r="EW98" s="217">
        <v>0</v>
      </c>
      <c r="EX98" s="217">
        <v>0</v>
      </c>
      <c r="EY98" s="217">
        <v>1</v>
      </c>
      <c r="EZ98" s="217"/>
      <c r="FA98" s="217"/>
      <c r="FB98" s="217"/>
      <c r="FC98" s="217"/>
      <c r="FD98" s="217"/>
      <c r="FE98" s="217"/>
      <c r="FF98" s="217"/>
      <c r="FG98" s="217">
        <f t="shared" si="81"/>
        <v>3</v>
      </c>
      <c r="FH98" s="221">
        <v>22</v>
      </c>
      <c r="FI98" s="221">
        <v>1</v>
      </c>
      <c r="FJ98" s="221">
        <v>1</v>
      </c>
      <c r="FK98" s="221">
        <v>1</v>
      </c>
      <c r="FL98" s="221">
        <v>2</v>
      </c>
      <c r="FM98" s="221">
        <v>10</v>
      </c>
      <c r="FN98" s="221">
        <f t="shared" si="78"/>
        <v>0</v>
      </c>
      <c r="FO98" s="221">
        <f t="shared" si="79"/>
        <v>0</v>
      </c>
      <c r="FP98" s="221">
        <f t="shared" si="52"/>
        <v>0</v>
      </c>
      <c r="FQ98" s="221">
        <f t="shared" si="53"/>
        <v>0</v>
      </c>
      <c r="FR98" s="221">
        <f t="shared" si="54"/>
        <v>0</v>
      </c>
      <c r="FS98" s="221">
        <f t="shared" si="55"/>
        <v>0</v>
      </c>
      <c r="FT98" s="221">
        <f t="shared" si="56"/>
        <v>0</v>
      </c>
      <c r="FU98" s="221">
        <f t="shared" si="57"/>
        <v>0</v>
      </c>
      <c r="FV98" s="221">
        <f t="shared" si="58"/>
        <v>-1</v>
      </c>
      <c r="FW98" s="221">
        <f t="shared" si="59"/>
        <v>1</v>
      </c>
      <c r="FX98" s="221">
        <f t="shared" si="60"/>
        <v>-1</v>
      </c>
      <c r="FY98" s="221">
        <f t="shared" si="61"/>
        <v>0</v>
      </c>
      <c r="FZ98" s="221">
        <f t="shared" si="62"/>
        <v>0</v>
      </c>
      <c r="GA98" s="221">
        <f t="shared" si="63"/>
        <v>-1</v>
      </c>
      <c r="GB98" s="221">
        <f t="shared" si="64"/>
        <v>0</v>
      </c>
      <c r="GC98" s="221">
        <f t="shared" si="65"/>
        <v>0</v>
      </c>
      <c r="GD98" s="221">
        <f t="shared" si="66"/>
        <v>0</v>
      </c>
      <c r="GE98" s="221">
        <f t="shared" si="67"/>
        <v>0</v>
      </c>
      <c r="GF98" s="221">
        <f t="shared" si="68"/>
        <v>0</v>
      </c>
      <c r="GG98" s="221">
        <f t="shared" si="69"/>
        <v>0</v>
      </c>
      <c r="GH98" s="221">
        <f t="shared" si="70"/>
        <v>0</v>
      </c>
      <c r="GI98" s="221">
        <f t="shared" si="71"/>
        <v>-2</v>
      </c>
      <c r="GJ98" s="222"/>
      <c r="GK98" s="367"/>
      <c r="GL98" s="376"/>
      <c r="GM98" s="376"/>
      <c r="GP98" s="52"/>
    </row>
    <row r="99" spans="1:198" x14ac:dyDescent="0.25">
      <c r="A99" s="259">
        <v>40383</v>
      </c>
      <c r="B99" s="259" t="s">
        <v>133</v>
      </c>
      <c r="C99" s="259" t="s">
        <v>129</v>
      </c>
      <c r="D99" s="259" t="s">
        <v>141</v>
      </c>
      <c r="E99" s="260">
        <v>17221</v>
      </c>
      <c r="F99" s="208"/>
      <c r="G99" s="206">
        <v>3</v>
      </c>
      <c r="H99" s="207" t="s">
        <v>394</v>
      </c>
      <c r="I99" s="208">
        <v>1</v>
      </c>
      <c r="J99" s="208">
        <v>0</v>
      </c>
      <c r="K99" s="209">
        <v>7</v>
      </c>
      <c r="L99" s="208">
        <v>3</v>
      </c>
      <c r="M99" s="208">
        <v>3</v>
      </c>
      <c r="N99" s="208">
        <v>3</v>
      </c>
      <c r="O99" s="208">
        <v>4</v>
      </c>
      <c r="P99" s="208">
        <v>5</v>
      </c>
      <c r="Q99" s="208">
        <v>1</v>
      </c>
      <c r="R99" s="208">
        <v>0</v>
      </c>
      <c r="S99" s="208">
        <v>27</v>
      </c>
      <c r="T99" s="208">
        <v>105</v>
      </c>
      <c r="U99" s="208">
        <v>66</v>
      </c>
      <c r="V99" s="208">
        <v>1</v>
      </c>
      <c r="W99" s="210">
        <v>0</v>
      </c>
      <c r="X99" s="208">
        <v>0</v>
      </c>
      <c r="Y99" s="208">
        <v>0</v>
      </c>
      <c r="Z99" s="208">
        <v>1</v>
      </c>
      <c r="AA99" s="208">
        <v>1</v>
      </c>
      <c r="AB99" s="208">
        <v>0</v>
      </c>
      <c r="AC99" s="209">
        <v>2</v>
      </c>
      <c r="AD99" s="208">
        <v>1</v>
      </c>
      <c r="AE99" s="208">
        <v>0</v>
      </c>
      <c r="AF99" s="208">
        <v>0</v>
      </c>
      <c r="AG99" s="208">
        <v>0</v>
      </c>
      <c r="AH99" s="208">
        <v>4</v>
      </c>
      <c r="AI99" s="208">
        <v>0</v>
      </c>
      <c r="AJ99" s="208">
        <v>0</v>
      </c>
      <c r="AK99" s="208">
        <v>7</v>
      </c>
      <c r="AL99" s="208">
        <v>30</v>
      </c>
      <c r="AM99" s="208">
        <v>24</v>
      </c>
      <c r="AN99" s="213" t="s">
        <v>389</v>
      </c>
      <c r="AO99" s="214">
        <v>5</v>
      </c>
      <c r="AP99" s="214">
        <v>1</v>
      </c>
      <c r="AQ99" s="214">
        <v>1</v>
      </c>
      <c r="AR99" s="214">
        <v>3</v>
      </c>
      <c r="AS99" s="214">
        <v>0</v>
      </c>
      <c r="AT99" s="214">
        <v>0</v>
      </c>
      <c r="AU99" s="214">
        <v>0</v>
      </c>
      <c r="AV99" s="214">
        <v>0</v>
      </c>
      <c r="AW99" s="215">
        <v>4</v>
      </c>
      <c r="AX99" s="213" t="s">
        <v>391</v>
      </c>
      <c r="AY99" s="214">
        <v>5</v>
      </c>
      <c r="AZ99" s="214">
        <v>0</v>
      </c>
      <c r="BA99" s="214">
        <v>1</v>
      </c>
      <c r="BB99" s="214">
        <v>1</v>
      </c>
      <c r="BC99" s="214">
        <v>0</v>
      </c>
      <c r="BD99" s="214">
        <v>2</v>
      </c>
      <c r="BE99" s="214">
        <v>0</v>
      </c>
      <c r="BF99" s="214">
        <v>0</v>
      </c>
      <c r="BG99" s="215">
        <v>2</v>
      </c>
      <c r="BH99" s="213" t="s">
        <v>390</v>
      </c>
      <c r="BI99" s="214">
        <v>5</v>
      </c>
      <c r="BJ99" s="214">
        <v>0</v>
      </c>
      <c r="BK99" s="214">
        <v>0</v>
      </c>
      <c r="BL99" s="214">
        <v>0</v>
      </c>
      <c r="BM99" s="214">
        <v>0</v>
      </c>
      <c r="BN99" s="214">
        <v>1</v>
      </c>
      <c r="BO99" s="214">
        <v>0</v>
      </c>
      <c r="BP99" s="214">
        <v>0</v>
      </c>
      <c r="BQ99" s="215">
        <v>0</v>
      </c>
      <c r="BR99" s="213" t="s">
        <v>274</v>
      </c>
      <c r="BS99" s="214">
        <v>3</v>
      </c>
      <c r="BT99" s="214">
        <v>1</v>
      </c>
      <c r="BU99" s="214">
        <v>1</v>
      </c>
      <c r="BV99" s="214">
        <v>1</v>
      </c>
      <c r="BW99" s="214">
        <v>1</v>
      </c>
      <c r="BX99" s="214">
        <v>1</v>
      </c>
      <c r="BY99" s="214">
        <v>0</v>
      </c>
      <c r="BZ99" s="214">
        <v>0</v>
      </c>
      <c r="CA99" s="215">
        <v>4</v>
      </c>
      <c r="CB99" s="213" t="s">
        <v>387</v>
      </c>
      <c r="CC99" s="214">
        <v>4</v>
      </c>
      <c r="CD99" s="214">
        <v>1</v>
      </c>
      <c r="CE99" s="214">
        <v>1</v>
      </c>
      <c r="CF99" s="214">
        <v>0</v>
      </c>
      <c r="CG99" s="214">
        <v>0</v>
      </c>
      <c r="CH99" s="214">
        <v>1</v>
      </c>
      <c r="CI99" s="214">
        <v>0</v>
      </c>
      <c r="CJ99" s="214">
        <v>0</v>
      </c>
      <c r="CK99" s="215">
        <v>2</v>
      </c>
      <c r="CL99" s="213" t="s">
        <v>271</v>
      </c>
      <c r="CM99" s="214">
        <v>4</v>
      </c>
      <c r="CN99" s="214">
        <v>0</v>
      </c>
      <c r="CO99" s="214">
        <v>1</v>
      </c>
      <c r="CP99" s="214">
        <v>0</v>
      </c>
      <c r="CQ99" s="214">
        <v>0</v>
      </c>
      <c r="CR99" s="214">
        <v>2</v>
      </c>
      <c r="CS99" s="214">
        <v>0</v>
      </c>
      <c r="CT99" s="214">
        <v>0</v>
      </c>
      <c r="CU99" s="215">
        <v>1</v>
      </c>
      <c r="CV99" s="213" t="s">
        <v>273</v>
      </c>
      <c r="CW99" s="214">
        <v>4</v>
      </c>
      <c r="CX99" s="214">
        <v>0</v>
      </c>
      <c r="CY99" s="214">
        <v>1</v>
      </c>
      <c r="CZ99" s="214">
        <v>1</v>
      </c>
      <c r="DA99" s="214">
        <v>0</v>
      </c>
      <c r="DB99" s="214">
        <v>2</v>
      </c>
      <c r="DC99" s="214">
        <v>0</v>
      </c>
      <c r="DD99" s="214">
        <v>0</v>
      </c>
      <c r="DE99" s="215">
        <v>2</v>
      </c>
      <c r="DF99" s="213" t="s">
        <v>388</v>
      </c>
      <c r="DG99" s="214">
        <v>4</v>
      </c>
      <c r="DH99" s="214">
        <v>1</v>
      </c>
      <c r="DI99" s="214">
        <v>1</v>
      </c>
      <c r="DJ99" s="214">
        <v>0</v>
      </c>
      <c r="DK99" s="214">
        <v>0</v>
      </c>
      <c r="DL99" s="214">
        <v>1</v>
      </c>
      <c r="DM99" s="214">
        <v>0</v>
      </c>
      <c r="DN99" s="214">
        <v>0</v>
      </c>
      <c r="DO99" s="215">
        <v>1</v>
      </c>
      <c r="DP99" s="213" t="s">
        <v>384</v>
      </c>
      <c r="DQ99" s="214">
        <v>2</v>
      </c>
      <c r="DR99" s="214">
        <v>2</v>
      </c>
      <c r="DS99" s="214">
        <v>2</v>
      </c>
      <c r="DT99" s="214">
        <v>0</v>
      </c>
      <c r="DU99" s="214">
        <v>0</v>
      </c>
      <c r="DV99" s="214">
        <v>0</v>
      </c>
      <c r="DW99" s="214">
        <v>2</v>
      </c>
      <c r="DX99" s="214">
        <v>0</v>
      </c>
      <c r="DY99" s="215">
        <v>2</v>
      </c>
      <c r="DZ99" s="216">
        <f>0+1/3</f>
        <v>0.33333333333333331</v>
      </c>
      <c r="EA99" s="217">
        <v>0</v>
      </c>
      <c r="EB99" s="217">
        <v>0</v>
      </c>
      <c r="EC99" s="218">
        <f>8+2/3</f>
        <v>8.6666666666666661</v>
      </c>
      <c r="ED99" s="217">
        <v>1</v>
      </c>
      <c r="EE99" s="219">
        <v>0</v>
      </c>
      <c r="EF99" s="220">
        <v>0</v>
      </c>
      <c r="EG99" s="217">
        <v>0</v>
      </c>
      <c r="EH99" s="217">
        <v>0</v>
      </c>
      <c r="EI99" s="217">
        <v>0</v>
      </c>
      <c r="EJ99" s="217">
        <v>3</v>
      </c>
      <c r="EK99" s="217">
        <v>2</v>
      </c>
      <c r="EL99" s="217">
        <v>1</v>
      </c>
      <c r="EM99" s="217">
        <v>0</v>
      </c>
      <c r="EN99" s="217">
        <v>0</v>
      </c>
      <c r="EO99" s="217"/>
      <c r="EP99" s="217"/>
      <c r="EQ99" s="217"/>
      <c r="ER99" s="217"/>
      <c r="ES99" s="219">
        <f t="shared" si="80"/>
        <v>6</v>
      </c>
      <c r="ET99" s="217">
        <v>1</v>
      </c>
      <c r="EU99" s="217">
        <v>2</v>
      </c>
      <c r="EV99" s="217">
        <v>0</v>
      </c>
      <c r="EW99" s="217">
        <v>0</v>
      </c>
      <c r="EX99" s="217">
        <v>0</v>
      </c>
      <c r="EY99" s="217">
        <v>0</v>
      </c>
      <c r="EZ99" s="217">
        <v>0</v>
      </c>
      <c r="FA99" s="217">
        <v>0</v>
      </c>
      <c r="FB99" s="217">
        <v>0</v>
      </c>
      <c r="FC99" s="217"/>
      <c r="FD99" s="217"/>
      <c r="FE99" s="217"/>
      <c r="FF99" s="217"/>
      <c r="FG99" s="217">
        <f t="shared" si="81"/>
        <v>3</v>
      </c>
      <c r="FH99" s="221">
        <v>36</v>
      </c>
      <c r="FI99" s="221">
        <v>6</v>
      </c>
      <c r="FJ99" s="221">
        <v>9</v>
      </c>
      <c r="FK99" s="221">
        <v>6</v>
      </c>
      <c r="FL99" s="221">
        <v>1</v>
      </c>
      <c r="FM99" s="221">
        <v>10</v>
      </c>
      <c r="FN99" s="221">
        <f t="shared" si="78"/>
        <v>0</v>
      </c>
      <c r="FO99" s="221">
        <f t="shared" si="79"/>
        <v>0</v>
      </c>
      <c r="FP99" s="221">
        <f t="shared" si="52"/>
        <v>0</v>
      </c>
      <c r="FQ99" s="221">
        <f t="shared" si="53"/>
        <v>0</v>
      </c>
      <c r="FR99" s="221">
        <f t="shared" si="54"/>
        <v>0</v>
      </c>
      <c r="FS99" s="221">
        <f t="shared" si="55"/>
        <v>0</v>
      </c>
      <c r="FT99" s="221">
        <f t="shared" si="56"/>
        <v>0</v>
      </c>
      <c r="FU99" s="221">
        <f t="shared" si="57"/>
        <v>0</v>
      </c>
      <c r="FV99" s="221">
        <f t="shared" si="58"/>
        <v>-1</v>
      </c>
      <c r="FW99" s="221">
        <f t="shared" si="59"/>
        <v>-2</v>
      </c>
      <c r="FX99" s="221">
        <f t="shared" si="60"/>
        <v>0</v>
      </c>
      <c r="FY99" s="221">
        <f t="shared" si="61"/>
        <v>0</v>
      </c>
      <c r="FZ99" s="221">
        <f t="shared" si="62"/>
        <v>3</v>
      </c>
      <c r="GA99" s="221">
        <f t="shared" si="63"/>
        <v>2</v>
      </c>
      <c r="GB99" s="221">
        <f t="shared" si="64"/>
        <v>1</v>
      </c>
      <c r="GC99" s="221">
        <f t="shared" si="65"/>
        <v>0</v>
      </c>
      <c r="GD99" s="221">
        <f t="shared" si="66"/>
        <v>0</v>
      </c>
      <c r="GE99" s="221">
        <f t="shared" si="67"/>
        <v>0</v>
      </c>
      <c r="GF99" s="221">
        <f t="shared" si="68"/>
        <v>0</v>
      </c>
      <c r="GG99" s="221">
        <f t="shared" si="69"/>
        <v>0</v>
      </c>
      <c r="GH99" s="221">
        <f t="shared" si="70"/>
        <v>0</v>
      </c>
      <c r="GI99" s="221">
        <f t="shared" si="71"/>
        <v>3</v>
      </c>
      <c r="GJ99" s="222"/>
      <c r="GK99" s="367"/>
      <c r="GL99" s="376"/>
      <c r="GM99" s="376"/>
      <c r="GP99" s="52"/>
    </row>
    <row r="100" spans="1:198" x14ac:dyDescent="0.25">
      <c r="A100" s="259">
        <v>40384</v>
      </c>
      <c r="B100" s="259" t="s">
        <v>133</v>
      </c>
      <c r="C100" s="259" t="s">
        <v>129</v>
      </c>
      <c r="D100" s="259" t="s">
        <v>141</v>
      </c>
      <c r="E100" s="260">
        <v>13410</v>
      </c>
      <c r="F100" s="208"/>
      <c r="G100" s="206">
        <v>4</v>
      </c>
      <c r="H100" s="207" t="s">
        <v>393</v>
      </c>
      <c r="I100" s="208">
        <v>1</v>
      </c>
      <c r="J100" s="208">
        <v>0</v>
      </c>
      <c r="K100" s="209">
        <f>6+1/3</f>
        <v>6.333333333333333</v>
      </c>
      <c r="L100" s="208">
        <v>7</v>
      </c>
      <c r="M100" s="208">
        <v>2</v>
      </c>
      <c r="N100" s="208">
        <v>2</v>
      </c>
      <c r="O100" s="208">
        <v>1</v>
      </c>
      <c r="P100" s="208">
        <v>4</v>
      </c>
      <c r="Q100" s="208">
        <v>0</v>
      </c>
      <c r="R100" s="208">
        <v>1</v>
      </c>
      <c r="S100" s="208">
        <v>28</v>
      </c>
      <c r="T100" s="208">
        <v>100</v>
      </c>
      <c r="U100" s="208">
        <v>60</v>
      </c>
      <c r="V100" s="208">
        <v>1</v>
      </c>
      <c r="W100" s="210">
        <v>0</v>
      </c>
      <c r="X100" s="208">
        <v>0</v>
      </c>
      <c r="Y100" s="208">
        <v>0</v>
      </c>
      <c r="Z100" s="208">
        <v>2</v>
      </c>
      <c r="AA100" s="208">
        <v>1</v>
      </c>
      <c r="AB100" s="208">
        <v>0</v>
      </c>
      <c r="AC100" s="209">
        <f>2+2/3</f>
        <v>2.6666666666666665</v>
      </c>
      <c r="AD100" s="208">
        <v>4</v>
      </c>
      <c r="AE100" s="208">
        <v>0</v>
      </c>
      <c r="AF100" s="208">
        <v>0</v>
      </c>
      <c r="AG100" s="208">
        <v>0</v>
      </c>
      <c r="AH100" s="208">
        <v>1</v>
      </c>
      <c r="AI100" s="208">
        <v>0</v>
      </c>
      <c r="AJ100" s="208">
        <v>0</v>
      </c>
      <c r="AK100" s="208">
        <v>12</v>
      </c>
      <c r="AL100" s="208">
        <v>37</v>
      </c>
      <c r="AM100" s="208">
        <v>28</v>
      </c>
      <c r="AN100" s="213" t="s">
        <v>389</v>
      </c>
      <c r="AO100" s="214">
        <v>4</v>
      </c>
      <c r="AP100" s="214">
        <v>0</v>
      </c>
      <c r="AQ100" s="214">
        <v>1</v>
      </c>
      <c r="AR100" s="214">
        <v>0</v>
      </c>
      <c r="AS100" s="214">
        <v>0</v>
      </c>
      <c r="AT100" s="214">
        <v>0</v>
      </c>
      <c r="AU100" s="214">
        <v>0</v>
      </c>
      <c r="AV100" s="214">
        <v>0</v>
      </c>
      <c r="AW100" s="215">
        <v>1</v>
      </c>
      <c r="AX100" s="213" t="s">
        <v>391</v>
      </c>
      <c r="AY100" s="214">
        <v>2</v>
      </c>
      <c r="AZ100" s="214">
        <v>0</v>
      </c>
      <c r="BA100" s="214">
        <v>0</v>
      </c>
      <c r="BB100" s="214">
        <v>1</v>
      </c>
      <c r="BC100" s="214">
        <v>1</v>
      </c>
      <c r="BD100" s="214">
        <v>1</v>
      </c>
      <c r="BE100" s="214">
        <v>0</v>
      </c>
      <c r="BF100" s="214">
        <v>1</v>
      </c>
      <c r="BG100" s="215">
        <v>0</v>
      </c>
      <c r="BH100" s="213" t="s">
        <v>390</v>
      </c>
      <c r="BI100" s="214">
        <v>3</v>
      </c>
      <c r="BJ100" s="214">
        <v>0</v>
      </c>
      <c r="BK100" s="214">
        <v>0</v>
      </c>
      <c r="BL100" s="214">
        <v>0</v>
      </c>
      <c r="BM100" s="214">
        <v>1</v>
      </c>
      <c r="BN100" s="214">
        <v>2</v>
      </c>
      <c r="BO100" s="214">
        <v>0</v>
      </c>
      <c r="BP100" s="214">
        <v>0</v>
      </c>
      <c r="BQ100" s="215">
        <v>0</v>
      </c>
      <c r="BR100" s="213" t="s">
        <v>274</v>
      </c>
      <c r="BS100" s="214">
        <v>4</v>
      </c>
      <c r="BT100" s="214">
        <v>0</v>
      </c>
      <c r="BU100" s="214">
        <v>0</v>
      </c>
      <c r="BV100" s="214">
        <v>0</v>
      </c>
      <c r="BW100" s="214">
        <v>0</v>
      </c>
      <c r="BX100" s="214">
        <v>0</v>
      </c>
      <c r="BY100" s="214">
        <v>0</v>
      </c>
      <c r="BZ100" s="214">
        <v>0</v>
      </c>
      <c r="CA100" s="215">
        <v>0</v>
      </c>
      <c r="CB100" s="213" t="s">
        <v>387</v>
      </c>
      <c r="CC100" s="214">
        <v>4</v>
      </c>
      <c r="CD100" s="214">
        <v>0</v>
      </c>
      <c r="CE100" s="214">
        <v>1</v>
      </c>
      <c r="CF100" s="214">
        <v>0</v>
      </c>
      <c r="CG100" s="214">
        <v>0</v>
      </c>
      <c r="CH100" s="214">
        <v>1</v>
      </c>
      <c r="CI100" s="214">
        <v>0</v>
      </c>
      <c r="CJ100" s="214">
        <v>0</v>
      </c>
      <c r="CK100" s="215">
        <v>1</v>
      </c>
      <c r="CL100" s="213" t="s">
        <v>272</v>
      </c>
      <c r="CM100" s="214">
        <v>3</v>
      </c>
      <c r="CN100" s="214">
        <v>1</v>
      </c>
      <c r="CO100" s="214">
        <v>2</v>
      </c>
      <c r="CP100" s="214">
        <v>0</v>
      </c>
      <c r="CQ100" s="214">
        <v>1</v>
      </c>
      <c r="CR100" s="214">
        <v>1</v>
      </c>
      <c r="CS100" s="214">
        <v>0</v>
      </c>
      <c r="CT100" s="214">
        <v>0</v>
      </c>
      <c r="CU100" s="215">
        <v>3</v>
      </c>
      <c r="CV100" s="213" t="s">
        <v>275</v>
      </c>
      <c r="CW100" s="214">
        <v>4</v>
      </c>
      <c r="CX100" s="214">
        <v>1</v>
      </c>
      <c r="CY100" s="214">
        <v>2</v>
      </c>
      <c r="CZ100" s="214">
        <v>0</v>
      </c>
      <c r="DA100" s="214">
        <v>0</v>
      </c>
      <c r="DB100" s="214">
        <v>0</v>
      </c>
      <c r="DC100" s="214">
        <v>0</v>
      </c>
      <c r="DD100" s="214">
        <v>0</v>
      </c>
      <c r="DE100" s="215">
        <v>3</v>
      </c>
      <c r="DF100" s="213" t="s">
        <v>385</v>
      </c>
      <c r="DG100" s="214">
        <v>3</v>
      </c>
      <c r="DH100" s="214">
        <v>1</v>
      </c>
      <c r="DI100" s="214">
        <v>1</v>
      </c>
      <c r="DJ100" s="214">
        <v>3</v>
      </c>
      <c r="DK100" s="214">
        <v>0</v>
      </c>
      <c r="DL100" s="214">
        <v>0</v>
      </c>
      <c r="DM100" s="214">
        <v>0</v>
      </c>
      <c r="DN100" s="214">
        <v>0</v>
      </c>
      <c r="DO100" s="215">
        <v>4</v>
      </c>
      <c r="DP100" s="213" t="s">
        <v>384</v>
      </c>
      <c r="DQ100" s="214">
        <v>3</v>
      </c>
      <c r="DR100" s="214">
        <v>1</v>
      </c>
      <c r="DS100" s="214">
        <v>0</v>
      </c>
      <c r="DT100" s="214">
        <v>0</v>
      </c>
      <c r="DU100" s="214">
        <v>0</v>
      </c>
      <c r="DV100" s="214">
        <v>1</v>
      </c>
      <c r="DW100" s="214">
        <v>0</v>
      </c>
      <c r="DX100" s="214">
        <v>0</v>
      </c>
      <c r="DY100" s="215">
        <v>0</v>
      </c>
      <c r="DZ100" s="216">
        <v>1</v>
      </c>
      <c r="EA100" s="217">
        <v>0</v>
      </c>
      <c r="EB100" s="217">
        <v>2</v>
      </c>
      <c r="EC100" s="218">
        <v>8</v>
      </c>
      <c r="ED100" s="217">
        <v>2</v>
      </c>
      <c r="EE100" s="219">
        <v>1</v>
      </c>
      <c r="EF100" s="220">
        <v>0</v>
      </c>
      <c r="EG100" s="217">
        <v>3</v>
      </c>
      <c r="EH100" s="217">
        <v>0</v>
      </c>
      <c r="EI100" s="217">
        <v>0</v>
      </c>
      <c r="EJ100" s="217">
        <v>1</v>
      </c>
      <c r="EK100" s="217">
        <v>0</v>
      </c>
      <c r="EL100" s="217">
        <v>0</v>
      </c>
      <c r="EM100" s="217">
        <v>0</v>
      </c>
      <c r="EN100" s="217">
        <v>0</v>
      </c>
      <c r="EO100" s="217"/>
      <c r="EP100" s="217"/>
      <c r="EQ100" s="217"/>
      <c r="ER100" s="217"/>
      <c r="ES100" s="219">
        <f t="shared" si="80"/>
        <v>4</v>
      </c>
      <c r="ET100" s="217">
        <v>1</v>
      </c>
      <c r="EU100" s="217">
        <v>1</v>
      </c>
      <c r="EV100" s="217">
        <v>0</v>
      </c>
      <c r="EW100" s="217">
        <v>0</v>
      </c>
      <c r="EX100" s="217">
        <v>0</v>
      </c>
      <c r="EY100" s="217">
        <v>0</v>
      </c>
      <c r="EZ100" s="217">
        <v>0</v>
      </c>
      <c r="FA100" s="217">
        <v>0</v>
      </c>
      <c r="FB100" s="217">
        <v>0</v>
      </c>
      <c r="FC100" s="217"/>
      <c r="FD100" s="217"/>
      <c r="FE100" s="217"/>
      <c r="FF100" s="217"/>
      <c r="FG100" s="217">
        <f t="shared" si="81"/>
        <v>2</v>
      </c>
      <c r="FH100" s="221">
        <v>30</v>
      </c>
      <c r="FI100" s="221">
        <v>4</v>
      </c>
      <c r="FJ100" s="221">
        <v>7</v>
      </c>
      <c r="FK100" s="221">
        <v>4</v>
      </c>
      <c r="FL100" s="221">
        <v>3</v>
      </c>
      <c r="FM100" s="221">
        <v>6</v>
      </c>
      <c r="FN100" s="221">
        <f t="shared" si="78"/>
        <v>0</v>
      </c>
      <c r="FO100" s="221">
        <f t="shared" si="79"/>
        <v>0</v>
      </c>
      <c r="FP100" s="221">
        <f t="shared" ref="FP100:FP118" si="82">((SUM(AO100,AY100,BI100,BS100,CC100,CM100,CW100,DG100,DQ100))-(FH100))</f>
        <v>0</v>
      </c>
      <c r="FQ100" s="221">
        <f t="shared" ref="FQ100:FQ118" si="83">((SUM(AP100,AZ100,BJ100,BT100,CD100,CN100,CX100,DH100,DR100))-(FI100))</f>
        <v>0</v>
      </c>
      <c r="FR100" s="221">
        <f t="shared" ref="FR100:FR118" si="84">((SUM(AQ100,BA100,BK100,BU100,CE100,CO100,CY100,DI100,DS100))-(FJ100))</f>
        <v>0</v>
      </c>
      <c r="FS100" s="221">
        <f t="shared" ref="FS100:FS118" si="85">((SUM(AR100,BB100,BL100,BV100,CF100,CP100,CZ100,DJ100,DT100))-(FK100))</f>
        <v>0</v>
      </c>
      <c r="FT100" s="221">
        <f t="shared" ref="FT100:FT118" si="86">((SUM(AS100,BC100,BM100,BW100,CG100,CQ100,DA100,DK100,DU100))-(FL100))</f>
        <v>0</v>
      </c>
      <c r="FU100" s="221">
        <f t="shared" ref="FU100:FU118" si="87">((SUM(AT100,BD100,BN100,BX100,CH100,CR100,DB100,DL100,DV100))-(FM100))</f>
        <v>0</v>
      </c>
      <c r="FV100" s="221">
        <f t="shared" ref="FV100:FV118" si="88">(EF100-ET100)</f>
        <v>-1</v>
      </c>
      <c r="FW100" s="221">
        <f t="shared" ref="FW100:FW118" si="89">(EG100-EU100)</f>
        <v>2</v>
      </c>
      <c r="FX100" s="221">
        <f t="shared" ref="FX100:FX118" si="90">(EH100-EV100)</f>
        <v>0</v>
      </c>
      <c r="FY100" s="221">
        <f t="shared" ref="FY100:FY118" si="91">(EI100-EW100)</f>
        <v>0</v>
      </c>
      <c r="FZ100" s="221">
        <f t="shared" ref="FZ100:FZ118" si="92">(EJ100-EX100)</f>
        <v>1</v>
      </c>
      <c r="GA100" s="221">
        <f t="shared" ref="GA100:GA118" si="93">(EK100-EY100)</f>
        <v>0</v>
      </c>
      <c r="GB100" s="221">
        <f t="shared" ref="GB100:GB118" si="94">(EL100-EZ100)</f>
        <v>0</v>
      </c>
      <c r="GC100" s="221">
        <f t="shared" ref="GC100:GC118" si="95">(EM100-FA100)</f>
        <v>0</v>
      </c>
      <c r="GD100" s="221">
        <f t="shared" ref="GD100:GD118" si="96">(EN100-FB100)</f>
        <v>0</v>
      </c>
      <c r="GE100" s="221">
        <f t="shared" ref="GE100:GE118" si="97">(EO100-FC100)</f>
        <v>0</v>
      </c>
      <c r="GF100" s="221">
        <f t="shared" ref="GF100:GF118" si="98">(EP100-FD100)</f>
        <v>0</v>
      </c>
      <c r="GG100" s="221">
        <f t="shared" ref="GG100:GG118" si="99">(EQ100-FE100)</f>
        <v>0</v>
      </c>
      <c r="GH100" s="221">
        <f t="shared" ref="GH100:GH118" si="100">(ER100-FF100)</f>
        <v>0</v>
      </c>
      <c r="GI100" s="221">
        <f t="shared" ref="GI100:GI118" si="101">(ES100-FG100)</f>
        <v>2</v>
      </c>
      <c r="GJ100" s="222"/>
      <c r="GK100" s="367"/>
      <c r="GL100" s="376"/>
      <c r="GM100" s="376"/>
      <c r="GP100" s="52"/>
    </row>
    <row r="101" spans="1:198" x14ac:dyDescent="0.25">
      <c r="A101" s="259">
        <v>40385</v>
      </c>
      <c r="B101" s="259" t="s">
        <v>19</v>
      </c>
      <c r="C101" s="259" t="s">
        <v>129</v>
      </c>
      <c r="D101" s="259" t="s">
        <v>633</v>
      </c>
      <c r="E101" s="260">
        <v>17009</v>
      </c>
      <c r="F101" s="208"/>
      <c r="G101" s="206">
        <v>5</v>
      </c>
      <c r="H101" s="59" t="s">
        <v>396</v>
      </c>
      <c r="I101" s="208">
        <v>1</v>
      </c>
      <c r="J101" s="208">
        <v>0</v>
      </c>
      <c r="K101" s="209">
        <v>9</v>
      </c>
      <c r="L101" s="208">
        <v>0</v>
      </c>
      <c r="M101" s="208">
        <v>0</v>
      </c>
      <c r="N101" s="208">
        <v>0</v>
      </c>
      <c r="O101" s="208">
        <v>1</v>
      </c>
      <c r="P101" s="208">
        <v>6</v>
      </c>
      <c r="Q101" s="208">
        <v>0</v>
      </c>
      <c r="R101" s="208">
        <v>0</v>
      </c>
      <c r="S101" s="208">
        <v>27</v>
      </c>
      <c r="T101" s="208">
        <v>120</v>
      </c>
      <c r="U101" s="208">
        <v>80</v>
      </c>
      <c r="V101" s="208">
        <v>0</v>
      </c>
      <c r="W101" s="210">
        <v>0</v>
      </c>
      <c r="X101" s="208">
        <v>0</v>
      </c>
      <c r="Y101" s="208">
        <v>0</v>
      </c>
      <c r="Z101" s="208">
        <v>0</v>
      </c>
      <c r="AA101" s="208">
        <v>0</v>
      </c>
      <c r="AB101" s="208">
        <v>0</v>
      </c>
      <c r="AC101" s="209">
        <v>0</v>
      </c>
      <c r="AD101" s="208">
        <v>0</v>
      </c>
      <c r="AE101" s="208">
        <v>0</v>
      </c>
      <c r="AF101" s="208">
        <v>0</v>
      </c>
      <c r="AG101" s="208">
        <v>0</v>
      </c>
      <c r="AH101" s="208">
        <v>0</v>
      </c>
      <c r="AI101" s="208">
        <v>0</v>
      </c>
      <c r="AJ101" s="208">
        <v>0</v>
      </c>
      <c r="AK101" s="208">
        <v>0</v>
      </c>
      <c r="AL101" s="208">
        <v>0</v>
      </c>
      <c r="AM101" s="208">
        <v>0</v>
      </c>
      <c r="AN101" s="1" t="s">
        <v>389</v>
      </c>
      <c r="AO101" s="214">
        <v>3</v>
      </c>
      <c r="AP101" s="214">
        <v>1</v>
      </c>
      <c r="AQ101" s="214">
        <v>0</v>
      </c>
      <c r="AR101" s="214">
        <v>0</v>
      </c>
      <c r="AS101" s="214">
        <v>1</v>
      </c>
      <c r="AT101" s="214">
        <v>0</v>
      </c>
      <c r="AU101" s="214">
        <v>0</v>
      </c>
      <c r="AV101" s="214">
        <v>0</v>
      </c>
      <c r="AW101" s="215">
        <v>0</v>
      </c>
      <c r="AX101" s="1" t="s">
        <v>391</v>
      </c>
      <c r="AY101" s="214">
        <v>3</v>
      </c>
      <c r="AZ101" s="214">
        <v>2</v>
      </c>
      <c r="BA101" s="214">
        <v>1</v>
      </c>
      <c r="BB101" s="214">
        <v>1</v>
      </c>
      <c r="BC101" s="214">
        <v>0</v>
      </c>
      <c r="BD101" s="214">
        <v>0</v>
      </c>
      <c r="BE101" s="214">
        <v>0</v>
      </c>
      <c r="BF101" s="214">
        <v>0</v>
      </c>
      <c r="BG101" s="215">
        <v>4</v>
      </c>
      <c r="BH101" s="1" t="s">
        <v>390</v>
      </c>
      <c r="BI101" s="214">
        <v>3</v>
      </c>
      <c r="BJ101" s="214">
        <v>1</v>
      </c>
      <c r="BK101" s="214">
        <v>0</v>
      </c>
      <c r="BL101" s="214">
        <v>0</v>
      </c>
      <c r="BM101" s="214">
        <v>1</v>
      </c>
      <c r="BN101" s="214">
        <v>1</v>
      </c>
      <c r="BO101" s="214">
        <v>0</v>
      </c>
      <c r="BP101" s="214">
        <v>0</v>
      </c>
      <c r="BQ101" s="215">
        <v>0</v>
      </c>
      <c r="BR101" s="1" t="s">
        <v>274</v>
      </c>
      <c r="BS101" s="214">
        <v>4</v>
      </c>
      <c r="BT101" s="214">
        <v>0</v>
      </c>
      <c r="BU101" s="214">
        <v>0</v>
      </c>
      <c r="BV101" s="214">
        <v>0</v>
      </c>
      <c r="BW101" s="214">
        <v>0</v>
      </c>
      <c r="BX101" s="214">
        <v>2</v>
      </c>
      <c r="BY101" s="214">
        <v>0</v>
      </c>
      <c r="BZ101" s="214">
        <v>0</v>
      </c>
      <c r="CA101" s="215">
        <v>0</v>
      </c>
      <c r="CB101" s="1" t="s">
        <v>387</v>
      </c>
      <c r="CC101" s="214">
        <v>4</v>
      </c>
      <c r="CD101" s="214">
        <v>1</v>
      </c>
      <c r="CE101" s="214">
        <v>1</v>
      </c>
      <c r="CF101" s="214">
        <v>4</v>
      </c>
      <c r="CG101" s="214">
        <v>0</v>
      </c>
      <c r="CH101" s="214">
        <v>2</v>
      </c>
      <c r="CI101" s="214">
        <v>0</v>
      </c>
      <c r="CJ101" s="214">
        <v>0</v>
      </c>
      <c r="CK101" s="215">
        <v>4</v>
      </c>
      <c r="CL101" s="1" t="s">
        <v>384</v>
      </c>
      <c r="CM101" s="214">
        <v>2</v>
      </c>
      <c r="CN101" s="214">
        <v>0</v>
      </c>
      <c r="CO101" s="214">
        <v>1</v>
      </c>
      <c r="CP101" s="214">
        <v>0</v>
      </c>
      <c r="CQ101" s="214">
        <v>1</v>
      </c>
      <c r="CR101" s="214">
        <v>1</v>
      </c>
      <c r="CS101" s="214">
        <v>0</v>
      </c>
      <c r="CT101" s="214">
        <v>0</v>
      </c>
      <c r="CU101" s="215">
        <v>1</v>
      </c>
      <c r="CV101" s="1" t="s">
        <v>385</v>
      </c>
      <c r="CW101" s="214">
        <v>3</v>
      </c>
      <c r="CX101" s="214">
        <v>0</v>
      </c>
      <c r="CY101" s="214">
        <v>0</v>
      </c>
      <c r="CZ101" s="214">
        <v>0</v>
      </c>
      <c r="DA101" s="214">
        <v>0</v>
      </c>
      <c r="DB101" s="214">
        <v>1</v>
      </c>
      <c r="DC101" s="214">
        <v>0</v>
      </c>
      <c r="DD101" s="214">
        <v>0</v>
      </c>
      <c r="DE101" s="215">
        <v>0</v>
      </c>
      <c r="DF101" s="1" t="s">
        <v>273</v>
      </c>
      <c r="DG101" s="214">
        <v>2</v>
      </c>
      <c r="DH101" s="214">
        <v>0</v>
      </c>
      <c r="DI101" s="214">
        <v>0</v>
      </c>
      <c r="DJ101" s="214">
        <v>0</v>
      </c>
      <c r="DK101" s="214">
        <v>1</v>
      </c>
      <c r="DL101" s="214">
        <v>2</v>
      </c>
      <c r="DM101" s="214">
        <v>0</v>
      </c>
      <c r="DN101" s="214">
        <v>0</v>
      </c>
      <c r="DO101" s="215">
        <v>0</v>
      </c>
      <c r="DP101" s="1" t="s">
        <v>388</v>
      </c>
      <c r="DQ101" s="214">
        <v>3</v>
      </c>
      <c r="DR101" s="214">
        <v>0</v>
      </c>
      <c r="DS101" s="214">
        <v>0</v>
      </c>
      <c r="DT101" s="214">
        <v>0</v>
      </c>
      <c r="DU101" s="214">
        <v>0</v>
      </c>
      <c r="DV101" s="214">
        <v>3</v>
      </c>
      <c r="DW101" s="214">
        <v>0</v>
      </c>
      <c r="DX101" s="214">
        <v>0</v>
      </c>
      <c r="DY101" s="215">
        <v>0</v>
      </c>
      <c r="DZ101" s="216">
        <f>0+1/3</f>
        <v>0.33333333333333331</v>
      </c>
      <c r="EA101" s="217">
        <v>0</v>
      </c>
      <c r="EB101" s="217">
        <v>0</v>
      </c>
      <c r="EC101" s="218">
        <f>7+2/3</f>
        <v>7.666666666666667</v>
      </c>
      <c r="ED101" s="217">
        <v>3</v>
      </c>
      <c r="EE101" s="219">
        <v>0</v>
      </c>
      <c r="EF101" s="220">
        <v>0</v>
      </c>
      <c r="EG101" s="217">
        <v>0</v>
      </c>
      <c r="EH101" s="217">
        <v>0</v>
      </c>
      <c r="EI101" s="217">
        <v>0</v>
      </c>
      <c r="EJ101" s="217">
        <v>0</v>
      </c>
      <c r="EK101" s="217">
        <v>4</v>
      </c>
      <c r="EL101" s="217">
        <v>0</v>
      </c>
      <c r="EM101" s="217">
        <v>1</v>
      </c>
      <c r="EN101" s="217"/>
      <c r="EO101" s="217"/>
      <c r="EP101" s="217"/>
      <c r="EQ101" s="217"/>
      <c r="ER101" s="217"/>
      <c r="ES101" s="219">
        <f t="shared" si="80"/>
        <v>5</v>
      </c>
      <c r="ET101" s="217">
        <v>0</v>
      </c>
      <c r="EU101" s="217">
        <v>0</v>
      </c>
      <c r="EV101" s="217">
        <v>0</v>
      </c>
      <c r="EW101" s="217">
        <v>0</v>
      </c>
      <c r="EX101" s="217">
        <v>0</v>
      </c>
      <c r="EY101" s="217">
        <v>0</v>
      </c>
      <c r="EZ101" s="217">
        <v>0</v>
      </c>
      <c r="FA101" s="217">
        <v>0</v>
      </c>
      <c r="FB101" s="217">
        <v>0</v>
      </c>
      <c r="FC101" s="217"/>
      <c r="FD101" s="217"/>
      <c r="FE101" s="217"/>
      <c r="FF101" s="217"/>
      <c r="FG101" s="217">
        <f t="shared" si="81"/>
        <v>0</v>
      </c>
      <c r="FH101" s="221">
        <v>27</v>
      </c>
      <c r="FI101" s="221">
        <v>5</v>
      </c>
      <c r="FJ101" s="221">
        <v>3</v>
      </c>
      <c r="FK101" s="221">
        <v>5</v>
      </c>
      <c r="FL101" s="221">
        <v>4</v>
      </c>
      <c r="FM101" s="221">
        <v>12</v>
      </c>
      <c r="FN101" s="221">
        <f t="shared" si="78"/>
        <v>0</v>
      </c>
      <c r="FO101" s="221">
        <f t="shared" si="79"/>
        <v>0</v>
      </c>
      <c r="FP101" s="221">
        <f t="shared" si="82"/>
        <v>0</v>
      </c>
      <c r="FQ101" s="221">
        <f t="shared" si="83"/>
        <v>0</v>
      </c>
      <c r="FR101" s="221">
        <f t="shared" si="84"/>
        <v>0</v>
      </c>
      <c r="FS101" s="221">
        <f t="shared" si="85"/>
        <v>0</v>
      </c>
      <c r="FT101" s="221">
        <f t="shared" si="86"/>
        <v>0</v>
      </c>
      <c r="FU101" s="221">
        <f t="shared" si="87"/>
        <v>0</v>
      </c>
      <c r="FV101" s="221">
        <f t="shared" si="88"/>
        <v>0</v>
      </c>
      <c r="FW101" s="221">
        <f t="shared" si="89"/>
        <v>0</v>
      </c>
      <c r="FX101" s="221">
        <f t="shared" si="90"/>
        <v>0</v>
      </c>
      <c r="FY101" s="221">
        <f t="shared" si="91"/>
        <v>0</v>
      </c>
      <c r="FZ101" s="221">
        <f t="shared" si="92"/>
        <v>0</v>
      </c>
      <c r="GA101" s="221">
        <f t="shared" si="93"/>
        <v>4</v>
      </c>
      <c r="GB101" s="221">
        <f t="shared" si="94"/>
        <v>0</v>
      </c>
      <c r="GC101" s="221">
        <f t="shared" si="95"/>
        <v>1</v>
      </c>
      <c r="GD101" s="221">
        <f t="shared" si="96"/>
        <v>0</v>
      </c>
      <c r="GE101" s="221">
        <f t="shared" si="97"/>
        <v>0</v>
      </c>
      <c r="GF101" s="221">
        <f t="shared" si="98"/>
        <v>0</v>
      </c>
      <c r="GG101" s="221">
        <f t="shared" si="99"/>
        <v>0</v>
      </c>
      <c r="GH101" s="221">
        <f t="shared" si="100"/>
        <v>0</v>
      </c>
      <c r="GI101" s="221">
        <f t="shared" si="101"/>
        <v>5</v>
      </c>
      <c r="GJ101" s="222"/>
      <c r="GK101" s="367"/>
      <c r="GL101" s="376"/>
      <c r="GM101" s="376"/>
      <c r="GP101" s="52"/>
    </row>
    <row r="102" spans="1:198" x14ac:dyDescent="0.25">
      <c r="A102" s="259">
        <v>40386</v>
      </c>
      <c r="B102" s="259" t="s">
        <v>19</v>
      </c>
      <c r="C102" s="259" t="s">
        <v>129</v>
      </c>
      <c r="D102" s="259" t="s">
        <v>633</v>
      </c>
      <c r="E102" s="260">
        <v>19843</v>
      </c>
      <c r="F102" s="208"/>
      <c r="G102" s="206">
        <v>1</v>
      </c>
      <c r="H102" s="207" t="s">
        <v>392</v>
      </c>
      <c r="I102" s="208">
        <v>1</v>
      </c>
      <c r="J102" s="208">
        <v>0</v>
      </c>
      <c r="K102" s="209">
        <f>6+2/3</f>
        <v>6.666666666666667</v>
      </c>
      <c r="L102" s="208">
        <v>9</v>
      </c>
      <c r="M102" s="208">
        <v>2</v>
      </c>
      <c r="N102" s="208">
        <v>2</v>
      </c>
      <c r="O102" s="208">
        <v>1</v>
      </c>
      <c r="P102" s="208">
        <v>7</v>
      </c>
      <c r="Q102" s="208">
        <v>0</v>
      </c>
      <c r="R102" s="208">
        <v>0</v>
      </c>
      <c r="S102" s="208">
        <v>29</v>
      </c>
      <c r="T102" s="208">
        <v>102</v>
      </c>
      <c r="U102" s="208">
        <v>71</v>
      </c>
      <c r="V102" s="208">
        <v>1</v>
      </c>
      <c r="W102" s="210">
        <v>0</v>
      </c>
      <c r="X102" s="208">
        <v>0</v>
      </c>
      <c r="Y102" s="208">
        <v>0</v>
      </c>
      <c r="Z102" s="208">
        <v>2</v>
      </c>
      <c r="AA102" s="208">
        <v>1</v>
      </c>
      <c r="AB102" s="208">
        <v>0</v>
      </c>
      <c r="AC102" s="209">
        <f>2+1/3</f>
        <v>2.3333333333333335</v>
      </c>
      <c r="AD102" s="208">
        <v>3</v>
      </c>
      <c r="AE102" s="208">
        <v>0</v>
      </c>
      <c r="AF102" s="208">
        <v>0</v>
      </c>
      <c r="AG102" s="208">
        <v>2</v>
      </c>
      <c r="AH102" s="208">
        <v>4</v>
      </c>
      <c r="AI102" s="208">
        <v>0</v>
      </c>
      <c r="AJ102" s="208">
        <v>0</v>
      </c>
      <c r="AK102" s="208">
        <v>11</v>
      </c>
      <c r="AL102" s="208">
        <v>60</v>
      </c>
      <c r="AM102" s="208">
        <v>37</v>
      </c>
      <c r="AN102" s="213" t="s">
        <v>389</v>
      </c>
      <c r="AO102" s="214">
        <v>4</v>
      </c>
      <c r="AP102" s="214">
        <v>0</v>
      </c>
      <c r="AQ102" s="214">
        <v>1</v>
      </c>
      <c r="AR102" s="214">
        <v>0</v>
      </c>
      <c r="AS102" s="214">
        <v>0</v>
      </c>
      <c r="AT102" s="214">
        <v>0</v>
      </c>
      <c r="AU102" s="214">
        <v>0</v>
      </c>
      <c r="AV102" s="214">
        <v>0</v>
      </c>
      <c r="AW102" s="215">
        <v>1</v>
      </c>
      <c r="AX102" s="213" t="s">
        <v>391</v>
      </c>
      <c r="AY102" s="214">
        <v>4</v>
      </c>
      <c r="AZ102" s="214">
        <v>1</v>
      </c>
      <c r="BA102" s="214">
        <v>1</v>
      </c>
      <c r="BB102" s="214">
        <v>0</v>
      </c>
      <c r="BC102" s="214">
        <v>0</v>
      </c>
      <c r="BD102" s="214">
        <v>1</v>
      </c>
      <c r="BE102" s="214">
        <v>0</v>
      </c>
      <c r="BF102" s="214">
        <v>0</v>
      </c>
      <c r="BG102" s="215">
        <v>1</v>
      </c>
      <c r="BH102" s="213" t="s">
        <v>390</v>
      </c>
      <c r="BI102" s="214">
        <v>3</v>
      </c>
      <c r="BJ102" s="214">
        <v>1</v>
      </c>
      <c r="BK102" s="214">
        <v>0</v>
      </c>
      <c r="BL102" s="214">
        <v>0</v>
      </c>
      <c r="BM102" s="214">
        <v>1</v>
      </c>
      <c r="BN102" s="214">
        <v>0</v>
      </c>
      <c r="BO102" s="214">
        <v>0</v>
      </c>
      <c r="BP102" s="214">
        <v>0</v>
      </c>
      <c r="BQ102" s="215">
        <v>0</v>
      </c>
      <c r="BR102" s="213" t="s">
        <v>274</v>
      </c>
      <c r="BS102" s="214">
        <v>3</v>
      </c>
      <c r="BT102" s="214">
        <v>1</v>
      </c>
      <c r="BU102" s="214">
        <v>1</v>
      </c>
      <c r="BV102" s="214">
        <v>2</v>
      </c>
      <c r="BW102" s="214">
        <v>1</v>
      </c>
      <c r="BX102" s="214">
        <v>1</v>
      </c>
      <c r="BY102" s="214">
        <v>0</v>
      </c>
      <c r="BZ102" s="214">
        <v>0</v>
      </c>
      <c r="CA102" s="215">
        <v>4</v>
      </c>
      <c r="CB102" s="213" t="s">
        <v>387</v>
      </c>
      <c r="CC102" s="214">
        <v>3</v>
      </c>
      <c r="CD102" s="214">
        <v>0</v>
      </c>
      <c r="CE102" s="214">
        <v>1</v>
      </c>
      <c r="CF102" s="214">
        <v>1</v>
      </c>
      <c r="CG102" s="214">
        <v>0</v>
      </c>
      <c r="CH102" s="214">
        <v>2</v>
      </c>
      <c r="CI102" s="214">
        <v>0</v>
      </c>
      <c r="CJ102" s="214">
        <v>0</v>
      </c>
      <c r="CK102" s="215">
        <v>2</v>
      </c>
      <c r="CL102" s="213" t="s">
        <v>272</v>
      </c>
      <c r="CM102" s="214">
        <v>2</v>
      </c>
      <c r="CN102" s="214">
        <v>0</v>
      </c>
      <c r="CO102" s="214">
        <v>0</v>
      </c>
      <c r="CP102" s="214">
        <v>0</v>
      </c>
      <c r="CQ102" s="214">
        <v>1</v>
      </c>
      <c r="CR102" s="214">
        <v>0</v>
      </c>
      <c r="CS102" s="214">
        <v>0</v>
      </c>
      <c r="CT102" s="214">
        <v>0</v>
      </c>
      <c r="CU102" s="215">
        <v>0</v>
      </c>
      <c r="CV102" s="213" t="s">
        <v>275</v>
      </c>
      <c r="CW102" s="214">
        <v>3</v>
      </c>
      <c r="CX102" s="214">
        <v>0</v>
      </c>
      <c r="CY102" s="214">
        <v>0</v>
      </c>
      <c r="CZ102" s="214">
        <v>0</v>
      </c>
      <c r="DA102" s="214">
        <v>0</v>
      </c>
      <c r="DB102" s="214">
        <v>2</v>
      </c>
      <c r="DC102" s="214">
        <v>0</v>
      </c>
      <c r="DD102" s="214">
        <v>0</v>
      </c>
      <c r="DE102" s="215">
        <v>0</v>
      </c>
      <c r="DF102" s="213" t="s">
        <v>273</v>
      </c>
      <c r="DG102" s="214">
        <v>3</v>
      </c>
      <c r="DH102" s="214">
        <v>0</v>
      </c>
      <c r="DI102" s="214">
        <v>0</v>
      </c>
      <c r="DJ102" s="214">
        <v>0</v>
      </c>
      <c r="DK102" s="214">
        <v>0</v>
      </c>
      <c r="DL102" s="214">
        <v>0</v>
      </c>
      <c r="DM102" s="214">
        <v>0</v>
      </c>
      <c r="DN102" s="214">
        <v>0</v>
      </c>
      <c r="DO102" s="215">
        <v>0</v>
      </c>
      <c r="DP102" s="213" t="s">
        <v>384</v>
      </c>
      <c r="DQ102" s="214">
        <v>3</v>
      </c>
      <c r="DR102" s="214">
        <v>0</v>
      </c>
      <c r="DS102" s="214">
        <v>1</v>
      </c>
      <c r="DT102" s="214">
        <v>0</v>
      </c>
      <c r="DU102" s="214">
        <v>0</v>
      </c>
      <c r="DV102" s="214">
        <v>0</v>
      </c>
      <c r="DW102" s="214">
        <v>0</v>
      </c>
      <c r="DX102" s="214">
        <v>0</v>
      </c>
      <c r="DY102" s="215">
        <v>1</v>
      </c>
      <c r="DZ102" s="216">
        <v>0</v>
      </c>
      <c r="EA102" s="217">
        <v>0</v>
      </c>
      <c r="EB102" s="217">
        <v>0</v>
      </c>
      <c r="EC102" s="218">
        <v>9</v>
      </c>
      <c r="ED102" s="217">
        <v>4</v>
      </c>
      <c r="EE102" s="219">
        <v>0</v>
      </c>
      <c r="EF102" s="220">
        <v>2</v>
      </c>
      <c r="EG102" s="217">
        <v>0</v>
      </c>
      <c r="EH102" s="217">
        <v>0</v>
      </c>
      <c r="EI102" s="217">
        <v>0</v>
      </c>
      <c r="EJ102" s="217">
        <v>0</v>
      </c>
      <c r="EK102" s="217">
        <v>1</v>
      </c>
      <c r="EL102" s="217">
        <v>0</v>
      </c>
      <c r="EM102" s="217">
        <v>0</v>
      </c>
      <c r="EN102" s="217"/>
      <c r="EO102" s="217"/>
      <c r="EP102" s="217"/>
      <c r="EQ102" s="217"/>
      <c r="ER102" s="217"/>
      <c r="ES102" s="219">
        <f t="shared" si="80"/>
        <v>3</v>
      </c>
      <c r="ET102" s="217">
        <v>0</v>
      </c>
      <c r="EU102" s="217">
        <v>0</v>
      </c>
      <c r="EV102" s="217">
        <v>0</v>
      </c>
      <c r="EW102" s="217">
        <v>0</v>
      </c>
      <c r="EX102" s="217">
        <v>0</v>
      </c>
      <c r="EY102" s="217">
        <v>2</v>
      </c>
      <c r="EZ102" s="217">
        <v>0</v>
      </c>
      <c r="FA102" s="217">
        <v>0</v>
      </c>
      <c r="FB102" s="217">
        <v>0</v>
      </c>
      <c r="FC102" s="217"/>
      <c r="FD102" s="217"/>
      <c r="FE102" s="217"/>
      <c r="FF102" s="217"/>
      <c r="FG102" s="217">
        <f t="shared" si="81"/>
        <v>2</v>
      </c>
      <c r="FH102" s="221">
        <v>28</v>
      </c>
      <c r="FI102" s="221">
        <v>3</v>
      </c>
      <c r="FJ102" s="221">
        <v>5</v>
      </c>
      <c r="FK102" s="221">
        <v>3</v>
      </c>
      <c r="FL102" s="221">
        <v>3</v>
      </c>
      <c r="FM102" s="221">
        <v>6</v>
      </c>
      <c r="FN102" s="221">
        <f t="shared" ref="FN102:FN107" si="102">((SUM(M102,AE102))-(FG102))</f>
        <v>0</v>
      </c>
      <c r="FO102" s="221">
        <f t="shared" ref="FO102:FO107" si="103">((SUM(AP102,AZ102,BJ102,BT102,CD102,CN102,CX102,DH102,DR102))-(ES102))</f>
        <v>0</v>
      </c>
      <c r="FP102" s="221">
        <f t="shared" si="82"/>
        <v>0</v>
      </c>
      <c r="FQ102" s="221">
        <f t="shared" si="83"/>
        <v>0</v>
      </c>
      <c r="FR102" s="221">
        <f t="shared" si="84"/>
        <v>0</v>
      </c>
      <c r="FS102" s="221">
        <f t="shared" si="85"/>
        <v>0</v>
      </c>
      <c r="FT102" s="221">
        <f t="shared" si="86"/>
        <v>0</v>
      </c>
      <c r="FU102" s="221">
        <f t="shared" si="87"/>
        <v>0</v>
      </c>
      <c r="FV102" s="221">
        <f t="shared" si="88"/>
        <v>2</v>
      </c>
      <c r="FW102" s="221">
        <f t="shared" si="89"/>
        <v>0</v>
      </c>
      <c r="FX102" s="221">
        <f t="shared" si="90"/>
        <v>0</v>
      </c>
      <c r="FY102" s="221">
        <f t="shared" si="91"/>
        <v>0</v>
      </c>
      <c r="FZ102" s="221">
        <f t="shared" si="92"/>
        <v>0</v>
      </c>
      <c r="GA102" s="221">
        <f t="shared" si="93"/>
        <v>-1</v>
      </c>
      <c r="GB102" s="221">
        <f t="shared" si="94"/>
        <v>0</v>
      </c>
      <c r="GC102" s="221">
        <f t="shared" si="95"/>
        <v>0</v>
      </c>
      <c r="GD102" s="221">
        <f t="shared" si="96"/>
        <v>0</v>
      </c>
      <c r="GE102" s="221">
        <f t="shared" si="97"/>
        <v>0</v>
      </c>
      <c r="GF102" s="221">
        <f t="shared" si="98"/>
        <v>0</v>
      </c>
      <c r="GG102" s="221">
        <f t="shared" si="99"/>
        <v>0</v>
      </c>
      <c r="GH102" s="221">
        <f t="shared" si="100"/>
        <v>0</v>
      </c>
      <c r="GI102" s="221">
        <f t="shared" si="101"/>
        <v>1</v>
      </c>
      <c r="GJ102" s="222"/>
      <c r="GK102" s="367"/>
      <c r="GL102" s="376"/>
      <c r="GM102" s="376"/>
      <c r="GP102" s="52"/>
    </row>
    <row r="103" spans="1:198" x14ac:dyDescent="0.25">
      <c r="A103" s="259">
        <v>40387</v>
      </c>
      <c r="B103" s="259" t="s">
        <v>19</v>
      </c>
      <c r="C103" s="259" t="s">
        <v>129</v>
      </c>
      <c r="D103" s="259" t="s">
        <v>633</v>
      </c>
      <c r="E103" s="260">
        <v>16209</v>
      </c>
      <c r="F103" s="208"/>
      <c r="G103" s="206">
        <v>2</v>
      </c>
      <c r="H103" s="207" t="s">
        <v>395</v>
      </c>
      <c r="I103" s="208">
        <v>1</v>
      </c>
      <c r="J103" s="208">
        <v>0</v>
      </c>
      <c r="K103" s="209">
        <v>6</v>
      </c>
      <c r="L103" s="208">
        <v>8</v>
      </c>
      <c r="M103" s="208">
        <v>4</v>
      </c>
      <c r="N103" s="208">
        <v>4</v>
      </c>
      <c r="O103" s="208">
        <v>2</v>
      </c>
      <c r="P103" s="208">
        <v>4</v>
      </c>
      <c r="Q103" s="208">
        <v>2</v>
      </c>
      <c r="R103" s="208">
        <v>0</v>
      </c>
      <c r="S103" s="208">
        <v>26</v>
      </c>
      <c r="T103" s="208">
        <v>101</v>
      </c>
      <c r="U103" s="208">
        <v>62</v>
      </c>
      <c r="V103" s="208">
        <v>0</v>
      </c>
      <c r="W103" s="210">
        <v>0</v>
      </c>
      <c r="X103" s="208">
        <v>0</v>
      </c>
      <c r="Y103" s="208">
        <v>0</v>
      </c>
      <c r="Z103" s="208">
        <v>2</v>
      </c>
      <c r="AA103" s="208">
        <v>1</v>
      </c>
      <c r="AB103" s="208">
        <v>0</v>
      </c>
      <c r="AC103" s="209">
        <v>3</v>
      </c>
      <c r="AD103" s="208">
        <v>1</v>
      </c>
      <c r="AE103" s="208">
        <v>0</v>
      </c>
      <c r="AF103" s="208">
        <v>0</v>
      </c>
      <c r="AG103" s="208">
        <v>2</v>
      </c>
      <c r="AH103" s="208">
        <v>3</v>
      </c>
      <c r="AI103" s="208">
        <v>0</v>
      </c>
      <c r="AJ103" s="208">
        <v>0</v>
      </c>
      <c r="AK103" s="208">
        <v>12</v>
      </c>
      <c r="AL103" s="208">
        <v>45</v>
      </c>
      <c r="AM103" s="208">
        <v>25</v>
      </c>
      <c r="AN103" s="213" t="s">
        <v>389</v>
      </c>
      <c r="AO103" s="214">
        <v>5</v>
      </c>
      <c r="AP103" s="214">
        <v>1</v>
      </c>
      <c r="AQ103" s="214">
        <v>2</v>
      </c>
      <c r="AR103" s="214">
        <v>0</v>
      </c>
      <c r="AS103" s="214">
        <v>0</v>
      </c>
      <c r="AT103" s="214">
        <v>0</v>
      </c>
      <c r="AU103" s="214">
        <v>0</v>
      </c>
      <c r="AV103" s="214">
        <v>0</v>
      </c>
      <c r="AW103" s="215">
        <v>2</v>
      </c>
      <c r="AX103" s="213" t="s">
        <v>391</v>
      </c>
      <c r="AY103" s="214">
        <v>5</v>
      </c>
      <c r="AZ103" s="214">
        <v>2</v>
      </c>
      <c r="BA103" s="214">
        <v>1</v>
      </c>
      <c r="BB103" s="214">
        <v>1</v>
      </c>
      <c r="BC103" s="214">
        <v>0</v>
      </c>
      <c r="BD103" s="214">
        <v>0</v>
      </c>
      <c r="BE103" s="214">
        <v>0</v>
      </c>
      <c r="BF103" s="214">
        <v>0</v>
      </c>
      <c r="BG103" s="215">
        <v>1</v>
      </c>
      <c r="BH103" s="213" t="s">
        <v>390</v>
      </c>
      <c r="BI103" s="214">
        <v>4</v>
      </c>
      <c r="BJ103" s="214">
        <v>2</v>
      </c>
      <c r="BK103" s="214">
        <v>3</v>
      </c>
      <c r="BL103" s="214">
        <v>2</v>
      </c>
      <c r="BM103" s="214">
        <v>1</v>
      </c>
      <c r="BN103" s="214">
        <v>0</v>
      </c>
      <c r="BO103" s="214">
        <v>0</v>
      </c>
      <c r="BP103" s="214">
        <v>0</v>
      </c>
      <c r="BQ103" s="215">
        <v>6</v>
      </c>
      <c r="BR103" s="213" t="s">
        <v>274</v>
      </c>
      <c r="BS103" s="214">
        <v>3</v>
      </c>
      <c r="BT103" s="214">
        <v>0</v>
      </c>
      <c r="BU103" s="214">
        <v>2</v>
      </c>
      <c r="BV103" s="214">
        <v>1</v>
      </c>
      <c r="BW103" s="214">
        <v>1</v>
      </c>
      <c r="BX103" s="214">
        <v>1</v>
      </c>
      <c r="BY103" s="214">
        <v>1</v>
      </c>
      <c r="BZ103" s="214">
        <v>0</v>
      </c>
      <c r="CA103" s="215">
        <v>2</v>
      </c>
      <c r="CB103" s="213" t="s">
        <v>387</v>
      </c>
      <c r="CC103" s="214">
        <v>4</v>
      </c>
      <c r="CD103" s="214">
        <v>0</v>
      </c>
      <c r="CE103" s="214">
        <v>1</v>
      </c>
      <c r="CF103" s="214">
        <v>1</v>
      </c>
      <c r="CG103" s="214">
        <v>0</v>
      </c>
      <c r="CH103" s="214">
        <v>0</v>
      </c>
      <c r="CI103" s="214">
        <v>0</v>
      </c>
      <c r="CJ103" s="214">
        <v>0</v>
      </c>
      <c r="CK103" s="215">
        <v>1</v>
      </c>
      <c r="CL103" s="213" t="s">
        <v>272</v>
      </c>
      <c r="CM103" s="214">
        <v>4</v>
      </c>
      <c r="CN103" s="214">
        <v>0</v>
      </c>
      <c r="CO103" s="214">
        <v>1</v>
      </c>
      <c r="CP103" s="214">
        <v>1</v>
      </c>
      <c r="CQ103" s="214">
        <v>0</v>
      </c>
      <c r="CR103" s="214">
        <v>1</v>
      </c>
      <c r="CS103" s="214">
        <v>0</v>
      </c>
      <c r="CT103" s="214">
        <v>0</v>
      </c>
      <c r="CU103" s="215">
        <v>1</v>
      </c>
      <c r="CV103" s="213" t="s">
        <v>275</v>
      </c>
      <c r="CW103" s="214">
        <v>4</v>
      </c>
      <c r="CX103" s="214">
        <v>0</v>
      </c>
      <c r="CY103" s="214">
        <v>1</v>
      </c>
      <c r="CZ103" s="214">
        <v>0</v>
      </c>
      <c r="DA103" s="214">
        <v>0</v>
      </c>
      <c r="DB103" s="214">
        <v>1</v>
      </c>
      <c r="DC103" s="214">
        <v>0</v>
      </c>
      <c r="DD103" s="214">
        <v>0</v>
      </c>
      <c r="DE103" s="215">
        <v>1</v>
      </c>
      <c r="DF103" s="213" t="s">
        <v>385</v>
      </c>
      <c r="DG103" s="214">
        <v>4</v>
      </c>
      <c r="DH103" s="214">
        <v>1</v>
      </c>
      <c r="DI103" s="214">
        <v>2</v>
      </c>
      <c r="DJ103" s="214">
        <v>0</v>
      </c>
      <c r="DK103" s="214">
        <v>0</v>
      </c>
      <c r="DL103" s="214">
        <v>0</v>
      </c>
      <c r="DM103" s="214">
        <v>0</v>
      </c>
      <c r="DN103" s="214">
        <v>0</v>
      </c>
      <c r="DO103" s="215">
        <v>3</v>
      </c>
      <c r="DP103" s="213" t="s">
        <v>384</v>
      </c>
      <c r="DQ103" s="214">
        <v>4</v>
      </c>
      <c r="DR103" s="214">
        <v>1</v>
      </c>
      <c r="DS103" s="214">
        <v>1</v>
      </c>
      <c r="DT103" s="214">
        <v>1</v>
      </c>
      <c r="DU103" s="214">
        <v>0</v>
      </c>
      <c r="DV103" s="214">
        <v>0</v>
      </c>
      <c r="DW103" s="214">
        <v>0</v>
      </c>
      <c r="DX103" s="214">
        <v>0</v>
      </c>
      <c r="DY103" s="215">
        <v>1</v>
      </c>
      <c r="DZ103" s="216">
        <f>3+2/3</f>
        <v>3.6666666666666665</v>
      </c>
      <c r="EA103" s="217">
        <v>0</v>
      </c>
      <c r="EB103" s="217">
        <v>0</v>
      </c>
      <c r="EC103" s="218">
        <f>4+1/3</f>
        <v>4.333333333333333</v>
      </c>
      <c r="ED103" s="217">
        <v>2</v>
      </c>
      <c r="EE103" s="219">
        <v>0</v>
      </c>
      <c r="EF103" s="220">
        <v>1</v>
      </c>
      <c r="EG103" s="217">
        <v>0</v>
      </c>
      <c r="EH103" s="217">
        <v>2</v>
      </c>
      <c r="EI103" s="217">
        <v>2</v>
      </c>
      <c r="EJ103" s="217">
        <v>0</v>
      </c>
      <c r="EK103" s="217">
        <v>0</v>
      </c>
      <c r="EL103" s="217">
        <v>0</v>
      </c>
      <c r="EM103" s="217">
        <v>2</v>
      </c>
      <c r="EN103" s="217"/>
      <c r="EO103" s="217"/>
      <c r="EP103" s="217"/>
      <c r="EQ103" s="217"/>
      <c r="ER103" s="217"/>
      <c r="ES103" s="219">
        <f t="shared" ref="ES103:ES112" si="104">SUM(EF103:ER103)</f>
        <v>7</v>
      </c>
      <c r="ET103" s="217">
        <v>2</v>
      </c>
      <c r="EU103" s="217">
        <v>0</v>
      </c>
      <c r="EV103" s="217">
        <v>1</v>
      </c>
      <c r="EW103" s="217">
        <v>0</v>
      </c>
      <c r="EX103" s="217">
        <v>0</v>
      </c>
      <c r="EY103" s="217">
        <v>1</v>
      </c>
      <c r="EZ103" s="217">
        <v>0</v>
      </c>
      <c r="FA103" s="217">
        <v>0</v>
      </c>
      <c r="FB103" s="217">
        <v>0</v>
      </c>
      <c r="FC103" s="217"/>
      <c r="FD103" s="217"/>
      <c r="FE103" s="217"/>
      <c r="FF103" s="217"/>
      <c r="FG103" s="217">
        <f t="shared" ref="FG103:FG112" si="105">SUM(ET103:FF103)</f>
        <v>4</v>
      </c>
      <c r="FH103" s="221">
        <v>37</v>
      </c>
      <c r="FI103" s="221">
        <v>7</v>
      </c>
      <c r="FJ103" s="221">
        <v>14</v>
      </c>
      <c r="FK103" s="221">
        <v>7</v>
      </c>
      <c r="FL103" s="221">
        <v>2</v>
      </c>
      <c r="FM103" s="221">
        <v>3</v>
      </c>
      <c r="FN103" s="221">
        <f t="shared" si="102"/>
        <v>0</v>
      </c>
      <c r="FO103" s="221">
        <f t="shared" si="103"/>
        <v>0</v>
      </c>
      <c r="FP103" s="221">
        <f t="shared" si="82"/>
        <v>0</v>
      </c>
      <c r="FQ103" s="221">
        <f t="shared" si="83"/>
        <v>0</v>
      </c>
      <c r="FR103" s="221">
        <f t="shared" si="84"/>
        <v>0</v>
      </c>
      <c r="FS103" s="221">
        <f t="shared" si="85"/>
        <v>0</v>
      </c>
      <c r="FT103" s="221">
        <f t="shared" si="86"/>
        <v>0</v>
      </c>
      <c r="FU103" s="221">
        <f t="shared" si="87"/>
        <v>0</v>
      </c>
      <c r="FV103" s="221">
        <f t="shared" si="88"/>
        <v>-1</v>
      </c>
      <c r="FW103" s="221">
        <f t="shared" si="89"/>
        <v>0</v>
      </c>
      <c r="FX103" s="221">
        <f t="shared" si="90"/>
        <v>1</v>
      </c>
      <c r="FY103" s="221">
        <f t="shared" si="91"/>
        <v>2</v>
      </c>
      <c r="FZ103" s="221">
        <f t="shared" si="92"/>
        <v>0</v>
      </c>
      <c r="GA103" s="221">
        <f t="shared" si="93"/>
        <v>-1</v>
      </c>
      <c r="GB103" s="221">
        <f t="shared" si="94"/>
        <v>0</v>
      </c>
      <c r="GC103" s="221">
        <f t="shared" si="95"/>
        <v>2</v>
      </c>
      <c r="GD103" s="221">
        <f t="shared" si="96"/>
        <v>0</v>
      </c>
      <c r="GE103" s="221">
        <f t="shared" si="97"/>
        <v>0</v>
      </c>
      <c r="GF103" s="221">
        <f t="shared" si="98"/>
        <v>0</v>
      </c>
      <c r="GG103" s="221">
        <f t="shared" si="99"/>
        <v>0</v>
      </c>
      <c r="GH103" s="221">
        <f t="shared" si="100"/>
        <v>0</v>
      </c>
      <c r="GI103" s="221">
        <f t="shared" si="101"/>
        <v>3</v>
      </c>
      <c r="GJ103" s="222"/>
      <c r="GK103" s="367"/>
      <c r="GL103" s="376"/>
      <c r="GM103" s="376"/>
      <c r="GP103" s="52"/>
    </row>
    <row r="104" spans="1:198" x14ac:dyDescent="0.25">
      <c r="A104" s="259">
        <v>40388</v>
      </c>
      <c r="B104" s="259" t="s">
        <v>19</v>
      </c>
      <c r="C104" s="259" t="s">
        <v>129</v>
      </c>
      <c r="D104" s="259" t="s">
        <v>633</v>
      </c>
      <c r="E104" s="260">
        <v>26716</v>
      </c>
      <c r="F104" s="208"/>
      <c r="G104" s="206">
        <v>3</v>
      </c>
      <c r="H104" s="207" t="s">
        <v>394</v>
      </c>
      <c r="I104" s="208">
        <v>1</v>
      </c>
      <c r="J104" s="208">
        <v>0</v>
      </c>
      <c r="K104" s="209">
        <f>6+1/3</f>
        <v>6.333333333333333</v>
      </c>
      <c r="L104" s="208">
        <v>7</v>
      </c>
      <c r="M104" s="208">
        <v>2</v>
      </c>
      <c r="N104" s="208">
        <v>2</v>
      </c>
      <c r="O104" s="208">
        <v>2</v>
      </c>
      <c r="P104" s="208">
        <v>9</v>
      </c>
      <c r="Q104" s="208">
        <v>0</v>
      </c>
      <c r="R104" s="208">
        <v>1</v>
      </c>
      <c r="S104" s="208">
        <v>29</v>
      </c>
      <c r="T104" s="208">
        <v>115</v>
      </c>
      <c r="U104" s="208">
        <v>78</v>
      </c>
      <c r="V104" s="208">
        <v>2</v>
      </c>
      <c r="W104" s="210">
        <v>0</v>
      </c>
      <c r="X104" s="208">
        <v>0</v>
      </c>
      <c r="Y104" s="208">
        <v>0</v>
      </c>
      <c r="Z104" s="208">
        <v>1</v>
      </c>
      <c r="AA104" s="208">
        <v>1</v>
      </c>
      <c r="AB104" s="208">
        <v>0</v>
      </c>
      <c r="AC104" s="209">
        <f>2+2/3</f>
        <v>2.6666666666666665</v>
      </c>
      <c r="AD104" s="208">
        <v>0</v>
      </c>
      <c r="AE104" s="208">
        <v>0</v>
      </c>
      <c r="AF104" s="208">
        <v>0</v>
      </c>
      <c r="AG104" s="208">
        <v>1</v>
      </c>
      <c r="AH104" s="208">
        <v>3</v>
      </c>
      <c r="AI104" s="208">
        <v>0</v>
      </c>
      <c r="AJ104" s="208">
        <v>0</v>
      </c>
      <c r="AK104" s="208">
        <v>9</v>
      </c>
      <c r="AL104" s="208">
        <v>33</v>
      </c>
      <c r="AM104" s="208">
        <v>18</v>
      </c>
      <c r="AN104" s="213" t="s">
        <v>271</v>
      </c>
      <c r="AO104" s="214">
        <v>3</v>
      </c>
      <c r="AP104" s="214">
        <v>2</v>
      </c>
      <c r="AQ104" s="214">
        <v>1</v>
      </c>
      <c r="AR104" s="214">
        <v>0</v>
      </c>
      <c r="AS104" s="214">
        <v>0</v>
      </c>
      <c r="AT104" s="214">
        <v>0</v>
      </c>
      <c r="AU104" s="214">
        <v>1</v>
      </c>
      <c r="AV104" s="214">
        <v>0</v>
      </c>
      <c r="AW104" s="215">
        <v>1</v>
      </c>
      <c r="AX104" s="213" t="s">
        <v>391</v>
      </c>
      <c r="AY104" s="214">
        <v>4</v>
      </c>
      <c r="AZ104" s="214">
        <v>0</v>
      </c>
      <c r="BA104" s="214">
        <v>1</v>
      </c>
      <c r="BB104" s="214">
        <v>0</v>
      </c>
      <c r="BC104" s="214">
        <v>0</v>
      </c>
      <c r="BD104" s="214">
        <v>0</v>
      </c>
      <c r="BE104" s="214">
        <v>0</v>
      </c>
      <c r="BF104" s="214">
        <v>0</v>
      </c>
      <c r="BG104" s="215">
        <v>1</v>
      </c>
      <c r="BH104" s="213" t="s">
        <v>390</v>
      </c>
      <c r="BI104" s="214">
        <v>3</v>
      </c>
      <c r="BJ104" s="214">
        <v>0</v>
      </c>
      <c r="BK104" s="214">
        <v>0</v>
      </c>
      <c r="BL104" s="214">
        <v>0</v>
      </c>
      <c r="BM104" s="214">
        <v>1</v>
      </c>
      <c r="BN104" s="214">
        <v>2</v>
      </c>
      <c r="BO104" s="214">
        <v>0</v>
      </c>
      <c r="BP104" s="214">
        <v>0</v>
      </c>
      <c r="BQ104" s="215">
        <v>0</v>
      </c>
      <c r="BR104" s="213" t="s">
        <v>274</v>
      </c>
      <c r="BS104" s="214">
        <v>4</v>
      </c>
      <c r="BT104" s="214">
        <v>1</v>
      </c>
      <c r="BU104" s="214">
        <v>3</v>
      </c>
      <c r="BV104" s="214">
        <v>4</v>
      </c>
      <c r="BW104" s="214">
        <v>0</v>
      </c>
      <c r="BX104" s="214">
        <v>0</v>
      </c>
      <c r="BY104" s="214">
        <v>0</v>
      </c>
      <c r="BZ104" s="214">
        <v>0</v>
      </c>
      <c r="CA104" s="215">
        <v>6</v>
      </c>
      <c r="CB104" s="213" t="s">
        <v>387</v>
      </c>
      <c r="CC104" s="214">
        <v>3</v>
      </c>
      <c r="CD104" s="214">
        <v>0</v>
      </c>
      <c r="CE104" s="214">
        <v>0</v>
      </c>
      <c r="CF104" s="214">
        <v>0</v>
      </c>
      <c r="CG104" s="214">
        <v>1</v>
      </c>
      <c r="CH104" s="214">
        <v>2</v>
      </c>
      <c r="CI104" s="214">
        <v>0</v>
      </c>
      <c r="CJ104" s="214">
        <v>0</v>
      </c>
      <c r="CK104" s="215">
        <v>0</v>
      </c>
      <c r="CL104" s="213" t="s">
        <v>272</v>
      </c>
      <c r="CM104" s="214">
        <v>4</v>
      </c>
      <c r="CN104" s="214">
        <v>0</v>
      </c>
      <c r="CO104" s="214">
        <v>0</v>
      </c>
      <c r="CP104" s="214">
        <v>0</v>
      </c>
      <c r="CQ104" s="214">
        <v>0</v>
      </c>
      <c r="CR104" s="214">
        <v>1</v>
      </c>
      <c r="CS104" s="214">
        <v>0</v>
      </c>
      <c r="CT104" s="214">
        <v>0</v>
      </c>
      <c r="CU104" s="215">
        <v>0</v>
      </c>
      <c r="CV104" s="213" t="s">
        <v>385</v>
      </c>
      <c r="CW104" s="214">
        <v>3</v>
      </c>
      <c r="CX104" s="214">
        <v>0</v>
      </c>
      <c r="CY104" s="214">
        <v>0</v>
      </c>
      <c r="CZ104" s="214">
        <v>0</v>
      </c>
      <c r="DA104" s="214">
        <v>0</v>
      </c>
      <c r="DB104" s="214">
        <v>1</v>
      </c>
      <c r="DC104" s="214">
        <v>0</v>
      </c>
      <c r="DD104" s="214">
        <v>0</v>
      </c>
      <c r="DE104" s="215">
        <v>0</v>
      </c>
      <c r="DF104" s="213" t="s">
        <v>388</v>
      </c>
      <c r="DG104" s="214">
        <v>3</v>
      </c>
      <c r="DH104" s="214">
        <v>1</v>
      </c>
      <c r="DI104" s="214">
        <v>1</v>
      </c>
      <c r="DJ104" s="214">
        <v>0</v>
      </c>
      <c r="DK104" s="214">
        <v>0</v>
      </c>
      <c r="DL104" s="214">
        <v>2</v>
      </c>
      <c r="DM104" s="214">
        <v>0</v>
      </c>
      <c r="DN104" s="214">
        <v>0</v>
      </c>
      <c r="DO104" s="215">
        <v>1</v>
      </c>
      <c r="DP104" s="213" t="s">
        <v>386</v>
      </c>
      <c r="DQ104" s="214">
        <v>3</v>
      </c>
      <c r="DR104" s="214">
        <v>0</v>
      </c>
      <c r="DS104" s="214">
        <v>0</v>
      </c>
      <c r="DT104" s="214">
        <v>0</v>
      </c>
      <c r="DU104" s="214">
        <v>0</v>
      </c>
      <c r="DV104" s="214">
        <v>1</v>
      </c>
      <c r="DW104" s="214">
        <v>0</v>
      </c>
      <c r="DX104" s="214">
        <v>0</v>
      </c>
      <c r="DY104" s="215">
        <v>0</v>
      </c>
      <c r="DZ104" s="216">
        <f>0+2/3</f>
        <v>0.66666666666666663</v>
      </c>
      <c r="EA104" s="217">
        <v>0</v>
      </c>
      <c r="EB104" s="217">
        <v>0</v>
      </c>
      <c r="EC104" s="218">
        <f>7+1/3</f>
        <v>7.333333333333333</v>
      </c>
      <c r="ED104" s="217">
        <v>0</v>
      </c>
      <c r="EE104" s="219">
        <v>0</v>
      </c>
      <c r="EF104" s="220">
        <v>0</v>
      </c>
      <c r="EG104" s="217">
        <v>1</v>
      </c>
      <c r="EH104" s="217">
        <v>2</v>
      </c>
      <c r="EI104" s="217">
        <v>0</v>
      </c>
      <c r="EJ104" s="217">
        <v>0</v>
      </c>
      <c r="EK104" s="217">
        <v>0</v>
      </c>
      <c r="EL104" s="217">
        <v>0</v>
      </c>
      <c r="EM104" s="217">
        <v>1</v>
      </c>
      <c r="EN104" s="217"/>
      <c r="EO104" s="217"/>
      <c r="EP104" s="217"/>
      <c r="EQ104" s="217"/>
      <c r="ER104" s="217"/>
      <c r="ES104" s="219">
        <f t="shared" si="104"/>
        <v>4</v>
      </c>
      <c r="ET104" s="217">
        <v>0</v>
      </c>
      <c r="EU104" s="217">
        <v>0</v>
      </c>
      <c r="EV104" s="217">
        <v>1</v>
      </c>
      <c r="EW104" s="217">
        <v>0</v>
      </c>
      <c r="EX104" s="217">
        <v>0</v>
      </c>
      <c r="EY104" s="217">
        <v>0</v>
      </c>
      <c r="EZ104" s="217">
        <v>1</v>
      </c>
      <c r="FA104" s="217">
        <v>0</v>
      </c>
      <c r="FB104" s="217">
        <v>0</v>
      </c>
      <c r="FC104" s="217"/>
      <c r="FD104" s="217"/>
      <c r="FE104" s="217"/>
      <c r="FF104" s="217"/>
      <c r="FG104" s="217">
        <f t="shared" si="105"/>
        <v>2</v>
      </c>
      <c r="FH104" s="221">
        <v>30</v>
      </c>
      <c r="FI104" s="221">
        <v>4</v>
      </c>
      <c r="FJ104" s="221">
        <v>6</v>
      </c>
      <c r="FK104" s="221">
        <v>4</v>
      </c>
      <c r="FL104" s="221">
        <v>2</v>
      </c>
      <c r="FM104" s="221">
        <v>9</v>
      </c>
      <c r="FN104" s="221">
        <f t="shared" si="102"/>
        <v>0</v>
      </c>
      <c r="FO104" s="221">
        <f t="shared" si="103"/>
        <v>0</v>
      </c>
      <c r="FP104" s="221">
        <f t="shared" si="82"/>
        <v>0</v>
      </c>
      <c r="FQ104" s="221">
        <f t="shared" si="83"/>
        <v>0</v>
      </c>
      <c r="FR104" s="221">
        <f t="shared" si="84"/>
        <v>0</v>
      </c>
      <c r="FS104" s="221">
        <f t="shared" si="85"/>
        <v>0</v>
      </c>
      <c r="FT104" s="221">
        <f t="shared" si="86"/>
        <v>0</v>
      </c>
      <c r="FU104" s="221">
        <f t="shared" si="87"/>
        <v>0</v>
      </c>
      <c r="FV104" s="221">
        <f t="shared" si="88"/>
        <v>0</v>
      </c>
      <c r="FW104" s="221">
        <f t="shared" si="89"/>
        <v>1</v>
      </c>
      <c r="FX104" s="221">
        <f t="shared" si="90"/>
        <v>1</v>
      </c>
      <c r="FY104" s="221">
        <f t="shared" si="91"/>
        <v>0</v>
      </c>
      <c r="FZ104" s="221">
        <f t="shared" si="92"/>
        <v>0</v>
      </c>
      <c r="GA104" s="221">
        <f t="shared" si="93"/>
        <v>0</v>
      </c>
      <c r="GB104" s="221">
        <f t="shared" si="94"/>
        <v>-1</v>
      </c>
      <c r="GC104" s="221">
        <f t="shared" si="95"/>
        <v>1</v>
      </c>
      <c r="GD104" s="221">
        <f t="shared" si="96"/>
        <v>0</v>
      </c>
      <c r="GE104" s="221">
        <f t="shared" si="97"/>
        <v>0</v>
      </c>
      <c r="GF104" s="221">
        <f t="shared" si="98"/>
        <v>0</v>
      </c>
      <c r="GG104" s="221">
        <f t="shared" si="99"/>
        <v>0</v>
      </c>
      <c r="GH104" s="221">
        <f t="shared" si="100"/>
        <v>0</v>
      </c>
      <c r="GI104" s="221">
        <f t="shared" si="101"/>
        <v>2</v>
      </c>
      <c r="GJ104" s="222"/>
      <c r="GK104" s="367"/>
      <c r="GL104" s="376"/>
      <c r="GM104" s="376"/>
      <c r="GP104" s="52"/>
    </row>
    <row r="105" spans="1:198" x14ac:dyDescent="0.25">
      <c r="A105" s="259">
        <v>40389</v>
      </c>
      <c r="B105" s="259" t="s">
        <v>19</v>
      </c>
      <c r="C105" s="259" t="s">
        <v>129</v>
      </c>
      <c r="D105" s="259" t="s">
        <v>132</v>
      </c>
      <c r="E105" s="260">
        <v>36973</v>
      </c>
      <c r="F105" s="208"/>
      <c r="G105" s="206">
        <v>4</v>
      </c>
      <c r="H105" s="207" t="s">
        <v>393</v>
      </c>
      <c r="I105" s="208">
        <v>1</v>
      </c>
      <c r="J105" s="208">
        <v>0</v>
      </c>
      <c r="K105" s="209">
        <v>7</v>
      </c>
      <c r="L105" s="208">
        <v>4</v>
      </c>
      <c r="M105" s="208">
        <v>2</v>
      </c>
      <c r="N105" s="208">
        <v>2</v>
      </c>
      <c r="O105" s="208">
        <v>3</v>
      </c>
      <c r="P105" s="208">
        <v>6</v>
      </c>
      <c r="Q105" s="208">
        <v>1</v>
      </c>
      <c r="R105" s="208">
        <v>0</v>
      </c>
      <c r="S105" s="208">
        <v>27</v>
      </c>
      <c r="T105" s="208">
        <v>115</v>
      </c>
      <c r="U105" s="208">
        <v>68</v>
      </c>
      <c r="V105" s="208">
        <v>0</v>
      </c>
      <c r="W105" s="210">
        <v>0</v>
      </c>
      <c r="X105" s="208">
        <v>0</v>
      </c>
      <c r="Y105" s="208">
        <v>0</v>
      </c>
      <c r="Z105" s="208">
        <v>1</v>
      </c>
      <c r="AA105" s="208">
        <v>1</v>
      </c>
      <c r="AB105" s="208">
        <v>0</v>
      </c>
      <c r="AC105" s="209">
        <v>2</v>
      </c>
      <c r="AD105" s="208">
        <v>0</v>
      </c>
      <c r="AE105" s="208">
        <v>0</v>
      </c>
      <c r="AF105" s="208">
        <v>0</v>
      </c>
      <c r="AG105" s="208">
        <v>0</v>
      </c>
      <c r="AH105" s="208">
        <v>0</v>
      </c>
      <c r="AI105" s="208">
        <v>0</v>
      </c>
      <c r="AJ105" s="208">
        <v>0</v>
      </c>
      <c r="AK105" s="208">
        <v>6</v>
      </c>
      <c r="AL105" s="208">
        <v>18</v>
      </c>
      <c r="AM105" s="208">
        <v>13</v>
      </c>
      <c r="AN105" s="213" t="s">
        <v>275</v>
      </c>
      <c r="AO105" s="214">
        <v>4</v>
      </c>
      <c r="AP105" s="214">
        <v>1</v>
      </c>
      <c r="AQ105" s="214">
        <v>1</v>
      </c>
      <c r="AR105" s="214">
        <v>0</v>
      </c>
      <c r="AS105" s="214">
        <v>0</v>
      </c>
      <c r="AT105" s="214">
        <v>0</v>
      </c>
      <c r="AU105" s="214">
        <v>0</v>
      </c>
      <c r="AV105" s="214">
        <v>0</v>
      </c>
      <c r="AW105" s="215">
        <v>1</v>
      </c>
      <c r="AX105" s="213" t="s">
        <v>391</v>
      </c>
      <c r="AY105" s="214">
        <v>4</v>
      </c>
      <c r="AZ105" s="214">
        <v>0</v>
      </c>
      <c r="BA105" s="214">
        <v>0</v>
      </c>
      <c r="BB105" s="214">
        <v>0</v>
      </c>
      <c r="BC105" s="214">
        <v>0</v>
      </c>
      <c r="BD105" s="214">
        <v>1</v>
      </c>
      <c r="BE105" s="214">
        <v>0</v>
      </c>
      <c r="BF105" s="214">
        <v>0</v>
      </c>
      <c r="BG105" s="215">
        <v>0</v>
      </c>
      <c r="BH105" s="213" t="s">
        <v>390</v>
      </c>
      <c r="BI105" s="214">
        <v>3</v>
      </c>
      <c r="BJ105" s="214">
        <v>0</v>
      </c>
      <c r="BK105" s="214">
        <v>1</v>
      </c>
      <c r="BL105" s="214">
        <v>0</v>
      </c>
      <c r="BM105" s="214">
        <v>1</v>
      </c>
      <c r="BN105" s="214">
        <v>1</v>
      </c>
      <c r="BO105" s="214">
        <v>0</v>
      </c>
      <c r="BP105" s="214">
        <v>0</v>
      </c>
      <c r="BQ105" s="215">
        <v>1</v>
      </c>
      <c r="BR105" s="213" t="s">
        <v>274</v>
      </c>
      <c r="BS105" s="214">
        <v>3</v>
      </c>
      <c r="BT105" s="214">
        <v>1</v>
      </c>
      <c r="BU105" s="214">
        <v>0</v>
      </c>
      <c r="BV105" s="214">
        <v>0</v>
      </c>
      <c r="BW105" s="214">
        <v>0</v>
      </c>
      <c r="BX105" s="214">
        <v>1</v>
      </c>
      <c r="BY105" s="214">
        <v>0</v>
      </c>
      <c r="BZ105" s="214">
        <v>0</v>
      </c>
      <c r="CA105" s="215">
        <v>0</v>
      </c>
      <c r="CB105" s="213" t="s">
        <v>387</v>
      </c>
      <c r="CC105" s="214">
        <v>3</v>
      </c>
      <c r="CD105" s="214">
        <v>1</v>
      </c>
      <c r="CE105" s="214">
        <v>1</v>
      </c>
      <c r="CF105" s="214">
        <v>3</v>
      </c>
      <c r="CG105" s="214">
        <v>0</v>
      </c>
      <c r="CH105" s="214">
        <v>0</v>
      </c>
      <c r="CI105" s="214">
        <v>0</v>
      </c>
      <c r="CJ105" s="214">
        <v>0</v>
      </c>
      <c r="CK105" s="215">
        <v>4</v>
      </c>
      <c r="CL105" s="213" t="s">
        <v>272</v>
      </c>
      <c r="CM105" s="214">
        <v>3</v>
      </c>
      <c r="CN105" s="214">
        <v>0</v>
      </c>
      <c r="CO105" s="214">
        <v>1</v>
      </c>
      <c r="CP105" s="214">
        <v>0</v>
      </c>
      <c r="CQ105" s="214">
        <v>0</v>
      </c>
      <c r="CR105" s="214">
        <v>2</v>
      </c>
      <c r="CS105" s="214">
        <v>0</v>
      </c>
      <c r="CT105" s="214">
        <v>0</v>
      </c>
      <c r="CU105" s="215">
        <v>1</v>
      </c>
      <c r="CV105" s="213" t="s">
        <v>273</v>
      </c>
      <c r="CW105" s="214">
        <v>2</v>
      </c>
      <c r="CX105" s="214">
        <v>0</v>
      </c>
      <c r="CY105" s="214">
        <v>0</v>
      </c>
      <c r="CZ105" s="214">
        <v>0</v>
      </c>
      <c r="DA105" s="214">
        <v>1</v>
      </c>
      <c r="DB105" s="214">
        <v>1</v>
      </c>
      <c r="DC105" s="214">
        <v>0</v>
      </c>
      <c r="DD105" s="214">
        <v>0</v>
      </c>
      <c r="DE105" s="215">
        <v>0</v>
      </c>
      <c r="DF105" s="213" t="s">
        <v>385</v>
      </c>
      <c r="DG105" s="214">
        <v>3</v>
      </c>
      <c r="DH105" s="214">
        <v>0</v>
      </c>
      <c r="DI105" s="214">
        <v>0</v>
      </c>
      <c r="DJ105" s="214">
        <v>0</v>
      </c>
      <c r="DK105" s="214">
        <v>0</v>
      </c>
      <c r="DL105" s="214">
        <v>3</v>
      </c>
      <c r="DM105" s="214">
        <v>0</v>
      </c>
      <c r="DN105" s="214">
        <v>0</v>
      </c>
      <c r="DO105" s="215">
        <v>0</v>
      </c>
      <c r="DP105" s="213" t="s">
        <v>384</v>
      </c>
      <c r="DQ105" s="214">
        <v>3</v>
      </c>
      <c r="DR105" s="214">
        <v>0</v>
      </c>
      <c r="DS105" s="214">
        <v>0</v>
      </c>
      <c r="DT105" s="214">
        <v>0</v>
      </c>
      <c r="DU105" s="214">
        <v>0</v>
      </c>
      <c r="DV105" s="214">
        <v>0</v>
      </c>
      <c r="DW105" s="214">
        <v>0</v>
      </c>
      <c r="DX105" s="214">
        <v>0</v>
      </c>
      <c r="DY105" s="215">
        <v>0</v>
      </c>
      <c r="DZ105" s="216">
        <v>0</v>
      </c>
      <c r="EA105" s="217">
        <v>0</v>
      </c>
      <c r="EB105" s="217">
        <v>0</v>
      </c>
      <c r="EC105" s="218">
        <v>8</v>
      </c>
      <c r="ED105" s="217">
        <v>1</v>
      </c>
      <c r="EE105" s="219">
        <v>0</v>
      </c>
      <c r="EF105" s="220">
        <v>0</v>
      </c>
      <c r="EG105" s="217">
        <v>0</v>
      </c>
      <c r="EH105" s="217">
        <v>0</v>
      </c>
      <c r="EI105" s="217">
        <v>0</v>
      </c>
      <c r="EJ105" s="217">
        <v>0</v>
      </c>
      <c r="EK105" s="217">
        <v>3</v>
      </c>
      <c r="EL105" s="217">
        <v>0</v>
      </c>
      <c r="EM105" s="217">
        <v>0</v>
      </c>
      <c r="EN105" s="217"/>
      <c r="EO105" s="217"/>
      <c r="EP105" s="217"/>
      <c r="EQ105" s="217"/>
      <c r="ER105" s="217"/>
      <c r="ES105" s="219">
        <f t="shared" si="104"/>
        <v>3</v>
      </c>
      <c r="ET105" s="217">
        <v>2</v>
      </c>
      <c r="EU105" s="217">
        <v>0</v>
      </c>
      <c r="EV105" s="217">
        <v>0</v>
      </c>
      <c r="EW105" s="217">
        <v>0</v>
      </c>
      <c r="EX105" s="217">
        <v>0</v>
      </c>
      <c r="EY105" s="217">
        <v>0</v>
      </c>
      <c r="EZ105" s="217">
        <v>0</v>
      </c>
      <c r="FA105" s="217">
        <v>0</v>
      </c>
      <c r="FB105" s="217">
        <v>0</v>
      </c>
      <c r="FC105" s="217"/>
      <c r="FD105" s="217"/>
      <c r="FE105" s="217"/>
      <c r="FF105" s="217"/>
      <c r="FG105" s="217">
        <f t="shared" si="105"/>
        <v>2</v>
      </c>
      <c r="FH105" s="221">
        <v>28</v>
      </c>
      <c r="FI105" s="221">
        <v>3</v>
      </c>
      <c r="FJ105" s="221">
        <v>4</v>
      </c>
      <c r="FK105" s="221">
        <v>3</v>
      </c>
      <c r="FL105" s="221">
        <v>2</v>
      </c>
      <c r="FM105" s="221">
        <v>9</v>
      </c>
      <c r="FN105" s="221">
        <f t="shared" si="102"/>
        <v>0</v>
      </c>
      <c r="FO105" s="221">
        <f t="shared" si="103"/>
        <v>0</v>
      </c>
      <c r="FP105" s="221">
        <f t="shared" si="82"/>
        <v>0</v>
      </c>
      <c r="FQ105" s="221">
        <f t="shared" si="83"/>
        <v>0</v>
      </c>
      <c r="FR105" s="221">
        <f t="shared" si="84"/>
        <v>0</v>
      </c>
      <c r="FS105" s="221">
        <f t="shared" si="85"/>
        <v>0</v>
      </c>
      <c r="FT105" s="221">
        <f t="shared" si="86"/>
        <v>0</v>
      </c>
      <c r="FU105" s="221">
        <f t="shared" si="87"/>
        <v>0</v>
      </c>
      <c r="FV105" s="221">
        <f t="shared" si="88"/>
        <v>-2</v>
      </c>
      <c r="FW105" s="221">
        <f t="shared" si="89"/>
        <v>0</v>
      </c>
      <c r="FX105" s="221">
        <f t="shared" si="90"/>
        <v>0</v>
      </c>
      <c r="FY105" s="221">
        <f t="shared" si="91"/>
        <v>0</v>
      </c>
      <c r="FZ105" s="221">
        <f t="shared" si="92"/>
        <v>0</v>
      </c>
      <c r="GA105" s="221">
        <f t="shared" si="93"/>
        <v>3</v>
      </c>
      <c r="GB105" s="221">
        <f t="shared" si="94"/>
        <v>0</v>
      </c>
      <c r="GC105" s="221">
        <f t="shared" si="95"/>
        <v>0</v>
      </c>
      <c r="GD105" s="221">
        <f t="shared" si="96"/>
        <v>0</v>
      </c>
      <c r="GE105" s="221">
        <f t="shared" si="97"/>
        <v>0</v>
      </c>
      <c r="GF105" s="221">
        <f t="shared" si="98"/>
        <v>0</v>
      </c>
      <c r="GG105" s="221">
        <f t="shared" si="99"/>
        <v>0</v>
      </c>
      <c r="GH105" s="221">
        <f t="shared" si="100"/>
        <v>0</v>
      </c>
      <c r="GI105" s="221">
        <f t="shared" si="101"/>
        <v>1</v>
      </c>
      <c r="GJ105" s="222"/>
      <c r="GK105" s="367"/>
      <c r="GL105" s="376"/>
      <c r="GM105" s="376"/>
      <c r="GP105" s="52"/>
    </row>
    <row r="106" spans="1:198" x14ac:dyDescent="0.25">
      <c r="A106" s="259">
        <v>40390</v>
      </c>
      <c r="B106" s="259" t="s">
        <v>19</v>
      </c>
      <c r="C106" s="259" t="s">
        <v>131</v>
      </c>
      <c r="D106" s="259" t="s">
        <v>132</v>
      </c>
      <c r="E106" s="260">
        <v>36973</v>
      </c>
      <c r="F106" s="208"/>
      <c r="G106" s="206">
        <v>5</v>
      </c>
      <c r="H106" s="207" t="s">
        <v>396</v>
      </c>
      <c r="I106" s="208">
        <v>0</v>
      </c>
      <c r="J106" s="208">
        <v>0</v>
      </c>
      <c r="K106" s="209">
        <v>7</v>
      </c>
      <c r="L106" s="208">
        <v>5</v>
      </c>
      <c r="M106" s="208">
        <v>4</v>
      </c>
      <c r="N106" s="208">
        <v>4</v>
      </c>
      <c r="O106" s="208">
        <v>1</v>
      </c>
      <c r="P106" s="208">
        <v>9</v>
      </c>
      <c r="Q106" s="208">
        <v>2</v>
      </c>
      <c r="R106" s="208">
        <v>0</v>
      </c>
      <c r="S106" s="208">
        <v>27</v>
      </c>
      <c r="T106" s="208">
        <v>109</v>
      </c>
      <c r="U106" s="208">
        <v>75</v>
      </c>
      <c r="V106" s="208">
        <v>0</v>
      </c>
      <c r="W106" s="210">
        <v>0</v>
      </c>
      <c r="X106" s="208">
        <v>0</v>
      </c>
      <c r="Y106" s="208">
        <v>1</v>
      </c>
      <c r="Z106" s="208">
        <v>0</v>
      </c>
      <c r="AA106" s="208">
        <v>0</v>
      </c>
      <c r="AB106" s="208">
        <v>0</v>
      </c>
      <c r="AC106" s="209">
        <v>2</v>
      </c>
      <c r="AD106" s="208">
        <v>1</v>
      </c>
      <c r="AE106" s="208">
        <v>1</v>
      </c>
      <c r="AF106" s="208">
        <v>1</v>
      </c>
      <c r="AG106" s="208">
        <v>0</v>
      </c>
      <c r="AH106" s="208">
        <v>3</v>
      </c>
      <c r="AI106" s="208">
        <v>1</v>
      </c>
      <c r="AJ106" s="208">
        <v>0</v>
      </c>
      <c r="AK106" s="208">
        <v>7</v>
      </c>
      <c r="AL106" s="208">
        <v>24</v>
      </c>
      <c r="AM106" s="208">
        <v>16</v>
      </c>
      <c r="AN106" s="213" t="s">
        <v>275</v>
      </c>
      <c r="AO106" s="214">
        <v>4</v>
      </c>
      <c r="AP106" s="214">
        <v>2</v>
      </c>
      <c r="AQ106" s="214">
        <v>3</v>
      </c>
      <c r="AR106" s="214">
        <v>0</v>
      </c>
      <c r="AS106" s="214">
        <v>0</v>
      </c>
      <c r="AT106" s="214">
        <v>0</v>
      </c>
      <c r="AU106" s="214">
        <v>0</v>
      </c>
      <c r="AV106" s="214">
        <v>0</v>
      </c>
      <c r="AW106" s="215">
        <v>7</v>
      </c>
      <c r="AX106" s="213" t="s">
        <v>391</v>
      </c>
      <c r="AY106" s="214">
        <v>4</v>
      </c>
      <c r="AZ106" s="214">
        <v>0</v>
      </c>
      <c r="BA106" s="214">
        <v>2</v>
      </c>
      <c r="BB106" s="214">
        <v>1</v>
      </c>
      <c r="BC106" s="214">
        <v>0</v>
      </c>
      <c r="BD106" s="214">
        <v>1</v>
      </c>
      <c r="BE106" s="214">
        <v>0</v>
      </c>
      <c r="BF106" s="214">
        <v>0</v>
      </c>
      <c r="BG106" s="215">
        <v>2</v>
      </c>
      <c r="BH106" s="213" t="s">
        <v>390</v>
      </c>
      <c r="BI106" s="214">
        <v>3</v>
      </c>
      <c r="BJ106" s="214">
        <v>0</v>
      </c>
      <c r="BK106" s="214">
        <v>0</v>
      </c>
      <c r="BL106" s="214">
        <v>1</v>
      </c>
      <c r="BM106" s="214">
        <v>0</v>
      </c>
      <c r="BN106" s="214">
        <v>0</v>
      </c>
      <c r="BO106" s="214">
        <v>0</v>
      </c>
      <c r="BP106" s="214">
        <v>1</v>
      </c>
      <c r="BQ106" s="215">
        <v>0</v>
      </c>
      <c r="BR106" s="213" t="s">
        <v>274</v>
      </c>
      <c r="BS106" s="214">
        <v>4</v>
      </c>
      <c r="BT106" s="214">
        <v>0</v>
      </c>
      <c r="BU106" s="214">
        <v>0</v>
      </c>
      <c r="BV106" s="214">
        <v>0</v>
      </c>
      <c r="BW106" s="214">
        <v>0</v>
      </c>
      <c r="BX106" s="214">
        <v>2</v>
      </c>
      <c r="BY106" s="214">
        <v>0</v>
      </c>
      <c r="BZ106" s="214">
        <v>0</v>
      </c>
      <c r="CA106" s="215">
        <v>0</v>
      </c>
      <c r="CB106" s="213" t="s">
        <v>387</v>
      </c>
      <c r="CC106" s="214">
        <v>4</v>
      </c>
      <c r="CD106" s="214">
        <v>1</v>
      </c>
      <c r="CE106" s="214">
        <v>1</v>
      </c>
      <c r="CF106" s="214">
        <v>1</v>
      </c>
      <c r="CG106" s="214">
        <v>0</v>
      </c>
      <c r="CH106" s="214">
        <v>1</v>
      </c>
      <c r="CI106" s="214">
        <v>0</v>
      </c>
      <c r="CJ106" s="214">
        <v>0</v>
      </c>
      <c r="CK106" s="215">
        <v>4</v>
      </c>
      <c r="CL106" s="213" t="s">
        <v>271</v>
      </c>
      <c r="CM106" s="214">
        <v>4</v>
      </c>
      <c r="CN106" s="214">
        <v>0</v>
      </c>
      <c r="CO106" s="214">
        <v>1</v>
      </c>
      <c r="CP106" s="214">
        <v>0</v>
      </c>
      <c r="CQ106" s="214">
        <v>0</v>
      </c>
      <c r="CR106" s="214">
        <v>1</v>
      </c>
      <c r="CS106" s="214">
        <v>0</v>
      </c>
      <c r="CT106" s="214">
        <v>0</v>
      </c>
      <c r="CU106" s="215">
        <v>1</v>
      </c>
      <c r="CV106" s="213" t="s">
        <v>273</v>
      </c>
      <c r="CW106" s="214">
        <v>4</v>
      </c>
      <c r="CX106" s="214">
        <v>1</v>
      </c>
      <c r="CY106" s="214">
        <v>1</v>
      </c>
      <c r="CZ106" s="214">
        <v>0</v>
      </c>
      <c r="DA106" s="214">
        <v>0</v>
      </c>
      <c r="DB106" s="214">
        <v>0</v>
      </c>
      <c r="DC106" s="214">
        <v>0</v>
      </c>
      <c r="DD106" s="214">
        <v>0</v>
      </c>
      <c r="DE106" s="215">
        <v>2</v>
      </c>
      <c r="DF106" s="213" t="s">
        <v>388</v>
      </c>
      <c r="DG106" s="214">
        <v>3</v>
      </c>
      <c r="DH106" s="214">
        <v>0</v>
      </c>
      <c r="DI106" s="214">
        <v>1</v>
      </c>
      <c r="DJ106" s="214">
        <v>0</v>
      </c>
      <c r="DK106" s="214">
        <v>0</v>
      </c>
      <c r="DL106" s="214">
        <v>1</v>
      </c>
      <c r="DM106" s="214">
        <v>0</v>
      </c>
      <c r="DN106" s="214">
        <v>0</v>
      </c>
      <c r="DO106" s="215">
        <v>1</v>
      </c>
      <c r="DP106" s="213" t="s">
        <v>384</v>
      </c>
      <c r="DQ106" s="214">
        <v>2</v>
      </c>
      <c r="DR106" s="214">
        <v>0</v>
      </c>
      <c r="DS106" s="214">
        <v>0</v>
      </c>
      <c r="DT106" s="214">
        <v>1</v>
      </c>
      <c r="DU106" s="214">
        <v>1</v>
      </c>
      <c r="DV106" s="214">
        <v>0</v>
      </c>
      <c r="DW106" s="214">
        <v>0</v>
      </c>
      <c r="DX106" s="214">
        <v>1</v>
      </c>
      <c r="DY106" s="215">
        <v>0</v>
      </c>
      <c r="DZ106" s="216">
        <f>0+2/3</f>
        <v>0.66666666666666663</v>
      </c>
      <c r="EA106" s="217">
        <v>0</v>
      </c>
      <c r="EB106" s="217">
        <v>0</v>
      </c>
      <c r="EC106" s="218">
        <f>8+1/3</f>
        <v>8.3333333333333339</v>
      </c>
      <c r="ED106" s="217">
        <v>1</v>
      </c>
      <c r="EE106" s="219">
        <v>0</v>
      </c>
      <c r="EF106" s="220">
        <v>1</v>
      </c>
      <c r="EG106" s="217">
        <v>0</v>
      </c>
      <c r="EH106" s="217">
        <v>1</v>
      </c>
      <c r="EI106" s="217">
        <v>0</v>
      </c>
      <c r="EJ106" s="217">
        <v>1</v>
      </c>
      <c r="EK106" s="217">
        <v>1</v>
      </c>
      <c r="EL106" s="217">
        <v>0</v>
      </c>
      <c r="EM106" s="217">
        <v>0</v>
      </c>
      <c r="EN106" s="217">
        <v>0</v>
      </c>
      <c r="EO106" s="217"/>
      <c r="EP106" s="217"/>
      <c r="EQ106" s="217"/>
      <c r="ER106" s="217"/>
      <c r="ES106" s="219">
        <f t="shared" si="104"/>
        <v>4</v>
      </c>
      <c r="ET106" s="217">
        <v>0</v>
      </c>
      <c r="EU106" s="217">
        <v>1</v>
      </c>
      <c r="EV106" s="217">
        <v>0</v>
      </c>
      <c r="EW106" s="217">
        <v>0</v>
      </c>
      <c r="EX106" s="217">
        <v>0</v>
      </c>
      <c r="EY106" s="217">
        <v>2</v>
      </c>
      <c r="EZ106" s="217">
        <v>1</v>
      </c>
      <c r="FA106" s="217">
        <v>0</v>
      </c>
      <c r="FB106" s="217">
        <v>1</v>
      </c>
      <c r="FC106" s="217"/>
      <c r="FD106" s="217"/>
      <c r="FE106" s="217"/>
      <c r="FF106" s="217"/>
      <c r="FG106" s="217">
        <f t="shared" si="105"/>
        <v>5</v>
      </c>
      <c r="FH106" s="221">
        <v>32</v>
      </c>
      <c r="FI106" s="221">
        <v>4</v>
      </c>
      <c r="FJ106" s="221">
        <v>9</v>
      </c>
      <c r="FK106" s="221">
        <v>4</v>
      </c>
      <c r="FL106" s="221">
        <v>1</v>
      </c>
      <c r="FM106" s="221">
        <v>6</v>
      </c>
      <c r="FN106" s="221">
        <f t="shared" si="102"/>
        <v>0</v>
      </c>
      <c r="FO106" s="221">
        <f t="shared" si="103"/>
        <v>0</v>
      </c>
      <c r="FP106" s="221">
        <f t="shared" si="82"/>
        <v>0</v>
      </c>
      <c r="FQ106" s="221">
        <f t="shared" si="83"/>
        <v>0</v>
      </c>
      <c r="FR106" s="221">
        <f t="shared" si="84"/>
        <v>0</v>
      </c>
      <c r="FS106" s="221">
        <f t="shared" si="85"/>
        <v>0</v>
      </c>
      <c r="FT106" s="221">
        <f t="shared" si="86"/>
        <v>0</v>
      </c>
      <c r="FU106" s="221">
        <f t="shared" si="87"/>
        <v>0</v>
      </c>
      <c r="FV106" s="221">
        <f t="shared" si="88"/>
        <v>1</v>
      </c>
      <c r="FW106" s="221">
        <f t="shared" si="89"/>
        <v>-1</v>
      </c>
      <c r="FX106" s="221">
        <f t="shared" si="90"/>
        <v>1</v>
      </c>
      <c r="FY106" s="221">
        <f t="shared" si="91"/>
        <v>0</v>
      </c>
      <c r="FZ106" s="221">
        <f t="shared" si="92"/>
        <v>1</v>
      </c>
      <c r="GA106" s="221">
        <f t="shared" si="93"/>
        <v>-1</v>
      </c>
      <c r="GB106" s="221">
        <f t="shared" si="94"/>
        <v>-1</v>
      </c>
      <c r="GC106" s="221">
        <f t="shared" si="95"/>
        <v>0</v>
      </c>
      <c r="GD106" s="221">
        <f t="shared" si="96"/>
        <v>-1</v>
      </c>
      <c r="GE106" s="221">
        <f t="shared" si="97"/>
        <v>0</v>
      </c>
      <c r="GF106" s="221">
        <f t="shared" si="98"/>
        <v>0</v>
      </c>
      <c r="GG106" s="221">
        <f t="shared" si="99"/>
        <v>0</v>
      </c>
      <c r="GH106" s="221">
        <f t="shared" si="100"/>
        <v>0</v>
      </c>
      <c r="GI106" s="221">
        <f t="shared" si="101"/>
        <v>-1</v>
      </c>
      <c r="GJ106" s="222"/>
      <c r="GK106" s="367"/>
      <c r="GL106" s="376"/>
      <c r="GM106" s="376"/>
      <c r="GP106" s="52"/>
    </row>
    <row r="107" spans="1:198" x14ac:dyDescent="0.25">
      <c r="A107" s="259">
        <v>40391</v>
      </c>
      <c r="B107" s="259" t="s">
        <v>19</v>
      </c>
      <c r="C107" s="259" t="s">
        <v>129</v>
      </c>
      <c r="D107" s="259" t="s">
        <v>132</v>
      </c>
      <c r="E107" s="260">
        <v>36973</v>
      </c>
      <c r="F107" s="208"/>
      <c r="G107" s="206">
        <v>1</v>
      </c>
      <c r="H107" s="207" t="s">
        <v>392</v>
      </c>
      <c r="I107" s="208">
        <v>1</v>
      </c>
      <c r="J107" s="208">
        <v>0</v>
      </c>
      <c r="K107" s="209">
        <f>7+1/3</f>
        <v>7.333333333333333</v>
      </c>
      <c r="L107" s="208">
        <v>4</v>
      </c>
      <c r="M107" s="208">
        <v>0</v>
      </c>
      <c r="N107" s="208">
        <v>0</v>
      </c>
      <c r="O107" s="208">
        <v>1</v>
      </c>
      <c r="P107" s="208">
        <v>11</v>
      </c>
      <c r="Q107" s="208">
        <v>0</v>
      </c>
      <c r="R107" s="208">
        <v>0</v>
      </c>
      <c r="S107" s="208">
        <v>28</v>
      </c>
      <c r="T107" s="208">
        <v>116</v>
      </c>
      <c r="U107" s="208">
        <v>73</v>
      </c>
      <c r="V107" s="208">
        <v>1</v>
      </c>
      <c r="W107" s="210">
        <v>0</v>
      </c>
      <c r="X107" s="208">
        <v>0</v>
      </c>
      <c r="Y107" s="208">
        <v>0</v>
      </c>
      <c r="Z107" s="208">
        <v>1</v>
      </c>
      <c r="AA107" s="208">
        <v>1</v>
      </c>
      <c r="AB107" s="208">
        <v>0</v>
      </c>
      <c r="AC107" s="209">
        <f>1+2/3</f>
        <v>1.6666666666666665</v>
      </c>
      <c r="AD107" s="208">
        <v>1</v>
      </c>
      <c r="AE107" s="208">
        <v>0</v>
      </c>
      <c r="AF107" s="208">
        <v>0</v>
      </c>
      <c r="AG107" s="208">
        <v>0</v>
      </c>
      <c r="AH107" s="208">
        <v>0</v>
      </c>
      <c r="AI107" s="208">
        <v>0</v>
      </c>
      <c r="AJ107" s="208">
        <v>0</v>
      </c>
      <c r="AK107" s="208">
        <v>5</v>
      </c>
      <c r="AL107" s="208">
        <v>21</v>
      </c>
      <c r="AM107" s="208">
        <v>12</v>
      </c>
      <c r="AN107" s="213" t="s">
        <v>273</v>
      </c>
      <c r="AO107" s="214">
        <v>4</v>
      </c>
      <c r="AP107" s="214">
        <v>1</v>
      </c>
      <c r="AQ107" s="214">
        <v>1</v>
      </c>
      <c r="AR107" s="214">
        <v>0</v>
      </c>
      <c r="AS107" s="214">
        <v>0</v>
      </c>
      <c r="AT107" s="214">
        <v>0</v>
      </c>
      <c r="AU107" s="214">
        <v>0</v>
      </c>
      <c r="AV107" s="214">
        <v>0</v>
      </c>
      <c r="AW107" s="215">
        <v>2</v>
      </c>
      <c r="AX107" s="213" t="s">
        <v>391</v>
      </c>
      <c r="AY107" s="214">
        <v>4</v>
      </c>
      <c r="AZ107" s="214">
        <v>0</v>
      </c>
      <c r="BA107" s="214">
        <v>2</v>
      </c>
      <c r="BB107" s="214">
        <v>1</v>
      </c>
      <c r="BC107" s="214">
        <v>0</v>
      </c>
      <c r="BD107" s="214">
        <v>1</v>
      </c>
      <c r="BE107" s="214">
        <v>0</v>
      </c>
      <c r="BF107" s="214">
        <v>0</v>
      </c>
      <c r="BG107" s="215">
        <v>2</v>
      </c>
      <c r="BH107" s="213" t="s">
        <v>390</v>
      </c>
      <c r="BI107" s="214">
        <v>4</v>
      </c>
      <c r="BJ107" s="214">
        <v>0</v>
      </c>
      <c r="BK107" s="214">
        <v>1</v>
      </c>
      <c r="BL107" s="214">
        <v>0</v>
      </c>
      <c r="BM107" s="214">
        <v>0</v>
      </c>
      <c r="BN107" s="214">
        <v>1</v>
      </c>
      <c r="BO107" s="214">
        <v>0</v>
      </c>
      <c r="BP107" s="214">
        <v>0</v>
      </c>
      <c r="BQ107" s="215">
        <v>2</v>
      </c>
      <c r="BR107" s="213" t="s">
        <v>272</v>
      </c>
      <c r="BS107" s="214">
        <v>2</v>
      </c>
      <c r="BT107" s="214">
        <v>1</v>
      </c>
      <c r="BU107" s="214">
        <v>1</v>
      </c>
      <c r="BV107" s="214">
        <v>0</v>
      </c>
      <c r="BW107" s="214">
        <v>2</v>
      </c>
      <c r="BX107" s="214">
        <v>0</v>
      </c>
      <c r="BY107" s="214">
        <v>0</v>
      </c>
      <c r="BZ107" s="214">
        <v>0</v>
      </c>
      <c r="CA107" s="215">
        <v>2</v>
      </c>
      <c r="CB107" s="213" t="s">
        <v>271</v>
      </c>
      <c r="CC107" s="214">
        <v>4</v>
      </c>
      <c r="CD107" s="214">
        <v>0</v>
      </c>
      <c r="CE107" s="214">
        <v>1</v>
      </c>
      <c r="CF107" s="214">
        <v>0</v>
      </c>
      <c r="CG107" s="214">
        <v>0</v>
      </c>
      <c r="CH107" s="214">
        <v>1</v>
      </c>
      <c r="CI107" s="214">
        <v>0</v>
      </c>
      <c r="CJ107" s="214">
        <v>0</v>
      </c>
      <c r="CK107" s="215">
        <v>1</v>
      </c>
      <c r="CL107" s="213" t="s">
        <v>384</v>
      </c>
      <c r="CM107" s="214">
        <v>4</v>
      </c>
      <c r="CN107" s="214">
        <v>0</v>
      </c>
      <c r="CO107" s="214">
        <v>1</v>
      </c>
      <c r="CP107" s="214">
        <v>0</v>
      </c>
      <c r="CQ107" s="214">
        <v>0</v>
      </c>
      <c r="CR107" s="214">
        <v>1</v>
      </c>
      <c r="CS107" s="214">
        <v>0</v>
      </c>
      <c r="CT107" s="214">
        <v>0</v>
      </c>
      <c r="CU107" s="215">
        <v>1</v>
      </c>
      <c r="CV107" s="213" t="s">
        <v>388</v>
      </c>
      <c r="CW107" s="214">
        <v>3</v>
      </c>
      <c r="CX107" s="214">
        <v>0</v>
      </c>
      <c r="CY107" s="214">
        <v>1</v>
      </c>
      <c r="CZ107" s="214">
        <v>1</v>
      </c>
      <c r="DA107" s="214">
        <v>1</v>
      </c>
      <c r="DB107" s="214">
        <v>1</v>
      </c>
      <c r="DC107" s="214">
        <v>0</v>
      </c>
      <c r="DD107" s="214">
        <v>0</v>
      </c>
      <c r="DE107" s="215">
        <v>1</v>
      </c>
      <c r="DF107" s="213" t="s">
        <v>386</v>
      </c>
      <c r="DG107" s="214">
        <v>2</v>
      </c>
      <c r="DH107" s="214">
        <v>0</v>
      </c>
      <c r="DI107" s="214">
        <v>0</v>
      </c>
      <c r="DJ107" s="214">
        <v>0</v>
      </c>
      <c r="DK107" s="214">
        <v>2</v>
      </c>
      <c r="DL107" s="214">
        <v>0</v>
      </c>
      <c r="DM107" s="214">
        <v>0</v>
      </c>
      <c r="DN107" s="214">
        <v>0</v>
      </c>
      <c r="DO107" s="215">
        <v>0</v>
      </c>
      <c r="DP107" s="213" t="s">
        <v>385</v>
      </c>
      <c r="DQ107" s="214">
        <v>4</v>
      </c>
      <c r="DR107" s="214">
        <v>1</v>
      </c>
      <c r="DS107" s="214">
        <v>1</v>
      </c>
      <c r="DT107" s="214">
        <v>0</v>
      </c>
      <c r="DU107" s="214">
        <v>0</v>
      </c>
      <c r="DV107" s="214">
        <v>2</v>
      </c>
      <c r="DW107" s="214">
        <v>0</v>
      </c>
      <c r="DX107" s="214">
        <v>0</v>
      </c>
      <c r="DY107" s="215">
        <v>1</v>
      </c>
      <c r="DZ107" s="216">
        <f>6+2/3</f>
        <v>6.666666666666667</v>
      </c>
      <c r="EA107" s="217">
        <v>0</v>
      </c>
      <c r="EB107" s="217">
        <v>0</v>
      </c>
      <c r="EC107" s="218">
        <f>1+1/3</f>
        <v>1.3333333333333333</v>
      </c>
      <c r="ED107" s="217">
        <v>0</v>
      </c>
      <c r="EE107" s="219">
        <v>0</v>
      </c>
      <c r="EF107" s="220">
        <v>0</v>
      </c>
      <c r="EG107" s="217">
        <v>1</v>
      </c>
      <c r="EH107" s="217">
        <v>2</v>
      </c>
      <c r="EI107" s="217">
        <v>0</v>
      </c>
      <c r="EJ107" s="217">
        <v>0</v>
      </c>
      <c r="EK107" s="217">
        <v>0</v>
      </c>
      <c r="EL107" s="217">
        <v>0</v>
      </c>
      <c r="EM107" s="217">
        <v>0</v>
      </c>
      <c r="EN107" s="217"/>
      <c r="EO107" s="217"/>
      <c r="EP107" s="217"/>
      <c r="EQ107" s="217"/>
      <c r="ER107" s="217"/>
      <c r="ES107" s="219">
        <f t="shared" si="104"/>
        <v>3</v>
      </c>
      <c r="ET107" s="217">
        <v>0</v>
      </c>
      <c r="EU107" s="217">
        <v>0</v>
      </c>
      <c r="EV107" s="217">
        <v>0</v>
      </c>
      <c r="EW107" s="217">
        <v>0</v>
      </c>
      <c r="EX107" s="217">
        <v>0</v>
      </c>
      <c r="EY107" s="217">
        <v>0</v>
      </c>
      <c r="EZ107" s="217">
        <v>0</v>
      </c>
      <c r="FA107" s="217">
        <v>0</v>
      </c>
      <c r="FB107" s="217">
        <v>0</v>
      </c>
      <c r="FC107" s="217"/>
      <c r="FD107" s="217"/>
      <c r="FE107" s="217"/>
      <c r="FF107" s="217"/>
      <c r="FG107" s="217">
        <f t="shared" si="105"/>
        <v>0</v>
      </c>
      <c r="FH107" s="221">
        <v>31</v>
      </c>
      <c r="FI107" s="221">
        <v>3</v>
      </c>
      <c r="FJ107" s="221">
        <v>9</v>
      </c>
      <c r="FK107" s="221">
        <v>2</v>
      </c>
      <c r="FL107" s="221">
        <v>5</v>
      </c>
      <c r="FM107" s="221">
        <v>7</v>
      </c>
      <c r="FN107" s="221">
        <f t="shared" si="102"/>
        <v>0</v>
      </c>
      <c r="FO107" s="221">
        <f t="shared" si="103"/>
        <v>0</v>
      </c>
      <c r="FP107" s="221">
        <f t="shared" si="82"/>
        <v>0</v>
      </c>
      <c r="FQ107" s="221">
        <f t="shared" si="83"/>
        <v>0</v>
      </c>
      <c r="FR107" s="221">
        <f t="shared" si="84"/>
        <v>0</v>
      </c>
      <c r="FS107" s="221">
        <f t="shared" si="85"/>
        <v>0</v>
      </c>
      <c r="FT107" s="221">
        <f t="shared" si="86"/>
        <v>0</v>
      </c>
      <c r="FU107" s="221">
        <f t="shared" si="87"/>
        <v>0</v>
      </c>
      <c r="FV107" s="221">
        <f t="shared" si="88"/>
        <v>0</v>
      </c>
      <c r="FW107" s="221">
        <f t="shared" si="89"/>
        <v>1</v>
      </c>
      <c r="FX107" s="221">
        <f t="shared" si="90"/>
        <v>2</v>
      </c>
      <c r="FY107" s="221">
        <f t="shared" si="91"/>
        <v>0</v>
      </c>
      <c r="FZ107" s="221">
        <f t="shared" si="92"/>
        <v>0</v>
      </c>
      <c r="GA107" s="221">
        <f t="shared" si="93"/>
        <v>0</v>
      </c>
      <c r="GB107" s="221">
        <f t="shared" si="94"/>
        <v>0</v>
      </c>
      <c r="GC107" s="221">
        <f t="shared" si="95"/>
        <v>0</v>
      </c>
      <c r="GD107" s="221">
        <f t="shared" si="96"/>
        <v>0</v>
      </c>
      <c r="GE107" s="221">
        <f t="shared" si="97"/>
        <v>0</v>
      </c>
      <c r="GF107" s="221">
        <f t="shared" si="98"/>
        <v>0</v>
      </c>
      <c r="GG107" s="221">
        <f t="shared" si="99"/>
        <v>0</v>
      </c>
      <c r="GH107" s="221">
        <f t="shared" si="100"/>
        <v>0</v>
      </c>
      <c r="GI107" s="221">
        <f t="shared" si="101"/>
        <v>3</v>
      </c>
      <c r="GJ107" s="222"/>
      <c r="GK107" s="367"/>
      <c r="GL107" s="376"/>
      <c r="GM107" s="376"/>
      <c r="GP107" s="52"/>
    </row>
    <row r="108" spans="1:198" x14ac:dyDescent="0.25">
      <c r="A108" s="305">
        <v>40392</v>
      </c>
      <c r="B108" s="305" t="s">
        <v>19</v>
      </c>
      <c r="C108" s="305" t="s">
        <v>129</v>
      </c>
      <c r="D108" s="305" t="s">
        <v>250</v>
      </c>
      <c r="E108" s="306">
        <v>17689</v>
      </c>
      <c r="F108" s="309"/>
      <c r="G108" s="307" t="s">
        <v>523</v>
      </c>
      <c r="H108" s="308" t="s">
        <v>397</v>
      </c>
      <c r="I108" s="309">
        <v>1</v>
      </c>
      <c r="J108" s="309">
        <v>0</v>
      </c>
      <c r="K108" s="310">
        <v>7</v>
      </c>
      <c r="L108" s="309">
        <v>3</v>
      </c>
      <c r="M108" s="309">
        <v>2</v>
      </c>
      <c r="N108" s="309">
        <v>2</v>
      </c>
      <c r="O108" s="309">
        <v>2</v>
      </c>
      <c r="P108" s="309">
        <v>6</v>
      </c>
      <c r="Q108" s="309">
        <v>1</v>
      </c>
      <c r="R108" s="309">
        <v>1</v>
      </c>
      <c r="S108" s="309">
        <v>27</v>
      </c>
      <c r="T108" s="309">
        <v>107</v>
      </c>
      <c r="U108" s="309">
        <v>64</v>
      </c>
      <c r="V108" s="309">
        <v>0</v>
      </c>
      <c r="W108" s="311">
        <v>0</v>
      </c>
      <c r="X108" s="309">
        <v>0</v>
      </c>
      <c r="Y108" s="309">
        <v>0</v>
      </c>
      <c r="Z108" s="309">
        <v>2</v>
      </c>
      <c r="AA108" s="309">
        <v>1</v>
      </c>
      <c r="AB108" s="309">
        <v>0</v>
      </c>
      <c r="AC108" s="310">
        <v>2</v>
      </c>
      <c r="AD108" s="309">
        <v>1</v>
      </c>
      <c r="AE108" s="309">
        <v>0</v>
      </c>
      <c r="AF108" s="309">
        <v>0</v>
      </c>
      <c r="AG108" s="309">
        <v>1</v>
      </c>
      <c r="AH108" s="309">
        <v>2</v>
      </c>
      <c r="AI108" s="309">
        <v>0</v>
      </c>
      <c r="AJ108" s="309">
        <v>0</v>
      </c>
      <c r="AK108" s="309">
        <v>7</v>
      </c>
      <c r="AL108" s="309">
        <v>20</v>
      </c>
      <c r="AM108" s="309">
        <v>14</v>
      </c>
      <c r="AN108" s="312" t="s">
        <v>275</v>
      </c>
      <c r="AO108" s="313">
        <v>4</v>
      </c>
      <c r="AP108" s="313">
        <v>1</v>
      </c>
      <c r="AQ108" s="313">
        <v>1</v>
      </c>
      <c r="AR108" s="313">
        <v>0</v>
      </c>
      <c r="AS108" s="313">
        <v>1</v>
      </c>
      <c r="AT108" s="313">
        <v>2</v>
      </c>
      <c r="AU108" s="313">
        <v>0</v>
      </c>
      <c r="AV108" s="313">
        <v>0</v>
      </c>
      <c r="AW108" s="314">
        <v>2</v>
      </c>
      <c r="AX108" s="312" t="s">
        <v>391</v>
      </c>
      <c r="AY108" s="313">
        <v>4</v>
      </c>
      <c r="AZ108" s="313">
        <v>1</v>
      </c>
      <c r="BA108" s="313">
        <v>1</v>
      </c>
      <c r="BB108" s="313">
        <v>1</v>
      </c>
      <c r="BC108" s="313">
        <v>0</v>
      </c>
      <c r="BD108" s="313">
        <v>1</v>
      </c>
      <c r="BE108" s="313">
        <v>0</v>
      </c>
      <c r="BF108" s="313">
        <v>0</v>
      </c>
      <c r="BG108" s="314">
        <v>2</v>
      </c>
      <c r="BH108" s="312" t="s">
        <v>390</v>
      </c>
      <c r="BI108" s="313">
        <v>2</v>
      </c>
      <c r="BJ108" s="313">
        <v>1</v>
      </c>
      <c r="BK108" s="313">
        <v>1</v>
      </c>
      <c r="BL108" s="313">
        <v>1</v>
      </c>
      <c r="BM108" s="313">
        <v>2</v>
      </c>
      <c r="BN108" s="313">
        <v>0</v>
      </c>
      <c r="BO108" s="313">
        <v>0</v>
      </c>
      <c r="BP108" s="313">
        <v>0</v>
      </c>
      <c r="BQ108" s="314">
        <v>1</v>
      </c>
      <c r="BR108" s="312" t="s">
        <v>272</v>
      </c>
      <c r="BS108" s="313">
        <v>3</v>
      </c>
      <c r="BT108" s="313">
        <v>0</v>
      </c>
      <c r="BU108" s="313">
        <v>0</v>
      </c>
      <c r="BV108" s="313">
        <v>0</v>
      </c>
      <c r="BW108" s="313">
        <v>1</v>
      </c>
      <c r="BX108" s="313">
        <v>1</v>
      </c>
      <c r="BY108" s="313">
        <v>0</v>
      </c>
      <c r="BZ108" s="313">
        <v>0</v>
      </c>
      <c r="CA108" s="314">
        <v>0</v>
      </c>
      <c r="CB108" s="312" t="s">
        <v>387</v>
      </c>
      <c r="CC108" s="313">
        <v>4</v>
      </c>
      <c r="CD108" s="313">
        <v>0</v>
      </c>
      <c r="CE108" s="313">
        <v>2</v>
      </c>
      <c r="CF108" s="313">
        <v>2</v>
      </c>
      <c r="CG108" s="313">
        <v>0</v>
      </c>
      <c r="CH108" s="313">
        <v>1</v>
      </c>
      <c r="CI108" s="313">
        <v>0</v>
      </c>
      <c r="CJ108" s="313">
        <v>0</v>
      </c>
      <c r="CK108" s="314">
        <v>3</v>
      </c>
      <c r="CL108" s="312" t="s">
        <v>273</v>
      </c>
      <c r="CM108" s="313">
        <v>4</v>
      </c>
      <c r="CN108" s="313">
        <v>0</v>
      </c>
      <c r="CO108" s="313">
        <v>3</v>
      </c>
      <c r="CP108" s="313">
        <v>0</v>
      </c>
      <c r="CQ108" s="313">
        <v>0</v>
      </c>
      <c r="CR108" s="313">
        <v>1</v>
      </c>
      <c r="CS108" s="313">
        <v>0</v>
      </c>
      <c r="CT108" s="313">
        <v>0</v>
      </c>
      <c r="CU108" s="314">
        <v>4</v>
      </c>
      <c r="CV108" s="312" t="s">
        <v>271</v>
      </c>
      <c r="CW108" s="313">
        <v>3</v>
      </c>
      <c r="CX108" s="313">
        <v>0</v>
      </c>
      <c r="CY108" s="313">
        <v>0</v>
      </c>
      <c r="CZ108" s="313">
        <v>0</v>
      </c>
      <c r="DA108" s="313">
        <v>0</v>
      </c>
      <c r="DB108" s="313">
        <v>1</v>
      </c>
      <c r="DC108" s="313">
        <v>0</v>
      </c>
      <c r="DD108" s="313">
        <v>0</v>
      </c>
      <c r="DE108" s="314">
        <v>0</v>
      </c>
      <c r="DF108" s="312" t="s">
        <v>385</v>
      </c>
      <c r="DG108" s="313">
        <v>3</v>
      </c>
      <c r="DH108" s="313">
        <v>1</v>
      </c>
      <c r="DI108" s="313">
        <v>1</v>
      </c>
      <c r="DJ108" s="313">
        <v>0</v>
      </c>
      <c r="DK108" s="313">
        <v>1</v>
      </c>
      <c r="DL108" s="313">
        <v>0</v>
      </c>
      <c r="DM108" s="313">
        <v>0</v>
      </c>
      <c r="DN108" s="313">
        <v>0</v>
      </c>
      <c r="DO108" s="314">
        <v>1</v>
      </c>
      <c r="DP108" s="312" t="s">
        <v>384</v>
      </c>
      <c r="DQ108" s="313">
        <v>3</v>
      </c>
      <c r="DR108" s="313">
        <v>0</v>
      </c>
      <c r="DS108" s="313">
        <v>1</v>
      </c>
      <c r="DT108" s="313">
        <v>0</v>
      </c>
      <c r="DU108" s="313">
        <v>0</v>
      </c>
      <c r="DV108" s="313">
        <v>1</v>
      </c>
      <c r="DW108" s="313">
        <v>0</v>
      </c>
      <c r="DX108" s="313">
        <v>0</v>
      </c>
      <c r="DY108" s="314">
        <v>1</v>
      </c>
      <c r="DZ108" s="315">
        <v>1</v>
      </c>
      <c r="EA108" s="316">
        <v>0</v>
      </c>
      <c r="EB108" s="316">
        <v>0</v>
      </c>
      <c r="EC108" s="317">
        <v>7</v>
      </c>
      <c r="ED108" s="316">
        <v>5</v>
      </c>
      <c r="EE108" s="318">
        <v>2</v>
      </c>
      <c r="EF108" s="319">
        <v>0</v>
      </c>
      <c r="EG108" s="316">
        <v>0</v>
      </c>
      <c r="EH108" s="316">
        <v>1</v>
      </c>
      <c r="EI108" s="316">
        <v>0</v>
      </c>
      <c r="EJ108" s="316">
        <v>3</v>
      </c>
      <c r="EK108" s="316">
        <v>0</v>
      </c>
      <c r="EL108" s="316">
        <v>0</v>
      </c>
      <c r="EM108" s="316">
        <v>0</v>
      </c>
      <c r="EN108" s="316"/>
      <c r="EO108" s="316"/>
      <c r="EP108" s="316"/>
      <c r="EQ108" s="316"/>
      <c r="ER108" s="316"/>
      <c r="ES108" s="318">
        <f t="shared" si="104"/>
        <v>4</v>
      </c>
      <c r="ET108" s="316">
        <v>0</v>
      </c>
      <c r="EU108" s="316">
        <v>0</v>
      </c>
      <c r="EV108" s="316">
        <v>0</v>
      </c>
      <c r="EW108" s="316">
        <v>1</v>
      </c>
      <c r="EX108" s="316">
        <v>0</v>
      </c>
      <c r="EY108" s="316">
        <v>1</v>
      </c>
      <c r="EZ108" s="316">
        <v>0</v>
      </c>
      <c r="FA108" s="316">
        <v>0</v>
      </c>
      <c r="FB108" s="316">
        <v>0</v>
      </c>
      <c r="FC108" s="316"/>
      <c r="FD108" s="316"/>
      <c r="FE108" s="316"/>
      <c r="FF108" s="316"/>
      <c r="FG108" s="316">
        <f t="shared" si="105"/>
        <v>2</v>
      </c>
      <c r="FH108" s="320">
        <v>30</v>
      </c>
      <c r="FI108" s="320">
        <v>4</v>
      </c>
      <c r="FJ108" s="320">
        <v>10</v>
      </c>
      <c r="FK108" s="320">
        <v>4</v>
      </c>
      <c r="FL108" s="320">
        <v>5</v>
      </c>
      <c r="FM108" s="320">
        <v>8</v>
      </c>
      <c r="FN108" s="320">
        <f t="shared" ref="FN108:FN113" si="106">((SUM(M108,AE108))-(FG108))</f>
        <v>0</v>
      </c>
      <c r="FO108" s="320">
        <f t="shared" ref="FO108:FO113" si="107">((SUM(AP108,AZ108,BJ108,BT108,CD108,CN108,CX108,DH108,DR108))-(ES108))</f>
        <v>0</v>
      </c>
      <c r="FP108" s="320">
        <f t="shared" si="82"/>
        <v>0</v>
      </c>
      <c r="FQ108" s="320">
        <f t="shared" si="83"/>
        <v>0</v>
      </c>
      <c r="FR108" s="320">
        <f t="shared" si="84"/>
        <v>0</v>
      </c>
      <c r="FS108" s="320">
        <f t="shared" si="85"/>
        <v>0</v>
      </c>
      <c r="FT108" s="320">
        <f t="shared" si="86"/>
        <v>0</v>
      </c>
      <c r="FU108" s="320">
        <f t="shared" si="87"/>
        <v>0</v>
      </c>
      <c r="FV108" s="320">
        <f t="shared" si="88"/>
        <v>0</v>
      </c>
      <c r="FW108" s="320">
        <f t="shared" si="89"/>
        <v>0</v>
      </c>
      <c r="FX108" s="320">
        <f t="shared" si="90"/>
        <v>1</v>
      </c>
      <c r="FY108" s="320">
        <f t="shared" si="91"/>
        <v>-1</v>
      </c>
      <c r="FZ108" s="320">
        <f t="shared" si="92"/>
        <v>3</v>
      </c>
      <c r="GA108" s="320">
        <f t="shared" si="93"/>
        <v>-1</v>
      </c>
      <c r="GB108" s="320">
        <f t="shared" si="94"/>
        <v>0</v>
      </c>
      <c r="GC108" s="320">
        <f t="shared" si="95"/>
        <v>0</v>
      </c>
      <c r="GD108" s="320">
        <f t="shared" si="96"/>
        <v>0</v>
      </c>
      <c r="GE108" s="320">
        <f t="shared" si="97"/>
        <v>0</v>
      </c>
      <c r="GF108" s="320">
        <f t="shared" si="98"/>
        <v>0</v>
      </c>
      <c r="GG108" s="320">
        <f t="shared" si="99"/>
        <v>0</v>
      </c>
      <c r="GH108" s="320">
        <f t="shared" si="100"/>
        <v>0</v>
      </c>
      <c r="GI108" s="320">
        <f t="shared" si="101"/>
        <v>2</v>
      </c>
      <c r="GJ108" s="321"/>
      <c r="GK108" s="367"/>
      <c r="GL108" s="376"/>
      <c r="GM108" s="376"/>
      <c r="GP108" s="52"/>
    </row>
    <row r="109" spans="1:198" x14ac:dyDescent="0.25">
      <c r="A109" s="305">
        <v>40393</v>
      </c>
      <c r="B109" s="305" t="s">
        <v>19</v>
      </c>
      <c r="C109" s="305" t="s">
        <v>129</v>
      </c>
      <c r="D109" s="305" t="s">
        <v>250</v>
      </c>
      <c r="E109" s="306">
        <v>18261</v>
      </c>
      <c r="F109" s="309"/>
      <c r="G109" s="307">
        <v>2</v>
      </c>
      <c r="H109" s="308" t="s">
        <v>395</v>
      </c>
      <c r="I109" s="309">
        <v>1</v>
      </c>
      <c r="J109" s="309">
        <v>0</v>
      </c>
      <c r="K109" s="310">
        <v>7</v>
      </c>
      <c r="L109" s="309">
        <v>8</v>
      </c>
      <c r="M109" s="309">
        <v>3</v>
      </c>
      <c r="N109" s="309">
        <v>3</v>
      </c>
      <c r="O109" s="309">
        <v>2</v>
      </c>
      <c r="P109" s="309">
        <v>4</v>
      </c>
      <c r="Q109" s="309">
        <v>1</v>
      </c>
      <c r="R109" s="309">
        <v>0</v>
      </c>
      <c r="S109" s="309">
        <v>30</v>
      </c>
      <c r="T109" s="309">
        <v>104</v>
      </c>
      <c r="U109" s="309">
        <v>67</v>
      </c>
      <c r="V109" s="309">
        <v>0</v>
      </c>
      <c r="W109" s="311">
        <v>0</v>
      </c>
      <c r="X109" s="309">
        <v>0</v>
      </c>
      <c r="Y109" s="309">
        <v>0</v>
      </c>
      <c r="Z109" s="309">
        <v>1</v>
      </c>
      <c r="AA109" s="309">
        <v>1</v>
      </c>
      <c r="AB109" s="309">
        <v>0</v>
      </c>
      <c r="AC109" s="310">
        <v>2</v>
      </c>
      <c r="AD109" s="309">
        <v>2</v>
      </c>
      <c r="AE109" s="309">
        <v>1</v>
      </c>
      <c r="AF109" s="309">
        <v>0</v>
      </c>
      <c r="AG109" s="309">
        <v>1</v>
      </c>
      <c r="AH109" s="309">
        <v>1</v>
      </c>
      <c r="AI109" s="309">
        <v>0</v>
      </c>
      <c r="AJ109" s="309">
        <v>0</v>
      </c>
      <c r="AK109" s="309">
        <v>10</v>
      </c>
      <c r="AL109" s="309">
        <v>38</v>
      </c>
      <c r="AM109" s="309">
        <v>24</v>
      </c>
      <c r="AN109" s="312" t="s">
        <v>273</v>
      </c>
      <c r="AO109" s="313">
        <v>4</v>
      </c>
      <c r="AP109" s="313">
        <v>1</v>
      </c>
      <c r="AQ109" s="313">
        <v>2</v>
      </c>
      <c r="AR109" s="313">
        <v>3</v>
      </c>
      <c r="AS109" s="313">
        <v>0</v>
      </c>
      <c r="AT109" s="313">
        <v>2</v>
      </c>
      <c r="AU109" s="313">
        <v>0</v>
      </c>
      <c r="AV109" s="313">
        <v>0</v>
      </c>
      <c r="AW109" s="314">
        <v>5</v>
      </c>
      <c r="AX109" s="312" t="s">
        <v>391</v>
      </c>
      <c r="AY109" s="313">
        <v>3</v>
      </c>
      <c r="AZ109" s="313">
        <v>1</v>
      </c>
      <c r="BA109" s="313">
        <v>0</v>
      </c>
      <c r="BB109" s="313">
        <v>0</v>
      </c>
      <c r="BC109" s="313">
        <v>1</v>
      </c>
      <c r="BD109" s="313">
        <v>0</v>
      </c>
      <c r="BE109" s="313">
        <v>0</v>
      </c>
      <c r="BF109" s="313">
        <v>0</v>
      </c>
      <c r="BG109" s="314">
        <v>0</v>
      </c>
      <c r="BH109" s="312" t="s">
        <v>390</v>
      </c>
      <c r="BI109" s="313">
        <v>4</v>
      </c>
      <c r="BJ109" s="313">
        <v>1</v>
      </c>
      <c r="BK109" s="313">
        <v>1</v>
      </c>
      <c r="BL109" s="313">
        <v>0</v>
      </c>
      <c r="BM109" s="313">
        <v>0</v>
      </c>
      <c r="BN109" s="313">
        <v>2</v>
      </c>
      <c r="BO109" s="313">
        <v>0</v>
      </c>
      <c r="BP109" s="313">
        <v>0</v>
      </c>
      <c r="BQ109" s="314">
        <v>1</v>
      </c>
      <c r="BR109" s="312" t="s">
        <v>272</v>
      </c>
      <c r="BS109" s="313">
        <v>4</v>
      </c>
      <c r="BT109" s="313">
        <v>0</v>
      </c>
      <c r="BU109" s="313">
        <v>1</v>
      </c>
      <c r="BV109" s="313">
        <v>0</v>
      </c>
      <c r="BW109" s="313">
        <v>0</v>
      </c>
      <c r="BX109" s="313">
        <v>0</v>
      </c>
      <c r="BY109" s="313">
        <v>0</v>
      </c>
      <c r="BZ109" s="313">
        <v>0</v>
      </c>
      <c r="CA109" s="314">
        <v>1</v>
      </c>
      <c r="CB109" s="312" t="s">
        <v>271</v>
      </c>
      <c r="CC109" s="313">
        <v>2</v>
      </c>
      <c r="CD109" s="313">
        <v>1</v>
      </c>
      <c r="CE109" s="313">
        <v>1</v>
      </c>
      <c r="CF109" s="313">
        <v>3</v>
      </c>
      <c r="CG109" s="313">
        <v>2</v>
      </c>
      <c r="CH109" s="313">
        <v>0</v>
      </c>
      <c r="CI109" s="313">
        <v>0</v>
      </c>
      <c r="CJ109" s="313">
        <v>0</v>
      </c>
      <c r="CK109" s="314">
        <v>4</v>
      </c>
      <c r="CL109" s="312" t="s">
        <v>332</v>
      </c>
      <c r="CM109" s="313">
        <v>2</v>
      </c>
      <c r="CN109" s="313">
        <v>0</v>
      </c>
      <c r="CO109" s="313">
        <v>0</v>
      </c>
      <c r="CP109" s="313">
        <v>0</v>
      </c>
      <c r="CQ109" s="313">
        <v>2</v>
      </c>
      <c r="CR109" s="313">
        <v>0</v>
      </c>
      <c r="CS109" s="313">
        <v>0</v>
      </c>
      <c r="CT109" s="313">
        <v>0</v>
      </c>
      <c r="CU109" s="314">
        <v>0</v>
      </c>
      <c r="CV109" s="312" t="s">
        <v>384</v>
      </c>
      <c r="CW109" s="313">
        <v>4</v>
      </c>
      <c r="CX109" s="313">
        <v>0</v>
      </c>
      <c r="CY109" s="313">
        <v>1</v>
      </c>
      <c r="CZ109" s="313">
        <v>0</v>
      </c>
      <c r="DA109" s="313">
        <v>0</v>
      </c>
      <c r="DB109" s="313">
        <v>0</v>
      </c>
      <c r="DC109" s="313">
        <v>0</v>
      </c>
      <c r="DD109" s="313">
        <v>0</v>
      </c>
      <c r="DE109" s="314">
        <v>1</v>
      </c>
      <c r="DF109" s="312" t="s">
        <v>388</v>
      </c>
      <c r="DG109" s="313">
        <v>2</v>
      </c>
      <c r="DH109" s="313">
        <v>1</v>
      </c>
      <c r="DI109" s="313">
        <v>0</v>
      </c>
      <c r="DJ109" s="313">
        <v>0</v>
      </c>
      <c r="DK109" s="313">
        <v>2</v>
      </c>
      <c r="DL109" s="313">
        <v>0</v>
      </c>
      <c r="DM109" s="313">
        <v>0</v>
      </c>
      <c r="DN109" s="313">
        <v>0</v>
      </c>
      <c r="DO109" s="314">
        <v>0</v>
      </c>
      <c r="DP109" s="312" t="s">
        <v>386</v>
      </c>
      <c r="DQ109" s="313">
        <v>2</v>
      </c>
      <c r="DR109" s="313">
        <v>1</v>
      </c>
      <c r="DS109" s="313">
        <v>0</v>
      </c>
      <c r="DT109" s="313">
        <v>0</v>
      </c>
      <c r="DU109" s="313">
        <v>1</v>
      </c>
      <c r="DV109" s="313">
        <v>0</v>
      </c>
      <c r="DW109" s="313">
        <v>0</v>
      </c>
      <c r="DX109" s="313">
        <v>0</v>
      </c>
      <c r="DY109" s="314">
        <v>0</v>
      </c>
      <c r="DZ109" s="315">
        <f>6+2/3</f>
        <v>6.666666666666667</v>
      </c>
      <c r="EA109" s="316">
        <v>0</v>
      </c>
      <c r="EB109" s="316">
        <v>0</v>
      </c>
      <c r="EC109" s="317">
        <f>1+1/3</f>
        <v>1.3333333333333333</v>
      </c>
      <c r="ED109" s="316">
        <v>1</v>
      </c>
      <c r="EE109" s="318">
        <v>0</v>
      </c>
      <c r="EF109" s="319">
        <v>3</v>
      </c>
      <c r="EG109" s="316">
        <v>0</v>
      </c>
      <c r="EH109" s="316">
        <v>0</v>
      </c>
      <c r="EI109" s="316">
        <v>0</v>
      </c>
      <c r="EJ109" s="316">
        <v>0</v>
      </c>
      <c r="EK109" s="316">
        <v>0</v>
      </c>
      <c r="EL109" s="316">
        <v>3</v>
      </c>
      <c r="EM109" s="316">
        <v>0</v>
      </c>
      <c r="EN109" s="316"/>
      <c r="EO109" s="316"/>
      <c r="EP109" s="316"/>
      <c r="EQ109" s="316"/>
      <c r="ER109" s="316"/>
      <c r="ES109" s="318">
        <f t="shared" si="104"/>
        <v>6</v>
      </c>
      <c r="ET109" s="316">
        <v>1</v>
      </c>
      <c r="EU109" s="316">
        <v>0</v>
      </c>
      <c r="EV109" s="316">
        <v>1</v>
      </c>
      <c r="EW109" s="316">
        <v>0</v>
      </c>
      <c r="EX109" s="316">
        <v>0</v>
      </c>
      <c r="EY109" s="316">
        <v>0</v>
      </c>
      <c r="EZ109" s="316">
        <v>1</v>
      </c>
      <c r="FA109" s="316">
        <v>0</v>
      </c>
      <c r="FB109" s="316">
        <v>1</v>
      </c>
      <c r="FC109" s="316"/>
      <c r="FD109" s="316"/>
      <c r="FE109" s="316"/>
      <c r="FF109" s="316"/>
      <c r="FG109" s="316">
        <f t="shared" si="105"/>
        <v>4</v>
      </c>
      <c r="FH109" s="320">
        <v>27</v>
      </c>
      <c r="FI109" s="320">
        <v>6</v>
      </c>
      <c r="FJ109" s="320">
        <v>6</v>
      </c>
      <c r="FK109" s="320">
        <v>6</v>
      </c>
      <c r="FL109" s="320">
        <v>8</v>
      </c>
      <c r="FM109" s="320">
        <v>4</v>
      </c>
      <c r="FN109" s="320">
        <f t="shared" si="106"/>
        <v>0</v>
      </c>
      <c r="FO109" s="320">
        <f t="shared" si="107"/>
        <v>0</v>
      </c>
      <c r="FP109" s="320">
        <f t="shared" si="82"/>
        <v>0</v>
      </c>
      <c r="FQ109" s="320">
        <f t="shared" si="83"/>
        <v>0</v>
      </c>
      <c r="FR109" s="320">
        <f t="shared" si="84"/>
        <v>0</v>
      </c>
      <c r="FS109" s="320">
        <f t="shared" si="85"/>
        <v>0</v>
      </c>
      <c r="FT109" s="320">
        <f t="shared" si="86"/>
        <v>0</v>
      </c>
      <c r="FU109" s="320">
        <f t="shared" si="87"/>
        <v>0</v>
      </c>
      <c r="FV109" s="320">
        <f t="shared" si="88"/>
        <v>2</v>
      </c>
      <c r="FW109" s="320">
        <f t="shared" si="89"/>
        <v>0</v>
      </c>
      <c r="FX109" s="320">
        <f t="shared" si="90"/>
        <v>-1</v>
      </c>
      <c r="FY109" s="320">
        <f t="shared" si="91"/>
        <v>0</v>
      </c>
      <c r="FZ109" s="320">
        <f t="shared" si="92"/>
        <v>0</v>
      </c>
      <c r="GA109" s="320">
        <f t="shared" si="93"/>
        <v>0</v>
      </c>
      <c r="GB109" s="320">
        <f t="shared" si="94"/>
        <v>2</v>
      </c>
      <c r="GC109" s="320">
        <f t="shared" si="95"/>
        <v>0</v>
      </c>
      <c r="GD109" s="320">
        <f t="shared" si="96"/>
        <v>-1</v>
      </c>
      <c r="GE109" s="320">
        <f t="shared" si="97"/>
        <v>0</v>
      </c>
      <c r="GF109" s="320">
        <f t="shared" si="98"/>
        <v>0</v>
      </c>
      <c r="GG109" s="320">
        <f t="shared" si="99"/>
        <v>0</v>
      </c>
      <c r="GH109" s="320">
        <f t="shared" si="100"/>
        <v>0</v>
      </c>
      <c r="GI109" s="320">
        <f t="shared" si="101"/>
        <v>2</v>
      </c>
      <c r="GJ109" s="321"/>
      <c r="GK109" s="367"/>
      <c r="GL109" s="376"/>
      <c r="GM109" s="376"/>
      <c r="GP109" s="52"/>
    </row>
    <row r="110" spans="1:198" x14ac:dyDescent="0.25">
      <c r="A110" s="305">
        <v>40394</v>
      </c>
      <c r="B110" s="305" t="s">
        <v>19</v>
      </c>
      <c r="C110" s="305" t="s">
        <v>131</v>
      </c>
      <c r="D110" s="305" t="s">
        <v>250</v>
      </c>
      <c r="E110" s="306">
        <v>19172</v>
      </c>
      <c r="F110" s="309"/>
      <c r="G110" s="307">
        <v>3</v>
      </c>
      <c r="H110" s="308" t="s">
        <v>394</v>
      </c>
      <c r="I110" s="309">
        <v>0</v>
      </c>
      <c r="J110" s="309">
        <v>0</v>
      </c>
      <c r="K110" s="310">
        <v>7</v>
      </c>
      <c r="L110" s="309">
        <v>5</v>
      </c>
      <c r="M110" s="309">
        <v>1</v>
      </c>
      <c r="N110" s="309">
        <v>1</v>
      </c>
      <c r="O110" s="309">
        <v>2</v>
      </c>
      <c r="P110" s="309">
        <v>7</v>
      </c>
      <c r="Q110" s="309">
        <v>0</v>
      </c>
      <c r="R110" s="309">
        <v>0</v>
      </c>
      <c r="S110" s="309">
        <v>27</v>
      </c>
      <c r="T110" s="309">
        <v>119</v>
      </c>
      <c r="U110" s="309">
        <v>83</v>
      </c>
      <c r="V110" s="309">
        <v>0</v>
      </c>
      <c r="W110" s="311">
        <v>0</v>
      </c>
      <c r="X110" s="309">
        <v>0</v>
      </c>
      <c r="Y110" s="309">
        <v>1</v>
      </c>
      <c r="Z110" s="309">
        <v>0</v>
      </c>
      <c r="AA110" s="309">
        <v>0</v>
      </c>
      <c r="AB110" s="309">
        <v>0</v>
      </c>
      <c r="AC110" s="310">
        <v>6</v>
      </c>
      <c r="AD110" s="309">
        <v>5</v>
      </c>
      <c r="AE110" s="309">
        <v>1</v>
      </c>
      <c r="AF110" s="309">
        <v>1</v>
      </c>
      <c r="AG110" s="309">
        <v>2</v>
      </c>
      <c r="AH110" s="309">
        <v>3</v>
      </c>
      <c r="AI110" s="309">
        <v>0</v>
      </c>
      <c r="AJ110" s="309">
        <v>0</v>
      </c>
      <c r="AK110" s="309">
        <v>25</v>
      </c>
      <c r="AL110" s="309">
        <v>96</v>
      </c>
      <c r="AM110" s="309">
        <v>60</v>
      </c>
      <c r="AN110" s="312" t="s">
        <v>389</v>
      </c>
      <c r="AO110" s="313">
        <v>5</v>
      </c>
      <c r="AP110" s="313">
        <v>0</v>
      </c>
      <c r="AQ110" s="313">
        <v>1</v>
      </c>
      <c r="AR110" s="313">
        <v>0</v>
      </c>
      <c r="AS110" s="313">
        <v>1</v>
      </c>
      <c r="AT110" s="313">
        <v>1</v>
      </c>
      <c r="AU110" s="313">
        <v>0</v>
      </c>
      <c r="AV110" s="313">
        <v>0</v>
      </c>
      <c r="AW110" s="314">
        <v>2</v>
      </c>
      <c r="AX110" s="312" t="s">
        <v>391</v>
      </c>
      <c r="AY110" s="313">
        <v>5</v>
      </c>
      <c r="AZ110" s="313">
        <v>0</v>
      </c>
      <c r="BA110" s="313">
        <v>1</v>
      </c>
      <c r="BB110" s="313">
        <v>0</v>
      </c>
      <c r="BC110" s="313">
        <v>1</v>
      </c>
      <c r="BD110" s="313">
        <v>0</v>
      </c>
      <c r="BE110" s="313">
        <v>0</v>
      </c>
      <c r="BF110" s="313">
        <v>0</v>
      </c>
      <c r="BG110" s="314">
        <v>2</v>
      </c>
      <c r="BH110" s="312" t="s">
        <v>390</v>
      </c>
      <c r="BI110" s="313">
        <v>6</v>
      </c>
      <c r="BJ110" s="313">
        <v>1</v>
      </c>
      <c r="BK110" s="313">
        <v>1</v>
      </c>
      <c r="BL110" s="313">
        <v>0</v>
      </c>
      <c r="BM110" s="313">
        <v>0</v>
      </c>
      <c r="BN110" s="313">
        <v>2</v>
      </c>
      <c r="BO110" s="313">
        <v>0</v>
      </c>
      <c r="BP110" s="313">
        <v>0</v>
      </c>
      <c r="BQ110" s="314">
        <v>2</v>
      </c>
      <c r="BR110" s="312" t="s">
        <v>387</v>
      </c>
      <c r="BS110" s="313">
        <v>4</v>
      </c>
      <c r="BT110" s="313">
        <v>0</v>
      </c>
      <c r="BU110" s="313">
        <v>0</v>
      </c>
      <c r="BV110" s="313">
        <v>0</v>
      </c>
      <c r="BW110" s="313">
        <v>0</v>
      </c>
      <c r="BX110" s="313">
        <v>2</v>
      </c>
      <c r="BY110" s="313">
        <v>1</v>
      </c>
      <c r="BZ110" s="313">
        <v>0</v>
      </c>
      <c r="CA110" s="314">
        <v>0</v>
      </c>
      <c r="CB110" s="312" t="s">
        <v>332</v>
      </c>
      <c r="CC110" s="313">
        <v>5</v>
      </c>
      <c r="CD110" s="313">
        <v>0</v>
      </c>
      <c r="CE110" s="313">
        <v>1</v>
      </c>
      <c r="CF110" s="313">
        <v>1</v>
      </c>
      <c r="CG110" s="313">
        <v>0</v>
      </c>
      <c r="CH110" s="313">
        <v>1</v>
      </c>
      <c r="CI110" s="313">
        <v>0</v>
      </c>
      <c r="CJ110" s="313">
        <v>0</v>
      </c>
      <c r="CK110" s="314">
        <v>1</v>
      </c>
      <c r="CL110" s="312" t="s">
        <v>275</v>
      </c>
      <c r="CM110" s="313">
        <v>5</v>
      </c>
      <c r="CN110" s="313">
        <v>0</v>
      </c>
      <c r="CO110" s="313">
        <v>1</v>
      </c>
      <c r="CP110" s="313">
        <v>0</v>
      </c>
      <c r="CQ110" s="313">
        <v>0</v>
      </c>
      <c r="CR110" s="313">
        <v>1</v>
      </c>
      <c r="CS110" s="313">
        <v>0</v>
      </c>
      <c r="CT110" s="313">
        <v>0</v>
      </c>
      <c r="CU110" s="314">
        <v>2</v>
      </c>
      <c r="CV110" s="312" t="s">
        <v>273</v>
      </c>
      <c r="CW110" s="313">
        <v>5</v>
      </c>
      <c r="CX110" s="313">
        <v>0</v>
      </c>
      <c r="CY110" s="313">
        <v>0</v>
      </c>
      <c r="CZ110" s="313">
        <v>0</v>
      </c>
      <c r="DA110" s="313">
        <v>0</v>
      </c>
      <c r="DB110" s="313">
        <v>2</v>
      </c>
      <c r="DC110" s="313">
        <v>0</v>
      </c>
      <c r="DD110" s="313">
        <v>0</v>
      </c>
      <c r="DE110" s="314">
        <v>0</v>
      </c>
      <c r="DF110" s="312" t="s">
        <v>271</v>
      </c>
      <c r="DG110" s="313">
        <v>5</v>
      </c>
      <c r="DH110" s="313">
        <v>0</v>
      </c>
      <c r="DI110" s="313">
        <v>0</v>
      </c>
      <c r="DJ110" s="313">
        <v>0</v>
      </c>
      <c r="DK110" s="313">
        <v>0</v>
      </c>
      <c r="DL110" s="313">
        <v>1</v>
      </c>
      <c r="DM110" s="313">
        <v>0</v>
      </c>
      <c r="DN110" s="313">
        <v>0</v>
      </c>
      <c r="DO110" s="314">
        <v>0</v>
      </c>
      <c r="DP110" s="312" t="s">
        <v>384</v>
      </c>
      <c r="DQ110" s="313">
        <v>4</v>
      </c>
      <c r="DR110" s="313">
        <v>0</v>
      </c>
      <c r="DS110" s="313">
        <v>0</v>
      </c>
      <c r="DT110" s="313">
        <v>0</v>
      </c>
      <c r="DU110" s="313">
        <v>1</v>
      </c>
      <c r="DV110" s="313">
        <v>1</v>
      </c>
      <c r="DW110" s="313">
        <v>0</v>
      </c>
      <c r="DX110" s="313">
        <v>0</v>
      </c>
      <c r="DY110" s="314">
        <v>0</v>
      </c>
      <c r="DZ110" s="315">
        <v>1</v>
      </c>
      <c r="EA110" s="316">
        <v>0</v>
      </c>
      <c r="EB110" s="316">
        <v>0</v>
      </c>
      <c r="EC110" s="317">
        <v>12</v>
      </c>
      <c r="ED110" s="316">
        <v>0</v>
      </c>
      <c r="EE110" s="318">
        <v>0</v>
      </c>
      <c r="EF110" s="319">
        <v>0</v>
      </c>
      <c r="EG110" s="316">
        <v>0</v>
      </c>
      <c r="EH110" s="316">
        <v>0</v>
      </c>
      <c r="EI110" s="316">
        <v>0</v>
      </c>
      <c r="EJ110" s="316">
        <v>0</v>
      </c>
      <c r="EK110" s="316">
        <v>0</v>
      </c>
      <c r="EL110" s="316">
        <v>0</v>
      </c>
      <c r="EM110" s="316">
        <v>0</v>
      </c>
      <c r="EN110" s="316">
        <v>1</v>
      </c>
      <c r="EO110" s="316">
        <v>0</v>
      </c>
      <c r="EP110" s="316">
        <v>0</v>
      </c>
      <c r="EQ110" s="316">
        <v>0</v>
      </c>
      <c r="ER110" s="316">
        <v>0</v>
      </c>
      <c r="ES110" s="318">
        <f t="shared" si="104"/>
        <v>1</v>
      </c>
      <c r="ET110" s="316">
        <v>0</v>
      </c>
      <c r="EU110" s="316">
        <v>1</v>
      </c>
      <c r="EV110" s="316">
        <v>0</v>
      </c>
      <c r="EW110" s="316">
        <v>0</v>
      </c>
      <c r="EX110" s="316">
        <v>0</v>
      </c>
      <c r="EY110" s="316">
        <v>0</v>
      </c>
      <c r="EZ110" s="316">
        <v>0</v>
      </c>
      <c r="FA110" s="316">
        <v>0</v>
      </c>
      <c r="FB110" s="316">
        <v>0</v>
      </c>
      <c r="FC110" s="316">
        <v>0</v>
      </c>
      <c r="FD110" s="316">
        <v>0</v>
      </c>
      <c r="FE110" s="316">
        <v>0</v>
      </c>
      <c r="FF110" s="316">
        <v>1</v>
      </c>
      <c r="FG110" s="316">
        <f t="shared" si="105"/>
        <v>2</v>
      </c>
      <c r="FH110" s="320">
        <v>44</v>
      </c>
      <c r="FI110" s="320">
        <v>1</v>
      </c>
      <c r="FJ110" s="320">
        <v>5</v>
      </c>
      <c r="FK110" s="320">
        <v>1</v>
      </c>
      <c r="FL110" s="320">
        <v>3</v>
      </c>
      <c r="FM110" s="320">
        <v>11</v>
      </c>
      <c r="FN110" s="320">
        <f t="shared" si="106"/>
        <v>0</v>
      </c>
      <c r="FO110" s="320">
        <f t="shared" si="107"/>
        <v>0</v>
      </c>
      <c r="FP110" s="320">
        <f t="shared" si="82"/>
        <v>0</v>
      </c>
      <c r="FQ110" s="320">
        <f t="shared" si="83"/>
        <v>0</v>
      </c>
      <c r="FR110" s="320">
        <f t="shared" si="84"/>
        <v>0</v>
      </c>
      <c r="FS110" s="320">
        <f t="shared" si="85"/>
        <v>0</v>
      </c>
      <c r="FT110" s="320">
        <f t="shared" si="86"/>
        <v>0</v>
      </c>
      <c r="FU110" s="320">
        <f t="shared" si="87"/>
        <v>0</v>
      </c>
      <c r="FV110" s="320">
        <f t="shared" si="88"/>
        <v>0</v>
      </c>
      <c r="FW110" s="320">
        <f t="shared" si="89"/>
        <v>-1</v>
      </c>
      <c r="FX110" s="320">
        <f t="shared" si="90"/>
        <v>0</v>
      </c>
      <c r="FY110" s="320">
        <f t="shared" si="91"/>
        <v>0</v>
      </c>
      <c r="FZ110" s="320">
        <f t="shared" si="92"/>
        <v>0</v>
      </c>
      <c r="GA110" s="320">
        <f t="shared" si="93"/>
        <v>0</v>
      </c>
      <c r="GB110" s="320">
        <f t="shared" si="94"/>
        <v>0</v>
      </c>
      <c r="GC110" s="320">
        <f t="shared" si="95"/>
        <v>0</v>
      </c>
      <c r="GD110" s="320">
        <f t="shared" si="96"/>
        <v>1</v>
      </c>
      <c r="GE110" s="320">
        <f t="shared" si="97"/>
        <v>0</v>
      </c>
      <c r="GF110" s="320">
        <f t="shared" si="98"/>
        <v>0</v>
      </c>
      <c r="GG110" s="320">
        <f t="shared" si="99"/>
        <v>0</v>
      </c>
      <c r="GH110" s="320">
        <f t="shared" si="100"/>
        <v>-1</v>
      </c>
      <c r="GI110" s="320">
        <f t="shared" si="101"/>
        <v>-1</v>
      </c>
      <c r="GJ110" s="321"/>
      <c r="GK110" s="367"/>
      <c r="GL110" s="376"/>
      <c r="GM110" s="376"/>
      <c r="GP110" s="52"/>
    </row>
    <row r="111" spans="1:198" x14ac:dyDescent="0.25">
      <c r="A111" s="305">
        <v>40395</v>
      </c>
      <c r="B111" s="305" t="s">
        <v>19</v>
      </c>
      <c r="C111" s="305" t="s">
        <v>131</v>
      </c>
      <c r="D111" s="305" t="s">
        <v>250</v>
      </c>
      <c r="E111" s="306">
        <v>29210</v>
      </c>
      <c r="F111" s="309"/>
      <c r="G111" s="307">
        <v>4</v>
      </c>
      <c r="H111" s="308" t="s">
        <v>393</v>
      </c>
      <c r="I111" s="309">
        <v>0</v>
      </c>
      <c r="J111" s="309">
        <v>0</v>
      </c>
      <c r="K111" s="310">
        <v>6</v>
      </c>
      <c r="L111" s="309">
        <v>10</v>
      </c>
      <c r="M111" s="309">
        <v>6</v>
      </c>
      <c r="N111" s="309">
        <v>6</v>
      </c>
      <c r="O111" s="309">
        <v>1</v>
      </c>
      <c r="P111" s="309">
        <v>2</v>
      </c>
      <c r="Q111" s="309">
        <v>1</v>
      </c>
      <c r="R111" s="309">
        <v>0</v>
      </c>
      <c r="S111" s="309">
        <v>29</v>
      </c>
      <c r="T111" s="309">
        <v>81</v>
      </c>
      <c r="U111" s="309">
        <v>54</v>
      </c>
      <c r="V111" s="309">
        <v>0</v>
      </c>
      <c r="W111" s="311">
        <v>0</v>
      </c>
      <c r="X111" s="309">
        <v>0</v>
      </c>
      <c r="Y111" s="309">
        <v>1</v>
      </c>
      <c r="Z111" s="309">
        <v>0</v>
      </c>
      <c r="AA111" s="309">
        <v>0</v>
      </c>
      <c r="AB111" s="309">
        <v>0</v>
      </c>
      <c r="AC111" s="310">
        <v>3</v>
      </c>
      <c r="AD111" s="309">
        <v>5</v>
      </c>
      <c r="AE111" s="309">
        <v>2</v>
      </c>
      <c r="AF111" s="309">
        <v>2</v>
      </c>
      <c r="AG111" s="309">
        <v>1</v>
      </c>
      <c r="AH111" s="309">
        <v>1</v>
      </c>
      <c r="AI111" s="309">
        <v>0</v>
      </c>
      <c r="AJ111" s="309">
        <v>0</v>
      </c>
      <c r="AK111" s="309">
        <v>14</v>
      </c>
      <c r="AL111" s="309">
        <v>50</v>
      </c>
      <c r="AM111" s="309">
        <v>31</v>
      </c>
      <c r="AN111" s="312" t="s">
        <v>271</v>
      </c>
      <c r="AO111" s="313">
        <v>4</v>
      </c>
      <c r="AP111" s="313">
        <v>1</v>
      </c>
      <c r="AQ111" s="313">
        <v>2</v>
      </c>
      <c r="AR111" s="313">
        <v>0</v>
      </c>
      <c r="AS111" s="313">
        <v>0</v>
      </c>
      <c r="AT111" s="313">
        <v>1</v>
      </c>
      <c r="AU111" s="313">
        <v>1</v>
      </c>
      <c r="AV111" s="313">
        <v>0</v>
      </c>
      <c r="AW111" s="314">
        <v>2</v>
      </c>
      <c r="AX111" s="312" t="s">
        <v>391</v>
      </c>
      <c r="AY111" s="313">
        <v>4</v>
      </c>
      <c r="AZ111" s="313">
        <v>0</v>
      </c>
      <c r="BA111" s="313">
        <v>0</v>
      </c>
      <c r="BB111" s="313">
        <v>0</v>
      </c>
      <c r="BC111" s="313">
        <v>0</v>
      </c>
      <c r="BD111" s="313">
        <v>1</v>
      </c>
      <c r="BE111" s="313">
        <v>0</v>
      </c>
      <c r="BF111" s="313">
        <v>0</v>
      </c>
      <c r="BG111" s="314">
        <v>0</v>
      </c>
      <c r="BH111" s="312" t="s">
        <v>390</v>
      </c>
      <c r="BI111" s="313">
        <v>3</v>
      </c>
      <c r="BJ111" s="313">
        <v>1</v>
      </c>
      <c r="BK111" s="313">
        <v>0</v>
      </c>
      <c r="BL111" s="313">
        <v>0</v>
      </c>
      <c r="BM111" s="313">
        <v>1</v>
      </c>
      <c r="BN111" s="313">
        <v>1</v>
      </c>
      <c r="BO111" s="313">
        <v>0</v>
      </c>
      <c r="BP111" s="313">
        <v>0</v>
      </c>
      <c r="BQ111" s="314">
        <v>0</v>
      </c>
      <c r="BR111" s="312" t="s">
        <v>272</v>
      </c>
      <c r="BS111" s="313">
        <v>3</v>
      </c>
      <c r="BT111" s="313">
        <v>1</v>
      </c>
      <c r="BU111" s="313">
        <v>0</v>
      </c>
      <c r="BV111" s="313">
        <v>1</v>
      </c>
      <c r="BW111" s="313">
        <v>1</v>
      </c>
      <c r="BX111" s="313">
        <v>1</v>
      </c>
      <c r="BY111" s="313">
        <v>0</v>
      </c>
      <c r="BZ111" s="313">
        <v>0</v>
      </c>
      <c r="CA111" s="314">
        <v>0</v>
      </c>
      <c r="CB111" s="312" t="s">
        <v>387</v>
      </c>
      <c r="CC111" s="313">
        <v>4</v>
      </c>
      <c r="CD111" s="313">
        <v>1</v>
      </c>
      <c r="CE111" s="313">
        <v>1</v>
      </c>
      <c r="CF111" s="313">
        <v>4</v>
      </c>
      <c r="CG111" s="313">
        <v>0</v>
      </c>
      <c r="CH111" s="313">
        <v>1</v>
      </c>
      <c r="CI111" s="313">
        <v>0</v>
      </c>
      <c r="CJ111" s="313">
        <v>0</v>
      </c>
      <c r="CK111" s="314">
        <v>4</v>
      </c>
      <c r="CL111" s="312" t="s">
        <v>332</v>
      </c>
      <c r="CM111" s="313">
        <v>3</v>
      </c>
      <c r="CN111" s="313">
        <v>0</v>
      </c>
      <c r="CO111" s="313">
        <v>0</v>
      </c>
      <c r="CP111" s="313">
        <v>0</v>
      </c>
      <c r="CQ111" s="313">
        <v>1</v>
      </c>
      <c r="CR111" s="313">
        <v>0</v>
      </c>
      <c r="CS111" s="313">
        <v>0</v>
      </c>
      <c r="CT111" s="313">
        <v>0</v>
      </c>
      <c r="CU111" s="314">
        <v>0</v>
      </c>
      <c r="CV111" s="312" t="s">
        <v>273</v>
      </c>
      <c r="CW111" s="313">
        <v>4</v>
      </c>
      <c r="CX111" s="313">
        <v>1</v>
      </c>
      <c r="CY111" s="313">
        <v>2</v>
      </c>
      <c r="CZ111" s="313">
        <v>1</v>
      </c>
      <c r="DA111" s="313">
        <v>0</v>
      </c>
      <c r="DB111" s="313">
        <v>2</v>
      </c>
      <c r="DC111" s="313">
        <v>0</v>
      </c>
      <c r="DD111" s="313">
        <v>0</v>
      </c>
      <c r="DE111" s="314">
        <v>5</v>
      </c>
      <c r="DF111" s="312" t="s">
        <v>385</v>
      </c>
      <c r="DG111" s="313">
        <v>4</v>
      </c>
      <c r="DH111" s="313">
        <v>0</v>
      </c>
      <c r="DI111" s="313">
        <v>0</v>
      </c>
      <c r="DJ111" s="313">
        <v>0</v>
      </c>
      <c r="DK111" s="313">
        <v>0</v>
      </c>
      <c r="DL111" s="313">
        <v>3</v>
      </c>
      <c r="DM111" s="313">
        <v>0</v>
      </c>
      <c r="DN111" s="313">
        <v>0</v>
      </c>
      <c r="DO111" s="314">
        <v>0</v>
      </c>
      <c r="DP111" s="312" t="s">
        <v>388</v>
      </c>
      <c r="DQ111" s="313">
        <v>2</v>
      </c>
      <c r="DR111" s="313">
        <v>1</v>
      </c>
      <c r="DS111" s="313">
        <v>0</v>
      </c>
      <c r="DT111" s="313">
        <v>0</v>
      </c>
      <c r="DU111" s="313">
        <v>1</v>
      </c>
      <c r="DV111" s="313">
        <v>2</v>
      </c>
      <c r="DW111" s="313">
        <v>1</v>
      </c>
      <c r="DX111" s="313">
        <v>0</v>
      </c>
      <c r="DY111" s="314">
        <v>0</v>
      </c>
      <c r="DZ111" s="315">
        <v>0</v>
      </c>
      <c r="EA111" s="316">
        <v>0</v>
      </c>
      <c r="EB111" s="316">
        <v>0</v>
      </c>
      <c r="EC111" s="317">
        <v>9</v>
      </c>
      <c r="ED111" s="316">
        <v>0</v>
      </c>
      <c r="EE111" s="318">
        <v>1</v>
      </c>
      <c r="EF111" s="319">
        <v>0</v>
      </c>
      <c r="EG111" s="316">
        <v>0</v>
      </c>
      <c r="EH111" s="316">
        <v>0</v>
      </c>
      <c r="EI111" s="316">
        <v>0</v>
      </c>
      <c r="EJ111" s="316">
        <v>0</v>
      </c>
      <c r="EK111" s="316">
        <v>0</v>
      </c>
      <c r="EL111" s="316">
        <v>0</v>
      </c>
      <c r="EM111" s="316">
        <v>6</v>
      </c>
      <c r="EN111" s="316">
        <v>0</v>
      </c>
      <c r="EO111" s="316"/>
      <c r="EP111" s="316"/>
      <c r="EQ111" s="316"/>
      <c r="ER111" s="316"/>
      <c r="ES111" s="318">
        <f t="shared" si="104"/>
        <v>6</v>
      </c>
      <c r="ET111" s="316">
        <v>4</v>
      </c>
      <c r="EU111" s="316">
        <v>0</v>
      </c>
      <c r="EV111" s="316">
        <v>0</v>
      </c>
      <c r="EW111" s="316">
        <v>0</v>
      </c>
      <c r="EX111" s="316">
        <v>1</v>
      </c>
      <c r="EY111" s="316">
        <v>1</v>
      </c>
      <c r="EZ111" s="316">
        <v>0</v>
      </c>
      <c r="FA111" s="316">
        <v>0</v>
      </c>
      <c r="FB111" s="316">
        <v>2</v>
      </c>
      <c r="FC111" s="316"/>
      <c r="FD111" s="316"/>
      <c r="FE111" s="316"/>
      <c r="FF111" s="316"/>
      <c r="FG111" s="316">
        <f t="shared" si="105"/>
        <v>8</v>
      </c>
      <c r="FH111" s="320">
        <v>31</v>
      </c>
      <c r="FI111" s="320">
        <v>6</v>
      </c>
      <c r="FJ111" s="320">
        <v>5</v>
      </c>
      <c r="FK111" s="320">
        <v>6</v>
      </c>
      <c r="FL111" s="320">
        <v>4</v>
      </c>
      <c r="FM111" s="320">
        <v>12</v>
      </c>
      <c r="FN111" s="320">
        <f t="shared" si="106"/>
        <v>0</v>
      </c>
      <c r="FO111" s="320">
        <f t="shared" si="107"/>
        <v>0</v>
      </c>
      <c r="FP111" s="320">
        <f t="shared" si="82"/>
        <v>0</v>
      </c>
      <c r="FQ111" s="320">
        <f t="shared" si="83"/>
        <v>0</v>
      </c>
      <c r="FR111" s="320">
        <f t="shared" si="84"/>
        <v>0</v>
      </c>
      <c r="FS111" s="320">
        <f t="shared" si="85"/>
        <v>0</v>
      </c>
      <c r="FT111" s="320">
        <f t="shared" si="86"/>
        <v>0</v>
      </c>
      <c r="FU111" s="320">
        <f t="shared" si="87"/>
        <v>0</v>
      </c>
      <c r="FV111" s="320">
        <f t="shared" si="88"/>
        <v>-4</v>
      </c>
      <c r="FW111" s="320">
        <f t="shared" si="89"/>
        <v>0</v>
      </c>
      <c r="FX111" s="320">
        <f t="shared" si="90"/>
        <v>0</v>
      </c>
      <c r="FY111" s="320">
        <f t="shared" si="91"/>
        <v>0</v>
      </c>
      <c r="FZ111" s="320">
        <f t="shared" si="92"/>
        <v>-1</v>
      </c>
      <c r="GA111" s="320">
        <f t="shared" si="93"/>
        <v>-1</v>
      </c>
      <c r="GB111" s="320">
        <f t="shared" si="94"/>
        <v>0</v>
      </c>
      <c r="GC111" s="320">
        <f t="shared" si="95"/>
        <v>6</v>
      </c>
      <c r="GD111" s="320">
        <f t="shared" si="96"/>
        <v>-2</v>
      </c>
      <c r="GE111" s="320">
        <f t="shared" si="97"/>
        <v>0</v>
      </c>
      <c r="GF111" s="320">
        <f t="shared" si="98"/>
        <v>0</v>
      </c>
      <c r="GG111" s="320">
        <f t="shared" si="99"/>
        <v>0</v>
      </c>
      <c r="GH111" s="320">
        <f t="shared" si="100"/>
        <v>0</v>
      </c>
      <c r="GI111" s="320">
        <f t="shared" si="101"/>
        <v>-2</v>
      </c>
      <c r="GJ111" s="321"/>
      <c r="GK111" s="367"/>
      <c r="GL111" s="376"/>
      <c r="GM111" s="376"/>
      <c r="GP111" s="52"/>
    </row>
    <row r="112" spans="1:198" x14ac:dyDescent="0.25">
      <c r="A112" s="305">
        <v>40396</v>
      </c>
      <c r="B112" s="305" t="s">
        <v>133</v>
      </c>
      <c r="C112" s="305" t="s">
        <v>131</v>
      </c>
      <c r="D112" s="305" t="s">
        <v>136</v>
      </c>
      <c r="E112" s="306">
        <v>22520</v>
      </c>
      <c r="F112" s="309"/>
      <c r="G112" s="307">
        <v>5</v>
      </c>
      <c r="H112" s="308" t="s">
        <v>396</v>
      </c>
      <c r="I112" s="309">
        <v>0</v>
      </c>
      <c r="J112" s="309">
        <v>1</v>
      </c>
      <c r="K112" s="310">
        <v>8</v>
      </c>
      <c r="L112" s="309">
        <v>4</v>
      </c>
      <c r="M112" s="309">
        <v>2</v>
      </c>
      <c r="N112" s="309">
        <v>0</v>
      </c>
      <c r="O112" s="309">
        <v>0</v>
      </c>
      <c r="P112" s="309">
        <v>4</v>
      </c>
      <c r="Q112" s="309">
        <v>0</v>
      </c>
      <c r="R112" s="309">
        <v>0</v>
      </c>
      <c r="S112" s="309">
        <v>28</v>
      </c>
      <c r="T112" s="309">
        <v>102</v>
      </c>
      <c r="U112" s="309">
        <v>65</v>
      </c>
      <c r="V112" s="309">
        <v>0</v>
      </c>
      <c r="W112" s="311">
        <v>0</v>
      </c>
      <c r="X112" s="309">
        <v>0</v>
      </c>
      <c r="Y112" s="309">
        <v>0</v>
      </c>
      <c r="Z112" s="309">
        <v>0</v>
      </c>
      <c r="AA112" s="309">
        <v>0</v>
      </c>
      <c r="AB112" s="309">
        <v>0</v>
      </c>
      <c r="AC112" s="310">
        <v>0</v>
      </c>
      <c r="AD112" s="309">
        <v>0</v>
      </c>
      <c r="AE112" s="309">
        <v>0</v>
      </c>
      <c r="AF112" s="309">
        <v>0</v>
      </c>
      <c r="AG112" s="309">
        <v>0</v>
      </c>
      <c r="AH112" s="309">
        <v>0</v>
      </c>
      <c r="AI112" s="309">
        <v>0</v>
      </c>
      <c r="AJ112" s="309">
        <v>0</v>
      </c>
      <c r="AK112" s="309">
        <v>0</v>
      </c>
      <c r="AL112" s="309">
        <v>0</v>
      </c>
      <c r="AM112" s="309">
        <v>0</v>
      </c>
      <c r="AN112" s="312" t="s">
        <v>273</v>
      </c>
      <c r="AO112" s="313">
        <v>3</v>
      </c>
      <c r="AP112" s="313">
        <v>0</v>
      </c>
      <c r="AQ112" s="313">
        <v>0</v>
      </c>
      <c r="AR112" s="313">
        <v>0</v>
      </c>
      <c r="AS112" s="313">
        <v>1</v>
      </c>
      <c r="AT112" s="313">
        <v>2</v>
      </c>
      <c r="AU112" s="313">
        <v>0</v>
      </c>
      <c r="AV112" s="313">
        <v>0</v>
      </c>
      <c r="AW112" s="314">
        <v>0</v>
      </c>
      <c r="AX112" s="312" t="s">
        <v>271</v>
      </c>
      <c r="AY112" s="313">
        <v>4</v>
      </c>
      <c r="AZ112" s="313">
        <v>1</v>
      </c>
      <c r="BA112" s="313">
        <v>2</v>
      </c>
      <c r="BB112" s="313">
        <v>0</v>
      </c>
      <c r="BC112" s="313">
        <v>0</v>
      </c>
      <c r="BD112" s="313">
        <v>0</v>
      </c>
      <c r="BE112" s="313">
        <v>0</v>
      </c>
      <c r="BF112" s="313">
        <v>0</v>
      </c>
      <c r="BG112" s="314">
        <v>3</v>
      </c>
      <c r="BH112" s="312" t="s">
        <v>390</v>
      </c>
      <c r="BI112" s="313">
        <v>4</v>
      </c>
      <c r="BJ112" s="313">
        <v>0</v>
      </c>
      <c r="BK112" s="313">
        <v>1</v>
      </c>
      <c r="BL112" s="313">
        <v>0</v>
      </c>
      <c r="BM112" s="313">
        <v>0</v>
      </c>
      <c r="BN112" s="313">
        <v>1</v>
      </c>
      <c r="BO112" s="313">
        <v>0</v>
      </c>
      <c r="BP112" s="313">
        <v>0</v>
      </c>
      <c r="BQ112" s="314">
        <v>1</v>
      </c>
      <c r="BR112" s="312" t="s">
        <v>272</v>
      </c>
      <c r="BS112" s="313">
        <v>3</v>
      </c>
      <c r="BT112" s="313">
        <v>0</v>
      </c>
      <c r="BU112" s="313">
        <v>1</v>
      </c>
      <c r="BV112" s="313">
        <v>1</v>
      </c>
      <c r="BW112" s="313">
        <v>1</v>
      </c>
      <c r="BX112" s="313">
        <v>1</v>
      </c>
      <c r="BY112" s="313">
        <v>0</v>
      </c>
      <c r="BZ112" s="313">
        <v>0</v>
      </c>
      <c r="CA112" s="314">
        <v>2</v>
      </c>
      <c r="CB112" s="312" t="s">
        <v>389</v>
      </c>
      <c r="CC112" s="313">
        <v>4</v>
      </c>
      <c r="CD112" s="313">
        <v>0</v>
      </c>
      <c r="CE112" s="313">
        <v>1</v>
      </c>
      <c r="CF112" s="313">
        <v>0</v>
      </c>
      <c r="CG112" s="313">
        <v>0</v>
      </c>
      <c r="CH112" s="313">
        <v>1</v>
      </c>
      <c r="CI112" s="313">
        <v>0</v>
      </c>
      <c r="CJ112" s="313">
        <v>0</v>
      </c>
      <c r="CK112" s="314">
        <v>1</v>
      </c>
      <c r="CL112" s="312" t="s">
        <v>384</v>
      </c>
      <c r="CM112" s="313">
        <v>4</v>
      </c>
      <c r="CN112" s="313">
        <v>0</v>
      </c>
      <c r="CO112" s="313">
        <v>0</v>
      </c>
      <c r="CP112" s="313">
        <v>0</v>
      </c>
      <c r="CQ112" s="313">
        <v>0</v>
      </c>
      <c r="CR112" s="313">
        <v>1</v>
      </c>
      <c r="CS112" s="313">
        <v>0</v>
      </c>
      <c r="CT112" s="313">
        <v>0</v>
      </c>
      <c r="CU112" s="314">
        <v>0</v>
      </c>
      <c r="CV112" s="312" t="s">
        <v>387</v>
      </c>
      <c r="CW112" s="313">
        <v>3</v>
      </c>
      <c r="CX112" s="313">
        <v>0</v>
      </c>
      <c r="CY112" s="313">
        <v>0</v>
      </c>
      <c r="CZ112" s="313">
        <v>0</v>
      </c>
      <c r="DA112" s="313">
        <v>0</v>
      </c>
      <c r="DB112" s="313">
        <v>2</v>
      </c>
      <c r="DC112" s="313">
        <v>0</v>
      </c>
      <c r="DD112" s="313">
        <v>0</v>
      </c>
      <c r="DE112" s="314">
        <v>0</v>
      </c>
      <c r="DF112" s="312" t="s">
        <v>386</v>
      </c>
      <c r="DG112" s="313">
        <v>3</v>
      </c>
      <c r="DH112" s="313">
        <v>0</v>
      </c>
      <c r="DI112" s="313">
        <v>0</v>
      </c>
      <c r="DJ112" s="313">
        <v>0</v>
      </c>
      <c r="DK112" s="313">
        <v>0</v>
      </c>
      <c r="DL112" s="313">
        <v>0</v>
      </c>
      <c r="DM112" s="313">
        <v>0</v>
      </c>
      <c r="DN112" s="313">
        <v>0</v>
      </c>
      <c r="DO112" s="314">
        <v>0</v>
      </c>
      <c r="DP112" s="312" t="s">
        <v>388</v>
      </c>
      <c r="DQ112" s="313">
        <v>3</v>
      </c>
      <c r="DR112" s="313">
        <v>0</v>
      </c>
      <c r="DS112" s="313">
        <v>0</v>
      </c>
      <c r="DT112" s="313">
        <v>0</v>
      </c>
      <c r="DU112" s="313">
        <v>0</v>
      </c>
      <c r="DV112" s="313">
        <v>2</v>
      </c>
      <c r="DW112" s="313">
        <v>0</v>
      </c>
      <c r="DX112" s="313">
        <v>0</v>
      </c>
      <c r="DY112" s="314">
        <v>0</v>
      </c>
      <c r="DZ112" s="315">
        <v>7</v>
      </c>
      <c r="EA112" s="316">
        <v>0</v>
      </c>
      <c r="EB112" s="316">
        <v>0</v>
      </c>
      <c r="EC112" s="317">
        <v>2</v>
      </c>
      <c r="ED112" s="316">
        <v>0</v>
      </c>
      <c r="EE112" s="318">
        <v>0</v>
      </c>
      <c r="EF112" s="319">
        <v>1</v>
      </c>
      <c r="EG112" s="316">
        <v>0</v>
      </c>
      <c r="EH112" s="316">
        <v>0</v>
      </c>
      <c r="EI112" s="316">
        <v>0</v>
      </c>
      <c r="EJ112" s="316">
        <v>0</v>
      </c>
      <c r="EK112" s="316">
        <v>0</v>
      </c>
      <c r="EL112" s="316">
        <v>0</v>
      </c>
      <c r="EM112" s="316">
        <v>0</v>
      </c>
      <c r="EN112" s="316">
        <v>0</v>
      </c>
      <c r="EO112" s="316"/>
      <c r="EP112" s="316"/>
      <c r="EQ112" s="316"/>
      <c r="ER112" s="316"/>
      <c r="ES112" s="318">
        <f t="shared" si="104"/>
        <v>1</v>
      </c>
      <c r="ET112" s="316">
        <v>0</v>
      </c>
      <c r="EU112" s="316">
        <v>0</v>
      </c>
      <c r="EV112" s="316">
        <v>1</v>
      </c>
      <c r="EW112" s="316">
        <v>0</v>
      </c>
      <c r="EX112" s="316">
        <v>0</v>
      </c>
      <c r="EY112" s="316">
        <v>0</v>
      </c>
      <c r="EZ112" s="316">
        <v>1</v>
      </c>
      <c r="FA112" s="316">
        <v>0</v>
      </c>
      <c r="FB112" s="316"/>
      <c r="FC112" s="316"/>
      <c r="FD112" s="316"/>
      <c r="FE112" s="316"/>
      <c r="FF112" s="316"/>
      <c r="FG112" s="316">
        <f t="shared" si="105"/>
        <v>2</v>
      </c>
      <c r="FH112" s="320">
        <v>31</v>
      </c>
      <c r="FI112" s="320">
        <v>1</v>
      </c>
      <c r="FJ112" s="320">
        <v>5</v>
      </c>
      <c r="FK112" s="320">
        <v>1</v>
      </c>
      <c r="FL112" s="320">
        <v>2</v>
      </c>
      <c r="FM112" s="320">
        <v>10</v>
      </c>
      <c r="FN112" s="320">
        <f t="shared" si="106"/>
        <v>0</v>
      </c>
      <c r="FO112" s="320">
        <f t="shared" si="107"/>
        <v>0</v>
      </c>
      <c r="FP112" s="320">
        <f t="shared" si="82"/>
        <v>0</v>
      </c>
      <c r="FQ112" s="320">
        <f t="shared" si="83"/>
        <v>0</v>
      </c>
      <c r="FR112" s="320">
        <f t="shared" si="84"/>
        <v>0</v>
      </c>
      <c r="FS112" s="320">
        <f t="shared" si="85"/>
        <v>0</v>
      </c>
      <c r="FT112" s="320">
        <f t="shared" si="86"/>
        <v>0</v>
      </c>
      <c r="FU112" s="320">
        <f t="shared" si="87"/>
        <v>0</v>
      </c>
      <c r="FV112" s="320">
        <f t="shared" si="88"/>
        <v>1</v>
      </c>
      <c r="FW112" s="320">
        <f t="shared" si="89"/>
        <v>0</v>
      </c>
      <c r="FX112" s="320">
        <f t="shared" si="90"/>
        <v>-1</v>
      </c>
      <c r="FY112" s="320">
        <f t="shared" si="91"/>
        <v>0</v>
      </c>
      <c r="FZ112" s="320">
        <f t="shared" si="92"/>
        <v>0</v>
      </c>
      <c r="GA112" s="320">
        <f t="shared" si="93"/>
        <v>0</v>
      </c>
      <c r="GB112" s="320">
        <f t="shared" si="94"/>
        <v>-1</v>
      </c>
      <c r="GC112" s="320">
        <f t="shared" si="95"/>
        <v>0</v>
      </c>
      <c r="GD112" s="320">
        <f t="shared" si="96"/>
        <v>0</v>
      </c>
      <c r="GE112" s="320">
        <f t="shared" si="97"/>
        <v>0</v>
      </c>
      <c r="GF112" s="320">
        <f t="shared" si="98"/>
        <v>0</v>
      </c>
      <c r="GG112" s="320">
        <f t="shared" si="99"/>
        <v>0</v>
      </c>
      <c r="GH112" s="320">
        <f t="shared" si="100"/>
        <v>0</v>
      </c>
      <c r="GI112" s="320">
        <f t="shared" si="101"/>
        <v>-1</v>
      </c>
      <c r="GJ112" s="321"/>
      <c r="GK112" s="367"/>
      <c r="GL112" s="376"/>
      <c r="GM112" s="376"/>
      <c r="GP112" s="52"/>
    </row>
    <row r="113" spans="1:198" x14ac:dyDescent="0.25">
      <c r="A113" s="305">
        <v>40397</v>
      </c>
      <c r="B113" s="305" t="s">
        <v>133</v>
      </c>
      <c r="C113" s="305" t="s">
        <v>131</v>
      </c>
      <c r="D113" s="305" t="s">
        <v>136</v>
      </c>
      <c r="E113" s="306">
        <v>24168</v>
      </c>
      <c r="F113" s="309"/>
      <c r="G113" s="307">
        <v>1</v>
      </c>
      <c r="H113" s="308" t="s">
        <v>392</v>
      </c>
      <c r="I113" s="309">
        <v>0</v>
      </c>
      <c r="J113" s="309">
        <v>1</v>
      </c>
      <c r="K113" s="310">
        <v>4</v>
      </c>
      <c r="L113" s="309">
        <v>9</v>
      </c>
      <c r="M113" s="309">
        <v>8</v>
      </c>
      <c r="N113" s="309">
        <v>8</v>
      </c>
      <c r="O113" s="309">
        <v>4</v>
      </c>
      <c r="P113" s="309">
        <v>2</v>
      </c>
      <c r="Q113" s="309">
        <v>6</v>
      </c>
      <c r="R113" s="309">
        <v>0</v>
      </c>
      <c r="S113" s="309">
        <v>25</v>
      </c>
      <c r="T113" s="309">
        <v>94</v>
      </c>
      <c r="U113" s="309">
        <v>52</v>
      </c>
      <c r="V113" s="309">
        <v>0</v>
      </c>
      <c r="W113" s="311">
        <v>0</v>
      </c>
      <c r="X113" s="309">
        <v>0</v>
      </c>
      <c r="Y113" s="309">
        <v>0</v>
      </c>
      <c r="Z113" s="309">
        <v>0</v>
      </c>
      <c r="AA113" s="309">
        <v>0</v>
      </c>
      <c r="AB113" s="309">
        <v>0</v>
      </c>
      <c r="AC113" s="310">
        <v>4</v>
      </c>
      <c r="AD113" s="309">
        <v>11</v>
      </c>
      <c r="AE113" s="309">
        <v>9</v>
      </c>
      <c r="AF113" s="309">
        <v>9</v>
      </c>
      <c r="AG113" s="309">
        <v>2</v>
      </c>
      <c r="AH113" s="309">
        <v>2</v>
      </c>
      <c r="AI113" s="309">
        <v>2</v>
      </c>
      <c r="AJ113" s="309">
        <v>0</v>
      </c>
      <c r="AK113" s="309">
        <v>24</v>
      </c>
      <c r="AL113" s="309">
        <v>95</v>
      </c>
      <c r="AM113" s="309">
        <v>60</v>
      </c>
      <c r="AN113" s="312" t="s">
        <v>273</v>
      </c>
      <c r="AO113" s="313">
        <v>4</v>
      </c>
      <c r="AP113" s="313">
        <v>3</v>
      </c>
      <c r="AQ113" s="313">
        <v>2</v>
      </c>
      <c r="AR113" s="313">
        <v>2</v>
      </c>
      <c r="AS113" s="313">
        <v>1</v>
      </c>
      <c r="AT113" s="313">
        <v>1</v>
      </c>
      <c r="AU113" s="313">
        <v>0</v>
      </c>
      <c r="AV113" s="313">
        <v>0</v>
      </c>
      <c r="AW113" s="314">
        <v>3</v>
      </c>
      <c r="AX113" s="312" t="s">
        <v>332</v>
      </c>
      <c r="AY113" s="313">
        <v>2</v>
      </c>
      <c r="AZ113" s="313">
        <v>2</v>
      </c>
      <c r="BA113" s="313">
        <v>2</v>
      </c>
      <c r="BB113" s="313">
        <v>4</v>
      </c>
      <c r="BC113" s="313">
        <v>2</v>
      </c>
      <c r="BD113" s="313">
        <v>0</v>
      </c>
      <c r="BE113" s="313">
        <v>0</v>
      </c>
      <c r="BF113" s="313">
        <v>1</v>
      </c>
      <c r="BG113" s="314">
        <v>5</v>
      </c>
      <c r="BH113" s="312" t="s">
        <v>390</v>
      </c>
      <c r="BI113" s="313">
        <v>5</v>
      </c>
      <c r="BJ113" s="313">
        <v>0</v>
      </c>
      <c r="BK113" s="313">
        <v>1</v>
      </c>
      <c r="BL113" s="313">
        <v>2</v>
      </c>
      <c r="BM113" s="313">
        <v>0</v>
      </c>
      <c r="BN113" s="313">
        <v>0</v>
      </c>
      <c r="BO113" s="313">
        <v>0</v>
      </c>
      <c r="BP113" s="313">
        <v>0</v>
      </c>
      <c r="BQ113" s="314">
        <v>2</v>
      </c>
      <c r="BR113" s="312" t="s">
        <v>387</v>
      </c>
      <c r="BS113" s="313">
        <v>4</v>
      </c>
      <c r="BT113" s="313">
        <v>0</v>
      </c>
      <c r="BU113" s="313">
        <v>0</v>
      </c>
      <c r="BV113" s="313">
        <v>0</v>
      </c>
      <c r="BW113" s="313">
        <v>1</v>
      </c>
      <c r="BX113" s="313">
        <v>2</v>
      </c>
      <c r="BY113" s="313">
        <v>0</v>
      </c>
      <c r="BZ113" s="313">
        <v>0</v>
      </c>
      <c r="CA113" s="314">
        <v>0</v>
      </c>
      <c r="CB113" s="312" t="s">
        <v>272</v>
      </c>
      <c r="CC113" s="313">
        <v>4</v>
      </c>
      <c r="CD113" s="313">
        <v>0</v>
      </c>
      <c r="CE113" s="313">
        <v>0</v>
      </c>
      <c r="CF113" s="313">
        <v>1</v>
      </c>
      <c r="CG113" s="313">
        <v>1</v>
      </c>
      <c r="CH113" s="313">
        <v>0</v>
      </c>
      <c r="CI113" s="313">
        <v>0</v>
      </c>
      <c r="CJ113" s="313">
        <v>0</v>
      </c>
      <c r="CK113" s="314">
        <v>0</v>
      </c>
      <c r="CL113" s="312" t="s">
        <v>389</v>
      </c>
      <c r="CM113" s="313">
        <v>5</v>
      </c>
      <c r="CN113" s="313">
        <v>0</v>
      </c>
      <c r="CO113" s="313">
        <v>0</v>
      </c>
      <c r="CP113" s="313">
        <v>0</v>
      </c>
      <c r="CQ113" s="313">
        <v>0</v>
      </c>
      <c r="CR113" s="313">
        <v>1</v>
      </c>
      <c r="CS113" s="313">
        <v>0</v>
      </c>
      <c r="CT113" s="313">
        <v>0</v>
      </c>
      <c r="CU113" s="314">
        <v>0</v>
      </c>
      <c r="CV113" s="312" t="s">
        <v>275</v>
      </c>
      <c r="CW113" s="313">
        <v>3</v>
      </c>
      <c r="CX113" s="313">
        <v>2</v>
      </c>
      <c r="CY113" s="313">
        <v>1</v>
      </c>
      <c r="CZ113" s="313">
        <v>0</v>
      </c>
      <c r="DA113" s="313">
        <v>1</v>
      </c>
      <c r="DB113" s="313">
        <v>0</v>
      </c>
      <c r="DC113" s="313">
        <v>0</v>
      </c>
      <c r="DD113" s="313">
        <v>0</v>
      </c>
      <c r="DE113" s="314">
        <v>1</v>
      </c>
      <c r="DF113" s="312" t="s">
        <v>384</v>
      </c>
      <c r="DG113" s="313">
        <v>3</v>
      </c>
      <c r="DH113" s="313">
        <v>3</v>
      </c>
      <c r="DI113" s="313">
        <v>2</v>
      </c>
      <c r="DJ113" s="313">
        <v>0</v>
      </c>
      <c r="DK113" s="313">
        <v>1</v>
      </c>
      <c r="DL113" s="313">
        <v>0</v>
      </c>
      <c r="DM113" s="313">
        <v>0</v>
      </c>
      <c r="DN113" s="313">
        <v>0</v>
      </c>
      <c r="DO113" s="314">
        <v>3</v>
      </c>
      <c r="DP113" s="312" t="s">
        <v>385</v>
      </c>
      <c r="DQ113" s="313">
        <v>3</v>
      </c>
      <c r="DR113" s="313">
        <v>1</v>
      </c>
      <c r="DS113" s="313">
        <v>1</v>
      </c>
      <c r="DT113" s="313">
        <v>1</v>
      </c>
      <c r="DU113" s="313">
        <v>0</v>
      </c>
      <c r="DV113" s="313">
        <v>1</v>
      </c>
      <c r="DW113" s="313">
        <v>0</v>
      </c>
      <c r="DX113" s="313">
        <v>1</v>
      </c>
      <c r="DY113" s="314">
        <v>1</v>
      </c>
      <c r="DZ113" s="315">
        <f>7+1/3</f>
        <v>7.333333333333333</v>
      </c>
      <c r="EA113" s="316">
        <v>1</v>
      </c>
      <c r="EB113" s="316">
        <v>0</v>
      </c>
      <c r="EC113" s="317">
        <f>1+2/3</f>
        <v>1.6666666666666665</v>
      </c>
      <c r="ED113" s="316">
        <v>0</v>
      </c>
      <c r="EE113" s="318">
        <v>0</v>
      </c>
      <c r="EF113" s="319">
        <v>0</v>
      </c>
      <c r="EG113" s="316">
        <v>0</v>
      </c>
      <c r="EH113" s="316">
        <v>2</v>
      </c>
      <c r="EI113" s="316">
        <v>0</v>
      </c>
      <c r="EJ113" s="316">
        <v>3</v>
      </c>
      <c r="EK113" s="316">
        <v>0</v>
      </c>
      <c r="EL113" s="316">
        <v>2</v>
      </c>
      <c r="EM113" s="316">
        <v>0</v>
      </c>
      <c r="EN113" s="316">
        <v>4</v>
      </c>
      <c r="EO113" s="316"/>
      <c r="EP113" s="316"/>
      <c r="EQ113" s="316"/>
      <c r="ER113" s="316"/>
      <c r="ES113" s="318">
        <f t="shared" ref="ES113:ES118" si="108">SUM(EF113:ER113)</f>
        <v>11</v>
      </c>
      <c r="ET113" s="316">
        <v>1</v>
      </c>
      <c r="EU113" s="316">
        <v>2</v>
      </c>
      <c r="EV113" s="316">
        <v>3</v>
      </c>
      <c r="EW113" s="316">
        <v>2</v>
      </c>
      <c r="EX113" s="316">
        <v>5</v>
      </c>
      <c r="EY113" s="316">
        <v>1</v>
      </c>
      <c r="EZ113" s="316">
        <v>3</v>
      </c>
      <c r="FA113" s="316">
        <v>0</v>
      </c>
      <c r="FB113" s="316"/>
      <c r="FC113" s="316"/>
      <c r="FD113" s="316"/>
      <c r="FE113" s="316"/>
      <c r="FF113" s="316"/>
      <c r="FG113" s="316">
        <f t="shared" ref="FG113:FG118" si="109">SUM(ET113:FF113)</f>
        <v>17</v>
      </c>
      <c r="FH113" s="320">
        <v>33</v>
      </c>
      <c r="FI113" s="320">
        <v>11</v>
      </c>
      <c r="FJ113" s="320">
        <v>9</v>
      </c>
      <c r="FK113" s="320">
        <v>10</v>
      </c>
      <c r="FL113" s="320">
        <v>7</v>
      </c>
      <c r="FM113" s="320">
        <v>5</v>
      </c>
      <c r="FN113" s="320">
        <f t="shared" si="106"/>
        <v>0</v>
      </c>
      <c r="FO113" s="320">
        <f t="shared" si="107"/>
        <v>0</v>
      </c>
      <c r="FP113" s="320">
        <f t="shared" si="82"/>
        <v>0</v>
      </c>
      <c r="FQ113" s="320">
        <f t="shared" si="83"/>
        <v>0</v>
      </c>
      <c r="FR113" s="320">
        <f t="shared" si="84"/>
        <v>0</v>
      </c>
      <c r="FS113" s="320">
        <f t="shared" si="85"/>
        <v>0</v>
      </c>
      <c r="FT113" s="320">
        <f t="shared" si="86"/>
        <v>0</v>
      </c>
      <c r="FU113" s="320">
        <f t="shared" si="87"/>
        <v>0</v>
      </c>
      <c r="FV113" s="320">
        <f t="shared" si="88"/>
        <v>-1</v>
      </c>
      <c r="FW113" s="320">
        <f t="shared" si="89"/>
        <v>-2</v>
      </c>
      <c r="FX113" s="320">
        <f t="shared" si="90"/>
        <v>-1</v>
      </c>
      <c r="FY113" s="320">
        <f t="shared" si="91"/>
        <v>-2</v>
      </c>
      <c r="FZ113" s="320">
        <f t="shared" si="92"/>
        <v>-2</v>
      </c>
      <c r="GA113" s="320">
        <f t="shared" si="93"/>
        <v>-1</v>
      </c>
      <c r="GB113" s="320">
        <f t="shared" si="94"/>
        <v>-1</v>
      </c>
      <c r="GC113" s="320">
        <f t="shared" si="95"/>
        <v>0</v>
      </c>
      <c r="GD113" s="320">
        <f t="shared" si="96"/>
        <v>4</v>
      </c>
      <c r="GE113" s="320">
        <f t="shared" si="97"/>
        <v>0</v>
      </c>
      <c r="GF113" s="320">
        <f t="shared" si="98"/>
        <v>0</v>
      </c>
      <c r="GG113" s="320">
        <f t="shared" si="99"/>
        <v>0</v>
      </c>
      <c r="GH113" s="320">
        <f t="shared" si="100"/>
        <v>0</v>
      </c>
      <c r="GI113" s="320">
        <f t="shared" si="101"/>
        <v>-6</v>
      </c>
      <c r="GJ113" s="321"/>
      <c r="GK113" s="367"/>
      <c r="GL113" s="376"/>
      <c r="GM113" s="376"/>
      <c r="GP113" s="52"/>
    </row>
    <row r="114" spans="1:198" x14ac:dyDescent="0.25">
      <c r="A114" s="305">
        <v>40398</v>
      </c>
      <c r="B114" s="305" t="s">
        <v>133</v>
      </c>
      <c r="C114" s="305" t="s">
        <v>131</v>
      </c>
      <c r="D114" s="305" t="s">
        <v>136</v>
      </c>
      <c r="E114" s="306">
        <v>22313</v>
      </c>
      <c r="F114" s="309"/>
      <c r="G114" s="307">
        <v>2</v>
      </c>
      <c r="H114" s="308" t="s">
        <v>638</v>
      </c>
      <c r="I114" s="309">
        <v>0</v>
      </c>
      <c r="J114" s="309">
        <v>1</v>
      </c>
      <c r="K114" s="310">
        <f>5+1/3</f>
        <v>5.333333333333333</v>
      </c>
      <c r="L114" s="309">
        <v>3</v>
      </c>
      <c r="M114" s="309">
        <v>1</v>
      </c>
      <c r="N114" s="309">
        <v>1</v>
      </c>
      <c r="O114" s="309">
        <v>3</v>
      </c>
      <c r="P114" s="309">
        <v>1</v>
      </c>
      <c r="Q114" s="309">
        <v>0</v>
      </c>
      <c r="R114" s="309">
        <v>0</v>
      </c>
      <c r="S114" s="309">
        <v>21</v>
      </c>
      <c r="T114" s="309">
        <v>77</v>
      </c>
      <c r="U114" s="309">
        <v>44</v>
      </c>
      <c r="V114" s="309">
        <v>1</v>
      </c>
      <c r="W114" s="311">
        <v>0</v>
      </c>
      <c r="X114" s="309">
        <v>0</v>
      </c>
      <c r="Y114" s="309">
        <v>0</v>
      </c>
      <c r="Z114" s="309">
        <v>0</v>
      </c>
      <c r="AA114" s="309">
        <v>0</v>
      </c>
      <c r="AB114" s="309">
        <v>0</v>
      </c>
      <c r="AC114" s="310">
        <f>2+2/3</f>
        <v>2.6666666666666665</v>
      </c>
      <c r="AD114" s="309">
        <v>2</v>
      </c>
      <c r="AE114" s="309">
        <v>0</v>
      </c>
      <c r="AF114" s="309">
        <v>0</v>
      </c>
      <c r="AG114" s="309">
        <v>2</v>
      </c>
      <c r="AH114" s="309">
        <v>4</v>
      </c>
      <c r="AI114" s="309">
        <v>0</v>
      </c>
      <c r="AJ114" s="309">
        <v>0</v>
      </c>
      <c r="AK114" s="309">
        <v>12</v>
      </c>
      <c r="AL114" s="309">
        <v>39</v>
      </c>
      <c r="AM114" s="309">
        <v>22</v>
      </c>
      <c r="AN114" s="312" t="s">
        <v>389</v>
      </c>
      <c r="AO114" s="313">
        <v>3</v>
      </c>
      <c r="AP114" s="313">
        <v>0</v>
      </c>
      <c r="AQ114" s="313">
        <v>0</v>
      </c>
      <c r="AR114" s="313">
        <v>0</v>
      </c>
      <c r="AS114" s="313">
        <v>1</v>
      </c>
      <c r="AT114" s="313">
        <v>2</v>
      </c>
      <c r="AU114" s="313">
        <v>0</v>
      </c>
      <c r="AV114" s="313">
        <v>0</v>
      </c>
      <c r="AW114" s="314">
        <v>0</v>
      </c>
      <c r="AX114" s="312" t="s">
        <v>391</v>
      </c>
      <c r="AY114" s="313">
        <v>4</v>
      </c>
      <c r="AZ114" s="313">
        <v>0</v>
      </c>
      <c r="BA114" s="313">
        <v>0</v>
      </c>
      <c r="BB114" s="313">
        <v>0</v>
      </c>
      <c r="BC114" s="313">
        <v>0</v>
      </c>
      <c r="BD114" s="313">
        <v>3</v>
      </c>
      <c r="BE114" s="313">
        <v>0</v>
      </c>
      <c r="BF114" s="313">
        <v>0</v>
      </c>
      <c r="BG114" s="314">
        <v>0</v>
      </c>
      <c r="BH114" s="312" t="s">
        <v>390</v>
      </c>
      <c r="BI114" s="313">
        <v>4</v>
      </c>
      <c r="BJ114" s="313">
        <v>0</v>
      </c>
      <c r="BK114" s="313">
        <v>1</v>
      </c>
      <c r="BL114" s="313">
        <v>0</v>
      </c>
      <c r="BM114" s="313">
        <v>0</v>
      </c>
      <c r="BN114" s="313">
        <v>2</v>
      </c>
      <c r="BO114" s="313">
        <v>0</v>
      </c>
      <c r="BP114" s="313">
        <v>0</v>
      </c>
      <c r="BQ114" s="314">
        <v>1</v>
      </c>
      <c r="BR114" s="312" t="s">
        <v>332</v>
      </c>
      <c r="BS114" s="313">
        <v>3</v>
      </c>
      <c r="BT114" s="313">
        <v>0</v>
      </c>
      <c r="BU114" s="313">
        <v>0</v>
      </c>
      <c r="BV114" s="313">
        <v>0</v>
      </c>
      <c r="BW114" s="313">
        <v>1</v>
      </c>
      <c r="BX114" s="313">
        <v>2</v>
      </c>
      <c r="BY114" s="313">
        <v>0</v>
      </c>
      <c r="BZ114" s="313">
        <v>0</v>
      </c>
      <c r="CA114" s="314">
        <v>0</v>
      </c>
      <c r="CB114" s="312" t="s">
        <v>387</v>
      </c>
      <c r="CC114" s="313">
        <v>3</v>
      </c>
      <c r="CD114" s="313">
        <v>0</v>
      </c>
      <c r="CE114" s="313">
        <v>0</v>
      </c>
      <c r="CF114" s="313">
        <v>0</v>
      </c>
      <c r="CG114" s="313">
        <v>0</v>
      </c>
      <c r="CH114" s="313">
        <v>2</v>
      </c>
      <c r="CI114" s="313">
        <v>0</v>
      </c>
      <c r="CJ114" s="313">
        <v>0</v>
      </c>
      <c r="CK114" s="314">
        <v>0</v>
      </c>
      <c r="CL114" s="312" t="s">
        <v>275</v>
      </c>
      <c r="CM114" s="313">
        <v>3</v>
      </c>
      <c r="CN114" s="313">
        <v>0</v>
      </c>
      <c r="CO114" s="313">
        <v>0</v>
      </c>
      <c r="CP114" s="313">
        <v>0</v>
      </c>
      <c r="CQ114" s="313">
        <v>0</v>
      </c>
      <c r="CR114" s="313">
        <v>1</v>
      </c>
      <c r="CS114" s="313">
        <v>0</v>
      </c>
      <c r="CT114" s="313">
        <v>0</v>
      </c>
      <c r="CU114" s="314">
        <v>0</v>
      </c>
      <c r="CV114" s="312" t="s">
        <v>273</v>
      </c>
      <c r="CW114" s="313">
        <v>3</v>
      </c>
      <c r="CX114" s="313">
        <v>0</v>
      </c>
      <c r="CY114" s="313">
        <v>0</v>
      </c>
      <c r="CZ114" s="313">
        <v>0</v>
      </c>
      <c r="DA114" s="313">
        <v>0</v>
      </c>
      <c r="DB114" s="313">
        <v>2</v>
      </c>
      <c r="DC114" s="313">
        <v>0</v>
      </c>
      <c r="DD114" s="313">
        <v>0</v>
      </c>
      <c r="DE114" s="314">
        <v>0</v>
      </c>
      <c r="DF114" s="312" t="s">
        <v>385</v>
      </c>
      <c r="DG114" s="313">
        <v>3</v>
      </c>
      <c r="DH114" s="313">
        <v>0</v>
      </c>
      <c r="DI114" s="313">
        <v>0</v>
      </c>
      <c r="DJ114" s="313">
        <v>0</v>
      </c>
      <c r="DK114" s="313">
        <v>0</v>
      </c>
      <c r="DL114" s="313">
        <v>2</v>
      </c>
      <c r="DM114" s="313">
        <v>0</v>
      </c>
      <c r="DN114" s="313">
        <v>0</v>
      </c>
      <c r="DO114" s="314">
        <v>0</v>
      </c>
      <c r="DP114" s="312" t="s">
        <v>384</v>
      </c>
      <c r="DQ114" s="313">
        <v>3</v>
      </c>
      <c r="DR114" s="313">
        <v>0</v>
      </c>
      <c r="DS114" s="313">
        <v>0</v>
      </c>
      <c r="DT114" s="313">
        <v>0</v>
      </c>
      <c r="DU114" s="313">
        <v>0</v>
      </c>
      <c r="DV114" s="313">
        <v>1</v>
      </c>
      <c r="DW114" s="313">
        <v>0</v>
      </c>
      <c r="DX114" s="313">
        <v>0</v>
      </c>
      <c r="DY114" s="314">
        <v>0</v>
      </c>
      <c r="DZ114" s="315">
        <v>0</v>
      </c>
      <c r="EA114" s="316">
        <v>0</v>
      </c>
      <c r="EB114" s="316">
        <v>0</v>
      </c>
      <c r="EC114" s="317">
        <v>9</v>
      </c>
      <c r="ED114" s="316">
        <v>0</v>
      </c>
      <c r="EE114" s="318">
        <v>0</v>
      </c>
      <c r="EF114" s="319">
        <v>0</v>
      </c>
      <c r="EG114" s="316">
        <v>0</v>
      </c>
      <c r="EH114" s="316">
        <v>0</v>
      </c>
      <c r="EI114" s="316">
        <v>0</v>
      </c>
      <c r="EJ114" s="316">
        <v>0</v>
      </c>
      <c r="EK114" s="316">
        <v>0</v>
      </c>
      <c r="EL114" s="316">
        <v>0</v>
      </c>
      <c r="EM114" s="316">
        <v>0</v>
      </c>
      <c r="EN114" s="316">
        <v>0</v>
      </c>
      <c r="EO114" s="316"/>
      <c r="EP114" s="316"/>
      <c r="EQ114" s="316"/>
      <c r="ER114" s="316"/>
      <c r="ES114" s="318">
        <f t="shared" si="108"/>
        <v>0</v>
      </c>
      <c r="ET114" s="316">
        <v>1</v>
      </c>
      <c r="EU114" s="316">
        <v>0</v>
      </c>
      <c r="EV114" s="316">
        <v>0</v>
      </c>
      <c r="EW114" s="316">
        <v>0</v>
      </c>
      <c r="EX114" s="316">
        <v>0</v>
      </c>
      <c r="EY114" s="316">
        <v>0</v>
      </c>
      <c r="EZ114" s="316">
        <v>0</v>
      </c>
      <c r="FA114" s="316">
        <v>0</v>
      </c>
      <c r="FB114" s="316"/>
      <c r="FC114" s="316"/>
      <c r="FD114" s="316"/>
      <c r="FE114" s="316"/>
      <c r="FF114" s="316"/>
      <c r="FG114" s="316">
        <f t="shared" si="109"/>
        <v>1</v>
      </c>
      <c r="FH114" s="320">
        <v>29</v>
      </c>
      <c r="FI114" s="320">
        <v>0</v>
      </c>
      <c r="FJ114" s="320">
        <v>1</v>
      </c>
      <c r="FK114" s="320">
        <v>0</v>
      </c>
      <c r="FL114" s="320">
        <v>2</v>
      </c>
      <c r="FM114" s="320">
        <v>17</v>
      </c>
      <c r="FN114" s="320">
        <f t="shared" ref="FN114:FN119" si="110">((SUM(M114,AE114))-(FG114))</f>
        <v>0</v>
      </c>
      <c r="FO114" s="320">
        <f t="shared" ref="FO114:FO119" si="111">((SUM(AP114,AZ114,BJ114,BT114,CD114,CN114,CX114,DH114,DR114))-(ES114))</f>
        <v>0</v>
      </c>
      <c r="FP114" s="320">
        <f t="shared" si="82"/>
        <v>0</v>
      </c>
      <c r="FQ114" s="320">
        <f t="shared" si="83"/>
        <v>0</v>
      </c>
      <c r="FR114" s="320">
        <f t="shared" si="84"/>
        <v>0</v>
      </c>
      <c r="FS114" s="320">
        <f t="shared" si="85"/>
        <v>0</v>
      </c>
      <c r="FT114" s="320">
        <f t="shared" si="86"/>
        <v>0</v>
      </c>
      <c r="FU114" s="320">
        <f t="shared" si="87"/>
        <v>0</v>
      </c>
      <c r="FV114" s="320">
        <f t="shared" si="88"/>
        <v>-1</v>
      </c>
      <c r="FW114" s="320">
        <f t="shared" si="89"/>
        <v>0</v>
      </c>
      <c r="FX114" s="320">
        <f t="shared" si="90"/>
        <v>0</v>
      </c>
      <c r="FY114" s="320">
        <f t="shared" si="91"/>
        <v>0</v>
      </c>
      <c r="FZ114" s="320">
        <f t="shared" si="92"/>
        <v>0</v>
      </c>
      <c r="GA114" s="320">
        <f t="shared" si="93"/>
        <v>0</v>
      </c>
      <c r="GB114" s="320">
        <f t="shared" si="94"/>
        <v>0</v>
      </c>
      <c r="GC114" s="320">
        <f t="shared" si="95"/>
        <v>0</v>
      </c>
      <c r="GD114" s="320">
        <f t="shared" si="96"/>
        <v>0</v>
      </c>
      <c r="GE114" s="320">
        <f t="shared" si="97"/>
        <v>0</v>
      </c>
      <c r="GF114" s="320">
        <f t="shared" si="98"/>
        <v>0</v>
      </c>
      <c r="GG114" s="320">
        <f t="shared" si="99"/>
        <v>0</v>
      </c>
      <c r="GH114" s="320">
        <f t="shared" si="100"/>
        <v>0</v>
      </c>
      <c r="GI114" s="320">
        <f t="shared" si="101"/>
        <v>-1</v>
      </c>
      <c r="GJ114" s="321"/>
      <c r="GK114" s="367"/>
      <c r="GL114" s="376"/>
      <c r="GM114" s="376"/>
      <c r="GP114" s="52"/>
    </row>
    <row r="115" spans="1:198" x14ac:dyDescent="0.25">
      <c r="A115" s="305">
        <v>40399</v>
      </c>
      <c r="B115" s="305" t="s">
        <v>133</v>
      </c>
      <c r="C115" s="305" t="s">
        <v>129</v>
      </c>
      <c r="D115" s="305" t="s">
        <v>633</v>
      </c>
      <c r="E115" s="306">
        <v>23932</v>
      </c>
      <c r="F115" s="309"/>
      <c r="G115" s="307">
        <v>3</v>
      </c>
      <c r="H115" s="59" t="s">
        <v>394</v>
      </c>
      <c r="I115" s="309">
        <v>1</v>
      </c>
      <c r="J115" s="309">
        <v>0</v>
      </c>
      <c r="K115" s="310">
        <v>5</v>
      </c>
      <c r="L115" s="309">
        <v>5</v>
      </c>
      <c r="M115" s="309">
        <v>2</v>
      </c>
      <c r="N115" s="309">
        <v>2</v>
      </c>
      <c r="O115" s="309">
        <v>4</v>
      </c>
      <c r="P115" s="309">
        <v>9</v>
      </c>
      <c r="Q115" s="309">
        <v>0</v>
      </c>
      <c r="R115" s="309">
        <v>0</v>
      </c>
      <c r="S115" s="309">
        <v>24</v>
      </c>
      <c r="T115" s="309">
        <v>115</v>
      </c>
      <c r="U115" s="309">
        <v>67</v>
      </c>
      <c r="V115" s="309">
        <v>0</v>
      </c>
      <c r="W115" s="311">
        <v>0</v>
      </c>
      <c r="X115" s="309">
        <v>0</v>
      </c>
      <c r="Y115" s="309">
        <v>0</v>
      </c>
      <c r="Z115" s="309">
        <v>2</v>
      </c>
      <c r="AA115" s="309">
        <v>1</v>
      </c>
      <c r="AB115" s="309">
        <v>0</v>
      </c>
      <c r="AC115" s="310">
        <v>4</v>
      </c>
      <c r="AD115" s="309">
        <v>2</v>
      </c>
      <c r="AE115" s="309">
        <v>1</v>
      </c>
      <c r="AF115" s="309">
        <v>1</v>
      </c>
      <c r="AG115" s="309">
        <v>1</v>
      </c>
      <c r="AH115" s="309">
        <v>4</v>
      </c>
      <c r="AI115" s="309">
        <v>1</v>
      </c>
      <c r="AJ115" s="309">
        <v>0</v>
      </c>
      <c r="AK115" s="309">
        <v>15</v>
      </c>
      <c r="AL115" s="309">
        <v>48</v>
      </c>
      <c r="AM115" s="309">
        <v>33</v>
      </c>
      <c r="AN115" s="312" t="s">
        <v>275</v>
      </c>
      <c r="AO115" s="313">
        <v>5</v>
      </c>
      <c r="AP115" s="313">
        <v>1</v>
      </c>
      <c r="AQ115" s="313">
        <v>3</v>
      </c>
      <c r="AR115" s="313">
        <v>1</v>
      </c>
      <c r="AS115" s="313">
        <v>0</v>
      </c>
      <c r="AT115" s="313">
        <v>0</v>
      </c>
      <c r="AU115" s="313">
        <v>0</v>
      </c>
      <c r="AV115" s="313">
        <v>0</v>
      </c>
      <c r="AW115" s="314">
        <v>4</v>
      </c>
      <c r="AX115" s="312" t="s">
        <v>389</v>
      </c>
      <c r="AY115" s="313">
        <v>3</v>
      </c>
      <c r="AZ115" s="313">
        <v>1</v>
      </c>
      <c r="BA115" s="313">
        <v>1</v>
      </c>
      <c r="BB115" s="313">
        <v>1</v>
      </c>
      <c r="BC115" s="313">
        <v>1</v>
      </c>
      <c r="BD115" s="313">
        <v>0</v>
      </c>
      <c r="BE115" s="313">
        <v>0</v>
      </c>
      <c r="BF115" s="313">
        <v>1</v>
      </c>
      <c r="BG115" s="314">
        <v>1</v>
      </c>
      <c r="BH115" s="312" t="s">
        <v>391</v>
      </c>
      <c r="BI115" s="313">
        <v>5</v>
      </c>
      <c r="BJ115" s="313">
        <v>0</v>
      </c>
      <c r="BK115" s="313">
        <v>1</v>
      </c>
      <c r="BL115" s="313">
        <v>1</v>
      </c>
      <c r="BM115" s="313">
        <v>0</v>
      </c>
      <c r="BN115" s="313">
        <v>1</v>
      </c>
      <c r="BO115" s="313">
        <v>0</v>
      </c>
      <c r="BP115" s="313">
        <v>0</v>
      </c>
      <c r="BQ115" s="314">
        <v>1</v>
      </c>
      <c r="BR115" s="312" t="s">
        <v>390</v>
      </c>
      <c r="BS115" s="313">
        <v>5</v>
      </c>
      <c r="BT115" s="313">
        <v>1</v>
      </c>
      <c r="BU115" s="313">
        <v>2</v>
      </c>
      <c r="BV115" s="313">
        <v>1</v>
      </c>
      <c r="BW115" s="313">
        <v>0</v>
      </c>
      <c r="BX115" s="313">
        <v>0</v>
      </c>
      <c r="BY115" s="313">
        <v>0</v>
      </c>
      <c r="BZ115" s="313">
        <v>0</v>
      </c>
      <c r="CA115" s="314">
        <v>3</v>
      </c>
      <c r="CB115" s="312" t="s">
        <v>272</v>
      </c>
      <c r="CC115" s="313">
        <v>3</v>
      </c>
      <c r="CD115" s="313">
        <v>0</v>
      </c>
      <c r="CE115" s="313">
        <v>1</v>
      </c>
      <c r="CF115" s="313">
        <v>0</v>
      </c>
      <c r="CG115" s="313">
        <v>1</v>
      </c>
      <c r="CH115" s="313">
        <v>0</v>
      </c>
      <c r="CI115" s="313">
        <v>0</v>
      </c>
      <c r="CJ115" s="313">
        <v>0</v>
      </c>
      <c r="CK115" s="314">
        <v>2</v>
      </c>
      <c r="CL115" s="312" t="s">
        <v>332</v>
      </c>
      <c r="CM115" s="313">
        <v>3</v>
      </c>
      <c r="CN115" s="313">
        <v>0</v>
      </c>
      <c r="CO115" s="313">
        <v>0</v>
      </c>
      <c r="CP115" s="313">
        <v>0</v>
      </c>
      <c r="CQ115" s="313">
        <v>1</v>
      </c>
      <c r="CR115" s="313">
        <v>1</v>
      </c>
      <c r="CS115" s="313">
        <v>0</v>
      </c>
      <c r="CT115" s="313">
        <v>0</v>
      </c>
      <c r="CU115" s="314">
        <v>0</v>
      </c>
      <c r="CV115" s="312" t="s">
        <v>387</v>
      </c>
      <c r="CW115" s="313">
        <v>3</v>
      </c>
      <c r="CX115" s="313">
        <v>1</v>
      </c>
      <c r="CY115" s="313">
        <v>1</v>
      </c>
      <c r="CZ115" s="313">
        <v>2</v>
      </c>
      <c r="DA115" s="313">
        <v>0</v>
      </c>
      <c r="DB115" s="313">
        <v>1</v>
      </c>
      <c r="DC115" s="313">
        <v>0</v>
      </c>
      <c r="DD115" s="313">
        <v>1</v>
      </c>
      <c r="DE115" s="314">
        <v>4</v>
      </c>
      <c r="DF115" s="312" t="s">
        <v>273</v>
      </c>
      <c r="DG115" s="313">
        <v>4</v>
      </c>
      <c r="DH115" s="313">
        <v>1</v>
      </c>
      <c r="DI115" s="313">
        <v>1</v>
      </c>
      <c r="DJ115" s="313">
        <v>0</v>
      </c>
      <c r="DK115" s="313">
        <v>0</v>
      </c>
      <c r="DL115" s="313">
        <v>1</v>
      </c>
      <c r="DM115" s="313">
        <v>0</v>
      </c>
      <c r="DN115" s="313">
        <v>0</v>
      </c>
      <c r="DO115" s="314">
        <v>2</v>
      </c>
      <c r="DP115" s="312" t="s">
        <v>384</v>
      </c>
      <c r="DQ115" s="313">
        <v>2</v>
      </c>
      <c r="DR115" s="313">
        <v>1</v>
      </c>
      <c r="DS115" s="313">
        <v>1</v>
      </c>
      <c r="DT115" s="313">
        <v>0</v>
      </c>
      <c r="DU115" s="313">
        <v>1</v>
      </c>
      <c r="DV115" s="313">
        <v>0</v>
      </c>
      <c r="DW115" s="313">
        <v>0</v>
      </c>
      <c r="DX115" s="313">
        <v>0</v>
      </c>
      <c r="DY115" s="314">
        <v>1</v>
      </c>
      <c r="DZ115" s="315">
        <v>3</v>
      </c>
      <c r="EA115" s="316">
        <v>0</v>
      </c>
      <c r="EB115" s="316">
        <v>0</v>
      </c>
      <c r="EC115" s="317">
        <v>6</v>
      </c>
      <c r="ED115" s="316">
        <v>0</v>
      </c>
      <c r="EE115" s="318">
        <v>1</v>
      </c>
      <c r="EF115" s="319">
        <v>0</v>
      </c>
      <c r="EG115" s="316">
        <v>0</v>
      </c>
      <c r="EH115" s="316">
        <v>2</v>
      </c>
      <c r="EI115" s="316">
        <v>1</v>
      </c>
      <c r="EJ115" s="316">
        <v>1</v>
      </c>
      <c r="EK115" s="316">
        <v>0</v>
      </c>
      <c r="EL115" s="316">
        <v>0</v>
      </c>
      <c r="EM115" s="316">
        <v>0</v>
      </c>
      <c r="EN115" s="316">
        <v>2</v>
      </c>
      <c r="EO115" s="316"/>
      <c r="EP115" s="316"/>
      <c r="EQ115" s="316"/>
      <c r="ER115" s="316"/>
      <c r="ES115" s="318">
        <f t="shared" si="108"/>
        <v>6</v>
      </c>
      <c r="ET115" s="316">
        <v>0</v>
      </c>
      <c r="EU115" s="316">
        <v>1</v>
      </c>
      <c r="EV115" s="316">
        <v>0</v>
      </c>
      <c r="EW115" s="316">
        <v>0</v>
      </c>
      <c r="EX115" s="316">
        <v>1</v>
      </c>
      <c r="EY115" s="316">
        <v>0</v>
      </c>
      <c r="EZ115" s="316">
        <v>0</v>
      </c>
      <c r="FA115" s="316">
        <v>1</v>
      </c>
      <c r="FB115" s="316">
        <v>0</v>
      </c>
      <c r="FC115" s="316"/>
      <c r="FD115" s="316"/>
      <c r="FE115" s="316"/>
      <c r="FF115" s="316"/>
      <c r="FG115" s="316">
        <f t="shared" si="109"/>
        <v>3</v>
      </c>
      <c r="FH115" s="320">
        <v>33</v>
      </c>
      <c r="FI115" s="320">
        <v>6</v>
      </c>
      <c r="FJ115" s="320">
        <v>11</v>
      </c>
      <c r="FK115" s="320">
        <v>6</v>
      </c>
      <c r="FL115" s="320">
        <v>4</v>
      </c>
      <c r="FM115" s="320">
        <v>4</v>
      </c>
      <c r="FN115" s="320">
        <f t="shared" si="110"/>
        <v>0</v>
      </c>
      <c r="FO115" s="320">
        <f t="shared" si="111"/>
        <v>0</v>
      </c>
      <c r="FP115" s="320">
        <f t="shared" si="82"/>
        <v>0</v>
      </c>
      <c r="FQ115" s="320">
        <f t="shared" si="83"/>
        <v>0</v>
      </c>
      <c r="FR115" s="320">
        <f t="shared" si="84"/>
        <v>0</v>
      </c>
      <c r="FS115" s="320">
        <f t="shared" si="85"/>
        <v>0</v>
      </c>
      <c r="FT115" s="320">
        <f t="shared" si="86"/>
        <v>0</v>
      </c>
      <c r="FU115" s="320">
        <f t="shared" si="87"/>
        <v>0</v>
      </c>
      <c r="FV115" s="320">
        <f t="shared" si="88"/>
        <v>0</v>
      </c>
      <c r="FW115" s="320">
        <f t="shared" si="89"/>
        <v>-1</v>
      </c>
      <c r="FX115" s="320">
        <f t="shared" si="90"/>
        <v>2</v>
      </c>
      <c r="FY115" s="320">
        <f t="shared" si="91"/>
        <v>1</v>
      </c>
      <c r="FZ115" s="320">
        <f t="shared" si="92"/>
        <v>0</v>
      </c>
      <c r="GA115" s="320">
        <f t="shared" si="93"/>
        <v>0</v>
      </c>
      <c r="GB115" s="320">
        <f t="shared" si="94"/>
        <v>0</v>
      </c>
      <c r="GC115" s="320">
        <f t="shared" si="95"/>
        <v>-1</v>
      </c>
      <c r="GD115" s="320">
        <f t="shared" si="96"/>
        <v>2</v>
      </c>
      <c r="GE115" s="320">
        <f t="shared" si="97"/>
        <v>0</v>
      </c>
      <c r="GF115" s="320">
        <f t="shared" si="98"/>
        <v>0</v>
      </c>
      <c r="GG115" s="320">
        <f t="shared" si="99"/>
        <v>0</v>
      </c>
      <c r="GH115" s="320">
        <f t="shared" si="100"/>
        <v>0</v>
      </c>
      <c r="GI115" s="320">
        <f t="shared" si="101"/>
        <v>3</v>
      </c>
      <c r="GJ115" s="321"/>
      <c r="GK115" s="367"/>
      <c r="GL115" s="376"/>
      <c r="GM115" s="376"/>
      <c r="GP115" s="52"/>
    </row>
    <row r="116" spans="1:198" x14ac:dyDescent="0.25">
      <c r="A116" s="305">
        <v>40400</v>
      </c>
      <c r="B116" s="305" t="s">
        <v>133</v>
      </c>
      <c r="C116" s="305" t="s">
        <v>129</v>
      </c>
      <c r="D116" s="305" t="s">
        <v>633</v>
      </c>
      <c r="E116" s="306">
        <v>26114</v>
      </c>
      <c r="F116" s="309"/>
      <c r="G116" s="307">
        <v>4</v>
      </c>
      <c r="H116" s="308" t="s">
        <v>397</v>
      </c>
      <c r="I116" s="309">
        <v>1</v>
      </c>
      <c r="J116" s="309">
        <v>0</v>
      </c>
      <c r="K116" s="310">
        <v>7</v>
      </c>
      <c r="L116" s="309">
        <v>3</v>
      </c>
      <c r="M116" s="309">
        <v>0</v>
      </c>
      <c r="N116" s="309">
        <v>0</v>
      </c>
      <c r="O116" s="309">
        <v>0</v>
      </c>
      <c r="P116" s="309">
        <v>7</v>
      </c>
      <c r="Q116" s="309">
        <v>0</v>
      </c>
      <c r="R116" s="309">
        <v>0</v>
      </c>
      <c r="S116" s="309">
        <v>22</v>
      </c>
      <c r="T116" s="309">
        <v>86</v>
      </c>
      <c r="U116" s="309">
        <v>61</v>
      </c>
      <c r="V116" s="309">
        <v>0</v>
      </c>
      <c r="W116" s="311">
        <v>0</v>
      </c>
      <c r="X116" s="309">
        <v>0</v>
      </c>
      <c r="Y116" s="309">
        <v>0</v>
      </c>
      <c r="Z116" s="309">
        <v>1</v>
      </c>
      <c r="AA116" s="309">
        <v>0</v>
      </c>
      <c r="AB116" s="309">
        <v>0</v>
      </c>
      <c r="AC116" s="310">
        <v>2</v>
      </c>
      <c r="AD116" s="309">
        <v>1</v>
      </c>
      <c r="AE116" s="309">
        <v>0</v>
      </c>
      <c r="AF116" s="309">
        <v>0</v>
      </c>
      <c r="AG116" s="309">
        <v>0</v>
      </c>
      <c r="AH116" s="309">
        <v>3</v>
      </c>
      <c r="AI116" s="309">
        <v>0</v>
      </c>
      <c r="AJ116" s="309">
        <v>0</v>
      </c>
      <c r="AK116" s="309">
        <v>7</v>
      </c>
      <c r="AL116" s="309">
        <v>24</v>
      </c>
      <c r="AM116" s="309">
        <v>20</v>
      </c>
      <c r="AN116" s="312" t="s">
        <v>275</v>
      </c>
      <c r="AO116" s="313">
        <v>5</v>
      </c>
      <c r="AP116" s="313">
        <v>1</v>
      </c>
      <c r="AQ116" s="313">
        <v>1</v>
      </c>
      <c r="AR116" s="313">
        <v>1</v>
      </c>
      <c r="AS116" s="313">
        <v>0</v>
      </c>
      <c r="AT116" s="313">
        <v>0</v>
      </c>
      <c r="AU116" s="313">
        <v>0</v>
      </c>
      <c r="AV116" s="313">
        <v>0</v>
      </c>
      <c r="AW116" s="314">
        <v>2</v>
      </c>
      <c r="AX116" s="312" t="s">
        <v>389</v>
      </c>
      <c r="AY116" s="313">
        <v>4</v>
      </c>
      <c r="AZ116" s="313">
        <v>0</v>
      </c>
      <c r="BA116" s="313">
        <v>0</v>
      </c>
      <c r="BB116" s="313">
        <v>1</v>
      </c>
      <c r="BC116" s="313">
        <v>0</v>
      </c>
      <c r="BD116" s="313">
        <v>1</v>
      </c>
      <c r="BE116" s="313">
        <v>0</v>
      </c>
      <c r="BF116" s="313">
        <v>1</v>
      </c>
      <c r="BG116" s="314">
        <v>0</v>
      </c>
      <c r="BH116" s="312" t="s">
        <v>391</v>
      </c>
      <c r="BI116" s="313">
        <v>4</v>
      </c>
      <c r="BJ116" s="313">
        <v>2</v>
      </c>
      <c r="BK116" s="313">
        <v>1</v>
      </c>
      <c r="BL116" s="313">
        <v>0</v>
      </c>
      <c r="BM116" s="313">
        <v>1</v>
      </c>
      <c r="BN116" s="313">
        <v>0</v>
      </c>
      <c r="BO116" s="313">
        <v>0</v>
      </c>
      <c r="BP116" s="313">
        <v>0</v>
      </c>
      <c r="BQ116" s="314">
        <v>1</v>
      </c>
      <c r="BR116" s="312" t="s">
        <v>390</v>
      </c>
      <c r="BS116" s="313">
        <v>5</v>
      </c>
      <c r="BT116" s="313">
        <v>0</v>
      </c>
      <c r="BU116" s="313">
        <v>2</v>
      </c>
      <c r="BV116" s="313">
        <v>1</v>
      </c>
      <c r="BW116" s="313">
        <v>0</v>
      </c>
      <c r="BX116" s="313">
        <v>1</v>
      </c>
      <c r="BY116" s="313">
        <v>0</v>
      </c>
      <c r="BZ116" s="313">
        <v>0</v>
      </c>
      <c r="CA116" s="314">
        <v>3</v>
      </c>
      <c r="CB116" s="312" t="s">
        <v>387</v>
      </c>
      <c r="CC116" s="313">
        <v>3</v>
      </c>
      <c r="CD116" s="313">
        <v>1</v>
      </c>
      <c r="CE116" s="313">
        <v>1</v>
      </c>
      <c r="CF116" s="313">
        <v>0</v>
      </c>
      <c r="CG116" s="313">
        <v>2</v>
      </c>
      <c r="CH116" s="313">
        <v>1</v>
      </c>
      <c r="CI116" s="313">
        <v>0</v>
      </c>
      <c r="CJ116" s="313">
        <v>0</v>
      </c>
      <c r="CK116" s="314">
        <v>2</v>
      </c>
      <c r="CL116" s="312" t="s">
        <v>272</v>
      </c>
      <c r="CM116" s="313">
        <v>3</v>
      </c>
      <c r="CN116" s="313">
        <v>0</v>
      </c>
      <c r="CO116" s="313">
        <v>0</v>
      </c>
      <c r="CP116" s="313">
        <v>1</v>
      </c>
      <c r="CQ116" s="313">
        <v>2</v>
      </c>
      <c r="CR116" s="313">
        <v>0</v>
      </c>
      <c r="CS116" s="313">
        <v>0</v>
      </c>
      <c r="CT116" s="313">
        <v>0</v>
      </c>
      <c r="CU116" s="314">
        <v>0</v>
      </c>
      <c r="CV116" s="312" t="s">
        <v>332</v>
      </c>
      <c r="CW116" s="313">
        <v>1</v>
      </c>
      <c r="CX116" s="313">
        <v>2</v>
      </c>
      <c r="CY116" s="313">
        <v>0</v>
      </c>
      <c r="CZ116" s="313">
        <v>1</v>
      </c>
      <c r="DA116" s="313">
        <v>4</v>
      </c>
      <c r="DB116" s="313">
        <v>0</v>
      </c>
      <c r="DC116" s="313">
        <v>0</v>
      </c>
      <c r="DD116" s="313">
        <v>0</v>
      </c>
      <c r="DE116" s="314">
        <v>0</v>
      </c>
      <c r="DF116" s="312" t="s">
        <v>273</v>
      </c>
      <c r="DG116" s="313">
        <v>4</v>
      </c>
      <c r="DH116" s="313">
        <v>1</v>
      </c>
      <c r="DI116" s="313">
        <v>1</v>
      </c>
      <c r="DJ116" s="313">
        <v>1</v>
      </c>
      <c r="DK116" s="313">
        <v>1</v>
      </c>
      <c r="DL116" s="313">
        <v>1</v>
      </c>
      <c r="DM116" s="313">
        <v>0</v>
      </c>
      <c r="DN116" s="313">
        <v>0</v>
      </c>
      <c r="DO116" s="314">
        <v>1</v>
      </c>
      <c r="DP116" s="312" t="s">
        <v>384</v>
      </c>
      <c r="DQ116" s="313">
        <v>5</v>
      </c>
      <c r="DR116" s="313">
        <v>1</v>
      </c>
      <c r="DS116" s="313">
        <v>3</v>
      </c>
      <c r="DT116" s="313">
        <v>0</v>
      </c>
      <c r="DU116" s="313">
        <v>0</v>
      </c>
      <c r="DV116" s="313">
        <v>0</v>
      </c>
      <c r="DW116" s="313">
        <v>0</v>
      </c>
      <c r="DX116" s="313">
        <v>0</v>
      </c>
      <c r="DY116" s="314">
        <v>4</v>
      </c>
      <c r="DZ116" s="315">
        <v>1</v>
      </c>
      <c r="EA116" s="316">
        <v>0</v>
      </c>
      <c r="EB116" s="316">
        <v>0</v>
      </c>
      <c r="EC116" s="317">
        <v>8</v>
      </c>
      <c r="ED116" s="316">
        <v>0</v>
      </c>
      <c r="EE116" s="318">
        <v>0</v>
      </c>
      <c r="EF116" s="319">
        <v>0</v>
      </c>
      <c r="EG116" s="316">
        <v>0</v>
      </c>
      <c r="EH116" s="316">
        <v>0</v>
      </c>
      <c r="EI116" s="316">
        <v>0</v>
      </c>
      <c r="EJ116" s="316">
        <v>1</v>
      </c>
      <c r="EK116" s="316">
        <v>0</v>
      </c>
      <c r="EL116" s="316">
        <v>1</v>
      </c>
      <c r="EM116" s="316">
        <v>1</v>
      </c>
      <c r="EN116" s="316">
        <v>5</v>
      </c>
      <c r="EO116" s="316"/>
      <c r="EP116" s="316"/>
      <c r="EQ116" s="316"/>
      <c r="ER116" s="316"/>
      <c r="ES116" s="318">
        <f t="shared" si="108"/>
        <v>8</v>
      </c>
      <c r="ET116" s="316">
        <v>0</v>
      </c>
      <c r="EU116" s="316">
        <v>0</v>
      </c>
      <c r="EV116" s="316">
        <v>0</v>
      </c>
      <c r="EW116" s="316">
        <v>0</v>
      </c>
      <c r="EX116" s="316">
        <v>0</v>
      </c>
      <c r="EY116" s="316">
        <v>0</v>
      </c>
      <c r="EZ116" s="316">
        <v>0</v>
      </c>
      <c r="FA116" s="316">
        <v>0</v>
      </c>
      <c r="FB116" s="316">
        <v>0</v>
      </c>
      <c r="FC116" s="316"/>
      <c r="FD116" s="316"/>
      <c r="FE116" s="316"/>
      <c r="FF116" s="316"/>
      <c r="FG116" s="316">
        <f t="shared" si="109"/>
        <v>0</v>
      </c>
      <c r="FH116" s="320">
        <v>34</v>
      </c>
      <c r="FI116" s="320">
        <v>8</v>
      </c>
      <c r="FJ116" s="320">
        <v>9</v>
      </c>
      <c r="FK116" s="320">
        <v>6</v>
      </c>
      <c r="FL116" s="320">
        <v>10</v>
      </c>
      <c r="FM116" s="320">
        <v>4</v>
      </c>
      <c r="FN116" s="320">
        <f t="shared" si="110"/>
        <v>0</v>
      </c>
      <c r="FO116" s="320">
        <f t="shared" si="111"/>
        <v>0</v>
      </c>
      <c r="FP116" s="320">
        <f t="shared" si="82"/>
        <v>0</v>
      </c>
      <c r="FQ116" s="320">
        <f t="shared" si="83"/>
        <v>0</v>
      </c>
      <c r="FR116" s="320">
        <f t="shared" si="84"/>
        <v>0</v>
      </c>
      <c r="FS116" s="320">
        <f t="shared" si="85"/>
        <v>0</v>
      </c>
      <c r="FT116" s="320">
        <f t="shared" si="86"/>
        <v>0</v>
      </c>
      <c r="FU116" s="320">
        <f t="shared" si="87"/>
        <v>0</v>
      </c>
      <c r="FV116" s="320">
        <f t="shared" si="88"/>
        <v>0</v>
      </c>
      <c r="FW116" s="320">
        <f t="shared" si="89"/>
        <v>0</v>
      </c>
      <c r="FX116" s="320">
        <f t="shared" si="90"/>
        <v>0</v>
      </c>
      <c r="FY116" s="320">
        <f t="shared" si="91"/>
        <v>0</v>
      </c>
      <c r="FZ116" s="320">
        <f t="shared" si="92"/>
        <v>1</v>
      </c>
      <c r="GA116" s="320">
        <f t="shared" si="93"/>
        <v>0</v>
      </c>
      <c r="GB116" s="320">
        <f t="shared" si="94"/>
        <v>1</v>
      </c>
      <c r="GC116" s="320">
        <f t="shared" si="95"/>
        <v>1</v>
      </c>
      <c r="GD116" s="320">
        <f t="shared" si="96"/>
        <v>5</v>
      </c>
      <c r="GE116" s="320">
        <f t="shared" si="97"/>
        <v>0</v>
      </c>
      <c r="GF116" s="320">
        <f t="shared" si="98"/>
        <v>0</v>
      </c>
      <c r="GG116" s="320">
        <f t="shared" si="99"/>
        <v>0</v>
      </c>
      <c r="GH116" s="320">
        <f t="shared" si="100"/>
        <v>0</v>
      </c>
      <c r="GI116" s="320">
        <f t="shared" si="101"/>
        <v>8</v>
      </c>
      <c r="GJ116" s="321"/>
      <c r="GK116" s="367"/>
      <c r="GL116" s="376"/>
      <c r="GM116" s="376"/>
      <c r="GP116" s="52"/>
    </row>
    <row r="117" spans="1:198" x14ac:dyDescent="0.25">
      <c r="A117" s="305">
        <v>40401</v>
      </c>
      <c r="B117" s="305" t="s">
        <v>133</v>
      </c>
      <c r="C117" s="305" t="s">
        <v>131</v>
      </c>
      <c r="D117" s="305" t="s">
        <v>633</v>
      </c>
      <c r="E117" s="306">
        <v>28815</v>
      </c>
      <c r="F117" s="309"/>
      <c r="G117" s="307">
        <v>5</v>
      </c>
      <c r="H117" s="308" t="s">
        <v>396</v>
      </c>
      <c r="I117" s="309">
        <v>0</v>
      </c>
      <c r="J117" s="309">
        <v>1</v>
      </c>
      <c r="K117" s="310">
        <f>5+2/3</f>
        <v>5.666666666666667</v>
      </c>
      <c r="L117" s="309">
        <v>7</v>
      </c>
      <c r="M117" s="309">
        <v>3</v>
      </c>
      <c r="N117" s="309">
        <v>3</v>
      </c>
      <c r="O117" s="309">
        <v>3</v>
      </c>
      <c r="P117" s="309">
        <v>4</v>
      </c>
      <c r="Q117" s="309">
        <v>1</v>
      </c>
      <c r="R117" s="309">
        <v>1</v>
      </c>
      <c r="S117" s="309">
        <v>28</v>
      </c>
      <c r="T117" s="309">
        <v>106</v>
      </c>
      <c r="U117" s="309">
        <v>66</v>
      </c>
      <c r="V117" s="309">
        <v>1</v>
      </c>
      <c r="W117" s="311">
        <v>0</v>
      </c>
      <c r="X117" s="309">
        <v>0</v>
      </c>
      <c r="Y117" s="309">
        <v>0</v>
      </c>
      <c r="Z117" s="309">
        <v>0</v>
      </c>
      <c r="AA117" s="309">
        <v>0</v>
      </c>
      <c r="AB117" s="309">
        <v>0</v>
      </c>
      <c r="AC117" s="310">
        <f>2+1/3</f>
        <v>2.3333333333333335</v>
      </c>
      <c r="AD117" s="309">
        <v>1</v>
      </c>
      <c r="AE117" s="309">
        <v>0</v>
      </c>
      <c r="AF117" s="309">
        <v>0</v>
      </c>
      <c r="AG117" s="309">
        <v>1</v>
      </c>
      <c r="AH117" s="309">
        <v>1</v>
      </c>
      <c r="AI117" s="309">
        <v>0</v>
      </c>
      <c r="AJ117" s="309">
        <v>1</v>
      </c>
      <c r="AK117" s="309">
        <v>8</v>
      </c>
      <c r="AL117" s="309">
        <v>32</v>
      </c>
      <c r="AM117" s="309">
        <v>18</v>
      </c>
      <c r="AN117" s="312" t="s">
        <v>332</v>
      </c>
      <c r="AO117" s="313">
        <v>4</v>
      </c>
      <c r="AP117" s="313">
        <v>0</v>
      </c>
      <c r="AQ117" s="313">
        <v>0</v>
      </c>
      <c r="AR117" s="313">
        <v>0</v>
      </c>
      <c r="AS117" s="313">
        <v>1</v>
      </c>
      <c r="AT117" s="313">
        <v>1</v>
      </c>
      <c r="AU117" s="313">
        <v>0</v>
      </c>
      <c r="AV117" s="313">
        <v>0</v>
      </c>
      <c r="AW117" s="314">
        <v>0</v>
      </c>
      <c r="AX117" s="312" t="s">
        <v>389</v>
      </c>
      <c r="AY117" s="313">
        <v>3</v>
      </c>
      <c r="AZ117" s="313">
        <v>0</v>
      </c>
      <c r="BA117" s="313">
        <v>0</v>
      </c>
      <c r="BB117" s="313">
        <v>0</v>
      </c>
      <c r="BC117" s="313">
        <v>0</v>
      </c>
      <c r="BD117" s="313">
        <v>1</v>
      </c>
      <c r="BE117" s="313">
        <v>0</v>
      </c>
      <c r="BF117" s="313">
        <v>0</v>
      </c>
      <c r="BG117" s="314">
        <v>0</v>
      </c>
      <c r="BH117" s="312" t="s">
        <v>391</v>
      </c>
      <c r="BI117" s="313">
        <v>4</v>
      </c>
      <c r="BJ117" s="313">
        <v>0</v>
      </c>
      <c r="BK117" s="313">
        <v>1</v>
      </c>
      <c r="BL117" s="313">
        <v>0</v>
      </c>
      <c r="BM117" s="313">
        <v>0</v>
      </c>
      <c r="BN117" s="313">
        <v>0</v>
      </c>
      <c r="BO117" s="313">
        <v>0</v>
      </c>
      <c r="BP117" s="313">
        <v>0</v>
      </c>
      <c r="BQ117" s="314">
        <v>1</v>
      </c>
      <c r="BR117" s="312" t="s">
        <v>390</v>
      </c>
      <c r="BS117" s="313">
        <v>4</v>
      </c>
      <c r="BT117" s="313">
        <v>1</v>
      </c>
      <c r="BU117" s="313">
        <v>1</v>
      </c>
      <c r="BV117" s="313">
        <v>0</v>
      </c>
      <c r="BW117" s="313">
        <v>0</v>
      </c>
      <c r="BX117" s="313">
        <v>1</v>
      </c>
      <c r="BY117" s="313">
        <v>0</v>
      </c>
      <c r="BZ117" s="313">
        <v>0</v>
      </c>
      <c r="CA117" s="314">
        <v>3</v>
      </c>
      <c r="CB117" s="312" t="s">
        <v>387</v>
      </c>
      <c r="CC117" s="313">
        <v>3</v>
      </c>
      <c r="CD117" s="313">
        <v>0</v>
      </c>
      <c r="CE117" s="313">
        <v>2</v>
      </c>
      <c r="CF117" s="313">
        <v>1</v>
      </c>
      <c r="CG117" s="313">
        <v>1</v>
      </c>
      <c r="CH117" s="313">
        <v>1</v>
      </c>
      <c r="CI117" s="313">
        <v>0</v>
      </c>
      <c r="CJ117" s="313">
        <v>0</v>
      </c>
      <c r="CK117" s="314">
        <v>2</v>
      </c>
      <c r="CL117" s="312" t="s">
        <v>272</v>
      </c>
      <c r="CM117" s="313">
        <v>4</v>
      </c>
      <c r="CN117" s="313">
        <v>0</v>
      </c>
      <c r="CO117" s="313">
        <v>0</v>
      </c>
      <c r="CP117" s="313">
        <v>0</v>
      </c>
      <c r="CQ117" s="313">
        <v>0</v>
      </c>
      <c r="CR117" s="313">
        <v>1</v>
      </c>
      <c r="CS117" s="313">
        <v>0</v>
      </c>
      <c r="CT117" s="313">
        <v>0</v>
      </c>
      <c r="CU117" s="314">
        <v>0</v>
      </c>
      <c r="CV117" s="312" t="s">
        <v>273</v>
      </c>
      <c r="CW117" s="313">
        <v>2</v>
      </c>
      <c r="CX117" s="313">
        <v>1</v>
      </c>
      <c r="CY117" s="313">
        <v>1</v>
      </c>
      <c r="CZ117" s="313">
        <v>0</v>
      </c>
      <c r="DA117" s="313">
        <v>2</v>
      </c>
      <c r="DB117" s="313">
        <v>1</v>
      </c>
      <c r="DC117" s="313">
        <v>0</v>
      </c>
      <c r="DD117" s="313">
        <v>0</v>
      </c>
      <c r="DE117" s="314">
        <v>1</v>
      </c>
      <c r="DF117" s="312" t="s">
        <v>384</v>
      </c>
      <c r="DG117" s="313">
        <v>4</v>
      </c>
      <c r="DH117" s="313">
        <v>0</v>
      </c>
      <c r="DI117" s="313">
        <v>0</v>
      </c>
      <c r="DJ117" s="313">
        <v>0</v>
      </c>
      <c r="DK117" s="313">
        <v>0</v>
      </c>
      <c r="DL117" s="313">
        <v>1</v>
      </c>
      <c r="DM117" s="313">
        <v>0</v>
      </c>
      <c r="DN117" s="313">
        <v>0</v>
      </c>
      <c r="DO117" s="314">
        <v>0</v>
      </c>
      <c r="DP117" s="312" t="s">
        <v>388</v>
      </c>
      <c r="DQ117" s="313">
        <v>2</v>
      </c>
      <c r="DR117" s="313">
        <v>0</v>
      </c>
      <c r="DS117" s="313">
        <v>1</v>
      </c>
      <c r="DT117" s="313">
        <v>1</v>
      </c>
      <c r="DU117" s="313">
        <v>2</v>
      </c>
      <c r="DV117" s="313">
        <v>0</v>
      </c>
      <c r="DW117" s="313">
        <v>0</v>
      </c>
      <c r="DX117" s="313">
        <v>0</v>
      </c>
      <c r="DY117" s="314">
        <v>2</v>
      </c>
      <c r="DZ117" s="315">
        <v>0</v>
      </c>
      <c r="EA117" s="316">
        <v>0</v>
      </c>
      <c r="EB117" s="316">
        <v>0</v>
      </c>
      <c r="EC117" s="317">
        <v>9</v>
      </c>
      <c r="ED117" s="316">
        <v>2</v>
      </c>
      <c r="EE117" s="318">
        <v>0</v>
      </c>
      <c r="EF117" s="319">
        <v>0</v>
      </c>
      <c r="EG117" s="316">
        <v>0</v>
      </c>
      <c r="EH117" s="316">
        <v>0</v>
      </c>
      <c r="EI117" s="316">
        <v>0</v>
      </c>
      <c r="EJ117" s="316">
        <v>0</v>
      </c>
      <c r="EK117" s="316">
        <v>1</v>
      </c>
      <c r="EL117" s="316">
        <v>0</v>
      </c>
      <c r="EM117" s="316">
        <v>0</v>
      </c>
      <c r="EN117" s="316">
        <v>1</v>
      </c>
      <c r="EO117" s="316"/>
      <c r="EP117" s="316"/>
      <c r="EQ117" s="316"/>
      <c r="ER117" s="316"/>
      <c r="ES117" s="318">
        <f t="shared" si="108"/>
        <v>2</v>
      </c>
      <c r="ET117" s="316">
        <v>0</v>
      </c>
      <c r="EU117" s="316">
        <v>1</v>
      </c>
      <c r="EV117" s="316">
        <v>0</v>
      </c>
      <c r="EW117" s="316">
        <v>0</v>
      </c>
      <c r="EX117" s="316">
        <v>0</v>
      </c>
      <c r="EY117" s="316">
        <v>2</v>
      </c>
      <c r="EZ117" s="316">
        <v>0</v>
      </c>
      <c r="FA117" s="316">
        <v>0</v>
      </c>
      <c r="FB117" s="316"/>
      <c r="FC117" s="316"/>
      <c r="FD117" s="316"/>
      <c r="FE117" s="316"/>
      <c r="FF117" s="316"/>
      <c r="FG117" s="316">
        <f t="shared" si="109"/>
        <v>3</v>
      </c>
      <c r="FH117" s="320">
        <v>30</v>
      </c>
      <c r="FI117" s="320">
        <v>2</v>
      </c>
      <c r="FJ117" s="320">
        <v>6</v>
      </c>
      <c r="FK117" s="320">
        <v>2</v>
      </c>
      <c r="FL117" s="320">
        <v>6</v>
      </c>
      <c r="FM117" s="320">
        <v>7</v>
      </c>
      <c r="FN117" s="320">
        <f t="shared" si="110"/>
        <v>0</v>
      </c>
      <c r="FO117" s="320">
        <f t="shared" si="111"/>
        <v>0</v>
      </c>
      <c r="FP117" s="320">
        <f t="shared" si="82"/>
        <v>0</v>
      </c>
      <c r="FQ117" s="320">
        <f t="shared" si="83"/>
        <v>0</v>
      </c>
      <c r="FR117" s="320">
        <f t="shared" si="84"/>
        <v>0</v>
      </c>
      <c r="FS117" s="320">
        <f t="shared" si="85"/>
        <v>0</v>
      </c>
      <c r="FT117" s="320">
        <f t="shared" si="86"/>
        <v>0</v>
      </c>
      <c r="FU117" s="320">
        <f t="shared" si="87"/>
        <v>0</v>
      </c>
      <c r="FV117" s="320">
        <f t="shared" si="88"/>
        <v>0</v>
      </c>
      <c r="FW117" s="320">
        <f t="shared" si="89"/>
        <v>-1</v>
      </c>
      <c r="FX117" s="320">
        <f t="shared" si="90"/>
        <v>0</v>
      </c>
      <c r="FY117" s="320">
        <f t="shared" si="91"/>
        <v>0</v>
      </c>
      <c r="FZ117" s="320">
        <f t="shared" si="92"/>
        <v>0</v>
      </c>
      <c r="GA117" s="320">
        <f t="shared" si="93"/>
        <v>-1</v>
      </c>
      <c r="GB117" s="320">
        <f t="shared" si="94"/>
        <v>0</v>
      </c>
      <c r="GC117" s="320">
        <f t="shared" si="95"/>
        <v>0</v>
      </c>
      <c r="GD117" s="320">
        <f t="shared" si="96"/>
        <v>1</v>
      </c>
      <c r="GE117" s="320">
        <f t="shared" si="97"/>
        <v>0</v>
      </c>
      <c r="GF117" s="320">
        <f t="shared" si="98"/>
        <v>0</v>
      </c>
      <c r="GG117" s="320">
        <f t="shared" si="99"/>
        <v>0</v>
      </c>
      <c r="GH117" s="320">
        <f t="shared" si="100"/>
        <v>0</v>
      </c>
      <c r="GI117" s="320">
        <f t="shared" si="101"/>
        <v>-1</v>
      </c>
      <c r="GJ117" s="321"/>
      <c r="GK117" s="367"/>
      <c r="GL117" s="376"/>
      <c r="GM117" s="376"/>
      <c r="GP117" s="52"/>
    </row>
    <row r="118" spans="1:198" x14ac:dyDescent="0.25">
      <c r="A118" s="305">
        <v>40403</v>
      </c>
      <c r="B118" s="305" t="s">
        <v>19</v>
      </c>
      <c r="C118" s="305" t="s">
        <v>131</v>
      </c>
      <c r="D118" s="305" t="s">
        <v>130</v>
      </c>
      <c r="E118" s="306">
        <v>24277</v>
      </c>
      <c r="F118" s="309"/>
      <c r="G118" s="307">
        <v>1</v>
      </c>
      <c r="H118" s="308" t="s">
        <v>392</v>
      </c>
      <c r="I118" s="309">
        <v>0</v>
      </c>
      <c r="J118" s="309">
        <v>1</v>
      </c>
      <c r="K118" s="310">
        <v>5</v>
      </c>
      <c r="L118" s="309">
        <v>10</v>
      </c>
      <c r="M118" s="309">
        <v>4</v>
      </c>
      <c r="N118" s="309">
        <v>4</v>
      </c>
      <c r="O118" s="309">
        <v>3</v>
      </c>
      <c r="P118" s="309">
        <v>2</v>
      </c>
      <c r="Q118" s="309">
        <v>0</v>
      </c>
      <c r="R118" s="309">
        <v>0</v>
      </c>
      <c r="S118" s="309">
        <v>25</v>
      </c>
      <c r="T118" s="309">
        <v>100</v>
      </c>
      <c r="U118" s="309">
        <v>64</v>
      </c>
      <c r="V118" s="309">
        <v>2</v>
      </c>
      <c r="W118" s="311">
        <v>0</v>
      </c>
      <c r="X118" s="309">
        <v>0</v>
      </c>
      <c r="Y118" s="309">
        <v>0</v>
      </c>
      <c r="Z118" s="309">
        <v>0</v>
      </c>
      <c r="AA118" s="309">
        <v>0</v>
      </c>
      <c r="AB118" s="309">
        <v>0</v>
      </c>
      <c r="AC118" s="310">
        <v>4</v>
      </c>
      <c r="AD118" s="309">
        <v>2</v>
      </c>
      <c r="AE118" s="309">
        <v>1</v>
      </c>
      <c r="AF118" s="309">
        <v>1</v>
      </c>
      <c r="AG118" s="309">
        <v>1</v>
      </c>
      <c r="AH118" s="309">
        <v>3</v>
      </c>
      <c r="AI118" s="309">
        <v>1</v>
      </c>
      <c r="AJ118" s="309">
        <v>0</v>
      </c>
      <c r="AK118" s="309">
        <v>13</v>
      </c>
      <c r="AL118" s="309">
        <v>50</v>
      </c>
      <c r="AM118" s="309">
        <v>32</v>
      </c>
      <c r="AN118" s="312" t="s">
        <v>275</v>
      </c>
      <c r="AO118" s="313">
        <v>2</v>
      </c>
      <c r="AP118" s="313">
        <v>0</v>
      </c>
      <c r="AQ118" s="313">
        <v>0</v>
      </c>
      <c r="AR118" s="313">
        <v>0</v>
      </c>
      <c r="AS118" s="313">
        <v>2</v>
      </c>
      <c r="AT118" s="313">
        <v>0</v>
      </c>
      <c r="AU118" s="313">
        <v>0</v>
      </c>
      <c r="AV118" s="313">
        <v>0</v>
      </c>
      <c r="AW118" s="314">
        <v>0</v>
      </c>
      <c r="AX118" s="312" t="s">
        <v>389</v>
      </c>
      <c r="AY118" s="313">
        <v>3</v>
      </c>
      <c r="AZ118" s="313">
        <v>0</v>
      </c>
      <c r="BA118" s="313">
        <v>0</v>
      </c>
      <c r="BB118" s="313">
        <v>0</v>
      </c>
      <c r="BC118" s="313">
        <v>1</v>
      </c>
      <c r="BD118" s="313">
        <v>0</v>
      </c>
      <c r="BE118" s="313">
        <v>0</v>
      </c>
      <c r="BF118" s="313">
        <v>0</v>
      </c>
      <c r="BG118" s="314">
        <v>0</v>
      </c>
      <c r="BH118" s="312" t="s">
        <v>391</v>
      </c>
      <c r="BI118" s="313">
        <v>4</v>
      </c>
      <c r="BJ118" s="313">
        <v>0</v>
      </c>
      <c r="BK118" s="313">
        <v>1</v>
      </c>
      <c r="BL118" s="313">
        <v>0</v>
      </c>
      <c r="BM118" s="313">
        <v>0</v>
      </c>
      <c r="BN118" s="313">
        <v>0</v>
      </c>
      <c r="BO118" s="313">
        <v>0</v>
      </c>
      <c r="BP118" s="313">
        <v>0</v>
      </c>
      <c r="BQ118" s="314">
        <v>1</v>
      </c>
      <c r="BR118" s="312" t="s">
        <v>390</v>
      </c>
      <c r="BS118" s="313">
        <v>4</v>
      </c>
      <c r="BT118" s="313">
        <v>0</v>
      </c>
      <c r="BU118" s="313">
        <v>0</v>
      </c>
      <c r="BV118" s="313">
        <v>0</v>
      </c>
      <c r="BW118" s="313">
        <v>0</v>
      </c>
      <c r="BX118" s="313">
        <v>1</v>
      </c>
      <c r="BY118" s="313">
        <v>0</v>
      </c>
      <c r="BZ118" s="313">
        <v>0</v>
      </c>
      <c r="CA118" s="314">
        <v>0</v>
      </c>
      <c r="CB118" s="312" t="s">
        <v>387</v>
      </c>
      <c r="CC118" s="313">
        <v>4</v>
      </c>
      <c r="CD118" s="313">
        <v>0</v>
      </c>
      <c r="CE118" s="313">
        <v>1</v>
      </c>
      <c r="CF118" s="313">
        <v>0</v>
      </c>
      <c r="CG118" s="313">
        <v>0</v>
      </c>
      <c r="CH118" s="313">
        <v>1</v>
      </c>
      <c r="CI118" s="313">
        <v>0</v>
      </c>
      <c r="CJ118" s="313">
        <v>0</v>
      </c>
      <c r="CK118" s="314">
        <v>3</v>
      </c>
      <c r="CL118" s="312" t="s">
        <v>272</v>
      </c>
      <c r="CM118" s="313">
        <v>3</v>
      </c>
      <c r="CN118" s="313">
        <v>0</v>
      </c>
      <c r="CO118" s="313">
        <v>0</v>
      </c>
      <c r="CP118" s="313">
        <v>0</v>
      </c>
      <c r="CQ118" s="313">
        <v>1</v>
      </c>
      <c r="CR118" s="313">
        <v>1</v>
      </c>
      <c r="CS118" s="313">
        <v>0</v>
      </c>
      <c r="CT118" s="313">
        <v>0</v>
      </c>
      <c r="CU118" s="314">
        <v>0</v>
      </c>
      <c r="CV118" s="312" t="s">
        <v>332</v>
      </c>
      <c r="CW118" s="313">
        <v>4</v>
      </c>
      <c r="CX118" s="313">
        <v>0</v>
      </c>
      <c r="CY118" s="313">
        <v>0</v>
      </c>
      <c r="CZ118" s="313">
        <v>0</v>
      </c>
      <c r="DA118" s="313">
        <v>0</v>
      </c>
      <c r="DB118" s="313">
        <v>2</v>
      </c>
      <c r="DC118" s="313">
        <v>0</v>
      </c>
      <c r="DD118" s="313">
        <v>0</v>
      </c>
      <c r="DE118" s="314">
        <v>0</v>
      </c>
      <c r="DF118" s="312" t="s">
        <v>273</v>
      </c>
      <c r="DG118" s="313">
        <v>3</v>
      </c>
      <c r="DH118" s="313">
        <v>0</v>
      </c>
      <c r="DI118" s="313">
        <v>1</v>
      </c>
      <c r="DJ118" s="313">
        <v>0</v>
      </c>
      <c r="DK118" s="313">
        <v>1</v>
      </c>
      <c r="DL118" s="313">
        <v>0</v>
      </c>
      <c r="DM118" s="313">
        <v>0</v>
      </c>
      <c r="DN118" s="313">
        <v>0</v>
      </c>
      <c r="DO118" s="314">
        <v>1</v>
      </c>
      <c r="DP118" s="312" t="s">
        <v>385</v>
      </c>
      <c r="DQ118" s="313">
        <v>3</v>
      </c>
      <c r="DR118" s="313">
        <v>0</v>
      </c>
      <c r="DS118" s="313">
        <v>0</v>
      </c>
      <c r="DT118" s="313">
        <v>0</v>
      </c>
      <c r="DU118" s="313">
        <v>0</v>
      </c>
      <c r="DV118" s="313">
        <v>1</v>
      </c>
      <c r="DW118" s="313">
        <v>0</v>
      </c>
      <c r="DX118" s="313">
        <v>0</v>
      </c>
      <c r="DY118" s="314">
        <v>0</v>
      </c>
      <c r="DZ118" s="315">
        <v>1</v>
      </c>
      <c r="EA118" s="316">
        <v>0</v>
      </c>
      <c r="EB118" s="316">
        <v>0</v>
      </c>
      <c r="EC118" s="317">
        <v>8</v>
      </c>
      <c r="ED118" s="316">
        <v>0</v>
      </c>
      <c r="EE118" s="318">
        <v>0</v>
      </c>
      <c r="EF118" s="319">
        <v>0</v>
      </c>
      <c r="EG118" s="316">
        <v>0</v>
      </c>
      <c r="EH118" s="316">
        <v>0</v>
      </c>
      <c r="EI118" s="316">
        <v>0</v>
      </c>
      <c r="EJ118" s="316">
        <v>0</v>
      </c>
      <c r="EK118" s="316">
        <v>0</v>
      </c>
      <c r="EL118" s="316">
        <v>0</v>
      </c>
      <c r="EM118" s="316">
        <v>0</v>
      </c>
      <c r="EN118" s="316">
        <v>0</v>
      </c>
      <c r="EO118" s="316"/>
      <c r="EP118" s="316"/>
      <c r="EQ118" s="316"/>
      <c r="ER118" s="316"/>
      <c r="ES118" s="318">
        <f t="shared" si="108"/>
        <v>0</v>
      </c>
      <c r="ET118" s="316">
        <v>3</v>
      </c>
      <c r="EU118" s="316">
        <v>0</v>
      </c>
      <c r="EV118" s="316">
        <v>0</v>
      </c>
      <c r="EW118" s="316">
        <v>1</v>
      </c>
      <c r="EX118" s="316">
        <v>0</v>
      </c>
      <c r="EY118" s="316">
        <v>0</v>
      </c>
      <c r="EZ118" s="316">
        <v>1</v>
      </c>
      <c r="FA118" s="316">
        <v>0</v>
      </c>
      <c r="FB118" s="316">
        <v>0</v>
      </c>
      <c r="FC118" s="316"/>
      <c r="FD118" s="316"/>
      <c r="FE118" s="316"/>
      <c r="FF118" s="316"/>
      <c r="FG118" s="316">
        <f t="shared" si="109"/>
        <v>5</v>
      </c>
      <c r="FH118" s="320">
        <v>30</v>
      </c>
      <c r="FI118" s="320">
        <v>0</v>
      </c>
      <c r="FJ118" s="320">
        <v>3</v>
      </c>
      <c r="FK118" s="320">
        <v>0</v>
      </c>
      <c r="FL118" s="320">
        <v>5</v>
      </c>
      <c r="FM118" s="320">
        <v>6</v>
      </c>
      <c r="FN118" s="320">
        <f t="shared" si="110"/>
        <v>0</v>
      </c>
      <c r="FO118" s="320">
        <f t="shared" si="111"/>
        <v>0</v>
      </c>
      <c r="FP118" s="320">
        <f t="shared" si="82"/>
        <v>0</v>
      </c>
      <c r="FQ118" s="320">
        <f t="shared" si="83"/>
        <v>0</v>
      </c>
      <c r="FR118" s="320">
        <f t="shared" si="84"/>
        <v>0</v>
      </c>
      <c r="FS118" s="320">
        <f t="shared" si="85"/>
        <v>0</v>
      </c>
      <c r="FT118" s="320">
        <f t="shared" si="86"/>
        <v>0</v>
      </c>
      <c r="FU118" s="320">
        <f t="shared" si="87"/>
        <v>0</v>
      </c>
      <c r="FV118" s="320">
        <f t="shared" si="88"/>
        <v>-3</v>
      </c>
      <c r="FW118" s="320">
        <f t="shared" si="89"/>
        <v>0</v>
      </c>
      <c r="FX118" s="320">
        <f t="shared" si="90"/>
        <v>0</v>
      </c>
      <c r="FY118" s="320">
        <f t="shared" si="91"/>
        <v>-1</v>
      </c>
      <c r="FZ118" s="320">
        <f t="shared" si="92"/>
        <v>0</v>
      </c>
      <c r="GA118" s="320">
        <f t="shared" si="93"/>
        <v>0</v>
      </c>
      <c r="GB118" s="320">
        <f t="shared" si="94"/>
        <v>-1</v>
      </c>
      <c r="GC118" s="320">
        <f t="shared" si="95"/>
        <v>0</v>
      </c>
      <c r="GD118" s="320">
        <f t="shared" si="96"/>
        <v>0</v>
      </c>
      <c r="GE118" s="320">
        <f t="shared" si="97"/>
        <v>0</v>
      </c>
      <c r="GF118" s="320">
        <f t="shared" si="98"/>
        <v>0</v>
      </c>
      <c r="GG118" s="320">
        <f t="shared" si="99"/>
        <v>0</v>
      </c>
      <c r="GH118" s="320">
        <f t="shared" si="100"/>
        <v>0</v>
      </c>
      <c r="GI118" s="320">
        <f t="shared" si="101"/>
        <v>-5</v>
      </c>
      <c r="GJ118" s="321"/>
      <c r="GK118" s="367"/>
      <c r="GL118" s="376"/>
      <c r="GM118" s="376"/>
      <c r="GP118" s="52"/>
    </row>
    <row r="119" spans="1:198" x14ac:dyDescent="0.25">
      <c r="A119" s="305">
        <v>40404</v>
      </c>
      <c r="B119" s="305" t="s">
        <v>19</v>
      </c>
      <c r="C119" s="305" t="s">
        <v>129</v>
      </c>
      <c r="D119" s="305" t="s">
        <v>130</v>
      </c>
      <c r="E119" s="306">
        <v>36189</v>
      </c>
      <c r="F119" s="309"/>
      <c r="G119" s="307">
        <v>2</v>
      </c>
      <c r="H119" s="308" t="s">
        <v>638</v>
      </c>
      <c r="I119" s="309">
        <v>1</v>
      </c>
      <c r="J119" s="309">
        <v>0</v>
      </c>
      <c r="K119" s="310">
        <v>5</v>
      </c>
      <c r="L119" s="309">
        <v>3</v>
      </c>
      <c r="M119" s="309">
        <v>3</v>
      </c>
      <c r="N119" s="309">
        <v>3</v>
      </c>
      <c r="O119" s="309">
        <v>4</v>
      </c>
      <c r="P119" s="309">
        <v>2</v>
      </c>
      <c r="Q119" s="309">
        <v>1</v>
      </c>
      <c r="R119" s="309">
        <v>0</v>
      </c>
      <c r="S119" s="309">
        <v>23</v>
      </c>
      <c r="T119" s="309">
        <v>99</v>
      </c>
      <c r="U119" s="309">
        <v>62</v>
      </c>
      <c r="V119" s="309">
        <v>0</v>
      </c>
      <c r="W119" s="311">
        <v>0</v>
      </c>
      <c r="X119" s="309">
        <v>0</v>
      </c>
      <c r="Y119" s="309">
        <v>0</v>
      </c>
      <c r="Z119" s="309">
        <v>2</v>
      </c>
      <c r="AA119" s="309">
        <v>0</v>
      </c>
      <c r="AB119" s="309">
        <v>0</v>
      </c>
      <c r="AC119" s="310">
        <v>4</v>
      </c>
      <c r="AD119" s="309">
        <v>1</v>
      </c>
      <c r="AE119" s="309">
        <v>0</v>
      </c>
      <c r="AF119" s="309">
        <v>0</v>
      </c>
      <c r="AG119" s="309">
        <v>0</v>
      </c>
      <c r="AH119" s="309">
        <v>3</v>
      </c>
      <c r="AI119" s="309">
        <v>0</v>
      </c>
      <c r="AJ119" s="309">
        <v>0</v>
      </c>
      <c r="AK119" s="309">
        <v>13</v>
      </c>
      <c r="AL119" s="309">
        <v>52</v>
      </c>
      <c r="AM119" s="309">
        <v>36</v>
      </c>
      <c r="AN119" s="312" t="s">
        <v>273</v>
      </c>
      <c r="AO119" s="313">
        <v>4</v>
      </c>
      <c r="AP119" s="313">
        <v>0</v>
      </c>
      <c r="AQ119" s="313">
        <v>2</v>
      </c>
      <c r="AR119" s="313">
        <v>0</v>
      </c>
      <c r="AS119" s="313">
        <v>1</v>
      </c>
      <c r="AT119" s="313">
        <v>0</v>
      </c>
      <c r="AU119" s="313">
        <v>0</v>
      </c>
      <c r="AV119" s="313">
        <v>0</v>
      </c>
      <c r="AW119" s="314">
        <v>2</v>
      </c>
      <c r="AX119" s="312" t="s">
        <v>384</v>
      </c>
      <c r="AY119" s="313">
        <v>5</v>
      </c>
      <c r="AZ119" s="313">
        <v>0</v>
      </c>
      <c r="BA119" s="313">
        <v>3</v>
      </c>
      <c r="BB119" s="313">
        <v>0</v>
      </c>
      <c r="BC119" s="313">
        <v>0</v>
      </c>
      <c r="BD119" s="313">
        <v>0</v>
      </c>
      <c r="BE119" s="313">
        <v>0</v>
      </c>
      <c r="BF119" s="313">
        <v>0</v>
      </c>
      <c r="BG119" s="314">
        <v>4</v>
      </c>
      <c r="BH119" s="312" t="s">
        <v>391</v>
      </c>
      <c r="BI119" s="313">
        <v>5</v>
      </c>
      <c r="BJ119" s="313">
        <v>0</v>
      </c>
      <c r="BK119" s="313">
        <v>1</v>
      </c>
      <c r="BL119" s="313">
        <v>0</v>
      </c>
      <c r="BM119" s="313">
        <v>0</v>
      </c>
      <c r="BN119" s="313">
        <v>1</v>
      </c>
      <c r="BO119" s="313">
        <v>0</v>
      </c>
      <c r="BP119" s="313">
        <v>0</v>
      </c>
      <c r="BQ119" s="314">
        <v>1</v>
      </c>
      <c r="BR119" s="312" t="s">
        <v>390</v>
      </c>
      <c r="BS119" s="313">
        <v>5</v>
      </c>
      <c r="BT119" s="313">
        <v>2</v>
      </c>
      <c r="BU119" s="313">
        <v>2</v>
      </c>
      <c r="BV119" s="313">
        <v>0</v>
      </c>
      <c r="BW119" s="313">
        <v>0</v>
      </c>
      <c r="BX119" s="313">
        <v>1</v>
      </c>
      <c r="BY119" s="313">
        <v>0</v>
      </c>
      <c r="BZ119" s="313">
        <v>0</v>
      </c>
      <c r="CA119" s="314">
        <v>4</v>
      </c>
      <c r="CB119" s="312" t="s">
        <v>272</v>
      </c>
      <c r="CC119" s="313">
        <v>4</v>
      </c>
      <c r="CD119" s="313">
        <v>1</v>
      </c>
      <c r="CE119" s="313">
        <v>3</v>
      </c>
      <c r="CF119" s="313">
        <v>1</v>
      </c>
      <c r="CG119" s="313">
        <v>0</v>
      </c>
      <c r="CH119" s="313">
        <v>0</v>
      </c>
      <c r="CI119" s="313">
        <v>0</v>
      </c>
      <c r="CJ119" s="313">
        <v>0</v>
      </c>
      <c r="CK119" s="314">
        <v>3</v>
      </c>
      <c r="CL119" s="312" t="s">
        <v>271</v>
      </c>
      <c r="CM119" s="313">
        <v>4</v>
      </c>
      <c r="CN119" s="313">
        <v>1</v>
      </c>
      <c r="CO119" s="313">
        <v>1</v>
      </c>
      <c r="CP119" s="313">
        <v>1</v>
      </c>
      <c r="CQ119" s="313">
        <v>0</v>
      </c>
      <c r="CR119" s="313">
        <v>0</v>
      </c>
      <c r="CS119" s="313">
        <v>0</v>
      </c>
      <c r="CT119" s="313">
        <v>0</v>
      </c>
      <c r="CU119" s="314">
        <v>2</v>
      </c>
      <c r="CV119" s="312" t="s">
        <v>389</v>
      </c>
      <c r="CW119" s="313">
        <v>2</v>
      </c>
      <c r="CX119" s="313">
        <v>1</v>
      </c>
      <c r="CY119" s="313">
        <v>0</v>
      </c>
      <c r="CZ119" s="313">
        <v>0</v>
      </c>
      <c r="DA119" s="313">
        <v>2</v>
      </c>
      <c r="DB119" s="313">
        <v>1</v>
      </c>
      <c r="DC119" s="313">
        <v>0</v>
      </c>
      <c r="DD119" s="313">
        <v>0</v>
      </c>
      <c r="DE119" s="314">
        <v>0</v>
      </c>
      <c r="DF119" s="312" t="s">
        <v>388</v>
      </c>
      <c r="DG119" s="313">
        <v>4</v>
      </c>
      <c r="DH119" s="313">
        <v>2</v>
      </c>
      <c r="DI119" s="313">
        <v>2</v>
      </c>
      <c r="DJ119" s="313">
        <v>5</v>
      </c>
      <c r="DK119" s="313">
        <v>0</v>
      </c>
      <c r="DL119" s="313">
        <v>1</v>
      </c>
      <c r="DM119" s="313">
        <v>0</v>
      </c>
      <c r="DN119" s="313">
        <v>0</v>
      </c>
      <c r="DO119" s="314">
        <v>8</v>
      </c>
      <c r="DP119" s="312" t="s">
        <v>386</v>
      </c>
      <c r="DQ119" s="313">
        <v>4</v>
      </c>
      <c r="DR119" s="313">
        <v>0</v>
      </c>
      <c r="DS119" s="313">
        <v>1</v>
      </c>
      <c r="DT119" s="313">
        <v>0</v>
      </c>
      <c r="DU119" s="313">
        <v>0</v>
      </c>
      <c r="DV119" s="313">
        <v>0</v>
      </c>
      <c r="DW119" s="313">
        <v>0</v>
      </c>
      <c r="DX119" s="313">
        <v>0</v>
      </c>
      <c r="DY119" s="314">
        <v>1</v>
      </c>
      <c r="DZ119" s="315">
        <v>4</v>
      </c>
      <c r="EA119" s="316">
        <v>0</v>
      </c>
      <c r="EB119" s="316">
        <v>0</v>
      </c>
      <c r="EC119" s="317">
        <v>4</v>
      </c>
      <c r="ED119" s="316">
        <v>0</v>
      </c>
      <c r="EE119" s="318">
        <v>0</v>
      </c>
      <c r="EF119" s="319">
        <v>0</v>
      </c>
      <c r="EG119" s="316">
        <v>0</v>
      </c>
      <c r="EH119" s="316">
        <v>0</v>
      </c>
      <c r="EI119" s="316">
        <v>5</v>
      </c>
      <c r="EJ119" s="316">
        <v>1</v>
      </c>
      <c r="EK119" s="316">
        <v>0</v>
      </c>
      <c r="EL119" s="316">
        <v>0</v>
      </c>
      <c r="EM119" s="316">
        <v>1</v>
      </c>
      <c r="EN119" s="316"/>
      <c r="EO119" s="316"/>
      <c r="EP119" s="316"/>
      <c r="EQ119" s="316"/>
      <c r="ER119" s="316"/>
      <c r="ES119" s="318">
        <f t="shared" ref="ES119:ES124" si="112">SUM(EF119:ER119)</f>
        <v>7</v>
      </c>
      <c r="ET119" s="316">
        <v>0</v>
      </c>
      <c r="EU119" s="316">
        <v>0</v>
      </c>
      <c r="EV119" s="316">
        <v>3</v>
      </c>
      <c r="EW119" s="316">
        <v>0</v>
      </c>
      <c r="EX119" s="316">
        <v>0</v>
      </c>
      <c r="EY119" s="316">
        <v>0</v>
      </c>
      <c r="EZ119" s="316">
        <v>0</v>
      </c>
      <c r="FA119" s="316">
        <v>0</v>
      </c>
      <c r="FB119" s="316">
        <v>0</v>
      </c>
      <c r="FC119" s="316"/>
      <c r="FD119" s="316"/>
      <c r="FE119" s="316"/>
      <c r="FF119" s="316"/>
      <c r="FG119" s="316">
        <f t="shared" ref="FG119:FG124" si="113">SUM(ET119:FF119)</f>
        <v>3</v>
      </c>
      <c r="FH119" s="320">
        <v>37</v>
      </c>
      <c r="FI119" s="320">
        <v>7</v>
      </c>
      <c r="FJ119" s="320">
        <v>15</v>
      </c>
      <c r="FK119" s="320">
        <v>7</v>
      </c>
      <c r="FL119" s="320">
        <v>3</v>
      </c>
      <c r="FM119" s="320">
        <v>4</v>
      </c>
      <c r="FN119" s="320">
        <f t="shared" si="110"/>
        <v>0</v>
      </c>
      <c r="FO119" s="320">
        <f t="shared" si="111"/>
        <v>0</v>
      </c>
      <c r="FP119" s="320">
        <f t="shared" ref="FP119:FU119" si="114">((SUM(AO119,AY119,BI119,BS119,CC119,CM119,CW119,DG119,DQ119))-(FH119))</f>
        <v>0</v>
      </c>
      <c r="FQ119" s="320">
        <f t="shared" si="114"/>
        <v>0</v>
      </c>
      <c r="FR119" s="320">
        <f t="shared" si="114"/>
        <v>0</v>
      </c>
      <c r="FS119" s="320">
        <f t="shared" si="114"/>
        <v>0</v>
      </c>
      <c r="FT119" s="320">
        <f t="shared" si="114"/>
        <v>0</v>
      </c>
      <c r="FU119" s="320">
        <f t="shared" si="114"/>
        <v>0</v>
      </c>
      <c r="FV119" s="320">
        <f t="shared" ref="FV119:GI119" si="115">(EF119-ET119)</f>
        <v>0</v>
      </c>
      <c r="FW119" s="320">
        <f t="shared" si="115"/>
        <v>0</v>
      </c>
      <c r="FX119" s="320">
        <f t="shared" si="115"/>
        <v>-3</v>
      </c>
      <c r="FY119" s="320">
        <f t="shared" si="115"/>
        <v>5</v>
      </c>
      <c r="FZ119" s="320">
        <f t="shared" si="115"/>
        <v>1</v>
      </c>
      <c r="GA119" s="320">
        <f t="shared" si="115"/>
        <v>0</v>
      </c>
      <c r="GB119" s="320">
        <f t="shared" si="115"/>
        <v>0</v>
      </c>
      <c r="GC119" s="320">
        <f t="shared" si="115"/>
        <v>1</v>
      </c>
      <c r="GD119" s="320">
        <f t="shared" si="115"/>
        <v>0</v>
      </c>
      <c r="GE119" s="320">
        <f t="shared" si="115"/>
        <v>0</v>
      </c>
      <c r="GF119" s="320">
        <f t="shared" si="115"/>
        <v>0</v>
      </c>
      <c r="GG119" s="320">
        <f t="shared" si="115"/>
        <v>0</v>
      </c>
      <c r="GH119" s="320">
        <f t="shared" si="115"/>
        <v>0</v>
      </c>
      <c r="GI119" s="320">
        <f t="shared" si="115"/>
        <v>4</v>
      </c>
      <c r="GJ119" s="321"/>
      <c r="GK119" s="367"/>
      <c r="GL119" s="376"/>
      <c r="GM119" s="376"/>
      <c r="GP119" s="52"/>
    </row>
    <row r="120" spans="1:198" x14ac:dyDescent="0.25">
      <c r="A120" s="74">
        <v>40405</v>
      </c>
      <c r="B120" s="74" t="s">
        <v>19</v>
      </c>
      <c r="C120" s="74" t="s">
        <v>129</v>
      </c>
      <c r="D120" s="74" t="s">
        <v>130</v>
      </c>
      <c r="E120" s="4">
        <v>29654</v>
      </c>
      <c r="F120" s="6"/>
      <c r="G120" s="58">
        <v>3</v>
      </c>
      <c r="H120" s="59" t="s">
        <v>397</v>
      </c>
      <c r="I120" s="6">
        <v>1</v>
      </c>
      <c r="J120" s="6">
        <v>0</v>
      </c>
      <c r="K120" s="60">
        <v>6</v>
      </c>
      <c r="L120" s="6">
        <v>3</v>
      </c>
      <c r="M120" s="6">
        <v>1</v>
      </c>
      <c r="N120" s="6">
        <v>1</v>
      </c>
      <c r="O120" s="6">
        <v>1</v>
      </c>
      <c r="P120" s="6">
        <v>5</v>
      </c>
      <c r="Q120" s="6">
        <v>0</v>
      </c>
      <c r="R120" s="6">
        <v>0</v>
      </c>
      <c r="S120" s="6">
        <v>22</v>
      </c>
      <c r="T120" s="6">
        <v>97</v>
      </c>
      <c r="U120" s="6">
        <v>60</v>
      </c>
      <c r="V120" s="6">
        <v>0</v>
      </c>
      <c r="W120" s="61">
        <v>0</v>
      </c>
      <c r="X120" s="6">
        <v>0</v>
      </c>
      <c r="Y120" s="6">
        <v>0</v>
      </c>
      <c r="Z120" s="6">
        <v>2</v>
      </c>
      <c r="AA120" s="6">
        <v>1</v>
      </c>
      <c r="AB120" s="6">
        <v>0</v>
      </c>
      <c r="AC120" s="60">
        <v>3</v>
      </c>
      <c r="AD120" s="6">
        <v>2</v>
      </c>
      <c r="AE120" s="6">
        <v>1</v>
      </c>
      <c r="AF120" s="6">
        <v>1</v>
      </c>
      <c r="AG120" s="6">
        <v>0</v>
      </c>
      <c r="AH120" s="6">
        <v>2</v>
      </c>
      <c r="AI120" s="6">
        <v>1</v>
      </c>
      <c r="AJ120" s="6">
        <v>0</v>
      </c>
      <c r="AK120" s="6">
        <v>11</v>
      </c>
      <c r="AL120" s="6">
        <v>51</v>
      </c>
      <c r="AM120" s="6">
        <v>32</v>
      </c>
      <c r="AN120" s="1" t="s">
        <v>275</v>
      </c>
      <c r="AO120" s="78">
        <v>3</v>
      </c>
      <c r="AP120" s="78">
        <v>1</v>
      </c>
      <c r="AQ120" s="78">
        <v>1</v>
      </c>
      <c r="AR120" s="78">
        <v>0</v>
      </c>
      <c r="AS120" s="78">
        <v>1</v>
      </c>
      <c r="AT120" s="78">
        <v>0</v>
      </c>
      <c r="AU120" s="78">
        <v>0</v>
      </c>
      <c r="AV120" s="78">
        <v>0</v>
      </c>
      <c r="AW120" s="76">
        <v>1</v>
      </c>
      <c r="AX120" s="1" t="s">
        <v>389</v>
      </c>
      <c r="AY120" s="78">
        <v>1</v>
      </c>
      <c r="AZ120" s="78">
        <v>1</v>
      </c>
      <c r="BA120" s="78">
        <v>0</v>
      </c>
      <c r="BB120" s="78">
        <v>0</v>
      </c>
      <c r="BC120" s="78">
        <v>3</v>
      </c>
      <c r="BD120" s="78">
        <v>0</v>
      </c>
      <c r="BE120" s="78">
        <v>0</v>
      </c>
      <c r="BF120" s="78">
        <v>0</v>
      </c>
      <c r="BG120" s="76">
        <v>0</v>
      </c>
      <c r="BH120" s="1" t="s">
        <v>391</v>
      </c>
      <c r="BI120" s="78">
        <v>4</v>
      </c>
      <c r="BJ120" s="78">
        <v>1</v>
      </c>
      <c r="BK120" s="78">
        <v>3</v>
      </c>
      <c r="BL120" s="78">
        <v>2</v>
      </c>
      <c r="BM120" s="78">
        <v>0</v>
      </c>
      <c r="BN120" s="78">
        <v>0</v>
      </c>
      <c r="BO120" s="78">
        <v>0</v>
      </c>
      <c r="BP120" s="78">
        <v>0</v>
      </c>
      <c r="BQ120" s="76">
        <v>6</v>
      </c>
      <c r="BR120" s="1" t="s">
        <v>390</v>
      </c>
      <c r="BS120" s="78">
        <v>4</v>
      </c>
      <c r="BT120" s="78">
        <v>0</v>
      </c>
      <c r="BU120" s="78">
        <v>1</v>
      </c>
      <c r="BV120" s="78">
        <v>0</v>
      </c>
      <c r="BW120" s="78">
        <v>0</v>
      </c>
      <c r="BX120" s="78">
        <v>1</v>
      </c>
      <c r="BY120" s="78">
        <v>0</v>
      </c>
      <c r="BZ120" s="78">
        <v>0</v>
      </c>
      <c r="CA120" s="76">
        <v>1</v>
      </c>
      <c r="CB120" s="1" t="s">
        <v>387</v>
      </c>
      <c r="CC120" s="78">
        <v>4</v>
      </c>
      <c r="CD120" s="78">
        <v>0</v>
      </c>
      <c r="CE120" s="78">
        <v>1</v>
      </c>
      <c r="CF120" s="78">
        <v>1</v>
      </c>
      <c r="CG120" s="78">
        <v>0</v>
      </c>
      <c r="CH120" s="78">
        <v>0</v>
      </c>
      <c r="CI120" s="78">
        <v>0</v>
      </c>
      <c r="CJ120" s="78">
        <v>0</v>
      </c>
      <c r="CK120" s="76">
        <v>2</v>
      </c>
      <c r="CL120" s="1" t="s">
        <v>272</v>
      </c>
      <c r="CM120" s="78">
        <v>3</v>
      </c>
      <c r="CN120" s="78">
        <v>0</v>
      </c>
      <c r="CO120" s="78">
        <v>1</v>
      </c>
      <c r="CP120" s="78">
        <v>0</v>
      </c>
      <c r="CQ120" s="78">
        <v>1</v>
      </c>
      <c r="CR120" s="78">
        <v>0</v>
      </c>
      <c r="CS120" s="78">
        <v>0</v>
      </c>
      <c r="CT120" s="78">
        <v>0</v>
      </c>
      <c r="CU120" s="76">
        <v>2</v>
      </c>
      <c r="CV120" s="1" t="s">
        <v>332</v>
      </c>
      <c r="CW120" s="78">
        <v>3</v>
      </c>
      <c r="CX120" s="78">
        <v>0</v>
      </c>
      <c r="CY120" s="78">
        <v>0</v>
      </c>
      <c r="CZ120" s="78">
        <v>0</v>
      </c>
      <c r="DA120" s="78">
        <v>1</v>
      </c>
      <c r="DB120" s="78">
        <v>0</v>
      </c>
      <c r="DC120" s="78">
        <v>0</v>
      </c>
      <c r="DD120" s="78">
        <v>0</v>
      </c>
      <c r="DE120" s="76">
        <v>0</v>
      </c>
      <c r="DF120" s="1" t="s">
        <v>273</v>
      </c>
      <c r="DG120" s="78">
        <v>4</v>
      </c>
      <c r="DH120" s="78">
        <v>0</v>
      </c>
      <c r="DI120" s="78">
        <v>1</v>
      </c>
      <c r="DJ120" s="78">
        <v>0</v>
      </c>
      <c r="DK120" s="78">
        <v>0</v>
      </c>
      <c r="DL120" s="78">
        <v>1</v>
      </c>
      <c r="DM120" s="78">
        <v>0</v>
      </c>
      <c r="DN120" s="78">
        <v>0</v>
      </c>
      <c r="DO120" s="76">
        <v>2</v>
      </c>
      <c r="DP120" s="1" t="s">
        <v>384</v>
      </c>
      <c r="DQ120" s="78">
        <v>4</v>
      </c>
      <c r="DR120" s="78">
        <v>0</v>
      </c>
      <c r="DS120" s="78">
        <v>0</v>
      </c>
      <c r="DT120" s="78">
        <v>0</v>
      </c>
      <c r="DU120" s="78">
        <v>0</v>
      </c>
      <c r="DV120" s="78">
        <v>0</v>
      </c>
      <c r="DW120" s="78">
        <v>0</v>
      </c>
      <c r="DX120" s="78">
        <v>0</v>
      </c>
      <c r="DY120" s="76">
        <v>0</v>
      </c>
      <c r="DZ120" s="77">
        <f>0+2/3</f>
        <v>0.66666666666666663</v>
      </c>
      <c r="EA120" s="43">
        <v>0</v>
      </c>
      <c r="EB120" s="43">
        <v>0</v>
      </c>
      <c r="EC120" s="45">
        <f>7+1/3</f>
        <v>7.333333333333333</v>
      </c>
      <c r="ED120" s="43">
        <v>0</v>
      </c>
      <c r="EE120" s="44">
        <v>0</v>
      </c>
      <c r="EF120" s="71">
        <v>1</v>
      </c>
      <c r="EG120" s="43">
        <v>0</v>
      </c>
      <c r="EH120" s="43">
        <v>2</v>
      </c>
      <c r="EI120" s="43">
        <v>0</v>
      </c>
      <c r="EJ120" s="43">
        <v>0</v>
      </c>
      <c r="EK120" s="43">
        <v>0</v>
      </c>
      <c r="EL120" s="43">
        <v>0</v>
      </c>
      <c r="EM120" s="43">
        <v>0</v>
      </c>
      <c r="EN120" s="43"/>
      <c r="EO120" s="43"/>
      <c r="EP120" s="43"/>
      <c r="EQ120" s="43"/>
      <c r="ER120" s="43"/>
      <c r="ES120" s="44">
        <f t="shared" si="112"/>
        <v>3</v>
      </c>
      <c r="ET120" s="43">
        <v>0</v>
      </c>
      <c r="EU120" s="43">
        <v>1</v>
      </c>
      <c r="EV120" s="43">
        <v>0</v>
      </c>
      <c r="EW120" s="43">
        <v>0</v>
      </c>
      <c r="EX120" s="43">
        <v>0</v>
      </c>
      <c r="EY120" s="43">
        <v>0</v>
      </c>
      <c r="EZ120" s="43">
        <v>1</v>
      </c>
      <c r="FA120" s="43">
        <v>0</v>
      </c>
      <c r="FB120" s="43">
        <v>0</v>
      </c>
      <c r="FC120" s="43"/>
      <c r="FD120" s="43"/>
      <c r="FE120" s="43"/>
      <c r="FF120" s="43"/>
      <c r="FG120" s="43">
        <f t="shared" si="113"/>
        <v>2</v>
      </c>
      <c r="FH120" s="73">
        <v>30</v>
      </c>
      <c r="FI120" s="73">
        <v>3</v>
      </c>
      <c r="FJ120" s="73">
        <v>8</v>
      </c>
      <c r="FK120" s="73">
        <v>3</v>
      </c>
      <c r="FL120" s="73">
        <v>6</v>
      </c>
      <c r="FM120" s="73">
        <v>2</v>
      </c>
      <c r="FN120" s="73">
        <f t="shared" ref="FN120:FN125" si="116">((SUM(M120,AE120))-(FG120))</f>
        <v>0</v>
      </c>
      <c r="FO120" s="73">
        <f t="shared" ref="FO120:FO125" si="117">((SUM(AP120,AZ120,BJ120,BT120,CD120,CN120,CX120,DH120,DR120))-(ES120))</f>
        <v>0</v>
      </c>
      <c r="FP120" s="73">
        <f t="shared" ref="FP120:FU120" si="118">((SUM(AO120,AY120,BI120,BS120,CC120,CM120,CW120,DG120,DQ120))-(FH120))</f>
        <v>0</v>
      </c>
      <c r="FQ120" s="73">
        <f t="shared" si="118"/>
        <v>0</v>
      </c>
      <c r="FR120" s="73">
        <f t="shared" si="118"/>
        <v>0</v>
      </c>
      <c r="FS120" s="73">
        <f t="shared" si="118"/>
        <v>0</v>
      </c>
      <c r="FT120" s="73">
        <f t="shared" si="118"/>
        <v>0</v>
      </c>
      <c r="FU120" s="73">
        <f t="shared" si="118"/>
        <v>0</v>
      </c>
      <c r="FV120" s="73">
        <f t="shared" ref="FV120:GI120" si="119">(EF120-ET120)</f>
        <v>1</v>
      </c>
      <c r="FW120" s="73">
        <f t="shared" si="119"/>
        <v>-1</v>
      </c>
      <c r="FX120" s="73">
        <f t="shared" si="119"/>
        <v>2</v>
      </c>
      <c r="FY120" s="73">
        <f t="shared" si="119"/>
        <v>0</v>
      </c>
      <c r="FZ120" s="73">
        <f t="shared" si="119"/>
        <v>0</v>
      </c>
      <c r="GA120" s="73">
        <f t="shared" si="119"/>
        <v>0</v>
      </c>
      <c r="GB120" s="73">
        <f t="shared" si="119"/>
        <v>-1</v>
      </c>
      <c r="GC120" s="73">
        <f t="shared" si="119"/>
        <v>0</v>
      </c>
      <c r="GD120" s="73">
        <f t="shared" si="119"/>
        <v>0</v>
      </c>
      <c r="GE120" s="73">
        <f t="shared" si="119"/>
        <v>0</v>
      </c>
      <c r="GF120" s="73">
        <f t="shared" si="119"/>
        <v>0</v>
      </c>
      <c r="GG120" s="73">
        <f t="shared" si="119"/>
        <v>0</v>
      </c>
      <c r="GH120" s="73">
        <f t="shared" si="119"/>
        <v>0</v>
      </c>
      <c r="GI120" s="73">
        <f t="shared" si="119"/>
        <v>1</v>
      </c>
      <c r="GJ120" s="38"/>
      <c r="GK120" s="367"/>
      <c r="GL120" s="360"/>
      <c r="GM120" s="360"/>
      <c r="GN120" s="6"/>
    </row>
    <row r="121" spans="1:198" x14ac:dyDescent="0.25">
      <c r="A121" s="356">
        <v>40406</v>
      </c>
      <c r="B121" s="356" t="s">
        <v>19</v>
      </c>
      <c r="C121" s="356" t="s">
        <v>129</v>
      </c>
      <c r="D121" s="356" t="s">
        <v>143</v>
      </c>
      <c r="E121" s="357">
        <v>18319</v>
      </c>
      <c r="F121" s="360"/>
      <c r="G121" s="358">
        <v>4</v>
      </c>
      <c r="H121" s="359" t="s">
        <v>394</v>
      </c>
      <c r="I121" s="360">
        <v>0</v>
      </c>
      <c r="J121" s="360">
        <v>0</v>
      </c>
      <c r="K121" s="361">
        <v>6</v>
      </c>
      <c r="L121" s="360">
        <v>5</v>
      </c>
      <c r="M121" s="360">
        <v>2</v>
      </c>
      <c r="N121" s="360">
        <v>2</v>
      </c>
      <c r="O121" s="360">
        <v>5</v>
      </c>
      <c r="P121" s="360">
        <v>8</v>
      </c>
      <c r="Q121" s="360">
        <v>0</v>
      </c>
      <c r="R121" s="360">
        <v>0</v>
      </c>
      <c r="S121" s="360">
        <v>25</v>
      </c>
      <c r="T121" s="360">
        <v>109</v>
      </c>
      <c r="U121" s="360">
        <v>66</v>
      </c>
      <c r="V121" s="360">
        <v>2</v>
      </c>
      <c r="W121" s="362">
        <v>2</v>
      </c>
      <c r="X121" s="360">
        <v>1</v>
      </c>
      <c r="Y121" s="360">
        <v>0</v>
      </c>
      <c r="Z121" s="360">
        <v>0</v>
      </c>
      <c r="AA121" s="360">
        <v>1</v>
      </c>
      <c r="AB121" s="360">
        <v>1</v>
      </c>
      <c r="AC121" s="361">
        <v>3</v>
      </c>
      <c r="AD121" s="360">
        <v>4</v>
      </c>
      <c r="AE121" s="360">
        <v>2</v>
      </c>
      <c r="AF121" s="360">
        <v>2</v>
      </c>
      <c r="AG121" s="360">
        <v>3</v>
      </c>
      <c r="AH121" s="360">
        <v>2</v>
      </c>
      <c r="AI121" s="360">
        <v>0</v>
      </c>
      <c r="AJ121" s="360">
        <v>0</v>
      </c>
      <c r="AK121" s="360">
        <v>13</v>
      </c>
      <c r="AL121" s="360">
        <v>57</v>
      </c>
      <c r="AM121" s="360">
        <v>34</v>
      </c>
      <c r="AN121" s="363" t="s">
        <v>273</v>
      </c>
      <c r="AO121" s="364">
        <v>4</v>
      </c>
      <c r="AP121" s="364">
        <v>1</v>
      </c>
      <c r="AQ121" s="364">
        <v>1</v>
      </c>
      <c r="AR121" s="364">
        <v>0</v>
      </c>
      <c r="AS121" s="364">
        <v>0</v>
      </c>
      <c r="AT121" s="364">
        <v>2</v>
      </c>
      <c r="AU121" s="364">
        <v>0</v>
      </c>
      <c r="AV121" s="364">
        <v>0</v>
      </c>
      <c r="AW121" s="365">
        <v>2</v>
      </c>
      <c r="AX121" s="363" t="s">
        <v>384</v>
      </c>
      <c r="AY121" s="364">
        <v>4</v>
      </c>
      <c r="AZ121" s="364">
        <v>1</v>
      </c>
      <c r="BA121" s="364">
        <v>1</v>
      </c>
      <c r="BB121" s="364">
        <v>0</v>
      </c>
      <c r="BC121" s="364">
        <v>0</v>
      </c>
      <c r="BD121" s="364">
        <v>1</v>
      </c>
      <c r="BE121" s="364">
        <v>0</v>
      </c>
      <c r="BF121" s="364">
        <v>0</v>
      </c>
      <c r="BG121" s="365">
        <v>1</v>
      </c>
      <c r="BH121" s="363" t="s">
        <v>391</v>
      </c>
      <c r="BI121" s="364">
        <v>4</v>
      </c>
      <c r="BJ121" s="364">
        <v>1</v>
      </c>
      <c r="BK121" s="364">
        <v>1</v>
      </c>
      <c r="BL121" s="364">
        <v>1</v>
      </c>
      <c r="BM121" s="364">
        <v>0</v>
      </c>
      <c r="BN121" s="364">
        <v>1</v>
      </c>
      <c r="BO121" s="364">
        <v>0</v>
      </c>
      <c r="BP121" s="364">
        <v>0</v>
      </c>
      <c r="BQ121" s="365">
        <v>1</v>
      </c>
      <c r="BR121" s="363" t="s">
        <v>390</v>
      </c>
      <c r="BS121" s="364">
        <v>4</v>
      </c>
      <c r="BT121" s="364">
        <v>1</v>
      </c>
      <c r="BU121" s="364">
        <v>1</v>
      </c>
      <c r="BV121" s="364">
        <v>1</v>
      </c>
      <c r="BW121" s="364">
        <v>0</v>
      </c>
      <c r="BX121" s="364">
        <v>1</v>
      </c>
      <c r="BY121" s="364">
        <v>0</v>
      </c>
      <c r="BZ121" s="364">
        <v>0</v>
      </c>
      <c r="CA121" s="365">
        <v>1</v>
      </c>
      <c r="CB121" s="363" t="s">
        <v>274</v>
      </c>
      <c r="CC121" s="364">
        <v>3</v>
      </c>
      <c r="CD121" s="364">
        <v>1</v>
      </c>
      <c r="CE121" s="364">
        <v>1</v>
      </c>
      <c r="CF121" s="364">
        <v>1</v>
      </c>
      <c r="CG121" s="364">
        <v>1</v>
      </c>
      <c r="CH121" s="364">
        <v>0</v>
      </c>
      <c r="CI121" s="364">
        <v>0</v>
      </c>
      <c r="CJ121" s="364">
        <v>0</v>
      </c>
      <c r="CK121" s="365">
        <v>1</v>
      </c>
      <c r="CL121" s="363" t="s">
        <v>271</v>
      </c>
      <c r="CM121" s="364">
        <v>4</v>
      </c>
      <c r="CN121" s="364">
        <v>1</v>
      </c>
      <c r="CO121" s="364">
        <v>1</v>
      </c>
      <c r="CP121" s="364">
        <v>0</v>
      </c>
      <c r="CQ121" s="364">
        <v>0</v>
      </c>
      <c r="CR121" s="364">
        <v>2</v>
      </c>
      <c r="CS121" s="364">
        <v>0</v>
      </c>
      <c r="CT121" s="364">
        <v>0</v>
      </c>
      <c r="CU121" s="365">
        <v>1</v>
      </c>
      <c r="CV121" s="363" t="s">
        <v>389</v>
      </c>
      <c r="CW121" s="364">
        <v>3</v>
      </c>
      <c r="CX121" s="364">
        <v>0</v>
      </c>
      <c r="CY121" s="364">
        <v>2</v>
      </c>
      <c r="CZ121" s="364">
        <v>1</v>
      </c>
      <c r="DA121" s="364">
        <v>0</v>
      </c>
      <c r="DB121" s="364">
        <v>1</v>
      </c>
      <c r="DC121" s="364">
        <v>0</v>
      </c>
      <c r="DD121" s="364">
        <v>0</v>
      </c>
      <c r="DE121" s="365">
        <v>2</v>
      </c>
      <c r="DF121" s="363" t="s">
        <v>272</v>
      </c>
      <c r="DG121" s="364">
        <v>4</v>
      </c>
      <c r="DH121" s="364">
        <v>0</v>
      </c>
      <c r="DI121" s="364">
        <v>1</v>
      </c>
      <c r="DJ121" s="364">
        <v>2</v>
      </c>
      <c r="DK121" s="364">
        <v>0</v>
      </c>
      <c r="DL121" s="364">
        <v>0</v>
      </c>
      <c r="DM121" s="364">
        <v>0</v>
      </c>
      <c r="DN121" s="364">
        <v>0</v>
      </c>
      <c r="DO121" s="365">
        <v>1</v>
      </c>
      <c r="DP121" s="363" t="s">
        <v>388</v>
      </c>
      <c r="DQ121" s="364">
        <v>3</v>
      </c>
      <c r="DR121" s="364">
        <v>0</v>
      </c>
      <c r="DS121" s="364">
        <v>0</v>
      </c>
      <c r="DT121" s="364">
        <v>0</v>
      </c>
      <c r="DU121" s="364">
        <v>0</v>
      </c>
      <c r="DV121" s="364">
        <v>2</v>
      </c>
      <c r="DW121" s="364">
        <v>0</v>
      </c>
      <c r="DX121" s="364">
        <v>0</v>
      </c>
      <c r="DY121" s="365">
        <v>0</v>
      </c>
      <c r="DZ121" s="366">
        <f>7+2/3</f>
        <v>7.666666666666667</v>
      </c>
      <c r="EA121" s="367">
        <v>0</v>
      </c>
      <c r="EB121" s="367">
        <v>0</v>
      </c>
      <c r="EC121" s="368">
        <f>0+1/3</f>
        <v>0.33333333333333331</v>
      </c>
      <c r="ED121" s="367">
        <v>0</v>
      </c>
      <c r="EE121" s="369">
        <v>0</v>
      </c>
      <c r="EF121" s="370">
        <v>0</v>
      </c>
      <c r="EG121" s="367">
        <v>0</v>
      </c>
      <c r="EH121" s="367">
        <v>0</v>
      </c>
      <c r="EI121" s="367">
        <v>0</v>
      </c>
      <c r="EJ121" s="367">
        <v>2</v>
      </c>
      <c r="EK121" s="367">
        <v>0</v>
      </c>
      <c r="EL121" s="367">
        <v>0</v>
      </c>
      <c r="EM121" s="367">
        <v>4</v>
      </c>
      <c r="EN121" s="367"/>
      <c r="EO121" s="367"/>
      <c r="EP121" s="367"/>
      <c r="EQ121" s="367"/>
      <c r="ER121" s="367"/>
      <c r="ES121" s="369">
        <f t="shared" si="112"/>
        <v>6</v>
      </c>
      <c r="ET121" s="367">
        <v>0</v>
      </c>
      <c r="EU121" s="367">
        <v>0</v>
      </c>
      <c r="EV121" s="367">
        <v>0</v>
      </c>
      <c r="EW121" s="367">
        <v>0</v>
      </c>
      <c r="EX121" s="367">
        <v>0</v>
      </c>
      <c r="EY121" s="367">
        <v>0</v>
      </c>
      <c r="EZ121" s="367">
        <v>2</v>
      </c>
      <c r="FA121" s="367">
        <v>2</v>
      </c>
      <c r="FB121" s="367">
        <v>0</v>
      </c>
      <c r="FC121" s="367"/>
      <c r="FD121" s="367"/>
      <c r="FE121" s="367"/>
      <c r="FF121" s="367"/>
      <c r="FG121" s="367">
        <f t="shared" si="113"/>
        <v>4</v>
      </c>
      <c r="FH121" s="371">
        <v>33</v>
      </c>
      <c r="FI121" s="371">
        <v>6</v>
      </c>
      <c r="FJ121" s="371">
        <v>9</v>
      </c>
      <c r="FK121" s="371">
        <v>6</v>
      </c>
      <c r="FL121" s="371">
        <v>1</v>
      </c>
      <c r="FM121" s="371">
        <v>10</v>
      </c>
      <c r="FN121" s="371">
        <f t="shared" si="116"/>
        <v>0</v>
      </c>
      <c r="FO121" s="371">
        <f t="shared" si="117"/>
        <v>0</v>
      </c>
      <c r="FP121" s="371">
        <f t="shared" ref="FP121:FU121" si="120">((SUM(AO121,AY121,BI121,BS121,CC121,CM121,CW121,DG121,DQ121))-(FH121))</f>
        <v>0</v>
      </c>
      <c r="FQ121" s="371">
        <f t="shared" si="120"/>
        <v>0</v>
      </c>
      <c r="FR121" s="371">
        <f t="shared" si="120"/>
        <v>0</v>
      </c>
      <c r="FS121" s="371">
        <f t="shared" si="120"/>
        <v>0</v>
      </c>
      <c r="FT121" s="371">
        <f t="shared" si="120"/>
        <v>0</v>
      </c>
      <c r="FU121" s="371">
        <f t="shared" si="120"/>
        <v>0</v>
      </c>
      <c r="FV121" s="371">
        <f t="shared" ref="FV121:GI121" si="121">(EF121-ET121)</f>
        <v>0</v>
      </c>
      <c r="FW121" s="371">
        <f t="shared" si="121"/>
        <v>0</v>
      </c>
      <c r="FX121" s="371">
        <f t="shared" si="121"/>
        <v>0</v>
      </c>
      <c r="FY121" s="371">
        <f t="shared" si="121"/>
        <v>0</v>
      </c>
      <c r="FZ121" s="371">
        <f t="shared" si="121"/>
        <v>2</v>
      </c>
      <c r="GA121" s="371">
        <f t="shared" si="121"/>
        <v>0</v>
      </c>
      <c r="GB121" s="371">
        <f t="shared" si="121"/>
        <v>-2</v>
      </c>
      <c r="GC121" s="371">
        <f t="shared" si="121"/>
        <v>2</v>
      </c>
      <c r="GD121" s="371">
        <f t="shared" si="121"/>
        <v>0</v>
      </c>
      <c r="GE121" s="371">
        <f t="shared" si="121"/>
        <v>0</v>
      </c>
      <c r="GF121" s="371">
        <f t="shared" si="121"/>
        <v>0</v>
      </c>
      <c r="GG121" s="371">
        <f t="shared" si="121"/>
        <v>0</v>
      </c>
      <c r="GH121" s="371">
        <f t="shared" si="121"/>
        <v>0</v>
      </c>
      <c r="GI121" s="371">
        <f t="shared" si="121"/>
        <v>2</v>
      </c>
      <c r="GJ121" s="372"/>
      <c r="GK121" s="367"/>
      <c r="GL121" s="360"/>
      <c r="GM121" s="360"/>
      <c r="GN121" s="6"/>
    </row>
    <row r="122" spans="1:198" x14ac:dyDescent="0.25">
      <c r="A122" s="356">
        <v>40407</v>
      </c>
      <c r="B122" s="356" t="s">
        <v>19</v>
      </c>
      <c r="C122" s="356" t="s">
        <v>129</v>
      </c>
      <c r="D122" s="356" t="s">
        <v>143</v>
      </c>
      <c r="E122" s="357">
        <v>18156</v>
      </c>
      <c r="F122" s="360"/>
      <c r="G122" s="358">
        <v>5</v>
      </c>
      <c r="H122" s="359" t="s">
        <v>396</v>
      </c>
      <c r="I122" s="360">
        <v>1</v>
      </c>
      <c r="J122" s="360">
        <v>0</v>
      </c>
      <c r="K122" s="361">
        <v>7</v>
      </c>
      <c r="L122" s="360">
        <v>5</v>
      </c>
      <c r="M122" s="360">
        <v>0</v>
      </c>
      <c r="N122" s="360">
        <v>0</v>
      </c>
      <c r="O122" s="360">
        <v>2</v>
      </c>
      <c r="P122" s="360">
        <v>10</v>
      </c>
      <c r="Q122" s="360">
        <v>0</v>
      </c>
      <c r="R122" s="360">
        <v>0</v>
      </c>
      <c r="S122" s="360">
        <v>28</v>
      </c>
      <c r="T122" s="360">
        <v>102</v>
      </c>
      <c r="U122" s="360">
        <v>66</v>
      </c>
      <c r="V122" s="360">
        <v>0</v>
      </c>
      <c r="W122" s="362">
        <v>0</v>
      </c>
      <c r="X122" s="360">
        <v>0</v>
      </c>
      <c r="Y122" s="360">
        <v>0</v>
      </c>
      <c r="Z122" s="360">
        <v>0</v>
      </c>
      <c r="AA122" s="360">
        <v>0</v>
      </c>
      <c r="AB122" s="360">
        <v>0</v>
      </c>
      <c r="AC122" s="361">
        <v>2</v>
      </c>
      <c r="AD122" s="360">
        <v>1</v>
      </c>
      <c r="AE122" s="360">
        <v>1</v>
      </c>
      <c r="AF122" s="360">
        <v>1</v>
      </c>
      <c r="AG122" s="360">
        <v>1</v>
      </c>
      <c r="AH122" s="360">
        <v>3</v>
      </c>
      <c r="AI122" s="360">
        <v>0</v>
      </c>
      <c r="AJ122" s="360">
        <v>2</v>
      </c>
      <c r="AK122" s="360">
        <v>10</v>
      </c>
      <c r="AL122" s="360">
        <v>40</v>
      </c>
      <c r="AM122" s="360">
        <v>24</v>
      </c>
      <c r="AN122" s="363" t="s">
        <v>275</v>
      </c>
      <c r="AO122" s="364">
        <v>4</v>
      </c>
      <c r="AP122" s="364">
        <v>2</v>
      </c>
      <c r="AQ122" s="364">
        <v>1</v>
      </c>
      <c r="AR122" s="364">
        <v>0</v>
      </c>
      <c r="AS122" s="364">
        <v>2</v>
      </c>
      <c r="AT122" s="364">
        <v>1</v>
      </c>
      <c r="AU122" s="364">
        <v>0</v>
      </c>
      <c r="AV122" s="364">
        <v>0</v>
      </c>
      <c r="AW122" s="365">
        <v>1</v>
      </c>
      <c r="AX122" s="363" t="s">
        <v>389</v>
      </c>
      <c r="AY122" s="364">
        <v>3</v>
      </c>
      <c r="AZ122" s="364">
        <v>2</v>
      </c>
      <c r="BA122" s="364">
        <v>1</v>
      </c>
      <c r="BB122" s="364">
        <v>2</v>
      </c>
      <c r="BC122" s="364">
        <v>2</v>
      </c>
      <c r="BD122" s="364">
        <v>0</v>
      </c>
      <c r="BE122" s="364">
        <v>0</v>
      </c>
      <c r="BF122" s="364">
        <v>0</v>
      </c>
      <c r="BG122" s="365">
        <v>1</v>
      </c>
      <c r="BH122" s="363" t="s">
        <v>391</v>
      </c>
      <c r="BI122" s="364">
        <v>5</v>
      </c>
      <c r="BJ122" s="364">
        <v>2</v>
      </c>
      <c r="BK122" s="364">
        <v>3</v>
      </c>
      <c r="BL122" s="364">
        <v>3</v>
      </c>
      <c r="BM122" s="364">
        <v>0</v>
      </c>
      <c r="BN122" s="364">
        <v>1</v>
      </c>
      <c r="BO122" s="364">
        <v>0</v>
      </c>
      <c r="BP122" s="364">
        <v>0</v>
      </c>
      <c r="BQ122" s="365">
        <v>8</v>
      </c>
      <c r="BR122" s="363" t="s">
        <v>390</v>
      </c>
      <c r="BS122" s="364">
        <v>4</v>
      </c>
      <c r="BT122" s="364">
        <v>1</v>
      </c>
      <c r="BU122" s="364">
        <v>3</v>
      </c>
      <c r="BV122" s="364">
        <v>3</v>
      </c>
      <c r="BW122" s="364">
        <v>1</v>
      </c>
      <c r="BX122" s="364">
        <v>0</v>
      </c>
      <c r="BY122" s="364">
        <v>0</v>
      </c>
      <c r="BZ122" s="364">
        <v>0</v>
      </c>
      <c r="CA122" s="365">
        <v>6</v>
      </c>
      <c r="CB122" s="363" t="s">
        <v>274</v>
      </c>
      <c r="CC122" s="364">
        <v>4</v>
      </c>
      <c r="CD122" s="364">
        <v>0</v>
      </c>
      <c r="CE122" s="364">
        <v>1</v>
      </c>
      <c r="CF122" s="364">
        <v>1</v>
      </c>
      <c r="CG122" s="364">
        <v>1</v>
      </c>
      <c r="CH122" s="364">
        <v>2</v>
      </c>
      <c r="CI122" s="364">
        <v>0</v>
      </c>
      <c r="CJ122" s="364">
        <v>0</v>
      </c>
      <c r="CK122" s="365">
        <v>2</v>
      </c>
      <c r="CL122" s="363" t="s">
        <v>387</v>
      </c>
      <c r="CM122" s="364">
        <v>5</v>
      </c>
      <c r="CN122" s="364">
        <v>0</v>
      </c>
      <c r="CO122" s="364">
        <v>0</v>
      </c>
      <c r="CP122" s="364">
        <v>0</v>
      </c>
      <c r="CQ122" s="364">
        <v>0</v>
      </c>
      <c r="CR122" s="364">
        <v>2</v>
      </c>
      <c r="CS122" s="364">
        <v>0</v>
      </c>
      <c r="CT122" s="364">
        <v>0</v>
      </c>
      <c r="CU122" s="365">
        <v>0</v>
      </c>
      <c r="CV122" s="363" t="s">
        <v>332</v>
      </c>
      <c r="CW122" s="364">
        <v>4</v>
      </c>
      <c r="CX122" s="364">
        <v>0</v>
      </c>
      <c r="CY122" s="364">
        <v>1</v>
      </c>
      <c r="CZ122" s="364">
        <v>0</v>
      </c>
      <c r="DA122" s="364">
        <v>1</v>
      </c>
      <c r="DB122" s="364">
        <v>1</v>
      </c>
      <c r="DC122" s="364">
        <v>0</v>
      </c>
      <c r="DD122" s="364">
        <v>0</v>
      </c>
      <c r="DE122" s="365">
        <v>1</v>
      </c>
      <c r="DF122" s="363" t="s">
        <v>273</v>
      </c>
      <c r="DG122" s="364">
        <v>5</v>
      </c>
      <c r="DH122" s="364">
        <v>1</v>
      </c>
      <c r="DI122" s="364">
        <v>2</v>
      </c>
      <c r="DJ122" s="364">
        <v>0</v>
      </c>
      <c r="DK122" s="364">
        <v>0</v>
      </c>
      <c r="DL122" s="364">
        <v>2</v>
      </c>
      <c r="DM122" s="364">
        <v>0</v>
      </c>
      <c r="DN122" s="364">
        <v>0</v>
      </c>
      <c r="DO122" s="365">
        <v>4</v>
      </c>
      <c r="DP122" s="363" t="s">
        <v>384</v>
      </c>
      <c r="DQ122" s="364">
        <v>5</v>
      </c>
      <c r="DR122" s="364">
        <v>2</v>
      </c>
      <c r="DS122" s="364">
        <v>3</v>
      </c>
      <c r="DT122" s="364">
        <v>1</v>
      </c>
      <c r="DU122" s="364">
        <v>0</v>
      </c>
      <c r="DV122" s="364">
        <v>0</v>
      </c>
      <c r="DW122" s="364">
        <v>0</v>
      </c>
      <c r="DX122" s="364">
        <v>0</v>
      </c>
      <c r="DY122" s="365">
        <v>3</v>
      </c>
      <c r="DZ122" s="366">
        <f>2+2/3</f>
        <v>2.6666666666666665</v>
      </c>
      <c r="EA122" s="367">
        <v>0</v>
      </c>
      <c r="EB122" s="367">
        <v>0</v>
      </c>
      <c r="EC122" s="368">
        <f>5+1/3</f>
        <v>5.333333333333333</v>
      </c>
      <c r="ED122" s="367">
        <v>0</v>
      </c>
      <c r="EE122" s="369">
        <v>0</v>
      </c>
      <c r="EF122" s="370">
        <v>3</v>
      </c>
      <c r="EG122" s="367">
        <v>0</v>
      </c>
      <c r="EH122" s="367">
        <v>0</v>
      </c>
      <c r="EI122" s="367">
        <v>2</v>
      </c>
      <c r="EJ122" s="367">
        <v>0</v>
      </c>
      <c r="EK122" s="367">
        <v>0</v>
      </c>
      <c r="EL122" s="367">
        <v>5</v>
      </c>
      <c r="EM122" s="367">
        <v>0</v>
      </c>
      <c r="EN122" s="367"/>
      <c r="EO122" s="367"/>
      <c r="EP122" s="367"/>
      <c r="EQ122" s="367"/>
      <c r="ER122" s="367"/>
      <c r="ES122" s="369">
        <f t="shared" si="112"/>
        <v>10</v>
      </c>
      <c r="ET122" s="367">
        <v>0</v>
      </c>
      <c r="EU122" s="367">
        <v>0</v>
      </c>
      <c r="EV122" s="367">
        <v>0</v>
      </c>
      <c r="EW122" s="367">
        <v>0</v>
      </c>
      <c r="EX122" s="367">
        <v>0</v>
      </c>
      <c r="EY122" s="367">
        <v>0</v>
      </c>
      <c r="EZ122" s="367">
        <v>0</v>
      </c>
      <c r="FA122" s="367">
        <v>1</v>
      </c>
      <c r="FB122" s="367">
        <v>0</v>
      </c>
      <c r="FC122" s="367"/>
      <c r="FD122" s="367"/>
      <c r="FE122" s="367"/>
      <c r="FF122" s="367"/>
      <c r="FG122" s="367">
        <f t="shared" si="113"/>
        <v>1</v>
      </c>
      <c r="FH122" s="371">
        <v>39</v>
      </c>
      <c r="FI122" s="371">
        <v>10</v>
      </c>
      <c r="FJ122" s="371">
        <v>15</v>
      </c>
      <c r="FK122" s="371">
        <v>10</v>
      </c>
      <c r="FL122" s="371">
        <v>7</v>
      </c>
      <c r="FM122" s="371">
        <v>9</v>
      </c>
      <c r="FN122" s="371">
        <f t="shared" si="116"/>
        <v>0</v>
      </c>
      <c r="FO122" s="371">
        <f t="shared" si="117"/>
        <v>0</v>
      </c>
      <c r="FP122" s="371">
        <f t="shared" ref="FP122:FU122" si="122">((SUM(AO122,AY122,BI122,BS122,CC122,CM122,CW122,DG122,DQ122))-(FH122))</f>
        <v>0</v>
      </c>
      <c r="FQ122" s="371">
        <f t="shared" si="122"/>
        <v>0</v>
      </c>
      <c r="FR122" s="371">
        <f t="shared" si="122"/>
        <v>0</v>
      </c>
      <c r="FS122" s="371">
        <f t="shared" si="122"/>
        <v>0</v>
      </c>
      <c r="FT122" s="371">
        <f t="shared" si="122"/>
        <v>0</v>
      </c>
      <c r="FU122" s="371">
        <f t="shared" si="122"/>
        <v>0</v>
      </c>
      <c r="FV122" s="371">
        <f t="shared" ref="FV122:GI122" si="123">(EF122-ET122)</f>
        <v>3</v>
      </c>
      <c r="FW122" s="371">
        <f t="shared" si="123"/>
        <v>0</v>
      </c>
      <c r="FX122" s="371">
        <f t="shared" si="123"/>
        <v>0</v>
      </c>
      <c r="FY122" s="371">
        <f t="shared" si="123"/>
        <v>2</v>
      </c>
      <c r="FZ122" s="371">
        <f t="shared" si="123"/>
        <v>0</v>
      </c>
      <c r="GA122" s="371">
        <f t="shared" si="123"/>
        <v>0</v>
      </c>
      <c r="GB122" s="371">
        <f t="shared" si="123"/>
        <v>5</v>
      </c>
      <c r="GC122" s="371">
        <f t="shared" si="123"/>
        <v>-1</v>
      </c>
      <c r="GD122" s="371">
        <f t="shared" si="123"/>
        <v>0</v>
      </c>
      <c r="GE122" s="371">
        <f t="shared" si="123"/>
        <v>0</v>
      </c>
      <c r="GF122" s="371">
        <f t="shared" si="123"/>
        <v>0</v>
      </c>
      <c r="GG122" s="371">
        <f t="shared" si="123"/>
        <v>0</v>
      </c>
      <c r="GH122" s="371">
        <f t="shared" si="123"/>
        <v>0</v>
      </c>
      <c r="GI122" s="371">
        <f t="shared" si="123"/>
        <v>9</v>
      </c>
      <c r="GJ122" s="372"/>
      <c r="GK122" s="367"/>
      <c r="GL122" s="360"/>
      <c r="GM122" s="360"/>
      <c r="GN122" s="6"/>
    </row>
    <row r="123" spans="1:198" x14ac:dyDescent="0.25">
      <c r="A123" s="356">
        <v>40408</v>
      </c>
      <c r="B123" s="356" t="s">
        <v>19</v>
      </c>
      <c r="C123" s="356" t="s">
        <v>129</v>
      </c>
      <c r="D123" s="356" t="s">
        <v>143</v>
      </c>
      <c r="E123" s="357">
        <v>19413</v>
      </c>
      <c r="F123" s="360"/>
      <c r="G123" s="358">
        <v>1</v>
      </c>
      <c r="H123" s="359" t="s">
        <v>392</v>
      </c>
      <c r="I123" s="360">
        <v>1</v>
      </c>
      <c r="J123" s="360">
        <v>0</v>
      </c>
      <c r="K123" s="361">
        <v>7</v>
      </c>
      <c r="L123" s="360">
        <v>4</v>
      </c>
      <c r="M123" s="360">
        <v>2</v>
      </c>
      <c r="N123" s="360">
        <v>1</v>
      </c>
      <c r="O123" s="360">
        <v>1</v>
      </c>
      <c r="P123" s="360">
        <v>6</v>
      </c>
      <c r="Q123" s="360">
        <v>1</v>
      </c>
      <c r="R123" s="360">
        <v>0</v>
      </c>
      <c r="S123" s="360">
        <v>26</v>
      </c>
      <c r="T123" s="360">
        <v>105</v>
      </c>
      <c r="U123" s="360">
        <v>71</v>
      </c>
      <c r="V123" s="360">
        <v>0</v>
      </c>
      <c r="W123" s="362">
        <v>0</v>
      </c>
      <c r="X123" s="360">
        <v>0</v>
      </c>
      <c r="Y123" s="360">
        <v>0</v>
      </c>
      <c r="Z123" s="360">
        <v>1</v>
      </c>
      <c r="AA123" s="360">
        <v>1</v>
      </c>
      <c r="AB123" s="360">
        <v>0</v>
      </c>
      <c r="AC123" s="361">
        <v>2</v>
      </c>
      <c r="AD123" s="360">
        <v>3</v>
      </c>
      <c r="AE123" s="360">
        <v>4</v>
      </c>
      <c r="AF123" s="360">
        <v>4</v>
      </c>
      <c r="AG123" s="360">
        <v>1</v>
      </c>
      <c r="AH123" s="360">
        <v>2</v>
      </c>
      <c r="AI123" s="360">
        <v>1</v>
      </c>
      <c r="AJ123" s="360">
        <v>0</v>
      </c>
      <c r="AK123" s="360">
        <v>10</v>
      </c>
      <c r="AL123" s="360">
        <v>40</v>
      </c>
      <c r="AM123" s="360">
        <v>27</v>
      </c>
      <c r="AN123" s="363" t="s">
        <v>273</v>
      </c>
      <c r="AO123" s="364">
        <v>4</v>
      </c>
      <c r="AP123" s="364">
        <v>2</v>
      </c>
      <c r="AQ123" s="364">
        <v>2</v>
      </c>
      <c r="AR123" s="364">
        <v>1</v>
      </c>
      <c r="AS123" s="364">
        <v>1</v>
      </c>
      <c r="AT123" s="364">
        <v>1</v>
      </c>
      <c r="AU123" s="364">
        <v>0</v>
      </c>
      <c r="AV123" s="364">
        <v>0</v>
      </c>
      <c r="AW123" s="365">
        <v>5</v>
      </c>
      <c r="AX123" s="363" t="s">
        <v>384</v>
      </c>
      <c r="AY123" s="364">
        <v>4</v>
      </c>
      <c r="AZ123" s="364">
        <v>2</v>
      </c>
      <c r="BA123" s="364">
        <v>1</v>
      </c>
      <c r="BB123" s="364">
        <v>0</v>
      </c>
      <c r="BC123" s="364">
        <v>1</v>
      </c>
      <c r="BD123" s="364">
        <v>1</v>
      </c>
      <c r="BE123" s="364">
        <v>0</v>
      </c>
      <c r="BF123" s="364">
        <v>0</v>
      </c>
      <c r="BG123" s="365">
        <v>1</v>
      </c>
      <c r="BH123" s="363" t="s">
        <v>391</v>
      </c>
      <c r="BI123" s="364">
        <v>3</v>
      </c>
      <c r="BJ123" s="364">
        <v>2</v>
      </c>
      <c r="BK123" s="364">
        <v>1</v>
      </c>
      <c r="BL123" s="364">
        <v>1</v>
      </c>
      <c r="BM123" s="364">
        <v>1</v>
      </c>
      <c r="BN123" s="364">
        <v>1</v>
      </c>
      <c r="BO123" s="364">
        <v>0</v>
      </c>
      <c r="BP123" s="364">
        <v>1</v>
      </c>
      <c r="BQ123" s="365">
        <v>1</v>
      </c>
      <c r="BR123" s="363" t="s">
        <v>390</v>
      </c>
      <c r="BS123" s="364">
        <v>4</v>
      </c>
      <c r="BT123" s="364">
        <v>1</v>
      </c>
      <c r="BU123" s="364">
        <v>3</v>
      </c>
      <c r="BV123" s="364">
        <v>4</v>
      </c>
      <c r="BW123" s="364">
        <v>0</v>
      </c>
      <c r="BX123" s="364">
        <v>1</v>
      </c>
      <c r="BY123" s="364">
        <v>0</v>
      </c>
      <c r="BZ123" s="364">
        <v>1</v>
      </c>
      <c r="CA123" s="365">
        <v>8</v>
      </c>
      <c r="CB123" s="363" t="s">
        <v>274</v>
      </c>
      <c r="CC123" s="364">
        <v>4</v>
      </c>
      <c r="CD123" s="364">
        <v>0</v>
      </c>
      <c r="CE123" s="364">
        <v>0</v>
      </c>
      <c r="CF123" s="364">
        <v>0</v>
      </c>
      <c r="CG123" s="364">
        <v>1</v>
      </c>
      <c r="CH123" s="364">
        <v>3</v>
      </c>
      <c r="CI123" s="364">
        <v>0</v>
      </c>
      <c r="CJ123" s="364">
        <v>0</v>
      </c>
      <c r="CK123" s="365">
        <v>0</v>
      </c>
      <c r="CL123" s="363" t="s">
        <v>388</v>
      </c>
      <c r="CM123" s="364">
        <v>5</v>
      </c>
      <c r="CN123" s="364">
        <v>1</v>
      </c>
      <c r="CO123" s="364">
        <v>1</v>
      </c>
      <c r="CP123" s="364">
        <v>0</v>
      </c>
      <c r="CQ123" s="364">
        <v>0</v>
      </c>
      <c r="CR123" s="364">
        <v>3</v>
      </c>
      <c r="CS123" s="364">
        <v>0</v>
      </c>
      <c r="CT123" s="364">
        <v>0</v>
      </c>
      <c r="CU123" s="365">
        <v>2</v>
      </c>
      <c r="CV123" s="363" t="s">
        <v>389</v>
      </c>
      <c r="CW123" s="364">
        <v>1</v>
      </c>
      <c r="CX123" s="364">
        <v>0</v>
      </c>
      <c r="CY123" s="364">
        <v>0</v>
      </c>
      <c r="CZ123" s="364">
        <v>0</v>
      </c>
      <c r="DA123" s="364">
        <v>3</v>
      </c>
      <c r="DB123" s="364">
        <v>0</v>
      </c>
      <c r="DC123" s="364">
        <v>0</v>
      </c>
      <c r="DD123" s="364">
        <v>0</v>
      </c>
      <c r="DE123" s="365">
        <v>0</v>
      </c>
      <c r="DF123" s="363" t="s">
        <v>271</v>
      </c>
      <c r="DG123" s="364">
        <v>3</v>
      </c>
      <c r="DH123" s="364">
        <v>0</v>
      </c>
      <c r="DI123" s="364">
        <v>2</v>
      </c>
      <c r="DJ123" s="364">
        <v>2</v>
      </c>
      <c r="DK123" s="364">
        <v>1</v>
      </c>
      <c r="DL123" s="364">
        <v>1</v>
      </c>
      <c r="DM123" s="364">
        <v>0</v>
      </c>
      <c r="DN123" s="364">
        <v>0</v>
      </c>
      <c r="DO123" s="365">
        <v>2</v>
      </c>
      <c r="DP123" s="363" t="s">
        <v>385</v>
      </c>
      <c r="DQ123" s="364">
        <v>4</v>
      </c>
      <c r="DR123" s="364">
        <v>0</v>
      </c>
      <c r="DS123" s="364">
        <v>0</v>
      </c>
      <c r="DT123" s="364">
        <v>0</v>
      </c>
      <c r="DU123" s="364">
        <v>0</v>
      </c>
      <c r="DV123" s="364">
        <v>2</v>
      </c>
      <c r="DW123" s="364">
        <v>0</v>
      </c>
      <c r="DX123" s="364">
        <v>0</v>
      </c>
      <c r="DY123" s="365">
        <v>0</v>
      </c>
      <c r="DZ123" s="366">
        <v>5</v>
      </c>
      <c r="EA123" s="367">
        <v>1</v>
      </c>
      <c r="EB123" s="367">
        <v>0</v>
      </c>
      <c r="EC123" s="368">
        <v>3</v>
      </c>
      <c r="ED123" s="367">
        <v>2</v>
      </c>
      <c r="EE123" s="369">
        <v>0</v>
      </c>
      <c r="EF123" s="370">
        <v>1</v>
      </c>
      <c r="EG123" s="367">
        <v>0</v>
      </c>
      <c r="EH123" s="367">
        <v>0</v>
      </c>
      <c r="EI123" s="367">
        <v>1</v>
      </c>
      <c r="EJ123" s="367">
        <v>3</v>
      </c>
      <c r="EK123" s="367">
        <v>1</v>
      </c>
      <c r="EL123" s="367">
        <v>1</v>
      </c>
      <c r="EM123" s="367">
        <v>1</v>
      </c>
      <c r="EN123" s="367"/>
      <c r="EO123" s="367"/>
      <c r="EP123" s="367"/>
      <c r="EQ123" s="367"/>
      <c r="ER123" s="367"/>
      <c r="ES123" s="369">
        <f t="shared" si="112"/>
        <v>8</v>
      </c>
      <c r="ET123" s="367">
        <v>0</v>
      </c>
      <c r="EU123" s="367">
        <v>0</v>
      </c>
      <c r="EV123" s="367">
        <v>0</v>
      </c>
      <c r="EW123" s="367">
        <v>0</v>
      </c>
      <c r="EX123" s="367">
        <v>1</v>
      </c>
      <c r="EY123" s="367">
        <v>1</v>
      </c>
      <c r="EZ123" s="367">
        <v>0</v>
      </c>
      <c r="FA123" s="367">
        <v>2</v>
      </c>
      <c r="FB123" s="367">
        <v>2</v>
      </c>
      <c r="FC123" s="367"/>
      <c r="FD123" s="367"/>
      <c r="FE123" s="367"/>
      <c r="FF123" s="367"/>
      <c r="FG123" s="367">
        <f t="shared" si="113"/>
        <v>6</v>
      </c>
      <c r="FH123" s="371">
        <v>32</v>
      </c>
      <c r="FI123" s="371">
        <v>8</v>
      </c>
      <c r="FJ123" s="371">
        <v>10</v>
      </c>
      <c r="FK123" s="371">
        <v>8</v>
      </c>
      <c r="FL123" s="371">
        <v>8</v>
      </c>
      <c r="FM123" s="371">
        <v>13</v>
      </c>
      <c r="FN123" s="371">
        <f t="shared" si="116"/>
        <v>0</v>
      </c>
      <c r="FO123" s="371">
        <f t="shared" si="117"/>
        <v>0</v>
      </c>
      <c r="FP123" s="371">
        <f t="shared" ref="FP123:FU123" si="124">((SUM(AO123,AY123,BI123,BS123,CC123,CM123,CW123,DG123,DQ123))-(FH123))</f>
        <v>0</v>
      </c>
      <c r="FQ123" s="371">
        <f t="shared" si="124"/>
        <v>0</v>
      </c>
      <c r="FR123" s="371">
        <f t="shared" si="124"/>
        <v>0</v>
      </c>
      <c r="FS123" s="371">
        <f t="shared" si="124"/>
        <v>0</v>
      </c>
      <c r="FT123" s="371">
        <f t="shared" si="124"/>
        <v>0</v>
      </c>
      <c r="FU123" s="371">
        <f t="shared" si="124"/>
        <v>0</v>
      </c>
      <c r="FV123" s="371">
        <f t="shared" ref="FV123:GI123" si="125">(EF123-ET123)</f>
        <v>1</v>
      </c>
      <c r="FW123" s="371">
        <f t="shared" si="125"/>
        <v>0</v>
      </c>
      <c r="FX123" s="371">
        <f t="shared" si="125"/>
        <v>0</v>
      </c>
      <c r="FY123" s="371">
        <f t="shared" si="125"/>
        <v>1</v>
      </c>
      <c r="FZ123" s="371">
        <f t="shared" si="125"/>
        <v>2</v>
      </c>
      <c r="GA123" s="371">
        <f t="shared" si="125"/>
        <v>0</v>
      </c>
      <c r="GB123" s="371">
        <f t="shared" si="125"/>
        <v>1</v>
      </c>
      <c r="GC123" s="371">
        <f t="shared" si="125"/>
        <v>-1</v>
      </c>
      <c r="GD123" s="371">
        <f t="shared" si="125"/>
        <v>-2</v>
      </c>
      <c r="GE123" s="371">
        <f t="shared" si="125"/>
        <v>0</v>
      </c>
      <c r="GF123" s="371">
        <f t="shared" si="125"/>
        <v>0</v>
      </c>
      <c r="GG123" s="371">
        <f t="shared" si="125"/>
        <v>0</v>
      </c>
      <c r="GH123" s="371">
        <f t="shared" si="125"/>
        <v>0</v>
      </c>
      <c r="GI123" s="371">
        <f t="shared" si="125"/>
        <v>2</v>
      </c>
      <c r="GJ123" s="372"/>
      <c r="GK123" s="367"/>
      <c r="GL123" s="360"/>
      <c r="GM123" s="360"/>
      <c r="GN123" s="6"/>
    </row>
    <row r="124" spans="1:198" x14ac:dyDescent="0.25">
      <c r="A124" s="356">
        <v>40409</v>
      </c>
      <c r="B124" s="356" t="s">
        <v>133</v>
      </c>
      <c r="C124" s="356" t="s">
        <v>131</v>
      </c>
      <c r="D124" s="356" t="s">
        <v>137</v>
      </c>
      <c r="E124" s="357">
        <v>10118</v>
      </c>
      <c r="F124" s="360"/>
      <c r="G124" s="358">
        <v>2</v>
      </c>
      <c r="H124" s="359" t="s">
        <v>638</v>
      </c>
      <c r="I124" s="360">
        <v>0</v>
      </c>
      <c r="J124" s="360">
        <v>0</v>
      </c>
      <c r="K124" s="361">
        <f>5+1/3</f>
        <v>5.333333333333333</v>
      </c>
      <c r="L124" s="360">
        <v>5</v>
      </c>
      <c r="M124" s="360">
        <v>3</v>
      </c>
      <c r="N124" s="360">
        <v>3</v>
      </c>
      <c r="O124" s="360">
        <v>3</v>
      </c>
      <c r="P124" s="360">
        <v>3</v>
      </c>
      <c r="Q124" s="360">
        <v>0</v>
      </c>
      <c r="R124" s="360">
        <v>0</v>
      </c>
      <c r="S124" s="360">
        <v>24</v>
      </c>
      <c r="T124" s="360">
        <v>91</v>
      </c>
      <c r="U124" s="360">
        <v>56</v>
      </c>
      <c r="V124" s="360">
        <v>2</v>
      </c>
      <c r="W124" s="362">
        <v>2</v>
      </c>
      <c r="X124" s="360">
        <v>0</v>
      </c>
      <c r="Y124" s="360">
        <v>1</v>
      </c>
      <c r="Z124" s="360">
        <v>0</v>
      </c>
      <c r="AA124" s="360">
        <v>0</v>
      </c>
      <c r="AB124" s="360">
        <v>1</v>
      </c>
      <c r="AC124" s="361">
        <f>2+2/3</f>
        <v>2.6666666666666665</v>
      </c>
      <c r="AD124" s="360">
        <v>1</v>
      </c>
      <c r="AE124" s="360">
        <v>1</v>
      </c>
      <c r="AF124" s="360">
        <v>1</v>
      </c>
      <c r="AG124" s="360">
        <v>1</v>
      </c>
      <c r="AH124" s="360">
        <v>1</v>
      </c>
      <c r="AI124" s="360">
        <v>0</v>
      </c>
      <c r="AJ124" s="360">
        <v>0</v>
      </c>
      <c r="AK124" s="360">
        <v>10</v>
      </c>
      <c r="AL124" s="360">
        <v>29</v>
      </c>
      <c r="AM124" s="360">
        <v>16</v>
      </c>
      <c r="AN124" s="363" t="s">
        <v>275</v>
      </c>
      <c r="AO124" s="364">
        <v>3</v>
      </c>
      <c r="AP124" s="364">
        <v>0</v>
      </c>
      <c r="AQ124" s="364">
        <v>2</v>
      </c>
      <c r="AR124" s="364">
        <v>0</v>
      </c>
      <c r="AS124" s="364">
        <v>1</v>
      </c>
      <c r="AT124" s="364">
        <v>0</v>
      </c>
      <c r="AU124" s="364">
        <v>0</v>
      </c>
      <c r="AV124" s="364">
        <v>0</v>
      </c>
      <c r="AW124" s="365">
        <v>2</v>
      </c>
      <c r="AX124" s="363" t="s">
        <v>332</v>
      </c>
      <c r="AY124" s="364">
        <v>4</v>
      </c>
      <c r="AZ124" s="364">
        <v>0</v>
      </c>
      <c r="BA124" s="364">
        <v>0</v>
      </c>
      <c r="BB124" s="364">
        <v>0</v>
      </c>
      <c r="BC124" s="364">
        <v>0</v>
      </c>
      <c r="BD124" s="364">
        <v>1</v>
      </c>
      <c r="BE124" s="364">
        <v>0</v>
      </c>
      <c r="BF124" s="364">
        <v>0</v>
      </c>
      <c r="BG124" s="365">
        <v>0</v>
      </c>
      <c r="BH124" s="363" t="s">
        <v>391</v>
      </c>
      <c r="BI124" s="364">
        <v>3</v>
      </c>
      <c r="BJ124" s="364">
        <v>0</v>
      </c>
      <c r="BK124" s="364">
        <v>0</v>
      </c>
      <c r="BL124" s="364">
        <v>0</v>
      </c>
      <c r="BM124" s="364">
        <v>1</v>
      </c>
      <c r="BN124" s="364">
        <v>0</v>
      </c>
      <c r="BO124" s="364">
        <v>0</v>
      </c>
      <c r="BP124" s="364">
        <v>0</v>
      </c>
      <c r="BQ124" s="365">
        <v>0</v>
      </c>
      <c r="BR124" s="363" t="s">
        <v>390</v>
      </c>
      <c r="BS124" s="364">
        <v>4</v>
      </c>
      <c r="BT124" s="364">
        <v>2</v>
      </c>
      <c r="BU124" s="364">
        <v>2</v>
      </c>
      <c r="BV124" s="364">
        <v>1</v>
      </c>
      <c r="BW124" s="364">
        <v>0</v>
      </c>
      <c r="BX124" s="364">
        <v>1</v>
      </c>
      <c r="BY124" s="364">
        <v>0</v>
      </c>
      <c r="BZ124" s="364">
        <v>0</v>
      </c>
      <c r="CA124" s="365">
        <v>5</v>
      </c>
      <c r="CB124" s="363" t="s">
        <v>274</v>
      </c>
      <c r="CC124" s="364">
        <v>4</v>
      </c>
      <c r="CD124" s="364">
        <v>1</v>
      </c>
      <c r="CE124" s="364">
        <v>2</v>
      </c>
      <c r="CF124" s="364">
        <v>2</v>
      </c>
      <c r="CG124" s="364">
        <v>0</v>
      </c>
      <c r="CH124" s="364">
        <v>0</v>
      </c>
      <c r="CI124" s="364">
        <v>0</v>
      </c>
      <c r="CJ124" s="364">
        <v>0</v>
      </c>
      <c r="CK124" s="365">
        <v>5</v>
      </c>
      <c r="CL124" s="363" t="s">
        <v>387</v>
      </c>
      <c r="CM124" s="364">
        <v>4</v>
      </c>
      <c r="CN124" s="364">
        <v>0</v>
      </c>
      <c r="CO124" s="364">
        <v>0</v>
      </c>
      <c r="CP124" s="364">
        <v>0</v>
      </c>
      <c r="CQ124" s="364">
        <v>0</v>
      </c>
      <c r="CR124" s="364">
        <v>1</v>
      </c>
      <c r="CS124" s="364">
        <v>0</v>
      </c>
      <c r="CT124" s="364">
        <v>0</v>
      </c>
      <c r="CU124" s="365">
        <v>0</v>
      </c>
      <c r="CV124" s="363" t="s">
        <v>271</v>
      </c>
      <c r="CW124" s="364">
        <v>4</v>
      </c>
      <c r="CX124" s="364">
        <v>0</v>
      </c>
      <c r="CY124" s="364">
        <v>0</v>
      </c>
      <c r="CZ124" s="364">
        <v>0</v>
      </c>
      <c r="DA124" s="364">
        <v>0</v>
      </c>
      <c r="DB124" s="364">
        <v>0</v>
      </c>
      <c r="DC124" s="364">
        <v>0</v>
      </c>
      <c r="DD124" s="364">
        <v>0</v>
      </c>
      <c r="DE124" s="365">
        <v>0</v>
      </c>
      <c r="DF124" s="363" t="s">
        <v>273</v>
      </c>
      <c r="DG124" s="364">
        <v>3</v>
      </c>
      <c r="DH124" s="364">
        <v>0</v>
      </c>
      <c r="DI124" s="364">
        <v>1</v>
      </c>
      <c r="DJ124" s="364">
        <v>0</v>
      </c>
      <c r="DK124" s="364">
        <v>0</v>
      </c>
      <c r="DL124" s="364">
        <v>1</v>
      </c>
      <c r="DM124" s="364">
        <v>0</v>
      </c>
      <c r="DN124" s="364">
        <v>0</v>
      </c>
      <c r="DO124" s="365">
        <v>1</v>
      </c>
      <c r="DP124" s="363" t="s">
        <v>385</v>
      </c>
      <c r="DQ124" s="364">
        <v>3</v>
      </c>
      <c r="DR124" s="364">
        <v>0</v>
      </c>
      <c r="DS124" s="364">
        <v>0</v>
      </c>
      <c r="DT124" s="364">
        <v>0</v>
      </c>
      <c r="DU124" s="364">
        <v>0</v>
      </c>
      <c r="DV124" s="364">
        <v>1</v>
      </c>
      <c r="DW124" s="364">
        <v>0</v>
      </c>
      <c r="DX124" s="364">
        <v>0</v>
      </c>
      <c r="DY124" s="365">
        <v>0</v>
      </c>
      <c r="DZ124" s="366">
        <v>1</v>
      </c>
      <c r="EA124" s="367">
        <v>0</v>
      </c>
      <c r="EB124" s="367">
        <v>0</v>
      </c>
      <c r="EC124" s="368">
        <v>8</v>
      </c>
      <c r="ED124" s="367">
        <v>1</v>
      </c>
      <c r="EE124" s="369">
        <v>0</v>
      </c>
      <c r="EF124" s="370">
        <v>0</v>
      </c>
      <c r="EG124" s="367">
        <v>0</v>
      </c>
      <c r="EH124" s="367">
        <v>0</v>
      </c>
      <c r="EI124" s="367">
        <v>2</v>
      </c>
      <c r="EJ124" s="367">
        <v>0</v>
      </c>
      <c r="EK124" s="367">
        <v>1</v>
      </c>
      <c r="EL124" s="367">
        <v>0</v>
      </c>
      <c r="EM124" s="367">
        <v>0</v>
      </c>
      <c r="EN124" s="367">
        <v>0</v>
      </c>
      <c r="EO124" s="367"/>
      <c r="EP124" s="367"/>
      <c r="EQ124" s="367"/>
      <c r="ER124" s="367"/>
      <c r="ES124" s="369">
        <f t="shared" si="112"/>
        <v>3</v>
      </c>
      <c r="ET124" s="367">
        <v>1</v>
      </c>
      <c r="EU124" s="367">
        <v>0</v>
      </c>
      <c r="EV124" s="367">
        <v>0</v>
      </c>
      <c r="EW124" s="367">
        <v>0</v>
      </c>
      <c r="EX124" s="367">
        <v>0</v>
      </c>
      <c r="EY124" s="367">
        <v>3</v>
      </c>
      <c r="EZ124" s="367">
        <v>0</v>
      </c>
      <c r="FA124" s="367">
        <v>0</v>
      </c>
      <c r="FB124" s="367"/>
      <c r="FC124" s="367"/>
      <c r="FD124" s="367"/>
      <c r="FE124" s="367"/>
      <c r="FF124" s="367"/>
      <c r="FG124" s="367">
        <f t="shared" si="113"/>
        <v>4</v>
      </c>
      <c r="FH124" s="371">
        <v>32</v>
      </c>
      <c r="FI124" s="371">
        <v>3</v>
      </c>
      <c r="FJ124" s="371">
        <v>7</v>
      </c>
      <c r="FK124" s="371">
        <v>3</v>
      </c>
      <c r="FL124" s="371">
        <v>2</v>
      </c>
      <c r="FM124" s="371">
        <v>5</v>
      </c>
      <c r="FN124" s="371">
        <f t="shared" si="116"/>
        <v>0</v>
      </c>
      <c r="FO124" s="371">
        <f t="shared" si="117"/>
        <v>0</v>
      </c>
      <c r="FP124" s="371">
        <f t="shared" ref="FP124:FU124" si="126">((SUM(AO124,AY124,BI124,BS124,CC124,CM124,CW124,DG124,DQ124))-(FH124))</f>
        <v>0</v>
      </c>
      <c r="FQ124" s="371">
        <f t="shared" si="126"/>
        <v>0</v>
      </c>
      <c r="FR124" s="371">
        <f t="shared" si="126"/>
        <v>0</v>
      </c>
      <c r="FS124" s="371">
        <f t="shared" si="126"/>
        <v>0</v>
      </c>
      <c r="FT124" s="371">
        <f t="shared" si="126"/>
        <v>0</v>
      </c>
      <c r="FU124" s="371">
        <f t="shared" si="126"/>
        <v>0</v>
      </c>
      <c r="FV124" s="371">
        <f t="shared" ref="FV124:GI124" si="127">(EF124-ET124)</f>
        <v>-1</v>
      </c>
      <c r="FW124" s="371">
        <f t="shared" si="127"/>
        <v>0</v>
      </c>
      <c r="FX124" s="371">
        <f t="shared" si="127"/>
        <v>0</v>
      </c>
      <c r="FY124" s="371">
        <f t="shared" si="127"/>
        <v>2</v>
      </c>
      <c r="FZ124" s="371">
        <f t="shared" si="127"/>
        <v>0</v>
      </c>
      <c r="GA124" s="371">
        <f t="shared" si="127"/>
        <v>-2</v>
      </c>
      <c r="GB124" s="371">
        <f t="shared" si="127"/>
        <v>0</v>
      </c>
      <c r="GC124" s="371">
        <f t="shared" si="127"/>
        <v>0</v>
      </c>
      <c r="GD124" s="371">
        <f t="shared" si="127"/>
        <v>0</v>
      </c>
      <c r="GE124" s="371">
        <f t="shared" si="127"/>
        <v>0</v>
      </c>
      <c r="GF124" s="371">
        <f t="shared" si="127"/>
        <v>0</v>
      </c>
      <c r="GG124" s="371">
        <f t="shared" si="127"/>
        <v>0</v>
      </c>
      <c r="GH124" s="371">
        <f t="shared" si="127"/>
        <v>0</v>
      </c>
      <c r="GI124" s="371">
        <f t="shared" si="127"/>
        <v>-1</v>
      </c>
      <c r="GJ124" s="372"/>
      <c r="GK124" s="367"/>
      <c r="GL124" s="360"/>
      <c r="GM124" s="360"/>
      <c r="GN124" s="6"/>
    </row>
    <row r="125" spans="1:198" x14ac:dyDescent="0.25">
      <c r="A125" s="356">
        <v>40410</v>
      </c>
      <c r="B125" s="356" t="s">
        <v>133</v>
      </c>
      <c r="C125" s="356" t="s">
        <v>131</v>
      </c>
      <c r="D125" s="356" t="s">
        <v>137</v>
      </c>
      <c r="E125" s="357">
        <v>13207</v>
      </c>
      <c r="F125" s="360"/>
      <c r="G125" s="358">
        <v>3</v>
      </c>
      <c r="H125" s="359" t="s">
        <v>397</v>
      </c>
      <c r="I125" s="360">
        <v>0</v>
      </c>
      <c r="J125" s="360">
        <v>0</v>
      </c>
      <c r="K125" s="361">
        <f>6+1/3</f>
        <v>6.333333333333333</v>
      </c>
      <c r="L125" s="360">
        <v>7</v>
      </c>
      <c r="M125" s="360">
        <v>3</v>
      </c>
      <c r="N125" s="360">
        <v>3</v>
      </c>
      <c r="O125" s="360">
        <v>1</v>
      </c>
      <c r="P125" s="360">
        <v>7</v>
      </c>
      <c r="Q125" s="360">
        <v>1</v>
      </c>
      <c r="R125" s="360">
        <v>0</v>
      </c>
      <c r="S125" s="360">
        <v>28</v>
      </c>
      <c r="T125" s="360">
        <v>104</v>
      </c>
      <c r="U125" s="360">
        <v>69</v>
      </c>
      <c r="V125" s="360">
        <v>2</v>
      </c>
      <c r="W125" s="362">
        <v>0</v>
      </c>
      <c r="X125" s="360">
        <v>0</v>
      </c>
      <c r="Y125" s="360">
        <v>1</v>
      </c>
      <c r="Z125" s="360">
        <v>1</v>
      </c>
      <c r="AA125" s="360">
        <v>0</v>
      </c>
      <c r="AB125" s="360">
        <v>1</v>
      </c>
      <c r="AC125" s="361">
        <f>1+2/3</f>
        <v>1.6666666666666665</v>
      </c>
      <c r="AD125" s="360">
        <v>1</v>
      </c>
      <c r="AE125" s="360">
        <v>2</v>
      </c>
      <c r="AF125" s="360">
        <v>1</v>
      </c>
      <c r="AG125" s="360">
        <v>2</v>
      </c>
      <c r="AH125" s="360">
        <v>1</v>
      </c>
      <c r="AI125" s="360">
        <v>0</v>
      </c>
      <c r="AJ125" s="360">
        <v>0</v>
      </c>
      <c r="AK125" s="360">
        <v>9</v>
      </c>
      <c r="AL125" s="360">
        <v>45</v>
      </c>
      <c r="AM125" s="360">
        <v>27</v>
      </c>
      <c r="AN125" s="363" t="s">
        <v>275</v>
      </c>
      <c r="AO125" s="364">
        <v>3</v>
      </c>
      <c r="AP125" s="364">
        <v>0</v>
      </c>
      <c r="AQ125" s="364">
        <v>0</v>
      </c>
      <c r="AR125" s="364">
        <v>1</v>
      </c>
      <c r="AS125" s="364">
        <v>0</v>
      </c>
      <c r="AT125" s="364">
        <v>1</v>
      </c>
      <c r="AU125" s="364">
        <v>0</v>
      </c>
      <c r="AV125" s="364">
        <v>1</v>
      </c>
      <c r="AW125" s="365">
        <v>0</v>
      </c>
      <c r="AX125" s="363" t="s">
        <v>389</v>
      </c>
      <c r="AY125" s="364">
        <v>4</v>
      </c>
      <c r="AZ125" s="364">
        <v>2</v>
      </c>
      <c r="BA125" s="364">
        <v>1</v>
      </c>
      <c r="BB125" s="364">
        <v>1</v>
      </c>
      <c r="BC125" s="364">
        <v>0</v>
      </c>
      <c r="BD125" s="364">
        <v>0</v>
      </c>
      <c r="BE125" s="364">
        <v>0</v>
      </c>
      <c r="BF125" s="364">
        <v>0</v>
      </c>
      <c r="BG125" s="365">
        <v>4</v>
      </c>
      <c r="BH125" s="363" t="s">
        <v>391</v>
      </c>
      <c r="BI125" s="364">
        <v>4</v>
      </c>
      <c r="BJ125" s="364">
        <v>1</v>
      </c>
      <c r="BK125" s="364">
        <v>1</v>
      </c>
      <c r="BL125" s="364">
        <v>0</v>
      </c>
      <c r="BM125" s="364">
        <v>0</v>
      </c>
      <c r="BN125" s="364">
        <v>1</v>
      </c>
      <c r="BO125" s="364">
        <v>0</v>
      </c>
      <c r="BP125" s="364">
        <v>0</v>
      </c>
      <c r="BQ125" s="365">
        <v>1</v>
      </c>
      <c r="BR125" s="363" t="s">
        <v>390</v>
      </c>
      <c r="BS125" s="364">
        <v>4</v>
      </c>
      <c r="BT125" s="364">
        <v>0</v>
      </c>
      <c r="BU125" s="364">
        <v>0</v>
      </c>
      <c r="BV125" s="364">
        <v>0</v>
      </c>
      <c r="BW125" s="364">
        <v>0</v>
      </c>
      <c r="BX125" s="364">
        <v>0</v>
      </c>
      <c r="BY125" s="364">
        <v>0</v>
      </c>
      <c r="BZ125" s="364">
        <v>0</v>
      </c>
      <c r="CA125" s="365">
        <v>0</v>
      </c>
      <c r="CB125" s="363" t="s">
        <v>274</v>
      </c>
      <c r="CC125" s="364">
        <v>3</v>
      </c>
      <c r="CD125" s="364">
        <v>0</v>
      </c>
      <c r="CE125" s="364">
        <v>0</v>
      </c>
      <c r="CF125" s="364">
        <v>0</v>
      </c>
      <c r="CG125" s="364">
        <v>1</v>
      </c>
      <c r="CH125" s="364">
        <v>1</v>
      </c>
      <c r="CI125" s="364">
        <v>0</v>
      </c>
      <c r="CJ125" s="364">
        <v>0</v>
      </c>
      <c r="CK125" s="365">
        <v>0</v>
      </c>
      <c r="CL125" s="363" t="s">
        <v>387</v>
      </c>
      <c r="CM125" s="364">
        <v>2</v>
      </c>
      <c r="CN125" s="364">
        <v>0</v>
      </c>
      <c r="CO125" s="364">
        <v>1</v>
      </c>
      <c r="CP125" s="364">
        <v>2</v>
      </c>
      <c r="CQ125" s="364">
        <v>2</v>
      </c>
      <c r="CR125" s="364">
        <v>0</v>
      </c>
      <c r="CS125" s="364">
        <v>0</v>
      </c>
      <c r="CT125" s="364">
        <v>0</v>
      </c>
      <c r="CU125" s="365">
        <v>1</v>
      </c>
      <c r="CV125" s="363" t="s">
        <v>272</v>
      </c>
      <c r="CW125" s="364">
        <v>4</v>
      </c>
      <c r="CX125" s="364">
        <v>0</v>
      </c>
      <c r="CY125" s="364">
        <v>0</v>
      </c>
      <c r="CZ125" s="364">
        <v>0</v>
      </c>
      <c r="DA125" s="364">
        <v>0</v>
      </c>
      <c r="DB125" s="364">
        <v>2</v>
      </c>
      <c r="DC125" s="364">
        <v>0</v>
      </c>
      <c r="DD125" s="364">
        <v>0</v>
      </c>
      <c r="DE125" s="365">
        <v>0</v>
      </c>
      <c r="DF125" s="363" t="s">
        <v>273</v>
      </c>
      <c r="DG125" s="364">
        <v>3</v>
      </c>
      <c r="DH125" s="364">
        <v>1</v>
      </c>
      <c r="DI125" s="364">
        <v>0</v>
      </c>
      <c r="DJ125" s="364">
        <v>0</v>
      </c>
      <c r="DK125" s="364">
        <v>1</v>
      </c>
      <c r="DL125" s="364">
        <v>2</v>
      </c>
      <c r="DM125" s="364">
        <v>0</v>
      </c>
      <c r="DN125" s="364">
        <v>0</v>
      </c>
      <c r="DO125" s="365">
        <v>0</v>
      </c>
      <c r="DP125" s="363" t="s">
        <v>384</v>
      </c>
      <c r="DQ125" s="364">
        <v>4</v>
      </c>
      <c r="DR125" s="364">
        <v>0</v>
      </c>
      <c r="DS125" s="364">
        <v>1</v>
      </c>
      <c r="DT125" s="364">
        <v>0</v>
      </c>
      <c r="DU125" s="364">
        <v>0</v>
      </c>
      <c r="DV125" s="364">
        <v>1</v>
      </c>
      <c r="DW125" s="364">
        <v>0</v>
      </c>
      <c r="DX125" s="364">
        <v>0</v>
      </c>
      <c r="DY125" s="365">
        <v>2</v>
      </c>
      <c r="DZ125" s="366">
        <f>1+2/3</f>
        <v>1.6666666666666665</v>
      </c>
      <c r="EA125" s="367">
        <v>0</v>
      </c>
      <c r="EB125" s="367">
        <v>0</v>
      </c>
      <c r="EC125" s="368">
        <f>7+1/3</f>
        <v>7.333333333333333</v>
      </c>
      <c r="ED125" s="367">
        <v>1</v>
      </c>
      <c r="EE125" s="369">
        <v>0</v>
      </c>
      <c r="EF125" s="370">
        <v>2</v>
      </c>
      <c r="EG125" s="367">
        <v>1</v>
      </c>
      <c r="EH125" s="367">
        <v>0</v>
      </c>
      <c r="EI125" s="367">
        <v>0</v>
      </c>
      <c r="EJ125" s="367">
        <v>0</v>
      </c>
      <c r="EK125" s="367">
        <v>0</v>
      </c>
      <c r="EL125" s="367">
        <v>1</v>
      </c>
      <c r="EM125" s="367">
        <v>0</v>
      </c>
      <c r="EN125" s="367">
        <v>0</v>
      </c>
      <c r="EO125" s="367"/>
      <c r="EP125" s="367"/>
      <c r="EQ125" s="367"/>
      <c r="ER125" s="367"/>
      <c r="ES125" s="369">
        <f t="shared" ref="ES125:ES130" si="128">SUM(EF125:ER125)</f>
        <v>4</v>
      </c>
      <c r="ET125" s="367">
        <v>0</v>
      </c>
      <c r="EU125" s="367">
        <v>0</v>
      </c>
      <c r="EV125" s="367">
        <v>2</v>
      </c>
      <c r="EW125" s="367">
        <v>0</v>
      </c>
      <c r="EX125" s="367">
        <v>0</v>
      </c>
      <c r="EY125" s="367">
        <v>1</v>
      </c>
      <c r="EZ125" s="367">
        <v>0</v>
      </c>
      <c r="FA125" s="367">
        <v>2</v>
      </c>
      <c r="FB125" s="367"/>
      <c r="FC125" s="367"/>
      <c r="FD125" s="367"/>
      <c r="FE125" s="367"/>
      <c r="FF125" s="367"/>
      <c r="FG125" s="367">
        <f t="shared" ref="FG125:FG130" si="129">SUM(ET125:FF125)</f>
        <v>5</v>
      </c>
      <c r="FH125" s="371">
        <v>31</v>
      </c>
      <c r="FI125" s="371">
        <v>4</v>
      </c>
      <c r="FJ125" s="371">
        <v>4</v>
      </c>
      <c r="FK125" s="371">
        <v>4</v>
      </c>
      <c r="FL125" s="371">
        <v>4</v>
      </c>
      <c r="FM125" s="371">
        <v>8</v>
      </c>
      <c r="FN125" s="371">
        <f t="shared" si="116"/>
        <v>0</v>
      </c>
      <c r="FO125" s="371">
        <f t="shared" si="117"/>
        <v>0</v>
      </c>
      <c r="FP125" s="371">
        <f t="shared" ref="FP125:FU125" si="130">((SUM(AO125,AY125,BI125,BS125,CC125,CM125,CW125,DG125,DQ125))-(FH125))</f>
        <v>0</v>
      </c>
      <c r="FQ125" s="371">
        <f t="shared" si="130"/>
        <v>0</v>
      </c>
      <c r="FR125" s="371">
        <f t="shared" si="130"/>
        <v>0</v>
      </c>
      <c r="FS125" s="371">
        <f t="shared" si="130"/>
        <v>0</v>
      </c>
      <c r="FT125" s="371">
        <f t="shared" si="130"/>
        <v>0</v>
      </c>
      <c r="FU125" s="371">
        <f t="shared" si="130"/>
        <v>0</v>
      </c>
      <c r="FV125" s="371">
        <f t="shared" ref="FV125:GI125" si="131">(EF125-ET125)</f>
        <v>2</v>
      </c>
      <c r="FW125" s="371">
        <f t="shared" si="131"/>
        <v>1</v>
      </c>
      <c r="FX125" s="371">
        <f t="shared" si="131"/>
        <v>-2</v>
      </c>
      <c r="FY125" s="371">
        <f t="shared" si="131"/>
        <v>0</v>
      </c>
      <c r="FZ125" s="371">
        <f t="shared" si="131"/>
        <v>0</v>
      </c>
      <c r="GA125" s="371">
        <f t="shared" si="131"/>
        <v>-1</v>
      </c>
      <c r="GB125" s="371">
        <f t="shared" si="131"/>
        <v>1</v>
      </c>
      <c r="GC125" s="371">
        <f t="shared" si="131"/>
        <v>-2</v>
      </c>
      <c r="GD125" s="371">
        <f t="shared" si="131"/>
        <v>0</v>
      </c>
      <c r="GE125" s="371">
        <f t="shared" si="131"/>
        <v>0</v>
      </c>
      <c r="GF125" s="371">
        <f t="shared" si="131"/>
        <v>0</v>
      </c>
      <c r="GG125" s="371">
        <f t="shared" si="131"/>
        <v>0</v>
      </c>
      <c r="GH125" s="371">
        <f t="shared" si="131"/>
        <v>0</v>
      </c>
      <c r="GI125" s="371">
        <f t="shared" si="131"/>
        <v>-1</v>
      </c>
      <c r="GJ125" s="372"/>
      <c r="GK125" s="367"/>
      <c r="GL125" s="360"/>
      <c r="GM125" s="360"/>
      <c r="GN125" s="39"/>
    </row>
    <row r="126" spans="1:198" x14ac:dyDescent="0.25">
      <c r="A126" s="356">
        <v>40411</v>
      </c>
      <c r="B126" s="356" t="s">
        <v>133</v>
      </c>
      <c r="C126" s="356" t="s">
        <v>129</v>
      </c>
      <c r="D126" s="356" t="s">
        <v>137</v>
      </c>
      <c r="E126" s="357">
        <v>16202</v>
      </c>
      <c r="F126" s="360"/>
      <c r="G126" s="358">
        <v>4</v>
      </c>
      <c r="H126" s="359" t="s">
        <v>394</v>
      </c>
      <c r="I126" s="360">
        <v>0</v>
      </c>
      <c r="J126" s="360">
        <v>0</v>
      </c>
      <c r="K126" s="361">
        <v>6</v>
      </c>
      <c r="L126" s="360">
        <v>6</v>
      </c>
      <c r="M126" s="360">
        <v>4</v>
      </c>
      <c r="N126" s="360">
        <v>4</v>
      </c>
      <c r="O126" s="360">
        <v>1</v>
      </c>
      <c r="P126" s="360">
        <v>5</v>
      </c>
      <c r="Q126" s="360">
        <v>0</v>
      </c>
      <c r="R126" s="360">
        <v>1</v>
      </c>
      <c r="S126" s="360">
        <v>25</v>
      </c>
      <c r="T126" s="360">
        <v>98</v>
      </c>
      <c r="U126" s="360">
        <v>73</v>
      </c>
      <c r="V126" s="360">
        <v>0</v>
      </c>
      <c r="W126" s="362">
        <v>0</v>
      </c>
      <c r="X126" s="360">
        <v>1</v>
      </c>
      <c r="Y126" s="360">
        <v>0</v>
      </c>
      <c r="Z126" s="360">
        <v>1</v>
      </c>
      <c r="AA126" s="360">
        <v>1</v>
      </c>
      <c r="AB126" s="360">
        <v>0</v>
      </c>
      <c r="AC126" s="361">
        <v>3</v>
      </c>
      <c r="AD126" s="360">
        <v>1</v>
      </c>
      <c r="AE126" s="360">
        <v>0</v>
      </c>
      <c r="AF126" s="360">
        <v>0</v>
      </c>
      <c r="AG126" s="360">
        <v>0</v>
      </c>
      <c r="AH126" s="360">
        <v>4</v>
      </c>
      <c r="AI126" s="360">
        <v>0</v>
      </c>
      <c r="AJ126" s="360">
        <v>0</v>
      </c>
      <c r="AK126" s="360">
        <v>10</v>
      </c>
      <c r="AL126" s="360">
        <v>40</v>
      </c>
      <c r="AM126" s="360">
        <v>28</v>
      </c>
      <c r="AN126" s="363" t="s">
        <v>273</v>
      </c>
      <c r="AO126" s="364">
        <v>4</v>
      </c>
      <c r="AP126" s="364">
        <v>0</v>
      </c>
      <c r="AQ126" s="364">
        <v>0</v>
      </c>
      <c r="AR126" s="364">
        <v>0</v>
      </c>
      <c r="AS126" s="364">
        <v>1</v>
      </c>
      <c r="AT126" s="364">
        <v>2</v>
      </c>
      <c r="AU126" s="364">
        <v>0</v>
      </c>
      <c r="AV126" s="364">
        <v>0</v>
      </c>
      <c r="AW126" s="365">
        <v>0</v>
      </c>
      <c r="AX126" s="363" t="s">
        <v>384</v>
      </c>
      <c r="AY126" s="364">
        <v>5</v>
      </c>
      <c r="AZ126" s="364">
        <v>0</v>
      </c>
      <c r="BA126" s="364">
        <v>1</v>
      </c>
      <c r="BB126" s="364">
        <v>0</v>
      </c>
      <c r="BC126" s="364">
        <v>0</v>
      </c>
      <c r="BD126" s="364">
        <v>1</v>
      </c>
      <c r="BE126" s="364">
        <v>0</v>
      </c>
      <c r="BF126" s="364">
        <v>0</v>
      </c>
      <c r="BG126" s="365">
        <v>1</v>
      </c>
      <c r="BH126" s="363" t="s">
        <v>391</v>
      </c>
      <c r="BI126" s="364">
        <v>5</v>
      </c>
      <c r="BJ126" s="364">
        <v>1</v>
      </c>
      <c r="BK126" s="364">
        <v>1</v>
      </c>
      <c r="BL126" s="364">
        <v>0</v>
      </c>
      <c r="BM126" s="364">
        <v>0</v>
      </c>
      <c r="BN126" s="364">
        <v>1</v>
      </c>
      <c r="BO126" s="364">
        <v>0</v>
      </c>
      <c r="BP126" s="364">
        <v>0</v>
      </c>
      <c r="BQ126" s="365">
        <v>1</v>
      </c>
      <c r="BR126" s="363" t="s">
        <v>390</v>
      </c>
      <c r="BS126" s="364">
        <v>4</v>
      </c>
      <c r="BT126" s="364">
        <v>1</v>
      </c>
      <c r="BU126" s="364">
        <v>1</v>
      </c>
      <c r="BV126" s="364">
        <v>1</v>
      </c>
      <c r="BW126" s="364">
        <v>0</v>
      </c>
      <c r="BX126" s="364">
        <v>2</v>
      </c>
      <c r="BY126" s="364">
        <v>0</v>
      </c>
      <c r="BZ126" s="364">
        <v>0</v>
      </c>
      <c r="CA126" s="365">
        <v>4</v>
      </c>
      <c r="CB126" s="363" t="s">
        <v>274</v>
      </c>
      <c r="CC126" s="364">
        <v>3</v>
      </c>
      <c r="CD126" s="364">
        <v>1</v>
      </c>
      <c r="CE126" s="364">
        <v>1</v>
      </c>
      <c r="CF126" s="364">
        <v>0</v>
      </c>
      <c r="CG126" s="364">
        <v>1</v>
      </c>
      <c r="CH126" s="364">
        <v>1</v>
      </c>
      <c r="CI126" s="364">
        <v>0</v>
      </c>
      <c r="CJ126" s="364">
        <v>0</v>
      </c>
      <c r="CK126" s="365">
        <v>2</v>
      </c>
      <c r="CL126" s="363" t="s">
        <v>389</v>
      </c>
      <c r="CM126" s="364">
        <v>3</v>
      </c>
      <c r="CN126" s="364">
        <v>0</v>
      </c>
      <c r="CO126" s="364">
        <v>1</v>
      </c>
      <c r="CP126" s="364">
        <v>1</v>
      </c>
      <c r="CQ126" s="364">
        <v>0</v>
      </c>
      <c r="CR126" s="364">
        <v>1</v>
      </c>
      <c r="CS126" s="364">
        <v>0</v>
      </c>
      <c r="CT126" s="364">
        <v>1</v>
      </c>
      <c r="CU126" s="365">
        <v>1</v>
      </c>
      <c r="CV126" s="363" t="s">
        <v>272</v>
      </c>
      <c r="CW126" s="364">
        <v>4</v>
      </c>
      <c r="CX126" s="364">
        <v>1</v>
      </c>
      <c r="CY126" s="364">
        <v>2</v>
      </c>
      <c r="CZ126" s="364">
        <v>1</v>
      </c>
      <c r="DA126" s="364">
        <v>0</v>
      </c>
      <c r="DB126" s="364">
        <v>0</v>
      </c>
      <c r="DC126" s="364">
        <v>0</v>
      </c>
      <c r="DD126" s="364">
        <v>0</v>
      </c>
      <c r="DE126" s="365">
        <v>3</v>
      </c>
      <c r="DF126" s="363" t="s">
        <v>271</v>
      </c>
      <c r="DG126" s="364">
        <v>3</v>
      </c>
      <c r="DH126" s="364">
        <v>1</v>
      </c>
      <c r="DI126" s="364">
        <v>2</v>
      </c>
      <c r="DJ126" s="364">
        <v>2</v>
      </c>
      <c r="DK126" s="364">
        <v>1</v>
      </c>
      <c r="DL126" s="364">
        <v>1</v>
      </c>
      <c r="DM126" s="364">
        <v>0</v>
      </c>
      <c r="DN126" s="364">
        <v>0</v>
      </c>
      <c r="DO126" s="365">
        <v>5</v>
      </c>
      <c r="DP126" s="363" t="s">
        <v>388</v>
      </c>
      <c r="DQ126" s="364">
        <v>4</v>
      </c>
      <c r="DR126" s="364">
        <v>0</v>
      </c>
      <c r="DS126" s="364">
        <v>1</v>
      </c>
      <c r="DT126" s="364">
        <v>0</v>
      </c>
      <c r="DU126" s="364">
        <v>0</v>
      </c>
      <c r="DV126" s="364">
        <v>2</v>
      </c>
      <c r="DW126" s="364">
        <v>0</v>
      </c>
      <c r="DX126" s="364">
        <v>0</v>
      </c>
      <c r="DY126" s="365">
        <v>1</v>
      </c>
      <c r="DZ126" s="366">
        <f>7+2/3</f>
        <v>7.666666666666667</v>
      </c>
      <c r="EA126" s="367">
        <v>2</v>
      </c>
      <c r="EB126" s="367">
        <v>0</v>
      </c>
      <c r="EC126" s="368">
        <f>1+1/3</f>
        <v>1.3333333333333333</v>
      </c>
      <c r="ED126" s="367">
        <v>0</v>
      </c>
      <c r="EE126" s="369">
        <v>0</v>
      </c>
      <c r="EF126" s="370">
        <v>0</v>
      </c>
      <c r="EG126" s="367">
        <v>1</v>
      </c>
      <c r="EH126" s="367">
        <v>0</v>
      </c>
      <c r="EI126" s="367">
        <v>0</v>
      </c>
      <c r="EJ126" s="367">
        <v>0</v>
      </c>
      <c r="EK126" s="367">
        <v>1</v>
      </c>
      <c r="EL126" s="367">
        <v>0</v>
      </c>
      <c r="EM126" s="367">
        <v>3</v>
      </c>
      <c r="EN126" s="367">
        <v>0</v>
      </c>
      <c r="EO126" s="367"/>
      <c r="EP126" s="367"/>
      <c r="EQ126" s="367"/>
      <c r="ER126" s="367"/>
      <c r="ES126" s="369">
        <f t="shared" si="128"/>
        <v>5</v>
      </c>
      <c r="ET126" s="367">
        <v>2</v>
      </c>
      <c r="EU126" s="367">
        <v>0</v>
      </c>
      <c r="EV126" s="367">
        <v>0</v>
      </c>
      <c r="EW126" s="367">
        <v>0</v>
      </c>
      <c r="EX126" s="367">
        <v>0</v>
      </c>
      <c r="EY126" s="367">
        <v>2</v>
      </c>
      <c r="EZ126" s="367">
        <v>0</v>
      </c>
      <c r="FA126" s="367">
        <v>0</v>
      </c>
      <c r="FB126" s="367">
        <v>0</v>
      </c>
      <c r="FC126" s="367"/>
      <c r="FD126" s="367"/>
      <c r="FE126" s="367"/>
      <c r="FF126" s="367"/>
      <c r="FG126" s="367">
        <f t="shared" si="129"/>
        <v>4</v>
      </c>
      <c r="FH126" s="371">
        <v>35</v>
      </c>
      <c r="FI126" s="371">
        <v>5</v>
      </c>
      <c r="FJ126" s="371">
        <v>10</v>
      </c>
      <c r="FK126" s="371">
        <v>5</v>
      </c>
      <c r="FL126" s="371">
        <v>3</v>
      </c>
      <c r="FM126" s="371">
        <v>11</v>
      </c>
      <c r="FN126" s="371">
        <f t="shared" ref="FN126:FN132" si="132">((SUM(M126,AE126))-(FG126))</f>
        <v>0</v>
      </c>
      <c r="FO126" s="371">
        <f t="shared" ref="FO126:FO132" si="133">((SUM(AP126,AZ126,BJ126,BT126,CD126,CN126,CX126,DH126,DR126))-(ES126))</f>
        <v>0</v>
      </c>
      <c r="FP126" s="371">
        <f t="shared" ref="FP126:FU126" si="134">((SUM(AO126,AY126,BI126,BS126,CC126,CM126,CW126,DG126,DQ126))-(FH126))</f>
        <v>0</v>
      </c>
      <c r="FQ126" s="371">
        <f t="shared" si="134"/>
        <v>0</v>
      </c>
      <c r="FR126" s="371">
        <f t="shared" si="134"/>
        <v>0</v>
      </c>
      <c r="FS126" s="371">
        <f t="shared" si="134"/>
        <v>0</v>
      </c>
      <c r="FT126" s="371">
        <f t="shared" si="134"/>
        <v>0</v>
      </c>
      <c r="FU126" s="371">
        <f t="shared" si="134"/>
        <v>0</v>
      </c>
      <c r="FV126" s="371">
        <f t="shared" ref="FV126:GI126" si="135">(EF126-ET126)</f>
        <v>-2</v>
      </c>
      <c r="FW126" s="371">
        <f t="shared" si="135"/>
        <v>1</v>
      </c>
      <c r="FX126" s="371">
        <f t="shared" si="135"/>
        <v>0</v>
      </c>
      <c r="FY126" s="371">
        <f t="shared" si="135"/>
        <v>0</v>
      </c>
      <c r="FZ126" s="371">
        <f t="shared" si="135"/>
        <v>0</v>
      </c>
      <c r="GA126" s="371">
        <f t="shared" si="135"/>
        <v>-1</v>
      </c>
      <c r="GB126" s="371">
        <f t="shared" si="135"/>
        <v>0</v>
      </c>
      <c r="GC126" s="371">
        <f t="shared" si="135"/>
        <v>3</v>
      </c>
      <c r="GD126" s="371">
        <f t="shared" si="135"/>
        <v>0</v>
      </c>
      <c r="GE126" s="371">
        <f t="shared" si="135"/>
        <v>0</v>
      </c>
      <c r="GF126" s="371">
        <f t="shared" si="135"/>
        <v>0</v>
      </c>
      <c r="GG126" s="371">
        <f t="shared" si="135"/>
        <v>0</v>
      </c>
      <c r="GH126" s="371">
        <f t="shared" si="135"/>
        <v>0</v>
      </c>
      <c r="GI126" s="371">
        <f t="shared" si="135"/>
        <v>1</v>
      </c>
      <c r="GJ126" s="372"/>
      <c r="GK126" s="367"/>
      <c r="GL126" s="376"/>
      <c r="GM126" s="376"/>
      <c r="GN126" s="84"/>
    </row>
    <row r="127" spans="1:198" x14ac:dyDescent="0.25">
      <c r="A127" s="356">
        <v>40412</v>
      </c>
      <c r="B127" s="356" t="s">
        <v>133</v>
      </c>
      <c r="C127" s="356" t="s">
        <v>129</v>
      </c>
      <c r="D127" s="356" t="s">
        <v>137</v>
      </c>
      <c r="E127" s="357">
        <v>18749</v>
      </c>
      <c r="F127" s="360"/>
      <c r="G127" s="358">
        <v>5</v>
      </c>
      <c r="H127" s="359" t="s">
        <v>396</v>
      </c>
      <c r="I127" s="360">
        <v>1</v>
      </c>
      <c r="J127" s="360">
        <v>0</v>
      </c>
      <c r="K127" s="361">
        <f>7+2/3</f>
        <v>7.666666666666667</v>
      </c>
      <c r="L127" s="360">
        <v>4</v>
      </c>
      <c r="M127" s="360">
        <v>1</v>
      </c>
      <c r="N127" s="360">
        <v>1</v>
      </c>
      <c r="O127" s="360">
        <v>3</v>
      </c>
      <c r="P127" s="360">
        <v>3</v>
      </c>
      <c r="Q127" s="360">
        <v>0</v>
      </c>
      <c r="R127" s="360">
        <v>0</v>
      </c>
      <c r="S127" s="360">
        <v>30</v>
      </c>
      <c r="T127" s="360">
        <v>100</v>
      </c>
      <c r="U127" s="360">
        <v>58</v>
      </c>
      <c r="V127" s="360">
        <v>1</v>
      </c>
      <c r="W127" s="362">
        <v>0</v>
      </c>
      <c r="X127" s="360">
        <v>0</v>
      </c>
      <c r="Y127" s="360">
        <v>0</v>
      </c>
      <c r="Z127" s="360">
        <v>1</v>
      </c>
      <c r="AA127" s="360">
        <v>1</v>
      </c>
      <c r="AB127" s="360">
        <v>0</v>
      </c>
      <c r="AC127" s="361">
        <f>1+1/3</f>
        <v>1.3333333333333333</v>
      </c>
      <c r="AD127" s="360">
        <v>2</v>
      </c>
      <c r="AE127" s="360">
        <v>1</v>
      </c>
      <c r="AF127" s="360">
        <v>1</v>
      </c>
      <c r="AG127" s="360">
        <v>0</v>
      </c>
      <c r="AH127" s="360">
        <v>2</v>
      </c>
      <c r="AI127" s="360">
        <v>0</v>
      </c>
      <c r="AJ127" s="360">
        <v>0</v>
      </c>
      <c r="AK127" s="360">
        <v>6</v>
      </c>
      <c r="AL127" s="360">
        <v>26</v>
      </c>
      <c r="AM127" s="360">
        <v>20</v>
      </c>
      <c r="AN127" s="363" t="s">
        <v>273</v>
      </c>
      <c r="AO127" s="364">
        <v>4</v>
      </c>
      <c r="AP127" s="364">
        <v>0</v>
      </c>
      <c r="AQ127" s="364">
        <v>0</v>
      </c>
      <c r="AR127" s="364">
        <v>0</v>
      </c>
      <c r="AS127" s="364">
        <v>0</v>
      </c>
      <c r="AT127" s="364">
        <v>1</v>
      </c>
      <c r="AU127" s="364">
        <v>0</v>
      </c>
      <c r="AV127" s="364">
        <v>0</v>
      </c>
      <c r="AW127" s="365">
        <v>0</v>
      </c>
      <c r="AX127" s="363" t="s">
        <v>384</v>
      </c>
      <c r="AY127" s="364">
        <v>3</v>
      </c>
      <c r="AZ127" s="364">
        <v>1</v>
      </c>
      <c r="BA127" s="364">
        <v>0</v>
      </c>
      <c r="BB127" s="364">
        <v>0</v>
      </c>
      <c r="BC127" s="364">
        <v>1</v>
      </c>
      <c r="BD127" s="364">
        <v>0</v>
      </c>
      <c r="BE127" s="364">
        <v>0</v>
      </c>
      <c r="BF127" s="364">
        <v>0</v>
      </c>
      <c r="BG127" s="365">
        <v>0</v>
      </c>
      <c r="BH127" s="363" t="s">
        <v>391</v>
      </c>
      <c r="BI127" s="364">
        <v>4</v>
      </c>
      <c r="BJ127" s="364">
        <v>1</v>
      </c>
      <c r="BK127" s="364">
        <v>2</v>
      </c>
      <c r="BL127" s="364">
        <v>0</v>
      </c>
      <c r="BM127" s="364">
        <v>0</v>
      </c>
      <c r="BN127" s="364">
        <v>0</v>
      </c>
      <c r="BO127" s="364">
        <v>0</v>
      </c>
      <c r="BP127" s="364">
        <v>0</v>
      </c>
      <c r="BQ127" s="365">
        <v>2</v>
      </c>
      <c r="BR127" s="363" t="s">
        <v>390</v>
      </c>
      <c r="BS127" s="364">
        <v>4</v>
      </c>
      <c r="BT127" s="364">
        <v>0</v>
      </c>
      <c r="BU127" s="364">
        <v>1</v>
      </c>
      <c r="BV127" s="364">
        <v>2</v>
      </c>
      <c r="BW127" s="364">
        <v>0</v>
      </c>
      <c r="BX127" s="364">
        <v>0</v>
      </c>
      <c r="BY127" s="364">
        <v>0</v>
      </c>
      <c r="BZ127" s="364">
        <v>0</v>
      </c>
      <c r="CA127" s="365">
        <v>2</v>
      </c>
      <c r="CB127" s="363" t="s">
        <v>274</v>
      </c>
      <c r="CC127" s="364">
        <v>2</v>
      </c>
      <c r="CD127" s="364">
        <v>0</v>
      </c>
      <c r="CE127" s="364">
        <v>0</v>
      </c>
      <c r="CF127" s="364">
        <v>0</v>
      </c>
      <c r="CG127" s="364">
        <v>1</v>
      </c>
      <c r="CH127" s="364">
        <v>1</v>
      </c>
      <c r="CI127" s="364">
        <v>1</v>
      </c>
      <c r="CJ127" s="364">
        <v>0</v>
      </c>
      <c r="CK127" s="365">
        <v>0</v>
      </c>
      <c r="CL127" s="363" t="s">
        <v>389</v>
      </c>
      <c r="CM127" s="364">
        <v>4</v>
      </c>
      <c r="CN127" s="364">
        <v>0</v>
      </c>
      <c r="CO127" s="364">
        <v>0</v>
      </c>
      <c r="CP127" s="364">
        <v>0</v>
      </c>
      <c r="CQ127" s="364">
        <v>0</v>
      </c>
      <c r="CR127" s="364">
        <v>1</v>
      </c>
      <c r="CS127" s="364">
        <v>0</v>
      </c>
      <c r="CT127" s="364">
        <v>0</v>
      </c>
      <c r="CU127" s="365">
        <v>0</v>
      </c>
      <c r="CV127" s="363" t="s">
        <v>272</v>
      </c>
      <c r="CW127" s="364">
        <v>4</v>
      </c>
      <c r="CX127" s="364">
        <v>0</v>
      </c>
      <c r="CY127" s="364">
        <v>0</v>
      </c>
      <c r="CZ127" s="364">
        <v>0</v>
      </c>
      <c r="DA127" s="364">
        <v>0</v>
      </c>
      <c r="DB127" s="364">
        <v>2</v>
      </c>
      <c r="DC127" s="364">
        <v>0</v>
      </c>
      <c r="DD127" s="364">
        <v>0</v>
      </c>
      <c r="DE127" s="365">
        <v>0</v>
      </c>
      <c r="DF127" s="363" t="s">
        <v>271</v>
      </c>
      <c r="DG127" s="364">
        <v>3</v>
      </c>
      <c r="DH127" s="364">
        <v>1</v>
      </c>
      <c r="DI127" s="364">
        <v>1</v>
      </c>
      <c r="DJ127" s="364">
        <v>0</v>
      </c>
      <c r="DK127" s="364">
        <v>0</v>
      </c>
      <c r="DL127" s="364">
        <v>0</v>
      </c>
      <c r="DM127" s="364">
        <v>0</v>
      </c>
      <c r="DN127" s="364">
        <v>0</v>
      </c>
      <c r="DO127" s="365">
        <v>1</v>
      </c>
      <c r="DP127" s="363" t="s">
        <v>388</v>
      </c>
      <c r="DQ127" s="364">
        <v>3</v>
      </c>
      <c r="DR127" s="364">
        <v>0</v>
      </c>
      <c r="DS127" s="364">
        <v>1</v>
      </c>
      <c r="DT127" s="364">
        <v>1</v>
      </c>
      <c r="DU127" s="364">
        <v>0</v>
      </c>
      <c r="DV127" s="364">
        <v>2</v>
      </c>
      <c r="DW127" s="364">
        <v>0</v>
      </c>
      <c r="DX127" s="364">
        <v>0</v>
      </c>
      <c r="DY127" s="365">
        <v>2</v>
      </c>
      <c r="DZ127" s="366">
        <v>6</v>
      </c>
      <c r="EA127" s="367">
        <v>0</v>
      </c>
      <c r="EB127" s="367">
        <v>0</v>
      </c>
      <c r="EC127" s="368">
        <v>3</v>
      </c>
      <c r="ED127" s="367">
        <v>1</v>
      </c>
      <c r="EE127" s="369">
        <v>0</v>
      </c>
      <c r="EF127" s="370">
        <v>0</v>
      </c>
      <c r="EG127" s="367">
        <v>0</v>
      </c>
      <c r="EH127" s="367">
        <v>1</v>
      </c>
      <c r="EI127" s="367">
        <v>0</v>
      </c>
      <c r="EJ127" s="367">
        <v>0</v>
      </c>
      <c r="EK127" s="367">
        <v>2</v>
      </c>
      <c r="EL127" s="367">
        <v>0</v>
      </c>
      <c r="EM127" s="367">
        <v>0</v>
      </c>
      <c r="EN127" s="367">
        <v>0</v>
      </c>
      <c r="EO127" s="367"/>
      <c r="EP127" s="367"/>
      <c r="EQ127" s="367"/>
      <c r="ER127" s="367"/>
      <c r="ES127" s="369">
        <f t="shared" si="128"/>
        <v>3</v>
      </c>
      <c r="ET127" s="367">
        <v>0</v>
      </c>
      <c r="EU127" s="367">
        <v>0</v>
      </c>
      <c r="EV127" s="367">
        <v>0</v>
      </c>
      <c r="EW127" s="367">
        <v>0</v>
      </c>
      <c r="EX127" s="367">
        <v>1</v>
      </c>
      <c r="EY127" s="367">
        <v>0</v>
      </c>
      <c r="EZ127" s="367">
        <v>0</v>
      </c>
      <c r="FA127" s="367">
        <v>0</v>
      </c>
      <c r="FB127" s="367">
        <v>1</v>
      </c>
      <c r="FC127" s="367"/>
      <c r="FD127" s="367"/>
      <c r="FE127" s="367"/>
      <c r="FF127" s="367"/>
      <c r="FG127" s="367">
        <f t="shared" si="129"/>
        <v>2</v>
      </c>
      <c r="FH127" s="371">
        <v>31</v>
      </c>
      <c r="FI127" s="371">
        <v>3</v>
      </c>
      <c r="FJ127" s="371">
        <v>5</v>
      </c>
      <c r="FK127" s="371">
        <v>3</v>
      </c>
      <c r="FL127" s="371">
        <v>2</v>
      </c>
      <c r="FM127" s="371">
        <v>7</v>
      </c>
      <c r="FN127" s="371">
        <f t="shared" si="132"/>
        <v>0</v>
      </c>
      <c r="FO127" s="371">
        <f t="shared" si="133"/>
        <v>0</v>
      </c>
      <c r="FP127" s="371">
        <f t="shared" ref="FP127:FU127" si="136">((SUM(AO127,AY127,BI127,BS127,CC127,CM127,CW127,DG127,DQ127))-(FH127))</f>
        <v>0</v>
      </c>
      <c r="FQ127" s="371">
        <f t="shared" si="136"/>
        <v>0</v>
      </c>
      <c r="FR127" s="371">
        <f t="shared" si="136"/>
        <v>0</v>
      </c>
      <c r="FS127" s="371">
        <f t="shared" si="136"/>
        <v>0</v>
      </c>
      <c r="FT127" s="371">
        <f t="shared" si="136"/>
        <v>0</v>
      </c>
      <c r="FU127" s="371">
        <f t="shared" si="136"/>
        <v>0</v>
      </c>
      <c r="FV127" s="371">
        <f t="shared" ref="FV127:GI127" si="137">(EF127-ET127)</f>
        <v>0</v>
      </c>
      <c r="FW127" s="371">
        <f t="shared" si="137"/>
        <v>0</v>
      </c>
      <c r="FX127" s="371">
        <f t="shared" si="137"/>
        <v>1</v>
      </c>
      <c r="FY127" s="371">
        <f t="shared" si="137"/>
        <v>0</v>
      </c>
      <c r="FZ127" s="371">
        <f t="shared" si="137"/>
        <v>-1</v>
      </c>
      <c r="GA127" s="371">
        <f t="shared" si="137"/>
        <v>2</v>
      </c>
      <c r="GB127" s="371">
        <f t="shared" si="137"/>
        <v>0</v>
      </c>
      <c r="GC127" s="371">
        <f t="shared" si="137"/>
        <v>0</v>
      </c>
      <c r="GD127" s="371">
        <f t="shared" si="137"/>
        <v>-1</v>
      </c>
      <c r="GE127" s="371">
        <f t="shared" si="137"/>
        <v>0</v>
      </c>
      <c r="GF127" s="371">
        <f t="shared" si="137"/>
        <v>0</v>
      </c>
      <c r="GG127" s="371">
        <f t="shared" si="137"/>
        <v>0</v>
      </c>
      <c r="GH127" s="371">
        <f t="shared" si="137"/>
        <v>0</v>
      </c>
      <c r="GI127" s="371">
        <f t="shared" si="137"/>
        <v>1</v>
      </c>
      <c r="GJ127" s="372"/>
      <c r="GK127" s="367"/>
      <c r="GL127" s="376"/>
      <c r="GM127" s="376"/>
      <c r="GN127" s="84"/>
    </row>
    <row r="128" spans="1:198" x14ac:dyDescent="0.25">
      <c r="A128" s="356">
        <v>40413</v>
      </c>
      <c r="B128" s="356" t="s">
        <v>133</v>
      </c>
      <c r="C128" s="356" t="s">
        <v>129</v>
      </c>
      <c r="D128" s="356" t="s">
        <v>140</v>
      </c>
      <c r="E128" s="357">
        <v>39127</v>
      </c>
      <c r="F128" s="360"/>
      <c r="G128" s="358">
        <v>1</v>
      </c>
      <c r="H128" s="359" t="s">
        <v>392</v>
      </c>
      <c r="I128" s="360">
        <v>1</v>
      </c>
      <c r="J128" s="360">
        <v>0</v>
      </c>
      <c r="K128" s="361">
        <v>6</v>
      </c>
      <c r="L128" s="360">
        <v>8</v>
      </c>
      <c r="M128" s="360">
        <v>3</v>
      </c>
      <c r="N128" s="360">
        <v>2</v>
      </c>
      <c r="O128" s="360">
        <v>1</v>
      </c>
      <c r="P128" s="360">
        <v>10</v>
      </c>
      <c r="Q128" s="360">
        <v>0</v>
      </c>
      <c r="R128" s="360">
        <v>0</v>
      </c>
      <c r="S128" s="360">
        <v>27</v>
      </c>
      <c r="T128" s="360">
        <v>103</v>
      </c>
      <c r="U128" s="360">
        <v>72</v>
      </c>
      <c r="V128" s="360">
        <v>1</v>
      </c>
      <c r="W128" s="362">
        <v>1</v>
      </c>
      <c r="X128" s="360">
        <v>0</v>
      </c>
      <c r="Y128" s="360">
        <v>0</v>
      </c>
      <c r="Z128" s="360">
        <v>3</v>
      </c>
      <c r="AA128" s="360">
        <v>1</v>
      </c>
      <c r="AB128" s="360">
        <v>0</v>
      </c>
      <c r="AC128" s="361">
        <v>3</v>
      </c>
      <c r="AD128" s="360">
        <v>0</v>
      </c>
      <c r="AE128" s="360">
        <v>0</v>
      </c>
      <c r="AF128" s="360">
        <v>0</v>
      </c>
      <c r="AG128" s="360">
        <v>0</v>
      </c>
      <c r="AH128" s="360">
        <v>3</v>
      </c>
      <c r="AI128" s="360">
        <v>0</v>
      </c>
      <c r="AJ128" s="360">
        <v>0</v>
      </c>
      <c r="AK128" s="360">
        <v>9</v>
      </c>
      <c r="AL128" s="360">
        <v>37</v>
      </c>
      <c r="AM128" s="360">
        <v>27</v>
      </c>
      <c r="AN128" s="363" t="s">
        <v>273</v>
      </c>
      <c r="AO128" s="364">
        <v>5</v>
      </c>
      <c r="AP128" s="364">
        <v>1</v>
      </c>
      <c r="AQ128" s="364">
        <v>2</v>
      </c>
      <c r="AR128" s="364">
        <v>2</v>
      </c>
      <c r="AS128" s="364">
        <v>0</v>
      </c>
      <c r="AT128" s="364">
        <v>1</v>
      </c>
      <c r="AU128" s="364">
        <v>0</v>
      </c>
      <c r="AV128" s="364">
        <v>0</v>
      </c>
      <c r="AW128" s="365">
        <v>6</v>
      </c>
      <c r="AX128" s="363" t="s">
        <v>384</v>
      </c>
      <c r="AY128" s="364">
        <v>4</v>
      </c>
      <c r="AZ128" s="364">
        <v>1</v>
      </c>
      <c r="BA128" s="364">
        <v>1</v>
      </c>
      <c r="BB128" s="364">
        <v>0</v>
      </c>
      <c r="BC128" s="364">
        <v>0</v>
      </c>
      <c r="BD128" s="364">
        <v>1</v>
      </c>
      <c r="BE128" s="364">
        <v>1</v>
      </c>
      <c r="BF128" s="364">
        <v>0</v>
      </c>
      <c r="BG128" s="365">
        <v>1</v>
      </c>
      <c r="BH128" s="363" t="s">
        <v>391</v>
      </c>
      <c r="BI128" s="364">
        <v>4</v>
      </c>
      <c r="BJ128" s="364">
        <v>1</v>
      </c>
      <c r="BK128" s="364">
        <v>0</v>
      </c>
      <c r="BL128" s="364">
        <v>0</v>
      </c>
      <c r="BM128" s="364">
        <v>1</v>
      </c>
      <c r="BN128" s="364">
        <v>1</v>
      </c>
      <c r="BO128" s="364">
        <v>0</v>
      </c>
      <c r="BP128" s="364">
        <v>0</v>
      </c>
      <c r="BQ128" s="365">
        <v>0</v>
      </c>
      <c r="BR128" s="363" t="s">
        <v>390</v>
      </c>
      <c r="BS128" s="364">
        <v>4</v>
      </c>
      <c r="BT128" s="364">
        <v>0</v>
      </c>
      <c r="BU128" s="364">
        <v>0</v>
      </c>
      <c r="BV128" s="364">
        <v>0</v>
      </c>
      <c r="BW128" s="364">
        <v>0</v>
      </c>
      <c r="BX128" s="364">
        <v>2</v>
      </c>
      <c r="BY128" s="364">
        <v>0</v>
      </c>
      <c r="BZ128" s="364">
        <v>0</v>
      </c>
      <c r="CA128" s="365">
        <v>0</v>
      </c>
      <c r="CB128" s="363" t="s">
        <v>274</v>
      </c>
      <c r="CC128" s="364">
        <v>3</v>
      </c>
      <c r="CD128" s="364">
        <v>0</v>
      </c>
      <c r="CE128" s="364">
        <v>1</v>
      </c>
      <c r="CF128" s="364">
        <v>0</v>
      </c>
      <c r="CG128" s="364">
        <v>1</v>
      </c>
      <c r="CH128" s="364">
        <v>0</v>
      </c>
      <c r="CI128" s="364">
        <v>0</v>
      </c>
      <c r="CJ128" s="364">
        <v>0</v>
      </c>
      <c r="CK128" s="365">
        <v>1</v>
      </c>
      <c r="CL128" s="363" t="s">
        <v>389</v>
      </c>
      <c r="CM128" s="364">
        <v>4</v>
      </c>
      <c r="CN128" s="364">
        <v>0</v>
      </c>
      <c r="CO128" s="364">
        <v>1</v>
      </c>
      <c r="CP128" s="364">
        <v>2</v>
      </c>
      <c r="CQ128" s="364">
        <v>0</v>
      </c>
      <c r="CR128" s="364">
        <v>1</v>
      </c>
      <c r="CS128" s="364">
        <v>0</v>
      </c>
      <c r="CT128" s="364">
        <v>0</v>
      </c>
      <c r="CU128" s="365">
        <v>1</v>
      </c>
      <c r="CV128" s="363" t="s">
        <v>272</v>
      </c>
      <c r="CW128" s="364">
        <v>3</v>
      </c>
      <c r="CX128" s="364">
        <v>0</v>
      </c>
      <c r="CY128" s="364">
        <v>0</v>
      </c>
      <c r="CZ128" s="364">
        <v>0</v>
      </c>
      <c r="DA128" s="364">
        <v>1</v>
      </c>
      <c r="DB128" s="364">
        <v>1</v>
      </c>
      <c r="DC128" s="364">
        <v>0</v>
      </c>
      <c r="DD128" s="364">
        <v>0</v>
      </c>
      <c r="DE128" s="365">
        <v>0</v>
      </c>
      <c r="DF128" s="363" t="s">
        <v>271</v>
      </c>
      <c r="DG128" s="364">
        <v>2</v>
      </c>
      <c r="DH128" s="364">
        <v>1</v>
      </c>
      <c r="DI128" s="364">
        <v>1</v>
      </c>
      <c r="DJ128" s="364">
        <v>0</v>
      </c>
      <c r="DK128" s="364">
        <v>2</v>
      </c>
      <c r="DL128" s="364">
        <v>0</v>
      </c>
      <c r="DM128" s="364">
        <v>0</v>
      </c>
      <c r="DN128" s="364">
        <v>0</v>
      </c>
      <c r="DO128" s="365">
        <v>2</v>
      </c>
      <c r="DP128" s="363" t="s">
        <v>388</v>
      </c>
      <c r="DQ128" s="364">
        <v>4</v>
      </c>
      <c r="DR128" s="364">
        <v>0</v>
      </c>
      <c r="DS128" s="364">
        <v>0</v>
      </c>
      <c r="DT128" s="364">
        <v>0</v>
      </c>
      <c r="DU128" s="364">
        <v>0</v>
      </c>
      <c r="DV128" s="364">
        <v>1</v>
      </c>
      <c r="DW128" s="364">
        <v>0</v>
      </c>
      <c r="DX128" s="364">
        <v>0</v>
      </c>
      <c r="DY128" s="365">
        <v>0</v>
      </c>
      <c r="DZ128" s="366">
        <f>5+1/3</f>
        <v>5.333333333333333</v>
      </c>
      <c r="EA128" s="367">
        <v>0</v>
      </c>
      <c r="EB128" s="367">
        <v>0</v>
      </c>
      <c r="EC128" s="368">
        <f>3+2/3</f>
        <v>3.6666666666666665</v>
      </c>
      <c r="ED128" s="367">
        <v>0</v>
      </c>
      <c r="EE128" s="369">
        <v>0</v>
      </c>
      <c r="EF128" s="370">
        <v>3</v>
      </c>
      <c r="EG128" s="367">
        <v>1</v>
      </c>
      <c r="EH128" s="367">
        <v>0</v>
      </c>
      <c r="EI128" s="367">
        <v>0</v>
      </c>
      <c r="EJ128" s="367">
        <v>0</v>
      </c>
      <c r="EK128" s="367">
        <v>0</v>
      </c>
      <c r="EL128" s="367">
        <v>0</v>
      </c>
      <c r="EM128" s="367">
        <v>0</v>
      </c>
      <c r="EN128" s="367">
        <v>0</v>
      </c>
      <c r="EO128" s="367"/>
      <c r="EP128" s="367"/>
      <c r="EQ128" s="367"/>
      <c r="ER128" s="367"/>
      <c r="ES128" s="369">
        <f t="shared" si="128"/>
        <v>4</v>
      </c>
      <c r="ET128" s="367">
        <v>0</v>
      </c>
      <c r="EU128" s="367">
        <v>0</v>
      </c>
      <c r="EV128" s="367">
        <v>2</v>
      </c>
      <c r="EW128" s="367">
        <v>0</v>
      </c>
      <c r="EX128" s="367">
        <v>0</v>
      </c>
      <c r="EY128" s="367">
        <v>0</v>
      </c>
      <c r="EZ128" s="367">
        <v>1</v>
      </c>
      <c r="FA128" s="367">
        <v>0</v>
      </c>
      <c r="FB128" s="367">
        <v>0</v>
      </c>
      <c r="FC128" s="367"/>
      <c r="FD128" s="367"/>
      <c r="FE128" s="367"/>
      <c r="FF128" s="367"/>
      <c r="FG128" s="367">
        <f t="shared" si="129"/>
        <v>3</v>
      </c>
      <c r="FH128" s="371">
        <v>33</v>
      </c>
      <c r="FI128" s="371">
        <v>4</v>
      </c>
      <c r="FJ128" s="371">
        <v>6</v>
      </c>
      <c r="FK128" s="371">
        <v>4</v>
      </c>
      <c r="FL128" s="371">
        <v>5</v>
      </c>
      <c r="FM128" s="371">
        <v>8</v>
      </c>
      <c r="FN128" s="371">
        <f t="shared" si="132"/>
        <v>0</v>
      </c>
      <c r="FO128" s="371">
        <f t="shared" si="133"/>
        <v>0</v>
      </c>
      <c r="FP128" s="371">
        <f t="shared" ref="FP128:FU128" si="138">((SUM(AO128,AY128,BI128,BS128,CC128,CM128,CW128,DG128,DQ128))-(FH128))</f>
        <v>0</v>
      </c>
      <c r="FQ128" s="371">
        <f t="shared" si="138"/>
        <v>0</v>
      </c>
      <c r="FR128" s="371">
        <f t="shared" si="138"/>
        <v>0</v>
      </c>
      <c r="FS128" s="371">
        <f t="shared" si="138"/>
        <v>0</v>
      </c>
      <c r="FT128" s="371">
        <f t="shared" si="138"/>
        <v>0</v>
      </c>
      <c r="FU128" s="371">
        <f t="shared" si="138"/>
        <v>0</v>
      </c>
      <c r="FV128" s="371">
        <f t="shared" ref="FV128:GI128" si="139">(EF128-ET128)</f>
        <v>3</v>
      </c>
      <c r="FW128" s="371">
        <f t="shared" si="139"/>
        <v>1</v>
      </c>
      <c r="FX128" s="371">
        <f t="shared" si="139"/>
        <v>-2</v>
      </c>
      <c r="FY128" s="371">
        <f t="shared" si="139"/>
        <v>0</v>
      </c>
      <c r="FZ128" s="371">
        <f t="shared" si="139"/>
        <v>0</v>
      </c>
      <c r="GA128" s="371">
        <f t="shared" si="139"/>
        <v>0</v>
      </c>
      <c r="GB128" s="371">
        <f t="shared" si="139"/>
        <v>-1</v>
      </c>
      <c r="GC128" s="371">
        <f t="shared" si="139"/>
        <v>0</v>
      </c>
      <c r="GD128" s="371">
        <f t="shared" si="139"/>
        <v>0</v>
      </c>
      <c r="GE128" s="371">
        <f t="shared" si="139"/>
        <v>0</v>
      </c>
      <c r="GF128" s="371">
        <f t="shared" si="139"/>
        <v>0</v>
      </c>
      <c r="GG128" s="371">
        <f t="shared" si="139"/>
        <v>0</v>
      </c>
      <c r="GH128" s="371">
        <f t="shared" si="139"/>
        <v>0</v>
      </c>
      <c r="GI128" s="371">
        <f t="shared" si="139"/>
        <v>1</v>
      </c>
      <c r="GJ128" s="372"/>
      <c r="GK128" s="367"/>
      <c r="GL128" s="376"/>
      <c r="GM128" s="376"/>
      <c r="GN128" s="84"/>
    </row>
    <row r="129" spans="1:196" x14ac:dyDescent="0.25">
      <c r="A129" s="356">
        <v>40414</v>
      </c>
      <c r="B129" s="356" t="s">
        <v>133</v>
      </c>
      <c r="C129" s="356" t="s">
        <v>129</v>
      </c>
      <c r="D129" s="356" t="s">
        <v>140</v>
      </c>
      <c r="E129" s="357">
        <v>43577</v>
      </c>
      <c r="F129" s="360"/>
      <c r="G129" s="358">
        <v>2</v>
      </c>
      <c r="H129" s="359" t="s">
        <v>393</v>
      </c>
      <c r="I129" s="360">
        <v>1</v>
      </c>
      <c r="J129" s="360">
        <v>0</v>
      </c>
      <c r="K129" s="361">
        <f>5+1/3</f>
        <v>5.333333333333333</v>
      </c>
      <c r="L129" s="360">
        <v>6</v>
      </c>
      <c r="M129" s="360">
        <v>2</v>
      </c>
      <c r="N129" s="360">
        <v>2</v>
      </c>
      <c r="O129" s="360">
        <v>3</v>
      </c>
      <c r="P129" s="360">
        <v>5</v>
      </c>
      <c r="Q129" s="360">
        <v>0</v>
      </c>
      <c r="R129" s="360">
        <v>0</v>
      </c>
      <c r="S129" s="360">
        <v>25</v>
      </c>
      <c r="T129" s="360">
        <v>85</v>
      </c>
      <c r="U129" s="360">
        <v>50</v>
      </c>
      <c r="V129" s="360">
        <v>2</v>
      </c>
      <c r="W129" s="362">
        <v>1</v>
      </c>
      <c r="X129" s="360">
        <v>0</v>
      </c>
      <c r="Y129" s="360">
        <v>0</v>
      </c>
      <c r="Z129" s="360">
        <v>1</v>
      </c>
      <c r="AA129" s="360">
        <v>0</v>
      </c>
      <c r="AB129" s="360">
        <v>0</v>
      </c>
      <c r="AC129" s="361">
        <f>3+2/3</f>
        <v>3.6666666666666665</v>
      </c>
      <c r="AD129" s="360">
        <v>4</v>
      </c>
      <c r="AE129" s="360">
        <v>1</v>
      </c>
      <c r="AF129" s="360">
        <v>1</v>
      </c>
      <c r="AG129" s="360">
        <v>1</v>
      </c>
      <c r="AH129" s="360">
        <v>1</v>
      </c>
      <c r="AI129" s="360">
        <v>1</v>
      </c>
      <c r="AJ129" s="360">
        <v>2</v>
      </c>
      <c r="AK129" s="360">
        <v>17</v>
      </c>
      <c r="AL129" s="360">
        <v>51</v>
      </c>
      <c r="AM129" s="360">
        <v>32</v>
      </c>
      <c r="AN129" s="363" t="s">
        <v>275</v>
      </c>
      <c r="AO129" s="364">
        <v>4</v>
      </c>
      <c r="AP129" s="364">
        <v>0</v>
      </c>
      <c r="AQ129" s="364">
        <v>2</v>
      </c>
      <c r="AR129" s="364">
        <v>2</v>
      </c>
      <c r="AS129" s="364">
        <v>0</v>
      </c>
      <c r="AT129" s="364">
        <v>1</v>
      </c>
      <c r="AU129" s="364">
        <v>0</v>
      </c>
      <c r="AV129" s="364">
        <v>0</v>
      </c>
      <c r="AW129" s="365">
        <v>2</v>
      </c>
      <c r="AX129" s="363" t="s">
        <v>389</v>
      </c>
      <c r="AY129" s="364">
        <v>3</v>
      </c>
      <c r="AZ129" s="364">
        <v>2</v>
      </c>
      <c r="BA129" s="364">
        <v>1</v>
      </c>
      <c r="BB129" s="364">
        <v>1</v>
      </c>
      <c r="BC129" s="364">
        <v>1</v>
      </c>
      <c r="BD129" s="364">
        <v>0</v>
      </c>
      <c r="BE129" s="364">
        <v>0</v>
      </c>
      <c r="BF129" s="364">
        <v>1</v>
      </c>
      <c r="BG129" s="365">
        <v>1</v>
      </c>
      <c r="BH129" s="363" t="s">
        <v>391</v>
      </c>
      <c r="BI129" s="364">
        <v>5</v>
      </c>
      <c r="BJ129" s="364">
        <v>1</v>
      </c>
      <c r="BK129" s="364">
        <v>1</v>
      </c>
      <c r="BL129" s="364">
        <v>2</v>
      </c>
      <c r="BM129" s="364">
        <v>0</v>
      </c>
      <c r="BN129" s="364">
        <v>2</v>
      </c>
      <c r="BO129" s="364">
        <v>0</v>
      </c>
      <c r="BP129" s="364">
        <v>0</v>
      </c>
      <c r="BQ129" s="365">
        <v>2</v>
      </c>
      <c r="BR129" s="363" t="s">
        <v>390</v>
      </c>
      <c r="BS129" s="364">
        <v>5</v>
      </c>
      <c r="BT129" s="364">
        <v>1</v>
      </c>
      <c r="BU129" s="364">
        <v>3</v>
      </c>
      <c r="BV129" s="364">
        <v>2</v>
      </c>
      <c r="BW129" s="364">
        <v>0</v>
      </c>
      <c r="BX129" s="364">
        <v>0</v>
      </c>
      <c r="BY129" s="364">
        <v>0</v>
      </c>
      <c r="BZ129" s="364">
        <v>0</v>
      </c>
      <c r="CA129" s="365">
        <v>7</v>
      </c>
      <c r="CB129" s="363" t="s">
        <v>274</v>
      </c>
      <c r="CC129" s="364">
        <v>3</v>
      </c>
      <c r="CD129" s="364">
        <v>1</v>
      </c>
      <c r="CE129" s="364">
        <v>0</v>
      </c>
      <c r="CF129" s="364">
        <v>0</v>
      </c>
      <c r="CG129" s="364">
        <v>2</v>
      </c>
      <c r="CH129" s="364">
        <v>3</v>
      </c>
      <c r="CI129" s="364">
        <v>0</v>
      </c>
      <c r="CJ129" s="364">
        <v>0</v>
      </c>
      <c r="CK129" s="365">
        <v>0</v>
      </c>
      <c r="CL129" s="363" t="s">
        <v>387</v>
      </c>
      <c r="CM129" s="364">
        <v>3</v>
      </c>
      <c r="CN129" s="364">
        <v>2</v>
      </c>
      <c r="CO129" s="364">
        <v>2</v>
      </c>
      <c r="CP129" s="364">
        <v>2</v>
      </c>
      <c r="CQ129" s="364">
        <v>1</v>
      </c>
      <c r="CR129" s="364">
        <v>0</v>
      </c>
      <c r="CS129" s="364">
        <v>0</v>
      </c>
      <c r="CT129" s="364">
        <v>1</v>
      </c>
      <c r="CU129" s="365">
        <v>5</v>
      </c>
      <c r="CV129" s="363" t="s">
        <v>332</v>
      </c>
      <c r="CW129" s="364">
        <v>5</v>
      </c>
      <c r="CX129" s="364">
        <v>1</v>
      </c>
      <c r="CY129" s="364">
        <v>2</v>
      </c>
      <c r="CZ129" s="364">
        <v>1</v>
      </c>
      <c r="DA129" s="364">
        <v>0</v>
      </c>
      <c r="DB129" s="364">
        <v>0</v>
      </c>
      <c r="DC129" s="364">
        <v>0</v>
      </c>
      <c r="DD129" s="364">
        <v>0</v>
      </c>
      <c r="DE129" s="365">
        <v>3</v>
      </c>
      <c r="DF129" s="363" t="s">
        <v>273</v>
      </c>
      <c r="DG129" s="364">
        <v>3</v>
      </c>
      <c r="DH129" s="364">
        <v>1</v>
      </c>
      <c r="DI129" s="364">
        <v>0</v>
      </c>
      <c r="DJ129" s="364">
        <v>0</v>
      </c>
      <c r="DK129" s="364">
        <v>1</v>
      </c>
      <c r="DL129" s="364">
        <v>2</v>
      </c>
      <c r="DM129" s="364">
        <v>0</v>
      </c>
      <c r="DN129" s="364">
        <v>0</v>
      </c>
      <c r="DO129" s="365">
        <v>0</v>
      </c>
      <c r="DP129" s="363" t="s">
        <v>384</v>
      </c>
      <c r="DQ129" s="364">
        <v>4</v>
      </c>
      <c r="DR129" s="364">
        <v>1</v>
      </c>
      <c r="DS129" s="364">
        <v>2</v>
      </c>
      <c r="DT129" s="364">
        <v>0</v>
      </c>
      <c r="DU129" s="364">
        <v>0</v>
      </c>
      <c r="DV129" s="364">
        <v>0</v>
      </c>
      <c r="DW129" s="364">
        <v>0</v>
      </c>
      <c r="DX129" s="364">
        <v>0</v>
      </c>
      <c r="DY129" s="365">
        <v>3</v>
      </c>
      <c r="DZ129" s="366">
        <v>1</v>
      </c>
      <c r="EA129" s="367">
        <v>0</v>
      </c>
      <c r="EB129" s="367">
        <v>0</v>
      </c>
      <c r="EC129" s="368">
        <v>8</v>
      </c>
      <c r="ED129" s="367">
        <v>2</v>
      </c>
      <c r="EE129" s="369">
        <v>2</v>
      </c>
      <c r="EF129" s="370">
        <v>0</v>
      </c>
      <c r="EG129" s="367">
        <v>4</v>
      </c>
      <c r="EH129" s="367">
        <v>1</v>
      </c>
      <c r="EI129" s="367">
        <v>0</v>
      </c>
      <c r="EJ129" s="367">
        <v>0</v>
      </c>
      <c r="EK129" s="367">
        <v>1</v>
      </c>
      <c r="EL129" s="367">
        <v>1</v>
      </c>
      <c r="EM129" s="367">
        <v>0</v>
      </c>
      <c r="EN129" s="367">
        <v>3</v>
      </c>
      <c r="EO129" s="367"/>
      <c r="EP129" s="367"/>
      <c r="EQ129" s="367"/>
      <c r="ER129" s="367"/>
      <c r="ES129" s="369">
        <f t="shared" si="128"/>
        <v>10</v>
      </c>
      <c r="ET129" s="367">
        <v>0</v>
      </c>
      <c r="EU129" s="367">
        <v>1</v>
      </c>
      <c r="EV129" s="367">
        <v>0</v>
      </c>
      <c r="EW129" s="367">
        <v>0</v>
      </c>
      <c r="EX129" s="367">
        <v>0</v>
      </c>
      <c r="EY129" s="367">
        <v>1</v>
      </c>
      <c r="EZ129" s="367">
        <v>1</v>
      </c>
      <c r="FA129" s="367">
        <v>0</v>
      </c>
      <c r="FB129" s="367">
        <v>0</v>
      </c>
      <c r="FC129" s="367"/>
      <c r="FD129" s="367"/>
      <c r="FE129" s="367"/>
      <c r="FF129" s="367"/>
      <c r="FG129" s="367">
        <f t="shared" si="129"/>
        <v>3</v>
      </c>
      <c r="FH129" s="371">
        <v>35</v>
      </c>
      <c r="FI129" s="371">
        <v>10</v>
      </c>
      <c r="FJ129" s="371">
        <v>13</v>
      </c>
      <c r="FK129" s="371">
        <v>10</v>
      </c>
      <c r="FL129" s="371">
        <v>5</v>
      </c>
      <c r="FM129" s="371">
        <v>8</v>
      </c>
      <c r="FN129" s="371">
        <f t="shared" si="132"/>
        <v>0</v>
      </c>
      <c r="FO129" s="371">
        <f t="shared" si="133"/>
        <v>0</v>
      </c>
      <c r="FP129" s="371">
        <f t="shared" ref="FP129:FU130" si="140">((SUM(AO129,AY129,BI129,BS129,CC129,CM129,CW129,DG129,DQ129))-(FH129))</f>
        <v>0</v>
      </c>
      <c r="FQ129" s="371">
        <f t="shared" si="140"/>
        <v>0</v>
      </c>
      <c r="FR129" s="371">
        <f t="shared" si="140"/>
        <v>0</v>
      </c>
      <c r="FS129" s="371">
        <f t="shared" si="140"/>
        <v>0</v>
      </c>
      <c r="FT129" s="371">
        <f t="shared" si="140"/>
        <v>0</v>
      </c>
      <c r="FU129" s="371">
        <f t="shared" si="140"/>
        <v>0</v>
      </c>
      <c r="FV129" s="371">
        <f t="shared" ref="FV129:GI130" si="141">(EF129-ET129)</f>
        <v>0</v>
      </c>
      <c r="FW129" s="371">
        <f t="shared" si="141"/>
        <v>3</v>
      </c>
      <c r="FX129" s="371">
        <f t="shared" si="141"/>
        <v>1</v>
      </c>
      <c r="FY129" s="371">
        <f t="shared" si="141"/>
        <v>0</v>
      </c>
      <c r="FZ129" s="371">
        <f t="shared" si="141"/>
        <v>0</v>
      </c>
      <c r="GA129" s="371">
        <f t="shared" si="141"/>
        <v>0</v>
      </c>
      <c r="GB129" s="371">
        <f t="shared" si="141"/>
        <v>0</v>
      </c>
      <c r="GC129" s="371">
        <f t="shared" si="141"/>
        <v>0</v>
      </c>
      <c r="GD129" s="371">
        <f t="shared" si="141"/>
        <v>3</v>
      </c>
      <c r="GE129" s="371">
        <f t="shared" si="141"/>
        <v>0</v>
      </c>
      <c r="GF129" s="371">
        <f t="shared" si="141"/>
        <v>0</v>
      </c>
      <c r="GG129" s="371">
        <f t="shared" si="141"/>
        <v>0</v>
      </c>
      <c r="GH129" s="371">
        <f t="shared" si="141"/>
        <v>0</v>
      </c>
      <c r="GI129" s="371">
        <f t="shared" si="141"/>
        <v>7</v>
      </c>
      <c r="GJ129" s="372"/>
      <c r="GK129" s="367"/>
      <c r="GL129" s="360"/>
      <c r="GM129" s="360"/>
      <c r="GN129" s="39"/>
    </row>
    <row r="130" spans="1:196" x14ac:dyDescent="0.25">
      <c r="A130" s="356">
        <v>40415</v>
      </c>
      <c r="B130" s="356" t="s">
        <v>133</v>
      </c>
      <c r="C130" s="356" t="s">
        <v>131</v>
      </c>
      <c r="D130" s="356" t="s">
        <v>140</v>
      </c>
      <c r="E130" s="357">
        <v>37009</v>
      </c>
      <c r="F130" s="360"/>
      <c r="G130" s="358">
        <v>3</v>
      </c>
      <c r="H130" s="359" t="s">
        <v>395</v>
      </c>
      <c r="I130" s="360">
        <v>0</v>
      </c>
      <c r="J130" s="360">
        <v>1</v>
      </c>
      <c r="K130" s="361">
        <f>3+1/3</f>
        <v>3.3333333333333335</v>
      </c>
      <c r="L130" s="360">
        <v>8</v>
      </c>
      <c r="M130" s="360">
        <v>10</v>
      </c>
      <c r="N130" s="360">
        <v>10</v>
      </c>
      <c r="O130" s="360">
        <v>3</v>
      </c>
      <c r="P130" s="360">
        <v>2</v>
      </c>
      <c r="Q130" s="360">
        <v>1</v>
      </c>
      <c r="R130" s="360">
        <v>1</v>
      </c>
      <c r="S130" s="360">
        <v>22</v>
      </c>
      <c r="T130" s="360">
        <v>76</v>
      </c>
      <c r="U130" s="360">
        <v>44</v>
      </c>
      <c r="V130" s="360">
        <v>2</v>
      </c>
      <c r="W130" s="362">
        <v>2</v>
      </c>
      <c r="X130" s="360">
        <v>0</v>
      </c>
      <c r="Y130" s="360">
        <v>0</v>
      </c>
      <c r="Z130" s="360">
        <v>0</v>
      </c>
      <c r="AA130" s="360">
        <v>0</v>
      </c>
      <c r="AB130" s="360">
        <v>0</v>
      </c>
      <c r="AC130" s="361">
        <f>4+2/3</f>
        <v>4.666666666666667</v>
      </c>
      <c r="AD130" s="360">
        <v>9</v>
      </c>
      <c r="AE130" s="360">
        <v>2</v>
      </c>
      <c r="AF130" s="360">
        <v>2</v>
      </c>
      <c r="AG130" s="360">
        <v>2</v>
      </c>
      <c r="AH130" s="360">
        <v>3</v>
      </c>
      <c r="AI130" s="360">
        <v>0</v>
      </c>
      <c r="AJ130" s="360">
        <v>1</v>
      </c>
      <c r="AK130" s="360">
        <v>26</v>
      </c>
      <c r="AL130" s="360">
        <v>101</v>
      </c>
      <c r="AM130" s="360">
        <v>58</v>
      </c>
      <c r="AN130" s="363" t="s">
        <v>275</v>
      </c>
      <c r="AO130" s="364">
        <v>5</v>
      </c>
      <c r="AP130" s="364">
        <v>1</v>
      </c>
      <c r="AQ130" s="364">
        <v>3</v>
      </c>
      <c r="AR130" s="364">
        <v>3</v>
      </c>
      <c r="AS130" s="364">
        <v>0</v>
      </c>
      <c r="AT130" s="364">
        <v>0</v>
      </c>
      <c r="AU130" s="364">
        <v>0</v>
      </c>
      <c r="AV130" s="364">
        <v>0</v>
      </c>
      <c r="AW130" s="365">
        <v>7</v>
      </c>
      <c r="AX130" s="363" t="s">
        <v>389</v>
      </c>
      <c r="AY130" s="364">
        <v>5</v>
      </c>
      <c r="AZ130" s="364">
        <v>0</v>
      </c>
      <c r="BA130" s="364">
        <v>0</v>
      </c>
      <c r="BB130" s="364">
        <v>0</v>
      </c>
      <c r="BC130" s="364">
        <v>0</v>
      </c>
      <c r="BD130" s="364">
        <v>2</v>
      </c>
      <c r="BE130" s="364">
        <v>0</v>
      </c>
      <c r="BF130" s="364">
        <v>0</v>
      </c>
      <c r="BG130" s="365">
        <v>0</v>
      </c>
      <c r="BH130" s="363" t="s">
        <v>391</v>
      </c>
      <c r="BI130" s="364">
        <v>4</v>
      </c>
      <c r="BJ130" s="364">
        <v>0</v>
      </c>
      <c r="BK130" s="364">
        <v>0</v>
      </c>
      <c r="BL130" s="364">
        <v>0</v>
      </c>
      <c r="BM130" s="364">
        <v>1</v>
      </c>
      <c r="BN130" s="364">
        <v>1</v>
      </c>
      <c r="BO130" s="364">
        <v>0</v>
      </c>
      <c r="BP130" s="364">
        <v>0</v>
      </c>
      <c r="BQ130" s="365">
        <v>0</v>
      </c>
      <c r="BR130" s="363" t="s">
        <v>390</v>
      </c>
      <c r="BS130" s="364">
        <v>4</v>
      </c>
      <c r="BT130" s="364">
        <v>0</v>
      </c>
      <c r="BU130" s="364">
        <v>1</v>
      </c>
      <c r="BV130" s="364">
        <v>0</v>
      </c>
      <c r="BW130" s="364">
        <v>0</v>
      </c>
      <c r="BX130" s="364">
        <v>0</v>
      </c>
      <c r="BY130" s="364">
        <v>0</v>
      </c>
      <c r="BZ130" s="364">
        <v>0</v>
      </c>
      <c r="CA130" s="365">
        <v>1</v>
      </c>
      <c r="CB130" s="363" t="s">
        <v>274</v>
      </c>
      <c r="CC130" s="364">
        <v>4</v>
      </c>
      <c r="CD130" s="364">
        <v>0</v>
      </c>
      <c r="CE130" s="364">
        <v>1</v>
      </c>
      <c r="CF130" s="364">
        <v>0</v>
      </c>
      <c r="CG130" s="364">
        <v>0</v>
      </c>
      <c r="CH130" s="364">
        <v>1</v>
      </c>
      <c r="CI130" s="364">
        <v>0</v>
      </c>
      <c r="CJ130" s="364">
        <v>0</v>
      </c>
      <c r="CK130" s="365">
        <v>2</v>
      </c>
      <c r="CL130" s="363" t="s">
        <v>387</v>
      </c>
      <c r="CM130" s="364">
        <v>2</v>
      </c>
      <c r="CN130" s="364">
        <v>0</v>
      </c>
      <c r="CO130" s="364">
        <v>0</v>
      </c>
      <c r="CP130" s="364">
        <v>0</v>
      </c>
      <c r="CQ130" s="364">
        <v>2</v>
      </c>
      <c r="CR130" s="364">
        <v>1</v>
      </c>
      <c r="CS130" s="364">
        <v>0</v>
      </c>
      <c r="CT130" s="364">
        <v>0</v>
      </c>
      <c r="CU130" s="365">
        <v>0</v>
      </c>
      <c r="CV130" s="363" t="s">
        <v>332</v>
      </c>
      <c r="CW130" s="364">
        <v>3</v>
      </c>
      <c r="CX130" s="364">
        <v>0</v>
      </c>
      <c r="CY130" s="364">
        <v>0</v>
      </c>
      <c r="CZ130" s="364">
        <v>0</v>
      </c>
      <c r="DA130" s="364">
        <v>1</v>
      </c>
      <c r="DB130" s="364">
        <v>1</v>
      </c>
      <c r="DC130" s="364">
        <v>0</v>
      </c>
      <c r="DD130" s="364">
        <v>0</v>
      </c>
      <c r="DE130" s="365">
        <v>0</v>
      </c>
      <c r="DF130" s="363" t="s">
        <v>273</v>
      </c>
      <c r="DG130" s="364">
        <v>3</v>
      </c>
      <c r="DH130" s="364">
        <v>1</v>
      </c>
      <c r="DI130" s="364">
        <v>0</v>
      </c>
      <c r="DJ130" s="364">
        <v>0</v>
      </c>
      <c r="DK130" s="364">
        <v>1</v>
      </c>
      <c r="DL130" s="364">
        <v>2</v>
      </c>
      <c r="DM130" s="364">
        <v>0</v>
      </c>
      <c r="DN130" s="364">
        <v>0</v>
      </c>
      <c r="DO130" s="365">
        <v>0</v>
      </c>
      <c r="DP130" s="363" t="s">
        <v>385</v>
      </c>
      <c r="DQ130" s="364">
        <v>4</v>
      </c>
      <c r="DR130" s="364">
        <v>1</v>
      </c>
      <c r="DS130" s="364">
        <v>2</v>
      </c>
      <c r="DT130" s="364">
        <v>0</v>
      </c>
      <c r="DU130" s="364">
        <v>0</v>
      </c>
      <c r="DV130" s="364">
        <v>1</v>
      </c>
      <c r="DW130" s="364">
        <v>0</v>
      </c>
      <c r="DX130" s="364">
        <v>0</v>
      </c>
      <c r="DY130" s="365">
        <v>2</v>
      </c>
      <c r="DZ130" s="366">
        <v>0</v>
      </c>
      <c r="EA130" s="367">
        <v>0</v>
      </c>
      <c r="EB130" s="367">
        <v>0</v>
      </c>
      <c r="EC130" s="368">
        <v>9</v>
      </c>
      <c r="ED130" s="367">
        <v>0</v>
      </c>
      <c r="EE130" s="369">
        <v>0</v>
      </c>
      <c r="EF130" s="370">
        <v>1</v>
      </c>
      <c r="EG130" s="367">
        <v>0</v>
      </c>
      <c r="EH130" s="367">
        <v>0</v>
      </c>
      <c r="EI130" s="367">
        <v>0</v>
      </c>
      <c r="EJ130" s="367">
        <v>0</v>
      </c>
      <c r="EK130" s="367">
        <v>0</v>
      </c>
      <c r="EL130" s="367">
        <v>2</v>
      </c>
      <c r="EM130" s="367">
        <v>0</v>
      </c>
      <c r="EN130" s="367">
        <v>0</v>
      </c>
      <c r="EO130" s="367"/>
      <c r="EP130" s="367"/>
      <c r="EQ130" s="367"/>
      <c r="ER130" s="367"/>
      <c r="ES130" s="369">
        <f t="shared" si="128"/>
        <v>3</v>
      </c>
      <c r="ET130" s="367">
        <v>4</v>
      </c>
      <c r="EU130" s="367">
        <v>0</v>
      </c>
      <c r="EV130" s="367">
        <v>4</v>
      </c>
      <c r="EW130" s="367">
        <v>3</v>
      </c>
      <c r="EX130" s="367">
        <v>0</v>
      </c>
      <c r="EY130" s="367">
        <v>1</v>
      </c>
      <c r="EZ130" s="367">
        <v>0</v>
      </c>
      <c r="FA130" s="367">
        <v>0</v>
      </c>
      <c r="FB130" s="367"/>
      <c r="FC130" s="367"/>
      <c r="FD130" s="367"/>
      <c r="FE130" s="367"/>
      <c r="FF130" s="367"/>
      <c r="FG130" s="367">
        <f t="shared" si="129"/>
        <v>12</v>
      </c>
      <c r="FH130" s="371">
        <v>34</v>
      </c>
      <c r="FI130" s="371">
        <v>3</v>
      </c>
      <c r="FJ130" s="371">
        <v>7</v>
      </c>
      <c r="FK130" s="371">
        <v>3</v>
      </c>
      <c r="FL130" s="371">
        <v>5</v>
      </c>
      <c r="FM130" s="371">
        <v>9</v>
      </c>
      <c r="FN130" s="371">
        <f t="shared" si="132"/>
        <v>0</v>
      </c>
      <c r="FO130" s="371">
        <f t="shared" si="133"/>
        <v>0</v>
      </c>
      <c r="FP130" s="371">
        <f t="shared" si="140"/>
        <v>0</v>
      </c>
      <c r="FQ130" s="371">
        <f t="shared" si="140"/>
        <v>0</v>
      </c>
      <c r="FR130" s="371">
        <f t="shared" si="140"/>
        <v>0</v>
      </c>
      <c r="FS130" s="371">
        <f t="shared" si="140"/>
        <v>0</v>
      </c>
      <c r="FT130" s="371">
        <f t="shared" si="140"/>
        <v>0</v>
      </c>
      <c r="FU130" s="371">
        <f t="shared" si="140"/>
        <v>0</v>
      </c>
      <c r="FV130" s="371">
        <f t="shared" si="141"/>
        <v>-3</v>
      </c>
      <c r="FW130" s="371">
        <f t="shared" si="141"/>
        <v>0</v>
      </c>
      <c r="FX130" s="371">
        <f t="shared" si="141"/>
        <v>-4</v>
      </c>
      <c r="FY130" s="371">
        <f t="shared" si="141"/>
        <v>-3</v>
      </c>
      <c r="FZ130" s="371">
        <f t="shared" si="141"/>
        <v>0</v>
      </c>
      <c r="GA130" s="371">
        <f t="shared" si="141"/>
        <v>-1</v>
      </c>
      <c r="GB130" s="371">
        <f t="shared" si="141"/>
        <v>2</v>
      </c>
      <c r="GC130" s="371">
        <f t="shared" si="141"/>
        <v>0</v>
      </c>
      <c r="GD130" s="371">
        <f t="shared" si="141"/>
        <v>0</v>
      </c>
      <c r="GE130" s="371">
        <f t="shared" si="141"/>
        <v>0</v>
      </c>
      <c r="GF130" s="371">
        <f t="shared" si="141"/>
        <v>0</v>
      </c>
      <c r="GG130" s="371">
        <f t="shared" si="141"/>
        <v>0</v>
      </c>
      <c r="GH130" s="371">
        <f t="shared" si="141"/>
        <v>0</v>
      </c>
      <c r="GI130" s="371">
        <f t="shared" si="141"/>
        <v>-9</v>
      </c>
      <c r="GJ130" s="372"/>
      <c r="GK130" s="367"/>
      <c r="GL130" s="376"/>
      <c r="GM130" s="376"/>
      <c r="GN130" s="84"/>
    </row>
    <row r="131" spans="1:196" x14ac:dyDescent="0.25">
      <c r="A131" s="356">
        <v>40417</v>
      </c>
      <c r="B131" s="356" t="s">
        <v>19</v>
      </c>
      <c r="C131" s="356" t="s">
        <v>131</v>
      </c>
      <c r="D131" s="356" t="s">
        <v>134</v>
      </c>
      <c r="E131" s="357">
        <v>29461</v>
      </c>
      <c r="F131" s="360"/>
      <c r="G131" s="358">
        <v>4</v>
      </c>
      <c r="H131" s="359" t="s">
        <v>394</v>
      </c>
      <c r="I131" s="360">
        <v>0</v>
      </c>
      <c r="J131" s="360">
        <v>1</v>
      </c>
      <c r="K131" s="361">
        <v>7</v>
      </c>
      <c r="L131" s="360">
        <v>10</v>
      </c>
      <c r="M131" s="360">
        <v>3</v>
      </c>
      <c r="N131" s="360">
        <v>3</v>
      </c>
      <c r="O131" s="360">
        <v>0</v>
      </c>
      <c r="P131" s="360">
        <v>8</v>
      </c>
      <c r="Q131" s="360">
        <v>2</v>
      </c>
      <c r="R131" s="360">
        <v>0</v>
      </c>
      <c r="S131" s="360">
        <v>31</v>
      </c>
      <c r="T131" s="360">
        <v>106</v>
      </c>
      <c r="U131" s="360">
        <v>75</v>
      </c>
      <c r="V131" s="360">
        <v>0</v>
      </c>
      <c r="W131" s="362">
        <v>0</v>
      </c>
      <c r="X131" s="360">
        <v>0</v>
      </c>
      <c r="Y131" s="360">
        <v>0</v>
      </c>
      <c r="Z131" s="360">
        <v>0</v>
      </c>
      <c r="AA131" s="360">
        <v>0</v>
      </c>
      <c r="AB131" s="360">
        <v>0</v>
      </c>
      <c r="AC131" s="361">
        <v>2</v>
      </c>
      <c r="AD131" s="360">
        <v>1</v>
      </c>
      <c r="AE131" s="360">
        <v>0</v>
      </c>
      <c r="AF131" s="360">
        <v>0</v>
      </c>
      <c r="AG131" s="360">
        <v>0</v>
      </c>
      <c r="AH131" s="360">
        <v>2</v>
      </c>
      <c r="AI131" s="360">
        <v>0</v>
      </c>
      <c r="AJ131" s="360">
        <v>0</v>
      </c>
      <c r="AK131" s="360">
        <v>6</v>
      </c>
      <c r="AL131" s="360">
        <v>24</v>
      </c>
      <c r="AM131" s="360">
        <v>15</v>
      </c>
      <c r="AN131" s="363" t="s">
        <v>273</v>
      </c>
      <c r="AO131" s="364">
        <v>3</v>
      </c>
      <c r="AP131" s="364">
        <v>0</v>
      </c>
      <c r="AQ131" s="364">
        <v>0</v>
      </c>
      <c r="AR131" s="364">
        <v>0</v>
      </c>
      <c r="AS131" s="364">
        <v>1</v>
      </c>
      <c r="AT131" s="364">
        <v>1</v>
      </c>
      <c r="AU131" s="364">
        <v>0</v>
      </c>
      <c r="AV131" s="364">
        <v>0</v>
      </c>
      <c r="AW131" s="365">
        <v>0</v>
      </c>
      <c r="AX131" s="363" t="s">
        <v>384</v>
      </c>
      <c r="AY131" s="364">
        <v>3</v>
      </c>
      <c r="AZ131" s="364">
        <v>1</v>
      </c>
      <c r="BA131" s="364">
        <v>2</v>
      </c>
      <c r="BB131" s="364">
        <v>0</v>
      </c>
      <c r="BC131" s="364">
        <v>1</v>
      </c>
      <c r="BD131" s="364">
        <v>0</v>
      </c>
      <c r="BE131" s="364">
        <v>0</v>
      </c>
      <c r="BF131" s="364">
        <v>0</v>
      </c>
      <c r="BG131" s="365">
        <v>2</v>
      </c>
      <c r="BH131" s="363" t="s">
        <v>274</v>
      </c>
      <c r="BI131" s="364">
        <v>2</v>
      </c>
      <c r="BJ131" s="364">
        <v>0</v>
      </c>
      <c r="BK131" s="364">
        <v>1</v>
      </c>
      <c r="BL131" s="364">
        <v>0</v>
      </c>
      <c r="BM131" s="364">
        <v>1</v>
      </c>
      <c r="BN131" s="364">
        <v>0</v>
      </c>
      <c r="BO131" s="364">
        <v>1</v>
      </c>
      <c r="BP131" s="364">
        <v>0</v>
      </c>
      <c r="BQ131" s="365">
        <v>1</v>
      </c>
      <c r="BR131" s="363" t="s">
        <v>390</v>
      </c>
      <c r="BS131" s="364">
        <v>4</v>
      </c>
      <c r="BT131" s="364">
        <v>0</v>
      </c>
      <c r="BU131" s="364">
        <v>0</v>
      </c>
      <c r="BV131" s="364">
        <v>0</v>
      </c>
      <c r="BW131" s="364">
        <v>0</v>
      </c>
      <c r="BX131" s="364">
        <v>3</v>
      </c>
      <c r="BY131" s="364">
        <v>0</v>
      </c>
      <c r="BZ131" s="364">
        <v>0</v>
      </c>
      <c r="CA131" s="365">
        <v>0</v>
      </c>
      <c r="CB131" s="363" t="s">
        <v>272</v>
      </c>
      <c r="CC131" s="364">
        <v>3</v>
      </c>
      <c r="CD131" s="364">
        <v>0</v>
      </c>
      <c r="CE131" s="364">
        <v>0</v>
      </c>
      <c r="CF131" s="364">
        <v>0</v>
      </c>
      <c r="CG131" s="364">
        <v>1</v>
      </c>
      <c r="CH131" s="364">
        <v>2</v>
      </c>
      <c r="CI131" s="364">
        <v>0</v>
      </c>
      <c r="CJ131" s="364">
        <v>0</v>
      </c>
      <c r="CK131" s="365">
        <v>0</v>
      </c>
      <c r="CL131" s="363" t="s">
        <v>389</v>
      </c>
      <c r="CM131" s="364">
        <v>4</v>
      </c>
      <c r="CN131" s="364">
        <v>0</v>
      </c>
      <c r="CO131" s="364">
        <v>0</v>
      </c>
      <c r="CP131" s="364">
        <v>0</v>
      </c>
      <c r="CQ131" s="364">
        <v>0</v>
      </c>
      <c r="CR131" s="364">
        <v>3</v>
      </c>
      <c r="CS131" s="364">
        <v>0</v>
      </c>
      <c r="CT131" s="364">
        <v>0</v>
      </c>
      <c r="CU131" s="365">
        <v>0</v>
      </c>
      <c r="CV131" s="363" t="s">
        <v>271</v>
      </c>
      <c r="CW131" s="364">
        <v>2</v>
      </c>
      <c r="CX131" s="364">
        <v>0</v>
      </c>
      <c r="CY131" s="364">
        <v>0</v>
      </c>
      <c r="CZ131" s="364">
        <v>0</v>
      </c>
      <c r="DA131" s="364">
        <v>2</v>
      </c>
      <c r="DB131" s="364">
        <v>1</v>
      </c>
      <c r="DC131" s="364">
        <v>0</v>
      </c>
      <c r="DD131" s="364">
        <v>0</v>
      </c>
      <c r="DE131" s="365">
        <v>0</v>
      </c>
      <c r="DF131" s="363" t="s">
        <v>388</v>
      </c>
      <c r="DG131" s="364">
        <v>4</v>
      </c>
      <c r="DH131" s="364">
        <v>0</v>
      </c>
      <c r="DI131" s="364">
        <v>0</v>
      </c>
      <c r="DJ131" s="364">
        <v>0</v>
      </c>
      <c r="DK131" s="364">
        <v>0</v>
      </c>
      <c r="DL131" s="364">
        <v>3</v>
      </c>
      <c r="DM131" s="364">
        <v>0</v>
      </c>
      <c r="DN131" s="364">
        <v>0</v>
      </c>
      <c r="DO131" s="365">
        <v>0</v>
      </c>
      <c r="DP131" s="363" t="s">
        <v>387</v>
      </c>
      <c r="DQ131" s="364">
        <v>2</v>
      </c>
      <c r="DR131" s="364">
        <v>0</v>
      </c>
      <c r="DS131" s="364">
        <v>0</v>
      </c>
      <c r="DT131" s="364">
        <v>0</v>
      </c>
      <c r="DU131" s="364">
        <v>1</v>
      </c>
      <c r="DV131" s="364">
        <v>1</v>
      </c>
      <c r="DW131" s="364">
        <v>0</v>
      </c>
      <c r="DX131" s="364">
        <v>0</v>
      </c>
      <c r="DY131" s="365">
        <v>0</v>
      </c>
      <c r="DZ131" s="366">
        <v>7</v>
      </c>
      <c r="EA131" s="367">
        <v>2</v>
      </c>
      <c r="EB131" s="367">
        <v>1</v>
      </c>
      <c r="EC131" s="368">
        <v>2</v>
      </c>
      <c r="ED131" s="367">
        <v>0</v>
      </c>
      <c r="EE131" s="369">
        <v>0</v>
      </c>
      <c r="EF131" s="370">
        <v>0</v>
      </c>
      <c r="EG131" s="367">
        <v>0</v>
      </c>
      <c r="EH131" s="367">
        <v>0</v>
      </c>
      <c r="EI131" s="367">
        <v>1</v>
      </c>
      <c r="EJ131" s="367">
        <v>0</v>
      </c>
      <c r="EK131" s="367">
        <v>0</v>
      </c>
      <c r="EL131" s="367">
        <v>0</v>
      </c>
      <c r="EM131" s="367">
        <v>0</v>
      </c>
      <c r="EN131" s="367">
        <v>0</v>
      </c>
      <c r="EO131" s="367"/>
      <c r="EP131" s="367"/>
      <c r="EQ131" s="367"/>
      <c r="ER131" s="367"/>
      <c r="ES131" s="369">
        <f t="shared" ref="ES131:ES136" si="142">SUM(EF131:ER131)</f>
        <v>1</v>
      </c>
      <c r="ET131" s="367">
        <v>1</v>
      </c>
      <c r="EU131" s="367">
        <v>0</v>
      </c>
      <c r="EV131" s="367">
        <v>0</v>
      </c>
      <c r="EW131" s="367">
        <v>1</v>
      </c>
      <c r="EX131" s="367">
        <v>0</v>
      </c>
      <c r="EY131" s="367">
        <v>0</v>
      </c>
      <c r="EZ131" s="367">
        <v>1</v>
      </c>
      <c r="FA131" s="367">
        <v>0</v>
      </c>
      <c r="FB131" s="367">
        <v>0</v>
      </c>
      <c r="FC131" s="367"/>
      <c r="FD131" s="367"/>
      <c r="FE131" s="367"/>
      <c r="FF131" s="367"/>
      <c r="FG131" s="367">
        <f t="shared" ref="FG131:FG136" si="143">SUM(ET131:FF131)</f>
        <v>3</v>
      </c>
      <c r="FH131" s="371">
        <v>27</v>
      </c>
      <c r="FI131" s="371">
        <v>1</v>
      </c>
      <c r="FJ131" s="371">
        <v>3</v>
      </c>
      <c r="FK131" s="371">
        <v>0</v>
      </c>
      <c r="FL131" s="371">
        <v>7</v>
      </c>
      <c r="FM131" s="371">
        <v>14</v>
      </c>
      <c r="FN131" s="371">
        <f t="shared" si="132"/>
        <v>0</v>
      </c>
      <c r="FO131" s="371">
        <f t="shared" si="133"/>
        <v>0</v>
      </c>
      <c r="FP131" s="371">
        <f t="shared" ref="FP131:FU132" si="144">((SUM(AO131,AY131,BI131,BS131,CC131,CM131,CW131,DG131,DQ131))-(FH131))</f>
        <v>0</v>
      </c>
      <c r="FQ131" s="371">
        <f t="shared" si="144"/>
        <v>0</v>
      </c>
      <c r="FR131" s="371">
        <f t="shared" si="144"/>
        <v>0</v>
      </c>
      <c r="FS131" s="371">
        <f t="shared" si="144"/>
        <v>0</v>
      </c>
      <c r="FT131" s="371">
        <f t="shared" si="144"/>
        <v>0</v>
      </c>
      <c r="FU131" s="371">
        <f t="shared" si="144"/>
        <v>0</v>
      </c>
      <c r="FV131" s="371">
        <f t="shared" ref="FV131:GI132" si="145">(EF131-ET131)</f>
        <v>-1</v>
      </c>
      <c r="FW131" s="371">
        <f t="shared" si="145"/>
        <v>0</v>
      </c>
      <c r="FX131" s="371">
        <f t="shared" si="145"/>
        <v>0</v>
      </c>
      <c r="FY131" s="371">
        <f t="shared" si="145"/>
        <v>0</v>
      </c>
      <c r="FZ131" s="371">
        <f t="shared" si="145"/>
        <v>0</v>
      </c>
      <c r="GA131" s="371">
        <f t="shared" si="145"/>
        <v>0</v>
      </c>
      <c r="GB131" s="371">
        <f t="shared" si="145"/>
        <v>-1</v>
      </c>
      <c r="GC131" s="371">
        <f t="shared" si="145"/>
        <v>0</v>
      </c>
      <c r="GD131" s="371">
        <f t="shared" si="145"/>
        <v>0</v>
      </c>
      <c r="GE131" s="371">
        <f t="shared" si="145"/>
        <v>0</v>
      </c>
      <c r="GF131" s="371">
        <f t="shared" si="145"/>
        <v>0</v>
      </c>
      <c r="GG131" s="371">
        <f t="shared" si="145"/>
        <v>0</v>
      </c>
      <c r="GH131" s="371">
        <f t="shared" si="145"/>
        <v>0</v>
      </c>
      <c r="GI131" s="371">
        <f t="shared" si="145"/>
        <v>-2</v>
      </c>
      <c r="GJ131" s="372"/>
      <c r="GK131" s="367"/>
      <c r="GL131" s="376"/>
      <c r="GM131" s="376"/>
      <c r="GN131" s="84"/>
    </row>
    <row r="132" spans="1:196" x14ac:dyDescent="0.25">
      <c r="A132" s="356">
        <v>40418</v>
      </c>
      <c r="B132" s="356" t="s">
        <v>19</v>
      </c>
      <c r="C132" s="356" t="s">
        <v>129</v>
      </c>
      <c r="D132" s="356" t="s">
        <v>134</v>
      </c>
      <c r="E132" s="357">
        <v>36973</v>
      </c>
      <c r="F132" s="360"/>
      <c r="G132" s="358">
        <v>5</v>
      </c>
      <c r="H132" s="359" t="s">
        <v>396</v>
      </c>
      <c r="I132" s="360">
        <v>0</v>
      </c>
      <c r="J132" s="360">
        <v>0</v>
      </c>
      <c r="K132" s="361">
        <v>7</v>
      </c>
      <c r="L132" s="360">
        <v>6</v>
      </c>
      <c r="M132" s="360">
        <v>1</v>
      </c>
      <c r="N132" s="360">
        <v>1</v>
      </c>
      <c r="O132" s="360">
        <v>1</v>
      </c>
      <c r="P132" s="360">
        <v>3</v>
      </c>
      <c r="Q132" s="360">
        <v>0</v>
      </c>
      <c r="R132" s="360">
        <v>0</v>
      </c>
      <c r="S132" s="360">
        <v>27</v>
      </c>
      <c r="T132" s="360">
        <v>101</v>
      </c>
      <c r="U132" s="360">
        <v>63</v>
      </c>
      <c r="V132" s="360">
        <v>0</v>
      </c>
      <c r="W132" s="362">
        <v>0</v>
      </c>
      <c r="X132" s="360">
        <v>1</v>
      </c>
      <c r="Y132" s="360">
        <v>0</v>
      </c>
      <c r="Z132" s="360">
        <v>0</v>
      </c>
      <c r="AA132" s="360">
        <v>0</v>
      </c>
      <c r="AB132" s="360">
        <v>0</v>
      </c>
      <c r="AC132" s="361">
        <v>3</v>
      </c>
      <c r="AD132" s="360">
        <v>4</v>
      </c>
      <c r="AE132" s="360">
        <v>1</v>
      </c>
      <c r="AF132" s="360">
        <v>1</v>
      </c>
      <c r="AG132" s="360">
        <v>0</v>
      </c>
      <c r="AH132" s="360">
        <v>2</v>
      </c>
      <c r="AI132" s="360">
        <v>1</v>
      </c>
      <c r="AJ132" s="360">
        <v>0</v>
      </c>
      <c r="AK132" s="360">
        <v>13</v>
      </c>
      <c r="AL132" s="360">
        <v>47</v>
      </c>
      <c r="AM132" s="360">
        <v>29</v>
      </c>
      <c r="AN132" s="363" t="s">
        <v>275</v>
      </c>
      <c r="AO132" s="364">
        <v>4</v>
      </c>
      <c r="AP132" s="364">
        <v>0</v>
      </c>
      <c r="AQ132" s="364">
        <v>0</v>
      </c>
      <c r="AR132" s="364">
        <v>0</v>
      </c>
      <c r="AS132" s="364">
        <v>0</v>
      </c>
      <c r="AT132" s="364">
        <v>2</v>
      </c>
      <c r="AU132" s="364">
        <v>0</v>
      </c>
      <c r="AV132" s="364">
        <v>0</v>
      </c>
      <c r="AW132" s="365">
        <v>0</v>
      </c>
      <c r="AX132" s="363" t="s">
        <v>389</v>
      </c>
      <c r="AY132" s="364">
        <v>3</v>
      </c>
      <c r="AZ132" s="364">
        <v>0</v>
      </c>
      <c r="BA132" s="364">
        <v>1</v>
      </c>
      <c r="BB132" s="364">
        <v>0</v>
      </c>
      <c r="BC132" s="364">
        <v>1</v>
      </c>
      <c r="BD132" s="364">
        <v>0</v>
      </c>
      <c r="BE132" s="364">
        <v>0</v>
      </c>
      <c r="BF132" s="364">
        <v>0</v>
      </c>
      <c r="BG132" s="365">
        <v>1</v>
      </c>
      <c r="BH132" s="363" t="s">
        <v>391</v>
      </c>
      <c r="BI132" s="364">
        <v>4</v>
      </c>
      <c r="BJ132" s="364">
        <v>0</v>
      </c>
      <c r="BK132" s="364">
        <v>0</v>
      </c>
      <c r="BL132" s="364">
        <v>0</v>
      </c>
      <c r="BM132" s="364">
        <v>0</v>
      </c>
      <c r="BN132" s="364">
        <v>0</v>
      </c>
      <c r="BO132" s="364">
        <v>0</v>
      </c>
      <c r="BP132" s="364">
        <v>0</v>
      </c>
      <c r="BQ132" s="365">
        <v>0</v>
      </c>
      <c r="BR132" s="363" t="s">
        <v>390</v>
      </c>
      <c r="BS132" s="364">
        <v>4</v>
      </c>
      <c r="BT132" s="364">
        <v>0</v>
      </c>
      <c r="BU132" s="364">
        <v>2</v>
      </c>
      <c r="BV132" s="364">
        <v>0</v>
      </c>
      <c r="BW132" s="364">
        <v>0</v>
      </c>
      <c r="BX132" s="364">
        <v>1</v>
      </c>
      <c r="BY132" s="364">
        <v>0</v>
      </c>
      <c r="BZ132" s="364">
        <v>0</v>
      </c>
      <c r="CA132" s="365">
        <v>2</v>
      </c>
      <c r="CB132" s="363" t="s">
        <v>274</v>
      </c>
      <c r="CC132" s="364">
        <v>4</v>
      </c>
      <c r="CD132" s="364">
        <v>1</v>
      </c>
      <c r="CE132" s="364">
        <v>0</v>
      </c>
      <c r="CF132" s="364">
        <v>0</v>
      </c>
      <c r="CG132" s="364">
        <v>0</v>
      </c>
      <c r="CH132" s="364">
        <v>1</v>
      </c>
      <c r="CI132" s="364">
        <v>0</v>
      </c>
      <c r="CJ132" s="364">
        <v>0</v>
      </c>
      <c r="CK132" s="365">
        <v>0</v>
      </c>
      <c r="CL132" s="363" t="s">
        <v>387</v>
      </c>
      <c r="CM132" s="364">
        <v>2</v>
      </c>
      <c r="CN132" s="364">
        <v>0</v>
      </c>
      <c r="CO132" s="364">
        <v>1</v>
      </c>
      <c r="CP132" s="364">
        <v>1</v>
      </c>
      <c r="CQ132" s="364">
        <v>1</v>
      </c>
      <c r="CR132" s="364">
        <v>0</v>
      </c>
      <c r="CS132" s="364">
        <v>0</v>
      </c>
      <c r="CT132" s="364">
        <v>1</v>
      </c>
      <c r="CU132" s="365">
        <v>1</v>
      </c>
      <c r="CV132" s="363" t="s">
        <v>332</v>
      </c>
      <c r="CW132" s="364">
        <v>4</v>
      </c>
      <c r="CX132" s="364">
        <v>1</v>
      </c>
      <c r="CY132" s="364">
        <v>1</v>
      </c>
      <c r="CZ132" s="364">
        <v>1</v>
      </c>
      <c r="DA132" s="364">
        <v>0</v>
      </c>
      <c r="DB132" s="364">
        <v>2</v>
      </c>
      <c r="DC132" s="364">
        <v>0</v>
      </c>
      <c r="DD132" s="364">
        <v>0</v>
      </c>
      <c r="DE132" s="365">
        <v>4</v>
      </c>
      <c r="DF132" s="363" t="s">
        <v>273</v>
      </c>
      <c r="DG132" s="364">
        <v>3</v>
      </c>
      <c r="DH132" s="364">
        <v>1</v>
      </c>
      <c r="DI132" s="364">
        <v>1</v>
      </c>
      <c r="DJ132" s="364">
        <v>1</v>
      </c>
      <c r="DK132" s="364">
        <v>0</v>
      </c>
      <c r="DL132" s="364">
        <v>0</v>
      </c>
      <c r="DM132" s="364">
        <v>0</v>
      </c>
      <c r="DN132" s="364">
        <v>0</v>
      </c>
      <c r="DO132" s="365">
        <v>4</v>
      </c>
      <c r="DP132" s="363" t="s">
        <v>384</v>
      </c>
      <c r="DQ132" s="364">
        <v>3</v>
      </c>
      <c r="DR132" s="364">
        <v>0</v>
      </c>
      <c r="DS132" s="364">
        <v>0</v>
      </c>
      <c r="DT132" s="364">
        <v>0</v>
      </c>
      <c r="DU132" s="364">
        <v>0</v>
      </c>
      <c r="DV132" s="364">
        <v>1</v>
      </c>
      <c r="DW132" s="364">
        <v>0</v>
      </c>
      <c r="DX132" s="364">
        <v>0</v>
      </c>
      <c r="DY132" s="365">
        <v>0</v>
      </c>
      <c r="DZ132" s="366">
        <f>0+2/3</f>
        <v>0.66666666666666663</v>
      </c>
      <c r="EA132" s="367">
        <v>0</v>
      </c>
      <c r="EB132" s="367">
        <v>0</v>
      </c>
      <c r="EC132" s="368">
        <f>8+1/3</f>
        <v>8.3333333333333339</v>
      </c>
      <c r="ED132" s="367">
        <v>0</v>
      </c>
      <c r="EE132" s="369">
        <v>1</v>
      </c>
      <c r="EF132" s="370">
        <v>0</v>
      </c>
      <c r="EG132" s="367">
        <v>0</v>
      </c>
      <c r="EH132" s="367">
        <v>0</v>
      </c>
      <c r="EI132" s="367">
        <v>0</v>
      </c>
      <c r="EJ132" s="367">
        <v>0</v>
      </c>
      <c r="EK132" s="367">
        <v>0</v>
      </c>
      <c r="EL132" s="367">
        <v>1</v>
      </c>
      <c r="EM132" s="367">
        <v>1</v>
      </c>
      <c r="EN132" s="367">
        <v>0</v>
      </c>
      <c r="EO132" s="367">
        <v>1</v>
      </c>
      <c r="EP132" s="367"/>
      <c r="EQ132" s="367"/>
      <c r="ER132" s="367"/>
      <c r="ES132" s="369">
        <f t="shared" si="142"/>
        <v>3</v>
      </c>
      <c r="ET132" s="367">
        <v>0</v>
      </c>
      <c r="EU132" s="367">
        <v>0</v>
      </c>
      <c r="EV132" s="367">
        <v>0</v>
      </c>
      <c r="EW132" s="367">
        <v>1</v>
      </c>
      <c r="EX132" s="367">
        <v>0</v>
      </c>
      <c r="EY132" s="367">
        <v>0</v>
      </c>
      <c r="EZ132" s="367">
        <v>0</v>
      </c>
      <c r="FA132" s="367">
        <v>1</v>
      </c>
      <c r="FB132" s="367">
        <v>0</v>
      </c>
      <c r="FC132" s="367">
        <v>0</v>
      </c>
      <c r="FD132" s="367"/>
      <c r="FE132" s="367"/>
      <c r="FF132" s="367"/>
      <c r="FG132" s="367">
        <f t="shared" si="143"/>
        <v>2</v>
      </c>
      <c r="FH132" s="371">
        <v>31</v>
      </c>
      <c r="FI132" s="371">
        <v>3</v>
      </c>
      <c r="FJ132" s="371">
        <v>6</v>
      </c>
      <c r="FK132" s="371">
        <v>3</v>
      </c>
      <c r="FL132" s="371">
        <v>2</v>
      </c>
      <c r="FM132" s="371">
        <v>7</v>
      </c>
      <c r="FN132" s="371">
        <f t="shared" si="132"/>
        <v>0</v>
      </c>
      <c r="FO132" s="371">
        <f t="shared" si="133"/>
        <v>0</v>
      </c>
      <c r="FP132" s="371">
        <f t="shared" si="144"/>
        <v>0</v>
      </c>
      <c r="FQ132" s="371">
        <f t="shared" si="144"/>
        <v>0</v>
      </c>
      <c r="FR132" s="371">
        <f t="shared" si="144"/>
        <v>0</v>
      </c>
      <c r="FS132" s="371">
        <f t="shared" si="144"/>
        <v>0</v>
      </c>
      <c r="FT132" s="371">
        <f t="shared" si="144"/>
        <v>0</v>
      </c>
      <c r="FU132" s="371">
        <f t="shared" si="144"/>
        <v>0</v>
      </c>
      <c r="FV132" s="371">
        <f t="shared" si="145"/>
        <v>0</v>
      </c>
      <c r="FW132" s="371">
        <f t="shared" si="145"/>
        <v>0</v>
      </c>
      <c r="FX132" s="371">
        <f t="shared" si="145"/>
        <v>0</v>
      </c>
      <c r="FY132" s="371">
        <f t="shared" si="145"/>
        <v>-1</v>
      </c>
      <c r="FZ132" s="371">
        <f t="shared" si="145"/>
        <v>0</v>
      </c>
      <c r="GA132" s="371">
        <f t="shared" si="145"/>
        <v>0</v>
      </c>
      <c r="GB132" s="371">
        <f t="shared" si="145"/>
        <v>1</v>
      </c>
      <c r="GC132" s="371">
        <f t="shared" si="145"/>
        <v>0</v>
      </c>
      <c r="GD132" s="371">
        <f t="shared" si="145"/>
        <v>0</v>
      </c>
      <c r="GE132" s="371">
        <f t="shared" si="145"/>
        <v>1</v>
      </c>
      <c r="GF132" s="371">
        <f t="shared" si="145"/>
        <v>0</v>
      </c>
      <c r="GG132" s="371">
        <f t="shared" si="145"/>
        <v>0</v>
      </c>
      <c r="GH132" s="371">
        <f t="shared" si="145"/>
        <v>0</v>
      </c>
      <c r="GI132" s="371">
        <f t="shared" si="145"/>
        <v>1</v>
      </c>
      <c r="GJ132" s="372"/>
      <c r="GK132" s="367"/>
      <c r="GL132" s="376"/>
      <c r="GM132" s="376"/>
      <c r="GN132" s="84"/>
    </row>
    <row r="133" spans="1:196" x14ac:dyDescent="0.25">
      <c r="A133" s="356">
        <v>40419</v>
      </c>
      <c r="B133" s="356" t="s">
        <v>19</v>
      </c>
      <c r="C133" s="356" t="s">
        <v>129</v>
      </c>
      <c r="D133" s="356" t="s">
        <v>134</v>
      </c>
      <c r="E133" s="357">
        <v>23438</v>
      </c>
      <c r="F133" s="360"/>
      <c r="G133" s="358">
        <v>1</v>
      </c>
      <c r="H133" s="359" t="s">
        <v>392</v>
      </c>
      <c r="I133" s="360">
        <v>1</v>
      </c>
      <c r="J133" s="360">
        <v>0</v>
      </c>
      <c r="K133" s="361">
        <f>6+2/3</f>
        <v>6.666666666666667</v>
      </c>
      <c r="L133" s="360">
        <v>7</v>
      </c>
      <c r="M133" s="360">
        <v>3</v>
      </c>
      <c r="N133" s="360">
        <v>3</v>
      </c>
      <c r="O133" s="360">
        <v>1</v>
      </c>
      <c r="P133" s="360">
        <v>8</v>
      </c>
      <c r="Q133" s="360">
        <v>0</v>
      </c>
      <c r="R133" s="360">
        <v>0</v>
      </c>
      <c r="S133" s="360">
        <v>28</v>
      </c>
      <c r="T133" s="360">
        <v>107</v>
      </c>
      <c r="U133" s="360">
        <v>75</v>
      </c>
      <c r="V133" s="360">
        <v>0</v>
      </c>
      <c r="W133" s="362">
        <v>0</v>
      </c>
      <c r="X133" s="360">
        <v>0</v>
      </c>
      <c r="Y133" s="360">
        <v>0</v>
      </c>
      <c r="Z133" s="360">
        <v>2</v>
      </c>
      <c r="AA133" s="360">
        <v>1</v>
      </c>
      <c r="AB133" s="360">
        <v>0</v>
      </c>
      <c r="AC133" s="361">
        <f>2+1/3</f>
        <v>2.3333333333333335</v>
      </c>
      <c r="AD133" s="360">
        <v>0</v>
      </c>
      <c r="AE133" s="360">
        <v>0</v>
      </c>
      <c r="AF133" s="360">
        <v>0</v>
      </c>
      <c r="AG133" s="360">
        <v>1</v>
      </c>
      <c r="AH133" s="360">
        <v>2</v>
      </c>
      <c r="AI133" s="360">
        <v>0</v>
      </c>
      <c r="AJ133" s="360">
        <v>0</v>
      </c>
      <c r="AK133" s="360">
        <v>8</v>
      </c>
      <c r="AL133" s="360">
        <v>29</v>
      </c>
      <c r="AM133" s="360">
        <v>20</v>
      </c>
      <c r="AN133" s="363" t="s">
        <v>275</v>
      </c>
      <c r="AO133" s="364">
        <v>4</v>
      </c>
      <c r="AP133" s="364">
        <v>1</v>
      </c>
      <c r="AQ133" s="364">
        <v>2</v>
      </c>
      <c r="AR133" s="364">
        <v>0</v>
      </c>
      <c r="AS133" s="364">
        <v>0</v>
      </c>
      <c r="AT133" s="364">
        <v>1</v>
      </c>
      <c r="AU133" s="364">
        <v>0</v>
      </c>
      <c r="AV133" s="364">
        <v>0</v>
      </c>
      <c r="AW133" s="365">
        <v>2</v>
      </c>
      <c r="AX133" s="363" t="s">
        <v>389</v>
      </c>
      <c r="AY133" s="364">
        <v>3</v>
      </c>
      <c r="AZ133" s="364">
        <v>1</v>
      </c>
      <c r="BA133" s="364">
        <v>1</v>
      </c>
      <c r="BB133" s="364">
        <v>0</v>
      </c>
      <c r="BC133" s="364">
        <v>1</v>
      </c>
      <c r="BD133" s="364">
        <v>0</v>
      </c>
      <c r="BE133" s="364">
        <v>0</v>
      </c>
      <c r="BF133" s="364">
        <v>0</v>
      </c>
      <c r="BG133" s="365">
        <v>1</v>
      </c>
      <c r="BH133" s="363" t="s">
        <v>391</v>
      </c>
      <c r="BI133" s="364">
        <v>4</v>
      </c>
      <c r="BJ133" s="364">
        <v>1</v>
      </c>
      <c r="BK133" s="364">
        <v>2</v>
      </c>
      <c r="BL133" s="364">
        <v>2</v>
      </c>
      <c r="BM133" s="364">
        <v>0</v>
      </c>
      <c r="BN133" s="364">
        <v>1</v>
      </c>
      <c r="BO133" s="364">
        <v>0</v>
      </c>
      <c r="BP133" s="364">
        <v>0</v>
      </c>
      <c r="BQ133" s="365">
        <v>5</v>
      </c>
      <c r="BR133" s="363" t="s">
        <v>390</v>
      </c>
      <c r="BS133" s="364">
        <v>4</v>
      </c>
      <c r="BT133" s="364">
        <v>1</v>
      </c>
      <c r="BU133" s="364">
        <v>2</v>
      </c>
      <c r="BV133" s="364">
        <v>1</v>
      </c>
      <c r="BW133" s="364">
        <v>0</v>
      </c>
      <c r="BX133" s="364">
        <v>1</v>
      </c>
      <c r="BY133" s="364">
        <v>0</v>
      </c>
      <c r="BZ133" s="364">
        <v>0</v>
      </c>
      <c r="CA133" s="365">
        <v>3</v>
      </c>
      <c r="CB133" s="363" t="s">
        <v>274</v>
      </c>
      <c r="CC133" s="364">
        <v>2</v>
      </c>
      <c r="CD133" s="364">
        <v>1</v>
      </c>
      <c r="CE133" s="364">
        <v>1</v>
      </c>
      <c r="CF133" s="364">
        <v>1</v>
      </c>
      <c r="CG133" s="364">
        <v>2</v>
      </c>
      <c r="CH133" s="364">
        <v>0</v>
      </c>
      <c r="CI133" s="364">
        <v>0</v>
      </c>
      <c r="CJ133" s="364">
        <v>0</v>
      </c>
      <c r="CK133" s="365">
        <v>4</v>
      </c>
      <c r="CL133" s="363" t="s">
        <v>387</v>
      </c>
      <c r="CM133" s="364">
        <v>3</v>
      </c>
      <c r="CN133" s="364">
        <v>0</v>
      </c>
      <c r="CO133" s="364">
        <v>0</v>
      </c>
      <c r="CP133" s="364">
        <v>0</v>
      </c>
      <c r="CQ133" s="364">
        <v>1</v>
      </c>
      <c r="CR133" s="364">
        <v>1</v>
      </c>
      <c r="CS133" s="364">
        <v>0</v>
      </c>
      <c r="CT133" s="364">
        <v>0</v>
      </c>
      <c r="CU133" s="365">
        <v>0</v>
      </c>
      <c r="CV133" s="363" t="s">
        <v>332</v>
      </c>
      <c r="CW133" s="364">
        <v>4</v>
      </c>
      <c r="CX133" s="364">
        <v>0</v>
      </c>
      <c r="CY133" s="364">
        <v>2</v>
      </c>
      <c r="CZ133" s="364">
        <v>1</v>
      </c>
      <c r="DA133" s="364">
        <v>0</v>
      </c>
      <c r="DB133" s="364">
        <v>2</v>
      </c>
      <c r="DC133" s="364">
        <v>0</v>
      </c>
      <c r="DD133" s="364">
        <v>0</v>
      </c>
      <c r="DE133" s="365">
        <v>2</v>
      </c>
      <c r="DF133" s="363" t="s">
        <v>273</v>
      </c>
      <c r="DG133" s="364">
        <v>4</v>
      </c>
      <c r="DH133" s="364">
        <v>0</v>
      </c>
      <c r="DI133" s="364">
        <v>0</v>
      </c>
      <c r="DJ133" s="364">
        <v>0</v>
      </c>
      <c r="DK133" s="364">
        <v>0</v>
      </c>
      <c r="DL133" s="364">
        <v>1</v>
      </c>
      <c r="DM133" s="364">
        <v>0</v>
      </c>
      <c r="DN133" s="364">
        <v>0</v>
      </c>
      <c r="DO133" s="365">
        <v>0</v>
      </c>
      <c r="DP133" s="363" t="s">
        <v>384</v>
      </c>
      <c r="DQ133" s="364">
        <v>4</v>
      </c>
      <c r="DR133" s="364">
        <v>0</v>
      </c>
      <c r="DS133" s="364">
        <v>1</v>
      </c>
      <c r="DT133" s="364">
        <v>0</v>
      </c>
      <c r="DU133" s="364">
        <v>0</v>
      </c>
      <c r="DV133" s="364">
        <v>1</v>
      </c>
      <c r="DW133" s="364">
        <v>0</v>
      </c>
      <c r="DX133" s="364">
        <v>0</v>
      </c>
      <c r="DY133" s="365">
        <v>1</v>
      </c>
      <c r="DZ133" s="366">
        <f>0+2/3</f>
        <v>0.66666666666666663</v>
      </c>
      <c r="EA133" s="367">
        <v>0</v>
      </c>
      <c r="EB133" s="367">
        <v>0</v>
      </c>
      <c r="EC133" s="368">
        <f>7+1/3</f>
        <v>7.333333333333333</v>
      </c>
      <c r="ED133" s="367">
        <v>0</v>
      </c>
      <c r="EE133" s="369">
        <v>1</v>
      </c>
      <c r="EF133" s="370">
        <v>0</v>
      </c>
      <c r="EG133" s="367">
        <v>0</v>
      </c>
      <c r="EH133" s="367">
        <v>0</v>
      </c>
      <c r="EI133" s="367">
        <v>1</v>
      </c>
      <c r="EJ133" s="367">
        <v>0</v>
      </c>
      <c r="EK133" s="367">
        <v>3</v>
      </c>
      <c r="EL133" s="367">
        <v>1</v>
      </c>
      <c r="EM133" s="367">
        <v>0</v>
      </c>
      <c r="EN133" s="367"/>
      <c r="EO133" s="367"/>
      <c r="EP133" s="367"/>
      <c r="EQ133" s="367"/>
      <c r="ER133" s="367"/>
      <c r="ES133" s="369">
        <f t="shared" si="142"/>
        <v>5</v>
      </c>
      <c r="ET133" s="367">
        <v>0</v>
      </c>
      <c r="EU133" s="367">
        <v>0</v>
      </c>
      <c r="EV133" s="367">
        <v>0</v>
      </c>
      <c r="EW133" s="367">
        <v>0</v>
      </c>
      <c r="EX133" s="367">
        <v>2</v>
      </c>
      <c r="EY133" s="367">
        <v>1</v>
      </c>
      <c r="EZ133" s="367">
        <v>0</v>
      </c>
      <c r="FA133" s="367">
        <v>0</v>
      </c>
      <c r="FB133" s="367">
        <v>0</v>
      </c>
      <c r="FC133" s="367"/>
      <c r="FD133" s="367"/>
      <c r="FE133" s="367"/>
      <c r="FF133" s="367"/>
      <c r="FG133" s="367">
        <f t="shared" si="143"/>
        <v>3</v>
      </c>
      <c r="FH133" s="371">
        <v>32</v>
      </c>
      <c r="FI133" s="371">
        <v>5</v>
      </c>
      <c r="FJ133" s="371">
        <v>11</v>
      </c>
      <c r="FK133" s="371">
        <v>5</v>
      </c>
      <c r="FL133" s="371">
        <v>4</v>
      </c>
      <c r="FM133" s="371">
        <v>8</v>
      </c>
      <c r="FN133" s="371">
        <f t="shared" ref="FN133:FN138" si="146">((SUM(M133,AE133))-(FG133))</f>
        <v>0</v>
      </c>
      <c r="FO133" s="371">
        <f t="shared" ref="FO133:FO138" si="147">((SUM(AP133,AZ133,BJ133,BT133,CD133,CN133,CX133,DH133,DR133))-(ES133))</f>
        <v>0</v>
      </c>
      <c r="FP133" s="371">
        <f t="shared" ref="FP133:FU133" si="148">((SUM(AO133,AY133,BI133,BS133,CC133,CM133,CW133,DG133,DQ133))-(FH133))</f>
        <v>0</v>
      </c>
      <c r="FQ133" s="371">
        <f t="shared" si="148"/>
        <v>0</v>
      </c>
      <c r="FR133" s="371">
        <f t="shared" si="148"/>
        <v>0</v>
      </c>
      <c r="FS133" s="371">
        <f t="shared" si="148"/>
        <v>0</v>
      </c>
      <c r="FT133" s="371">
        <f t="shared" si="148"/>
        <v>0</v>
      </c>
      <c r="FU133" s="371">
        <f t="shared" si="148"/>
        <v>0</v>
      </c>
      <c r="FV133" s="371">
        <f t="shared" ref="FV133:GI133" si="149">(EF133-ET133)</f>
        <v>0</v>
      </c>
      <c r="FW133" s="371">
        <f t="shared" si="149"/>
        <v>0</v>
      </c>
      <c r="FX133" s="371">
        <f t="shared" si="149"/>
        <v>0</v>
      </c>
      <c r="FY133" s="371">
        <f t="shared" si="149"/>
        <v>1</v>
      </c>
      <c r="FZ133" s="371">
        <f t="shared" si="149"/>
        <v>-2</v>
      </c>
      <c r="GA133" s="371">
        <f t="shared" si="149"/>
        <v>2</v>
      </c>
      <c r="GB133" s="371">
        <f t="shared" si="149"/>
        <v>1</v>
      </c>
      <c r="GC133" s="371">
        <f t="shared" si="149"/>
        <v>0</v>
      </c>
      <c r="GD133" s="371">
        <f t="shared" si="149"/>
        <v>0</v>
      </c>
      <c r="GE133" s="371">
        <f t="shared" si="149"/>
        <v>0</v>
      </c>
      <c r="GF133" s="371">
        <f t="shared" si="149"/>
        <v>0</v>
      </c>
      <c r="GG133" s="371">
        <f t="shared" si="149"/>
        <v>0</v>
      </c>
      <c r="GH133" s="371">
        <f t="shared" si="149"/>
        <v>0</v>
      </c>
      <c r="GI133" s="371">
        <f t="shared" si="149"/>
        <v>2</v>
      </c>
      <c r="GJ133" s="372"/>
      <c r="GK133" s="367"/>
      <c r="GL133" s="376"/>
      <c r="GM133" s="376"/>
    </row>
    <row r="134" spans="1:196" x14ac:dyDescent="0.25">
      <c r="A134" s="356">
        <v>40420</v>
      </c>
      <c r="B134" s="356" t="s">
        <v>19</v>
      </c>
      <c r="C134" s="356" t="s">
        <v>129</v>
      </c>
      <c r="D134" s="356" t="s">
        <v>136</v>
      </c>
      <c r="E134" s="357">
        <v>11968</v>
      </c>
      <c r="F134" s="360"/>
      <c r="G134" s="358">
        <v>2</v>
      </c>
      <c r="H134" s="359" t="s">
        <v>393</v>
      </c>
      <c r="I134" s="360">
        <v>1</v>
      </c>
      <c r="J134" s="360">
        <v>0</v>
      </c>
      <c r="K134" s="361">
        <f>7+2/3</f>
        <v>7.666666666666667</v>
      </c>
      <c r="L134" s="360">
        <v>6</v>
      </c>
      <c r="M134" s="360">
        <v>2</v>
      </c>
      <c r="N134" s="360">
        <v>2</v>
      </c>
      <c r="O134" s="360">
        <v>0</v>
      </c>
      <c r="P134" s="360">
        <v>3</v>
      </c>
      <c r="Q134" s="360">
        <v>1</v>
      </c>
      <c r="R134" s="360">
        <v>0</v>
      </c>
      <c r="S134" s="360">
        <v>29</v>
      </c>
      <c r="T134" s="360">
        <v>91</v>
      </c>
      <c r="U134" s="360">
        <v>59</v>
      </c>
      <c r="V134" s="360">
        <v>2</v>
      </c>
      <c r="W134" s="362">
        <v>0</v>
      </c>
      <c r="X134" s="360">
        <v>0</v>
      </c>
      <c r="Y134" s="360">
        <v>0</v>
      </c>
      <c r="Z134" s="360">
        <v>1</v>
      </c>
      <c r="AA134" s="360">
        <v>0</v>
      </c>
      <c r="AB134" s="360">
        <v>0</v>
      </c>
      <c r="AC134" s="361">
        <f>1+1/3</f>
        <v>1.3333333333333333</v>
      </c>
      <c r="AD134" s="360">
        <v>0</v>
      </c>
      <c r="AE134" s="360">
        <v>0</v>
      </c>
      <c r="AF134" s="360">
        <v>0</v>
      </c>
      <c r="AG134" s="360">
        <v>0</v>
      </c>
      <c r="AH134" s="360">
        <v>2</v>
      </c>
      <c r="AI134" s="360">
        <v>0</v>
      </c>
      <c r="AJ134" s="360">
        <v>0</v>
      </c>
      <c r="AK134" s="360">
        <v>4</v>
      </c>
      <c r="AL134" s="360">
        <v>19</v>
      </c>
      <c r="AM134" s="360">
        <v>12</v>
      </c>
      <c r="AN134" s="363" t="s">
        <v>273</v>
      </c>
      <c r="AO134" s="364">
        <v>4</v>
      </c>
      <c r="AP134" s="364">
        <v>1</v>
      </c>
      <c r="AQ134" s="364">
        <v>1</v>
      </c>
      <c r="AR134" s="364">
        <v>0</v>
      </c>
      <c r="AS134" s="364">
        <v>0</v>
      </c>
      <c r="AT134" s="364">
        <v>1</v>
      </c>
      <c r="AU134" s="364">
        <v>0</v>
      </c>
      <c r="AV134" s="364">
        <v>0</v>
      </c>
      <c r="AW134" s="365">
        <v>1</v>
      </c>
      <c r="AX134" s="363" t="s">
        <v>384</v>
      </c>
      <c r="AY134" s="364">
        <v>3</v>
      </c>
      <c r="AZ134" s="364">
        <v>1</v>
      </c>
      <c r="BA134" s="364">
        <v>0</v>
      </c>
      <c r="BB134" s="364">
        <v>0</v>
      </c>
      <c r="BC134" s="364">
        <v>0</v>
      </c>
      <c r="BD134" s="364">
        <v>0</v>
      </c>
      <c r="BE134" s="364">
        <v>0</v>
      </c>
      <c r="BF134" s="364">
        <v>0</v>
      </c>
      <c r="BG134" s="365">
        <v>0</v>
      </c>
      <c r="BH134" s="363" t="s">
        <v>391</v>
      </c>
      <c r="BI134" s="364">
        <v>4</v>
      </c>
      <c r="BJ134" s="364">
        <v>2</v>
      </c>
      <c r="BK134" s="364">
        <v>1</v>
      </c>
      <c r="BL134" s="364">
        <v>1</v>
      </c>
      <c r="BM134" s="364">
        <v>0</v>
      </c>
      <c r="BN134" s="364">
        <v>0</v>
      </c>
      <c r="BO134" s="364">
        <v>0</v>
      </c>
      <c r="BP134" s="364">
        <v>0</v>
      </c>
      <c r="BQ134" s="365">
        <v>2</v>
      </c>
      <c r="BR134" s="363" t="s">
        <v>390</v>
      </c>
      <c r="BS134" s="364">
        <v>3</v>
      </c>
      <c r="BT134" s="364">
        <v>1</v>
      </c>
      <c r="BU134" s="364">
        <v>2</v>
      </c>
      <c r="BV134" s="364">
        <v>1</v>
      </c>
      <c r="BW134" s="364">
        <v>0</v>
      </c>
      <c r="BX134" s="364">
        <v>0</v>
      </c>
      <c r="BY134" s="364">
        <v>0</v>
      </c>
      <c r="BZ134" s="364">
        <v>1</v>
      </c>
      <c r="CA134" s="365">
        <v>2</v>
      </c>
      <c r="CB134" s="363" t="s">
        <v>274</v>
      </c>
      <c r="CC134" s="364">
        <v>3</v>
      </c>
      <c r="CD134" s="364">
        <v>1</v>
      </c>
      <c r="CE134" s="364">
        <v>1</v>
      </c>
      <c r="CF134" s="364">
        <v>4</v>
      </c>
      <c r="CG134" s="364">
        <v>0</v>
      </c>
      <c r="CH134" s="364">
        <v>2</v>
      </c>
      <c r="CI134" s="364">
        <v>0</v>
      </c>
      <c r="CJ134" s="364">
        <v>1</v>
      </c>
      <c r="CK134" s="365">
        <v>4</v>
      </c>
      <c r="CL134" s="363" t="s">
        <v>271</v>
      </c>
      <c r="CM134" s="364">
        <v>2</v>
      </c>
      <c r="CN134" s="364">
        <v>0</v>
      </c>
      <c r="CO134" s="364">
        <v>0</v>
      </c>
      <c r="CP134" s="364">
        <v>0</v>
      </c>
      <c r="CQ134" s="364">
        <v>1</v>
      </c>
      <c r="CR134" s="364">
        <v>0</v>
      </c>
      <c r="CS134" s="364">
        <v>0</v>
      </c>
      <c r="CT134" s="364">
        <v>0</v>
      </c>
      <c r="CU134" s="365">
        <v>0</v>
      </c>
      <c r="CV134" s="363" t="s">
        <v>389</v>
      </c>
      <c r="CW134" s="364">
        <v>3</v>
      </c>
      <c r="CX134" s="364">
        <v>0</v>
      </c>
      <c r="CY134" s="364">
        <v>0</v>
      </c>
      <c r="CZ134" s="364">
        <v>0</v>
      </c>
      <c r="DA134" s="364">
        <v>0</v>
      </c>
      <c r="DB134" s="364">
        <v>1</v>
      </c>
      <c r="DC134" s="364">
        <v>0</v>
      </c>
      <c r="DD134" s="364">
        <v>0</v>
      </c>
      <c r="DE134" s="365">
        <v>0</v>
      </c>
      <c r="DF134" s="363" t="s">
        <v>272</v>
      </c>
      <c r="DG134" s="364">
        <v>3</v>
      </c>
      <c r="DH134" s="364">
        <v>0</v>
      </c>
      <c r="DI134" s="364">
        <v>0</v>
      </c>
      <c r="DJ134" s="364">
        <v>0</v>
      </c>
      <c r="DK134" s="364">
        <v>0</v>
      </c>
      <c r="DL134" s="364">
        <v>1</v>
      </c>
      <c r="DM134" s="364">
        <v>0</v>
      </c>
      <c r="DN134" s="364">
        <v>0</v>
      </c>
      <c r="DO134" s="365">
        <v>0</v>
      </c>
      <c r="DP134" s="363" t="s">
        <v>388</v>
      </c>
      <c r="DQ134" s="364">
        <v>3</v>
      </c>
      <c r="DR134" s="364">
        <v>0</v>
      </c>
      <c r="DS134" s="364">
        <v>0</v>
      </c>
      <c r="DT134" s="364">
        <v>0</v>
      </c>
      <c r="DU134" s="364">
        <v>0</v>
      </c>
      <c r="DV134" s="364">
        <v>1</v>
      </c>
      <c r="DW134" s="364">
        <v>0</v>
      </c>
      <c r="DX134" s="364">
        <v>0</v>
      </c>
      <c r="DY134" s="365">
        <v>0</v>
      </c>
      <c r="DZ134" s="366">
        <v>7</v>
      </c>
      <c r="EA134" s="367">
        <v>0</v>
      </c>
      <c r="EB134" s="367">
        <v>0</v>
      </c>
      <c r="EC134" s="368">
        <v>1</v>
      </c>
      <c r="ED134" s="367">
        <v>0</v>
      </c>
      <c r="EE134" s="369">
        <v>0</v>
      </c>
      <c r="EF134" s="370">
        <v>2</v>
      </c>
      <c r="EG134" s="367">
        <v>0</v>
      </c>
      <c r="EH134" s="367">
        <v>3</v>
      </c>
      <c r="EI134" s="367">
        <v>0</v>
      </c>
      <c r="EJ134" s="367">
        <v>0</v>
      </c>
      <c r="EK134" s="367">
        <v>0</v>
      </c>
      <c r="EL134" s="367">
        <v>0</v>
      </c>
      <c r="EM134" s="367">
        <v>1</v>
      </c>
      <c r="EN134" s="367"/>
      <c r="EO134" s="367"/>
      <c r="EP134" s="367"/>
      <c r="EQ134" s="367"/>
      <c r="ER134" s="367"/>
      <c r="ES134" s="369">
        <f t="shared" si="142"/>
        <v>6</v>
      </c>
      <c r="ET134" s="367">
        <v>0</v>
      </c>
      <c r="EU134" s="367">
        <v>0</v>
      </c>
      <c r="EV134" s="367">
        <v>1</v>
      </c>
      <c r="EW134" s="367">
        <v>0</v>
      </c>
      <c r="EX134" s="367">
        <v>1</v>
      </c>
      <c r="EY134" s="367">
        <v>0</v>
      </c>
      <c r="EZ134" s="367">
        <v>0</v>
      </c>
      <c r="FA134" s="367">
        <v>0</v>
      </c>
      <c r="FB134" s="367">
        <v>0</v>
      </c>
      <c r="FC134" s="367"/>
      <c r="FD134" s="367"/>
      <c r="FE134" s="367"/>
      <c r="FF134" s="367"/>
      <c r="FG134" s="367">
        <f t="shared" si="143"/>
        <v>2</v>
      </c>
      <c r="FH134" s="371">
        <v>28</v>
      </c>
      <c r="FI134" s="371">
        <v>6</v>
      </c>
      <c r="FJ134" s="371">
        <v>5</v>
      </c>
      <c r="FK134" s="371">
        <v>6</v>
      </c>
      <c r="FL134" s="371">
        <v>1</v>
      </c>
      <c r="FM134" s="371">
        <v>6</v>
      </c>
      <c r="FN134" s="371">
        <f t="shared" si="146"/>
        <v>0</v>
      </c>
      <c r="FO134" s="371">
        <f t="shared" si="147"/>
        <v>0</v>
      </c>
      <c r="FP134" s="371">
        <f t="shared" ref="FP134:FU134" si="150">((SUM(AO134,AY134,BI134,BS134,CC134,CM134,CW134,DG134,DQ134))-(FH134))</f>
        <v>0</v>
      </c>
      <c r="FQ134" s="371">
        <f t="shared" si="150"/>
        <v>0</v>
      </c>
      <c r="FR134" s="371">
        <f t="shared" si="150"/>
        <v>0</v>
      </c>
      <c r="FS134" s="371">
        <f t="shared" si="150"/>
        <v>0</v>
      </c>
      <c r="FT134" s="371">
        <f t="shared" si="150"/>
        <v>0</v>
      </c>
      <c r="FU134" s="371">
        <f t="shared" si="150"/>
        <v>0</v>
      </c>
      <c r="FV134" s="371">
        <f t="shared" ref="FV134:GI134" si="151">(EF134-ET134)</f>
        <v>2</v>
      </c>
      <c r="FW134" s="371">
        <f t="shared" si="151"/>
        <v>0</v>
      </c>
      <c r="FX134" s="371">
        <f t="shared" si="151"/>
        <v>2</v>
      </c>
      <c r="FY134" s="371">
        <f t="shared" si="151"/>
        <v>0</v>
      </c>
      <c r="FZ134" s="371">
        <f t="shared" si="151"/>
        <v>-1</v>
      </c>
      <c r="GA134" s="371">
        <f t="shared" si="151"/>
        <v>0</v>
      </c>
      <c r="GB134" s="371">
        <f t="shared" si="151"/>
        <v>0</v>
      </c>
      <c r="GC134" s="371">
        <f t="shared" si="151"/>
        <v>1</v>
      </c>
      <c r="GD134" s="371">
        <f t="shared" si="151"/>
        <v>0</v>
      </c>
      <c r="GE134" s="371">
        <f t="shared" si="151"/>
        <v>0</v>
      </c>
      <c r="GF134" s="371">
        <f t="shared" si="151"/>
        <v>0</v>
      </c>
      <c r="GG134" s="371">
        <f t="shared" si="151"/>
        <v>0</v>
      </c>
      <c r="GH134" s="371">
        <f t="shared" si="151"/>
        <v>0</v>
      </c>
      <c r="GI134" s="371">
        <f t="shared" si="151"/>
        <v>4</v>
      </c>
      <c r="GJ134" s="372"/>
      <c r="GK134" s="367"/>
      <c r="GL134" s="376"/>
      <c r="GM134" s="376"/>
    </row>
    <row r="135" spans="1:196" x14ac:dyDescent="0.25">
      <c r="A135" s="356">
        <v>40421</v>
      </c>
      <c r="B135" s="356" t="s">
        <v>19</v>
      </c>
      <c r="C135" s="356" t="s">
        <v>131</v>
      </c>
      <c r="D135" s="356" t="s">
        <v>136</v>
      </c>
      <c r="E135" s="357">
        <v>12972</v>
      </c>
      <c r="F135" s="360"/>
      <c r="G135" s="358">
        <v>3</v>
      </c>
      <c r="H135" s="359" t="s">
        <v>395</v>
      </c>
      <c r="I135" s="360">
        <v>0</v>
      </c>
      <c r="J135" s="360">
        <v>1</v>
      </c>
      <c r="K135" s="361">
        <v>5</v>
      </c>
      <c r="L135" s="360">
        <v>7</v>
      </c>
      <c r="M135" s="360">
        <v>7</v>
      </c>
      <c r="N135" s="360">
        <v>7</v>
      </c>
      <c r="O135" s="360">
        <v>2</v>
      </c>
      <c r="P135" s="360">
        <v>3</v>
      </c>
      <c r="Q135" s="360">
        <v>1</v>
      </c>
      <c r="R135" s="360">
        <v>1</v>
      </c>
      <c r="S135" s="360">
        <v>24</v>
      </c>
      <c r="T135" s="360">
        <v>80</v>
      </c>
      <c r="U135" s="360">
        <v>51</v>
      </c>
      <c r="V135" s="360">
        <v>1</v>
      </c>
      <c r="W135" s="362">
        <v>1</v>
      </c>
      <c r="X135" s="360">
        <v>0</v>
      </c>
      <c r="Y135" s="360">
        <v>0</v>
      </c>
      <c r="Z135" s="360">
        <v>0</v>
      </c>
      <c r="AA135" s="360">
        <v>0</v>
      </c>
      <c r="AB135" s="360">
        <v>0</v>
      </c>
      <c r="AC135" s="361">
        <v>4</v>
      </c>
      <c r="AD135" s="360">
        <v>8</v>
      </c>
      <c r="AE135" s="360">
        <v>6</v>
      </c>
      <c r="AF135" s="360">
        <v>6</v>
      </c>
      <c r="AG135" s="360">
        <v>1</v>
      </c>
      <c r="AH135" s="360">
        <v>2</v>
      </c>
      <c r="AI135" s="360">
        <v>2</v>
      </c>
      <c r="AJ135" s="360">
        <v>0</v>
      </c>
      <c r="AK135" s="360">
        <v>21</v>
      </c>
      <c r="AL135" s="360">
        <v>73</v>
      </c>
      <c r="AM135" s="360">
        <v>49</v>
      </c>
      <c r="AN135" s="363" t="s">
        <v>273</v>
      </c>
      <c r="AO135" s="364">
        <v>3</v>
      </c>
      <c r="AP135" s="364">
        <v>0</v>
      </c>
      <c r="AQ135" s="364">
        <v>1</v>
      </c>
      <c r="AR135" s="364">
        <v>0</v>
      </c>
      <c r="AS135" s="364">
        <v>1</v>
      </c>
      <c r="AT135" s="364">
        <v>0</v>
      </c>
      <c r="AU135" s="364">
        <v>0</v>
      </c>
      <c r="AV135" s="364">
        <v>0</v>
      </c>
      <c r="AW135" s="365">
        <v>1</v>
      </c>
      <c r="AX135" s="363" t="s">
        <v>384</v>
      </c>
      <c r="AY135" s="364">
        <v>4</v>
      </c>
      <c r="AZ135" s="364">
        <v>0</v>
      </c>
      <c r="BA135" s="364">
        <v>1</v>
      </c>
      <c r="BB135" s="364">
        <v>2</v>
      </c>
      <c r="BC135" s="364">
        <v>0</v>
      </c>
      <c r="BD135" s="364">
        <v>1</v>
      </c>
      <c r="BE135" s="364">
        <v>0</v>
      </c>
      <c r="BF135" s="364">
        <v>0</v>
      </c>
      <c r="BG135" s="365">
        <v>1</v>
      </c>
      <c r="BH135" s="363" t="s">
        <v>391</v>
      </c>
      <c r="BI135" s="364">
        <v>4</v>
      </c>
      <c r="BJ135" s="364">
        <v>0</v>
      </c>
      <c r="BK135" s="364">
        <v>0</v>
      </c>
      <c r="BL135" s="364">
        <v>0</v>
      </c>
      <c r="BM135" s="364">
        <v>0</v>
      </c>
      <c r="BN135" s="364">
        <v>2</v>
      </c>
      <c r="BO135" s="364">
        <v>0</v>
      </c>
      <c r="BP135" s="364">
        <v>0</v>
      </c>
      <c r="BQ135" s="365">
        <v>0</v>
      </c>
      <c r="BR135" s="363" t="s">
        <v>390</v>
      </c>
      <c r="BS135" s="364">
        <v>2</v>
      </c>
      <c r="BT135" s="364">
        <v>1</v>
      </c>
      <c r="BU135" s="364">
        <v>0</v>
      </c>
      <c r="BV135" s="364">
        <v>0</v>
      </c>
      <c r="BW135" s="364">
        <v>2</v>
      </c>
      <c r="BX135" s="364">
        <v>0</v>
      </c>
      <c r="BY135" s="364">
        <v>0</v>
      </c>
      <c r="BZ135" s="364">
        <v>0</v>
      </c>
      <c r="CA135" s="365">
        <v>0</v>
      </c>
      <c r="CB135" s="363" t="s">
        <v>274</v>
      </c>
      <c r="CC135" s="364">
        <v>4</v>
      </c>
      <c r="CD135" s="364">
        <v>0</v>
      </c>
      <c r="CE135" s="364">
        <v>0</v>
      </c>
      <c r="CF135" s="364">
        <v>0</v>
      </c>
      <c r="CG135" s="364">
        <v>0</v>
      </c>
      <c r="CH135" s="364">
        <v>2</v>
      </c>
      <c r="CI135" s="364">
        <v>0</v>
      </c>
      <c r="CJ135" s="364">
        <v>0</v>
      </c>
      <c r="CK135" s="365">
        <v>0</v>
      </c>
      <c r="CL135" s="363" t="s">
        <v>271</v>
      </c>
      <c r="CM135" s="364">
        <v>3</v>
      </c>
      <c r="CN135" s="364">
        <v>1</v>
      </c>
      <c r="CO135" s="364">
        <v>0</v>
      </c>
      <c r="CP135" s="364">
        <v>0</v>
      </c>
      <c r="CQ135" s="364">
        <v>1</v>
      </c>
      <c r="CR135" s="364">
        <v>0</v>
      </c>
      <c r="CS135" s="364">
        <v>0</v>
      </c>
      <c r="CT135" s="364">
        <v>0</v>
      </c>
      <c r="CU135" s="365">
        <v>0</v>
      </c>
      <c r="CV135" s="363" t="s">
        <v>388</v>
      </c>
      <c r="CW135" s="364">
        <v>4</v>
      </c>
      <c r="CX135" s="364">
        <v>0</v>
      </c>
      <c r="CY135" s="364">
        <v>1</v>
      </c>
      <c r="CZ135" s="364">
        <v>0</v>
      </c>
      <c r="DA135" s="364">
        <v>0</v>
      </c>
      <c r="DB135" s="364">
        <v>1</v>
      </c>
      <c r="DC135" s="364">
        <v>0</v>
      </c>
      <c r="DD135" s="364">
        <v>0</v>
      </c>
      <c r="DE135" s="365">
        <v>2</v>
      </c>
      <c r="DF135" s="363" t="s">
        <v>389</v>
      </c>
      <c r="DG135" s="364">
        <v>3</v>
      </c>
      <c r="DH135" s="364">
        <v>2</v>
      </c>
      <c r="DI135" s="364">
        <v>1</v>
      </c>
      <c r="DJ135" s="364">
        <v>1</v>
      </c>
      <c r="DK135" s="364">
        <v>1</v>
      </c>
      <c r="DL135" s="364">
        <v>0</v>
      </c>
      <c r="DM135" s="364">
        <v>0</v>
      </c>
      <c r="DN135" s="364">
        <v>0</v>
      </c>
      <c r="DO135" s="365">
        <v>1</v>
      </c>
      <c r="DP135" s="363" t="s">
        <v>332</v>
      </c>
      <c r="DQ135" s="364">
        <v>3</v>
      </c>
      <c r="DR135" s="364">
        <v>1</v>
      </c>
      <c r="DS135" s="364">
        <v>1</v>
      </c>
      <c r="DT135" s="364">
        <v>2</v>
      </c>
      <c r="DU135" s="364">
        <v>1</v>
      </c>
      <c r="DV135" s="364">
        <v>1</v>
      </c>
      <c r="DW135" s="364">
        <v>0</v>
      </c>
      <c r="DX135" s="364">
        <v>0</v>
      </c>
      <c r="DY135" s="365">
        <v>2</v>
      </c>
      <c r="DZ135" s="366">
        <f>7+1/3</f>
        <v>7.333333333333333</v>
      </c>
      <c r="EA135" s="367">
        <v>0</v>
      </c>
      <c r="EB135" s="367">
        <v>0</v>
      </c>
      <c r="EC135" s="368">
        <f>1+2/3</f>
        <v>1.6666666666666665</v>
      </c>
      <c r="ED135" s="367">
        <v>0</v>
      </c>
      <c r="EE135" s="369">
        <v>0</v>
      </c>
      <c r="EF135" s="370">
        <v>0</v>
      </c>
      <c r="EG135" s="367">
        <v>0</v>
      </c>
      <c r="EH135" s="367">
        <v>0</v>
      </c>
      <c r="EI135" s="367">
        <v>0</v>
      </c>
      <c r="EJ135" s="367">
        <v>3</v>
      </c>
      <c r="EK135" s="367">
        <v>0</v>
      </c>
      <c r="EL135" s="367">
        <v>0</v>
      </c>
      <c r="EM135" s="367">
        <v>2</v>
      </c>
      <c r="EN135" s="367">
        <v>0</v>
      </c>
      <c r="EO135" s="367"/>
      <c r="EP135" s="367"/>
      <c r="EQ135" s="367"/>
      <c r="ER135" s="367"/>
      <c r="ES135" s="369">
        <f t="shared" si="142"/>
        <v>5</v>
      </c>
      <c r="ET135" s="367">
        <v>0</v>
      </c>
      <c r="EU135" s="367">
        <v>0</v>
      </c>
      <c r="EV135" s="367">
        <v>1</v>
      </c>
      <c r="EW135" s="367">
        <v>0</v>
      </c>
      <c r="EX135" s="367">
        <v>0</v>
      </c>
      <c r="EY135" s="367">
        <v>10</v>
      </c>
      <c r="EZ135" s="367">
        <v>0</v>
      </c>
      <c r="FA135" s="367">
        <v>2</v>
      </c>
      <c r="FB135" s="367">
        <v>0</v>
      </c>
      <c r="FC135" s="367"/>
      <c r="FD135" s="367"/>
      <c r="FE135" s="367"/>
      <c r="FF135" s="367"/>
      <c r="FG135" s="367">
        <f t="shared" si="143"/>
        <v>13</v>
      </c>
      <c r="FH135" s="371">
        <v>30</v>
      </c>
      <c r="FI135" s="371">
        <v>5</v>
      </c>
      <c r="FJ135" s="371">
        <v>5</v>
      </c>
      <c r="FK135" s="371">
        <v>5</v>
      </c>
      <c r="FL135" s="371">
        <v>6</v>
      </c>
      <c r="FM135" s="371">
        <v>7</v>
      </c>
      <c r="FN135" s="371">
        <f t="shared" si="146"/>
        <v>0</v>
      </c>
      <c r="FO135" s="371">
        <f t="shared" si="147"/>
        <v>0</v>
      </c>
      <c r="FP135" s="371">
        <f t="shared" ref="FP135:FU135" si="152">((SUM(AO135,AY135,BI135,BS135,CC135,CM135,CW135,DG135,DQ135))-(FH135))</f>
        <v>0</v>
      </c>
      <c r="FQ135" s="371">
        <f t="shared" si="152"/>
        <v>0</v>
      </c>
      <c r="FR135" s="371">
        <f t="shared" si="152"/>
        <v>0</v>
      </c>
      <c r="FS135" s="371">
        <f t="shared" si="152"/>
        <v>0</v>
      </c>
      <c r="FT135" s="371">
        <f t="shared" si="152"/>
        <v>0</v>
      </c>
      <c r="FU135" s="371">
        <f t="shared" si="152"/>
        <v>0</v>
      </c>
      <c r="FV135" s="371">
        <f t="shared" ref="FV135:GI135" si="153">(EF135-ET135)</f>
        <v>0</v>
      </c>
      <c r="FW135" s="371">
        <f t="shared" si="153"/>
        <v>0</v>
      </c>
      <c r="FX135" s="371">
        <f t="shared" si="153"/>
        <v>-1</v>
      </c>
      <c r="FY135" s="371">
        <f t="shared" si="153"/>
        <v>0</v>
      </c>
      <c r="FZ135" s="371">
        <f t="shared" si="153"/>
        <v>3</v>
      </c>
      <c r="GA135" s="371">
        <f t="shared" si="153"/>
        <v>-10</v>
      </c>
      <c r="GB135" s="371">
        <f t="shared" si="153"/>
        <v>0</v>
      </c>
      <c r="GC135" s="371">
        <f t="shared" si="153"/>
        <v>0</v>
      </c>
      <c r="GD135" s="371">
        <f t="shared" si="153"/>
        <v>0</v>
      </c>
      <c r="GE135" s="371">
        <f t="shared" si="153"/>
        <v>0</v>
      </c>
      <c r="GF135" s="371">
        <f t="shared" si="153"/>
        <v>0</v>
      </c>
      <c r="GG135" s="371">
        <f t="shared" si="153"/>
        <v>0</v>
      </c>
      <c r="GH135" s="371">
        <f t="shared" si="153"/>
        <v>0</v>
      </c>
      <c r="GI135" s="371">
        <f t="shared" si="153"/>
        <v>-8</v>
      </c>
      <c r="GJ135" s="372"/>
      <c r="GK135" s="367"/>
      <c r="GL135" s="376"/>
      <c r="GM135" s="376"/>
    </row>
    <row r="136" spans="1:196" x14ac:dyDescent="0.25">
      <c r="A136" s="356">
        <v>40422</v>
      </c>
      <c r="B136" s="356" t="s">
        <v>19</v>
      </c>
      <c r="C136" s="356" t="s">
        <v>129</v>
      </c>
      <c r="D136" s="356" t="s">
        <v>136</v>
      </c>
      <c r="E136" s="357">
        <v>14859</v>
      </c>
      <c r="F136" s="360"/>
      <c r="G136" s="358">
        <v>4</v>
      </c>
      <c r="H136" s="359" t="s">
        <v>394</v>
      </c>
      <c r="I136" s="360">
        <v>1</v>
      </c>
      <c r="J136" s="360">
        <v>0</v>
      </c>
      <c r="K136" s="361">
        <v>8</v>
      </c>
      <c r="L136" s="360">
        <v>4</v>
      </c>
      <c r="M136" s="360">
        <v>1</v>
      </c>
      <c r="N136" s="360">
        <v>1</v>
      </c>
      <c r="O136" s="360">
        <v>2</v>
      </c>
      <c r="P136" s="360">
        <v>7</v>
      </c>
      <c r="Q136" s="360">
        <v>1</v>
      </c>
      <c r="R136" s="360">
        <v>0</v>
      </c>
      <c r="S136" s="360">
        <v>29</v>
      </c>
      <c r="T136" s="360">
        <v>107</v>
      </c>
      <c r="U136" s="360">
        <v>75</v>
      </c>
      <c r="V136" s="360">
        <v>0</v>
      </c>
      <c r="W136" s="362">
        <v>0</v>
      </c>
      <c r="X136" s="360">
        <v>0</v>
      </c>
      <c r="Y136" s="360">
        <v>0</v>
      </c>
      <c r="Z136" s="360">
        <v>0</v>
      </c>
      <c r="AA136" s="360">
        <v>1</v>
      </c>
      <c r="AB136" s="360">
        <v>0</v>
      </c>
      <c r="AC136" s="361">
        <v>1</v>
      </c>
      <c r="AD136" s="360">
        <v>1</v>
      </c>
      <c r="AE136" s="360">
        <v>0</v>
      </c>
      <c r="AF136" s="360">
        <v>0</v>
      </c>
      <c r="AG136" s="360">
        <v>0</v>
      </c>
      <c r="AH136" s="360">
        <v>1</v>
      </c>
      <c r="AI136" s="360">
        <v>0</v>
      </c>
      <c r="AJ136" s="360">
        <v>0</v>
      </c>
      <c r="AK136" s="360">
        <v>4</v>
      </c>
      <c r="AL136" s="360">
        <v>21</v>
      </c>
      <c r="AM136" s="360">
        <v>16</v>
      </c>
      <c r="AN136" s="363" t="s">
        <v>273</v>
      </c>
      <c r="AO136" s="364">
        <v>3</v>
      </c>
      <c r="AP136" s="364">
        <v>0</v>
      </c>
      <c r="AQ136" s="364">
        <v>0</v>
      </c>
      <c r="AR136" s="364">
        <v>0</v>
      </c>
      <c r="AS136" s="364">
        <v>1</v>
      </c>
      <c r="AT136" s="364">
        <v>2</v>
      </c>
      <c r="AU136" s="364">
        <v>0</v>
      </c>
      <c r="AV136" s="364">
        <v>0</v>
      </c>
      <c r="AW136" s="365">
        <v>0</v>
      </c>
      <c r="AX136" s="363" t="s">
        <v>399</v>
      </c>
      <c r="AY136" s="364">
        <v>3</v>
      </c>
      <c r="AZ136" s="364">
        <v>1</v>
      </c>
      <c r="BA136" s="364">
        <v>0</v>
      </c>
      <c r="BB136" s="364">
        <v>0</v>
      </c>
      <c r="BC136" s="364">
        <v>1</v>
      </c>
      <c r="BD136" s="364">
        <v>1</v>
      </c>
      <c r="BE136" s="364">
        <v>0</v>
      </c>
      <c r="BF136" s="364">
        <v>0</v>
      </c>
      <c r="BG136" s="365">
        <v>0</v>
      </c>
      <c r="BH136" s="363" t="s">
        <v>391</v>
      </c>
      <c r="BI136" s="364">
        <v>3</v>
      </c>
      <c r="BJ136" s="364">
        <v>0</v>
      </c>
      <c r="BK136" s="364">
        <v>1</v>
      </c>
      <c r="BL136" s="364">
        <v>0</v>
      </c>
      <c r="BM136" s="364">
        <v>1</v>
      </c>
      <c r="BN136" s="364">
        <v>1</v>
      </c>
      <c r="BO136" s="364">
        <v>0</v>
      </c>
      <c r="BP136" s="364">
        <v>0</v>
      </c>
      <c r="BQ136" s="365">
        <v>1</v>
      </c>
      <c r="BR136" s="363" t="s">
        <v>390</v>
      </c>
      <c r="BS136" s="364">
        <v>4</v>
      </c>
      <c r="BT136" s="364">
        <v>0</v>
      </c>
      <c r="BU136" s="364">
        <v>1</v>
      </c>
      <c r="BV136" s="364">
        <v>1</v>
      </c>
      <c r="BW136" s="364">
        <v>0</v>
      </c>
      <c r="BX136" s="364">
        <v>0</v>
      </c>
      <c r="BY136" s="364">
        <v>0</v>
      </c>
      <c r="BZ136" s="364">
        <v>0</v>
      </c>
      <c r="CA136" s="365">
        <v>1</v>
      </c>
      <c r="CB136" s="363" t="s">
        <v>274</v>
      </c>
      <c r="CC136" s="364">
        <v>4</v>
      </c>
      <c r="CD136" s="364">
        <v>0</v>
      </c>
      <c r="CE136" s="364">
        <v>0</v>
      </c>
      <c r="CF136" s="364">
        <v>0</v>
      </c>
      <c r="CG136" s="364">
        <v>0</v>
      </c>
      <c r="CH136" s="364">
        <v>1</v>
      </c>
      <c r="CI136" s="364">
        <v>0</v>
      </c>
      <c r="CJ136" s="364">
        <v>0</v>
      </c>
      <c r="CK136" s="365">
        <v>0</v>
      </c>
      <c r="CL136" s="363" t="s">
        <v>271</v>
      </c>
      <c r="CM136" s="364">
        <v>3</v>
      </c>
      <c r="CN136" s="364">
        <v>1</v>
      </c>
      <c r="CO136" s="364">
        <v>3</v>
      </c>
      <c r="CP136" s="364">
        <v>1</v>
      </c>
      <c r="CQ136" s="364">
        <v>1</v>
      </c>
      <c r="CR136" s="364">
        <v>0</v>
      </c>
      <c r="CS136" s="364">
        <v>0</v>
      </c>
      <c r="CT136" s="364">
        <v>0</v>
      </c>
      <c r="CU136" s="365">
        <v>8</v>
      </c>
      <c r="CV136" s="363" t="s">
        <v>674</v>
      </c>
      <c r="CW136" s="364">
        <v>4</v>
      </c>
      <c r="CX136" s="364">
        <v>0</v>
      </c>
      <c r="CY136" s="364">
        <v>0</v>
      </c>
      <c r="CZ136" s="364">
        <v>0</v>
      </c>
      <c r="DA136" s="364">
        <v>0</v>
      </c>
      <c r="DB136" s="364">
        <v>4</v>
      </c>
      <c r="DC136" s="364">
        <v>0</v>
      </c>
      <c r="DD136" s="364">
        <v>0</v>
      </c>
      <c r="DE136" s="365">
        <v>0</v>
      </c>
      <c r="DF136" s="363" t="s">
        <v>406</v>
      </c>
      <c r="DG136" s="364">
        <v>3</v>
      </c>
      <c r="DH136" s="364">
        <v>0</v>
      </c>
      <c r="DI136" s="364">
        <v>1</v>
      </c>
      <c r="DJ136" s="364">
        <v>0</v>
      </c>
      <c r="DK136" s="364">
        <v>0</v>
      </c>
      <c r="DL136" s="364">
        <v>1</v>
      </c>
      <c r="DM136" s="364">
        <v>0</v>
      </c>
      <c r="DN136" s="364">
        <v>0</v>
      </c>
      <c r="DO136" s="365">
        <v>1</v>
      </c>
      <c r="DP136" s="363" t="s">
        <v>384</v>
      </c>
      <c r="DQ136" s="364">
        <v>3</v>
      </c>
      <c r="DR136" s="364">
        <v>0</v>
      </c>
      <c r="DS136" s="364">
        <v>2</v>
      </c>
      <c r="DT136" s="364">
        <v>0</v>
      </c>
      <c r="DU136" s="364">
        <v>0</v>
      </c>
      <c r="DV136" s="364">
        <v>0</v>
      </c>
      <c r="DW136" s="364">
        <v>0</v>
      </c>
      <c r="DX136" s="364">
        <v>0</v>
      </c>
      <c r="DY136" s="365">
        <v>3</v>
      </c>
      <c r="DZ136" s="366">
        <f>0+2/3</f>
        <v>0.66666666666666663</v>
      </c>
      <c r="EA136" s="367">
        <v>0</v>
      </c>
      <c r="EB136" s="367">
        <v>0</v>
      </c>
      <c r="EC136" s="368">
        <f>7+1/3</f>
        <v>7.333333333333333</v>
      </c>
      <c r="ED136" s="367">
        <v>1</v>
      </c>
      <c r="EE136" s="369">
        <v>2</v>
      </c>
      <c r="EF136" s="370">
        <v>0</v>
      </c>
      <c r="EG136" s="367">
        <v>0</v>
      </c>
      <c r="EH136" s="367">
        <v>0</v>
      </c>
      <c r="EI136" s="367">
        <v>0</v>
      </c>
      <c r="EJ136" s="367">
        <v>1</v>
      </c>
      <c r="EK136" s="367">
        <v>0</v>
      </c>
      <c r="EL136" s="367">
        <v>0</v>
      </c>
      <c r="EM136" s="367">
        <v>1</v>
      </c>
      <c r="EN136" s="367"/>
      <c r="EO136" s="367"/>
      <c r="EP136" s="367"/>
      <c r="EQ136" s="367"/>
      <c r="ER136" s="367"/>
      <c r="ES136" s="369">
        <f t="shared" si="142"/>
        <v>2</v>
      </c>
      <c r="ET136" s="367">
        <v>0</v>
      </c>
      <c r="EU136" s="367">
        <v>0</v>
      </c>
      <c r="EV136" s="367">
        <v>0</v>
      </c>
      <c r="EW136" s="367">
        <v>0</v>
      </c>
      <c r="EX136" s="367">
        <v>1</v>
      </c>
      <c r="EY136" s="367">
        <v>0</v>
      </c>
      <c r="EZ136" s="367">
        <v>0</v>
      </c>
      <c r="FA136" s="367">
        <v>0</v>
      </c>
      <c r="FB136" s="367">
        <v>0</v>
      </c>
      <c r="FC136" s="367"/>
      <c r="FD136" s="367"/>
      <c r="FE136" s="367"/>
      <c r="FF136" s="367"/>
      <c r="FG136" s="367">
        <f t="shared" si="143"/>
        <v>1</v>
      </c>
      <c r="FH136" s="371">
        <v>30</v>
      </c>
      <c r="FI136" s="371">
        <v>2</v>
      </c>
      <c r="FJ136" s="371">
        <v>8</v>
      </c>
      <c r="FK136" s="371">
        <v>2</v>
      </c>
      <c r="FL136" s="371">
        <v>4</v>
      </c>
      <c r="FM136" s="371">
        <v>10</v>
      </c>
      <c r="FN136" s="371">
        <f t="shared" si="146"/>
        <v>0</v>
      </c>
      <c r="FO136" s="371">
        <f t="shared" si="147"/>
        <v>0</v>
      </c>
      <c r="FP136" s="371">
        <f t="shared" ref="FP136:FU136" si="154">((SUM(AO136,AY136,BI136,BS136,CC136,CM136,CW136,DG136,DQ136))-(FH136))</f>
        <v>0</v>
      </c>
      <c r="FQ136" s="371">
        <f t="shared" si="154"/>
        <v>0</v>
      </c>
      <c r="FR136" s="371">
        <f t="shared" si="154"/>
        <v>0</v>
      </c>
      <c r="FS136" s="371">
        <f t="shared" si="154"/>
        <v>0</v>
      </c>
      <c r="FT136" s="371">
        <f t="shared" si="154"/>
        <v>0</v>
      </c>
      <c r="FU136" s="371">
        <f t="shared" si="154"/>
        <v>0</v>
      </c>
      <c r="FV136" s="371">
        <f t="shared" ref="FV136:GI136" si="155">(EF136-ET136)</f>
        <v>0</v>
      </c>
      <c r="FW136" s="371">
        <f t="shared" si="155"/>
        <v>0</v>
      </c>
      <c r="FX136" s="371">
        <f t="shared" si="155"/>
        <v>0</v>
      </c>
      <c r="FY136" s="371">
        <f t="shared" si="155"/>
        <v>0</v>
      </c>
      <c r="FZ136" s="371">
        <f t="shared" si="155"/>
        <v>0</v>
      </c>
      <c r="GA136" s="371">
        <f t="shared" si="155"/>
        <v>0</v>
      </c>
      <c r="GB136" s="371">
        <f t="shared" si="155"/>
        <v>0</v>
      </c>
      <c r="GC136" s="371">
        <f t="shared" si="155"/>
        <v>1</v>
      </c>
      <c r="GD136" s="371">
        <f t="shared" si="155"/>
        <v>0</v>
      </c>
      <c r="GE136" s="371">
        <f t="shared" si="155"/>
        <v>0</v>
      </c>
      <c r="GF136" s="371">
        <f t="shared" si="155"/>
        <v>0</v>
      </c>
      <c r="GG136" s="371">
        <f t="shared" si="155"/>
        <v>0</v>
      </c>
      <c r="GH136" s="371">
        <f t="shared" si="155"/>
        <v>0</v>
      </c>
      <c r="GI136" s="371">
        <f t="shared" si="155"/>
        <v>1</v>
      </c>
      <c r="GJ136" s="372"/>
      <c r="GK136" s="367"/>
      <c r="GL136" s="376"/>
      <c r="GM136" s="376"/>
    </row>
    <row r="137" spans="1:196" x14ac:dyDescent="0.25">
      <c r="A137" s="356">
        <v>40424</v>
      </c>
      <c r="B137" s="356" t="s">
        <v>133</v>
      </c>
      <c r="C137" s="356" t="s">
        <v>129</v>
      </c>
      <c r="D137" s="356" t="s">
        <v>130</v>
      </c>
      <c r="E137" s="357">
        <v>13507</v>
      </c>
      <c r="F137" s="360"/>
      <c r="G137" s="358">
        <v>5</v>
      </c>
      <c r="H137" s="359" t="s">
        <v>396</v>
      </c>
      <c r="I137" s="360">
        <v>1</v>
      </c>
      <c r="J137" s="360">
        <v>0</v>
      </c>
      <c r="K137" s="361">
        <f>5+2/3</f>
        <v>5.666666666666667</v>
      </c>
      <c r="L137" s="360">
        <v>5</v>
      </c>
      <c r="M137" s="360">
        <v>1</v>
      </c>
      <c r="N137" s="360">
        <v>1</v>
      </c>
      <c r="O137" s="360">
        <v>3</v>
      </c>
      <c r="P137" s="360">
        <v>3</v>
      </c>
      <c r="Q137" s="360">
        <v>0</v>
      </c>
      <c r="R137" s="360">
        <v>0</v>
      </c>
      <c r="S137" s="360">
        <v>24</v>
      </c>
      <c r="T137" s="360">
        <v>98</v>
      </c>
      <c r="U137" s="360">
        <v>62</v>
      </c>
      <c r="V137" s="360">
        <v>2</v>
      </c>
      <c r="W137" s="362">
        <v>0</v>
      </c>
      <c r="X137" s="360">
        <v>0</v>
      </c>
      <c r="Y137" s="360">
        <v>0</v>
      </c>
      <c r="Z137" s="360">
        <v>3</v>
      </c>
      <c r="AA137" s="360">
        <v>1</v>
      </c>
      <c r="AB137" s="360">
        <v>0</v>
      </c>
      <c r="AC137" s="361">
        <f>3+1/3</f>
        <v>3.3333333333333335</v>
      </c>
      <c r="AD137" s="360">
        <v>2</v>
      </c>
      <c r="AE137" s="360">
        <v>0</v>
      </c>
      <c r="AF137" s="360">
        <v>0</v>
      </c>
      <c r="AG137" s="360">
        <v>0</v>
      </c>
      <c r="AH137" s="360">
        <v>2</v>
      </c>
      <c r="AI137" s="360">
        <v>0</v>
      </c>
      <c r="AJ137" s="360">
        <v>0</v>
      </c>
      <c r="AK137" s="360">
        <v>12</v>
      </c>
      <c r="AL137" s="360">
        <v>39</v>
      </c>
      <c r="AM137" s="360">
        <v>28</v>
      </c>
      <c r="AN137" s="363" t="s">
        <v>275</v>
      </c>
      <c r="AO137" s="364">
        <v>3</v>
      </c>
      <c r="AP137" s="364">
        <v>0</v>
      </c>
      <c r="AQ137" s="364">
        <v>0</v>
      </c>
      <c r="AR137" s="364">
        <v>0</v>
      </c>
      <c r="AS137" s="364">
        <v>2</v>
      </c>
      <c r="AT137" s="364">
        <v>0</v>
      </c>
      <c r="AU137" s="364">
        <v>0</v>
      </c>
      <c r="AV137" s="364">
        <v>0</v>
      </c>
      <c r="AW137" s="365">
        <v>0</v>
      </c>
      <c r="AX137" s="363" t="s">
        <v>389</v>
      </c>
      <c r="AY137" s="364">
        <v>4</v>
      </c>
      <c r="AZ137" s="364">
        <v>0</v>
      </c>
      <c r="BA137" s="364">
        <v>0</v>
      </c>
      <c r="BB137" s="364">
        <v>1</v>
      </c>
      <c r="BC137" s="364">
        <v>0</v>
      </c>
      <c r="BD137" s="364">
        <v>1</v>
      </c>
      <c r="BE137" s="364">
        <v>0</v>
      </c>
      <c r="BF137" s="364">
        <v>1</v>
      </c>
      <c r="BG137" s="365">
        <v>0</v>
      </c>
      <c r="BH137" s="363" t="s">
        <v>391</v>
      </c>
      <c r="BI137" s="364">
        <v>5</v>
      </c>
      <c r="BJ137" s="364">
        <v>1</v>
      </c>
      <c r="BK137" s="364">
        <v>3</v>
      </c>
      <c r="BL137" s="364">
        <v>1</v>
      </c>
      <c r="BM137" s="364">
        <v>0</v>
      </c>
      <c r="BN137" s="364">
        <v>1</v>
      </c>
      <c r="BO137" s="364">
        <v>0</v>
      </c>
      <c r="BP137" s="364">
        <v>0</v>
      </c>
      <c r="BQ137" s="365">
        <v>5</v>
      </c>
      <c r="BR137" s="363" t="s">
        <v>390</v>
      </c>
      <c r="BS137" s="364">
        <v>3</v>
      </c>
      <c r="BT137" s="364">
        <v>0</v>
      </c>
      <c r="BU137" s="364">
        <v>1</v>
      </c>
      <c r="BV137" s="364">
        <v>1</v>
      </c>
      <c r="BW137" s="364">
        <v>1</v>
      </c>
      <c r="BX137" s="364">
        <v>2</v>
      </c>
      <c r="BY137" s="364">
        <v>1</v>
      </c>
      <c r="BZ137" s="364">
        <v>0</v>
      </c>
      <c r="CA137" s="365">
        <v>2</v>
      </c>
      <c r="CB137" s="363" t="s">
        <v>274</v>
      </c>
      <c r="CC137" s="364">
        <v>4</v>
      </c>
      <c r="CD137" s="364">
        <v>0</v>
      </c>
      <c r="CE137" s="364">
        <v>0</v>
      </c>
      <c r="CF137" s="364">
        <v>0</v>
      </c>
      <c r="CG137" s="364">
        <v>0</v>
      </c>
      <c r="CH137" s="364">
        <v>2</v>
      </c>
      <c r="CI137" s="364">
        <v>0</v>
      </c>
      <c r="CJ137" s="364">
        <v>0</v>
      </c>
      <c r="CK137" s="365">
        <v>0</v>
      </c>
      <c r="CL137" s="363" t="s">
        <v>387</v>
      </c>
      <c r="CM137" s="364">
        <v>3</v>
      </c>
      <c r="CN137" s="364">
        <v>1</v>
      </c>
      <c r="CO137" s="364">
        <v>1</v>
      </c>
      <c r="CP137" s="364">
        <v>0</v>
      </c>
      <c r="CQ137" s="364">
        <v>1</v>
      </c>
      <c r="CR137" s="364">
        <v>1</v>
      </c>
      <c r="CS137" s="364">
        <v>0</v>
      </c>
      <c r="CT137" s="364">
        <v>0</v>
      </c>
      <c r="CU137" s="365">
        <v>1</v>
      </c>
      <c r="CV137" s="363" t="s">
        <v>332</v>
      </c>
      <c r="CW137" s="364">
        <v>4</v>
      </c>
      <c r="CX137" s="364">
        <v>0</v>
      </c>
      <c r="CY137" s="364">
        <v>0</v>
      </c>
      <c r="CZ137" s="364">
        <v>0</v>
      </c>
      <c r="DA137" s="364">
        <v>0</v>
      </c>
      <c r="DB137" s="364">
        <v>2</v>
      </c>
      <c r="DC137" s="364">
        <v>0</v>
      </c>
      <c r="DD137" s="364">
        <v>0</v>
      </c>
      <c r="DE137" s="365">
        <v>0</v>
      </c>
      <c r="DF137" s="363" t="s">
        <v>273</v>
      </c>
      <c r="DG137" s="364">
        <v>3</v>
      </c>
      <c r="DH137" s="364">
        <v>1</v>
      </c>
      <c r="DI137" s="364">
        <v>2</v>
      </c>
      <c r="DJ137" s="364">
        <v>0</v>
      </c>
      <c r="DK137" s="364">
        <v>1</v>
      </c>
      <c r="DL137" s="364">
        <v>0</v>
      </c>
      <c r="DM137" s="364">
        <v>0</v>
      </c>
      <c r="DN137" s="364">
        <v>0</v>
      </c>
      <c r="DO137" s="365">
        <v>2</v>
      </c>
      <c r="DP137" s="363" t="s">
        <v>385</v>
      </c>
      <c r="DQ137" s="364">
        <v>4</v>
      </c>
      <c r="DR137" s="364">
        <v>1</v>
      </c>
      <c r="DS137" s="364">
        <v>2</v>
      </c>
      <c r="DT137" s="364">
        <v>1</v>
      </c>
      <c r="DU137" s="364">
        <v>0</v>
      </c>
      <c r="DV137" s="364">
        <v>0</v>
      </c>
      <c r="DW137" s="364">
        <v>0</v>
      </c>
      <c r="DX137" s="364">
        <v>0</v>
      </c>
      <c r="DY137" s="365">
        <v>2</v>
      </c>
      <c r="DZ137" s="366">
        <v>3</v>
      </c>
      <c r="EA137" s="367">
        <v>0</v>
      </c>
      <c r="EB137" s="367">
        <v>0</v>
      </c>
      <c r="EC137" s="368">
        <v>6</v>
      </c>
      <c r="ED137" s="367">
        <v>0</v>
      </c>
      <c r="EE137" s="369">
        <v>0</v>
      </c>
      <c r="EF137" s="370">
        <v>0</v>
      </c>
      <c r="EG137" s="367">
        <v>0</v>
      </c>
      <c r="EH137" s="367">
        <v>2</v>
      </c>
      <c r="EI137" s="367">
        <v>2</v>
      </c>
      <c r="EJ137" s="367">
        <v>0</v>
      </c>
      <c r="EK137" s="367">
        <v>0</v>
      </c>
      <c r="EL137" s="367">
        <v>0</v>
      </c>
      <c r="EM137" s="367">
        <v>0</v>
      </c>
      <c r="EN137" s="367">
        <v>0</v>
      </c>
      <c r="EO137" s="367"/>
      <c r="EP137" s="367"/>
      <c r="EQ137" s="367"/>
      <c r="ER137" s="367"/>
      <c r="ES137" s="369">
        <f t="shared" ref="ES137:ES142" si="156">SUM(EF137:ER137)</f>
        <v>4</v>
      </c>
      <c r="ET137" s="367">
        <v>0</v>
      </c>
      <c r="EU137" s="367">
        <v>0</v>
      </c>
      <c r="EV137" s="367">
        <v>0</v>
      </c>
      <c r="EW137" s="367">
        <v>1</v>
      </c>
      <c r="EX137" s="367">
        <v>0</v>
      </c>
      <c r="EY137" s="367">
        <v>0</v>
      </c>
      <c r="EZ137" s="367">
        <v>0</v>
      </c>
      <c r="FA137" s="367">
        <v>0</v>
      </c>
      <c r="FB137" s="367">
        <v>0</v>
      </c>
      <c r="FC137" s="367"/>
      <c r="FD137" s="367"/>
      <c r="FE137" s="367"/>
      <c r="FF137" s="367"/>
      <c r="FG137" s="367">
        <f t="shared" ref="FG137:FG142" si="157">SUM(ET137:FF137)</f>
        <v>1</v>
      </c>
      <c r="FH137" s="371">
        <v>33</v>
      </c>
      <c r="FI137" s="371">
        <v>4</v>
      </c>
      <c r="FJ137" s="371">
        <v>9</v>
      </c>
      <c r="FK137" s="371">
        <v>4</v>
      </c>
      <c r="FL137" s="371">
        <v>5</v>
      </c>
      <c r="FM137" s="371">
        <v>9</v>
      </c>
      <c r="FN137" s="371">
        <f t="shared" si="146"/>
        <v>0</v>
      </c>
      <c r="FO137" s="371">
        <f t="shared" si="147"/>
        <v>0</v>
      </c>
      <c r="FP137" s="371">
        <f t="shared" ref="FP137:FU137" si="158">((SUM(AO137,AY137,BI137,BS137,CC137,CM137,CW137,DG137,DQ137))-(FH137))</f>
        <v>0</v>
      </c>
      <c r="FQ137" s="371">
        <f t="shared" si="158"/>
        <v>0</v>
      </c>
      <c r="FR137" s="371">
        <f t="shared" si="158"/>
        <v>0</v>
      </c>
      <c r="FS137" s="371">
        <f t="shared" si="158"/>
        <v>0</v>
      </c>
      <c r="FT137" s="371">
        <f t="shared" si="158"/>
        <v>0</v>
      </c>
      <c r="FU137" s="371">
        <f t="shared" si="158"/>
        <v>0</v>
      </c>
      <c r="FV137" s="371">
        <f t="shared" ref="FV137:GI137" si="159">(EF137-ET137)</f>
        <v>0</v>
      </c>
      <c r="FW137" s="371">
        <f t="shared" si="159"/>
        <v>0</v>
      </c>
      <c r="FX137" s="371">
        <f t="shared" si="159"/>
        <v>2</v>
      </c>
      <c r="FY137" s="371">
        <f t="shared" si="159"/>
        <v>1</v>
      </c>
      <c r="FZ137" s="371">
        <f t="shared" si="159"/>
        <v>0</v>
      </c>
      <c r="GA137" s="371">
        <f t="shared" si="159"/>
        <v>0</v>
      </c>
      <c r="GB137" s="371">
        <f t="shared" si="159"/>
        <v>0</v>
      </c>
      <c r="GC137" s="371">
        <f t="shared" si="159"/>
        <v>0</v>
      </c>
      <c r="GD137" s="371">
        <f t="shared" si="159"/>
        <v>0</v>
      </c>
      <c r="GE137" s="371">
        <f t="shared" si="159"/>
        <v>0</v>
      </c>
      <c r="GF137" s="371">
        <f t="shared" si="159"/>
        <v>0</v>
      </c>
      <c r="GG137" s="371">
        <f t="shared" si="159"/>
        <v>0</v>
      </c>
      <c r="GH137" s="371">
        <f t="shared" si="159"/>
        <v>0</v>
      </c>
      <c r="GI137" s="371">
        <f t="shared" si="159"/>
        <v>3</v>
      </c>
      <c r="GJ137" s="372"/>
      <c r="GK137" s="367"/>
      <c r="GL137" s="376"/>
      <c r="GM137" s="376"/>
    </row>
    <row r="138" spans="1:196" x14ac:dyDescent="0.25">
      <c r="A138" s="356">
        <v>40425</v>
      </c>
      <c r="B138" s="356" t="s">
        <v>133</v>
      </c>
      <c r="C138" s="356" t="s">
        <v>131</v>
      </c>
      <c r="D138" s="356" t="s">
        <v>130</v>
      </c>
      <c r="E138" s="357">
        <v>18943</v>
      </c>
      <c r="F138" s="360"/>
      <c r="G138" s="358">
        <v>1</v>
      </c>
      <c r="H138" s="359" t="s">
        <v>392</v>
      </c>
      <c r="I138" s="360">
        <v>0</v>
      </c>
      <c r="J138" s="360">
        <v>1</v>
      </c>
      <c r="K138" s="361">
        <f>4+1/3</f>
        <v>4.333333333333333</v>
      </c>
      <c r="L138" s="360">
        <v>8</v>
      </c>
      <c r="M138" s="360">
        <v>6</v>
      </c>
      <c r="N138" s="360">
        <v>6</v>
      </c>
      <c r="O138" s="360">
        <v>1</v>
      </c>
      <c r="P138" s="360">
        <v>3</v>
      </c>
      <c r="Q138" s="360">
        <v>1</v>
      </c>
      <c r="R138" s="360">
        <v>0</v>
      </c>
      <c r="S138" s="360">
        <v>22</v>
      </c>
      <c r="T138" s="360">
        <v>76</v>
      </c>
      <c r="U138" s="360">
        <v>50</v>
      </c>
      <c r="V138" s="360">
        <v>1</v>
      </c>
      <c r="W138" s="362">
        <v>1</v>
      </c>
      <c r="X138" s="360">
        <v>0</v>
      </c>
      <c r="Y138" s="360">
        <v>0</v>
      </c>
      <c r="Z138" s="360">
        <v>0</v>
      </c>
      <c r="AA138" s="360">
        <v>0</v>
      </c>
      <c r="AB138" s="360">
        <v>0</v>
      </c>
      <c r="AC138" s="361">
        <f>3+2/3</f>
        <v>3.6666666666666665</v>
      </c>
      <c r="AD138" s="360">
        <v>7</v>
      </c>
      <c r="AE138" s="360">
        <v>2</v>
      </c>
      <c r="AF138" s="360">
        <v>2</v>
      </c>
      <c r="AG138" s="360">
        <v>1</v>
      </c>
      <c r="AH138" s="360">
        <v>3</v>
      </c>
      <c r="AI138" s="360">
        <v>0</v>
      </c>
      <c r="AJ138" s="360">
        <v>0</v>
      </c>
      <c r="AK138" s="360">
        <v>19</v>
      </c>
      <c r="AL138" s="360">
        <v>68</v>
      </c>
      <c r="AM138" s="360">
        <v>48</v>
      </c>
      <c r="AN138" s="363" t="s">
        <v>275</v>
      </c>
      <c r="AO138" s="364">
        <v>4</v>
      </c>
      <c r="AP138" s="364">
        <v>1</v>
      </c>
      <c r="AQ138" s="364">
        <v>2</v>
      </c>
      <c r="AR138" s="364">
        <v>1</v>
      </c>
      <c r="AS138" s="364">
        <v>0</v>
      </c>
      <c r="AT138" s="364">
        <v>2</v>
      </c>
      <c r="AU138" s="364">
        <v>0</v>
      </c>
      <c r="AV138" s="364">
        <v>0</v>
      </c>
      <c r="AW138" s="365">
        <v>5</v>
      </c>
      <c r="AX138" s="363" t="s">
        <v>389</v>
      </c>
      <c r="AY138" s="364">
        <v>4</v>
      </c>
      <c r="AZ138" s="364">
        <v>0</v>
      </c>
      <c r="BA138" s="364">
        <v>0</v>
      </c>
      <c r="BB138" s="364">
        <v>0</v>
      </c>
      <c r="BC138" s="364">
        <v>0</v>
      </c>
      <c r="BD138" s="364">
        <v>2</v>
      </c>
      <c r="BE138" s="364">
        <v>0</v>
      </c>
      <c r="BF138" s="364">
        <v>0</v>
      </c>
      <c r="BG138" s="365">
        <v>0</v>
      </c>
      <c r="BH138" s="363" t="s">
        <v>391</v>
      </c>
      <c r="BI138" s="364">
        <v>4</v>
      </c>
      <c r="BJ138" s="364">
        <v>1</v>
      </c>
      <c r="BK138" s="364">
        <v>2</v>
      </c>
      <c r="BL138" s="364">
        <v>0</v>
      </c>
      <c r="BM138" s="364">
        <v>0</v>
      </c>
      <c r="BN138" s="364">
        <v>1</v>
      </c>
      <c r="BO138" s="364">
        <v>0</v>
      </c>
      <c r="BP138" s="364">
        <v>0</v>
      </c>
      <c r="BQ138" s="365">
        <v>3</v>
      </c>
      <c r="BR138" s="363" t="s">
        <v>390</v>
      </c>
      <c r="BS138" s="364">
        <v>4</v>
      </c>
      <c r="BT138" s="364">
        <v>0</v>
      </c>
      <c r="BU138" s="364">
        <v>1</v>
      </c>
      <c r="BV138" s="364">
        <v>0</v>
      </c>
      <c r="BW138" s="364">
        <v>0</v>
      </c>
      <c r="BX138" s="364">
        <v>1</v>
      </c>
      <c r="BY138" s="364">
        <v>0</v>
      </c>
      <c r="BZ138" s="364">
        <v>0</v>
      </c>
      <c r="CA138" s="365">
        <v>1</v>
      </c>
      <c r="CB138" s="363" t="s">
        <v>274</v>
      </c>
      <c r="CC138" s="364">
        <v>4</v>
      </c>
      <c r="CD138" s="364">
        <v>0</v>
      </c>
      <c r="CE138" s="364">
        <v>0</v>
      </c>
      <c r="CF138" s="364">
        <v>0</v>
      </c>
      <c r="CG138" s="364">
        <v>0</v>
      </c>
      <c r="CH138" s="364">
        <v>1</v>
      </c>
      <c r="CI138" s="364">
        <v>0</v>
      </c>
      <c r="CJ138" s="364">
        <v>0</v>
      </c>
      <c r="CK138" s="365">
        <v>0</v>
      </c>
      <c r="CL138" s="363" t="s">
        <v>387</v>
      </c>
      <c r="CM138" s="364">
        <v>4</v>
      </c>
      <c r="CN138" s="364">
        <v>1</v>
      </c>
      <c r="CO138" s="364">
        <v>2</v>
      </c>
      <c r="CP138" s="364">
        <v>2</v>
      </c>
      <c r="CQ138" s="364">
        <v>0</v>
      </c>
      <c r="CR138" s="364">
        <v>1</v>
      </c>
      <c r="CS138" s="364">
        <v>0</v>
      </c>
      <c r="CT138" s="364">
        <v>0</v>
      </c>
      <c r="CU138" s="365">
        <v>6</v>
      </c>
      <c r="CV138" s="363" t="s">
        <v>674</v>
      </c>
      <c r="CW138" s="364">
        <v>3</v>
      </c>
      <c r="CX138" s="364">
        <v>1</v>
      </c>
      <c r="CY138" s="364">
        <v>1</v>
      </c>
      <c r="CZ138" s="364">
        <v>1</v>
      </c>
      <c r="DA138" s="364">
        <v>1</v>
      </c>
      <c r="DB138" s="364">
        <v>0</v>
      </c>
      <c r="DC138" s="364">
        <v>0</v>
      </c>
      <c r="DD138" s="364">
        <v>0</v>
      </c>
      <c r="DE138" s="365">
        <v>4</v>
      </c>
      <c r="DF138" s="363" t="s">
        <v>273</v>
      </c>
      <c r="DG138" s="364">
        <v>4</v>
      </c>
      <c r="DH138" s="364">
        <v>0</v>
      </c>
      <c r="DI138" s="364">
        <v>0</v>
      </c>
      <c r="DJ138" s="364">
        <v>0</v>
      </c>
      <c r="DK138" s="364">
        <v>0</v>
      </c>
      <c r="DL138" s="364">
        <v>2</v>
      </c>
      <c r="DM138" s="364">
        <v>0</v>
      </c>
      <c r="DN138" s="364">
        <v>0</v>
      </c>
      <c r="DO138" s="365">
        <v>0</v>
      </c>
      <c r="DP138" s="363" t="s">
        <v>384</v>
      </c>
      <c r="DQ138" s="364">
        <v>3</v>
      </c>
      <c r="DR138" s="364">
        <v>0</v>
      </c>
      <c r="DS138" s="364">
        <v>0</v>
      </c>
      <c r="DT138" s="364">
        <v>0</v>
      </c>
      <c r="DU138" s="364">
        <v>0</v>
      </c>
      <c r="DV138" s="364">
        <v>0</v>
      </c>
      <c r="DW138" s="364">
        <v>0</v>
      </c>
      <c r="DX138" s="364">
        <v>0</v>
      </c>
      <c r="DY138" s="365">
        <v>0</v>
      </c>
      <c r="DZ138" s="366">
        <v>1</v>
      </c>
      <c r="EA138" s="367">
        <v>0</v>
      </c>
      <c r="EB138" s="367">
        <v>0</v>
      </c>
      <c r="EC138" s="368">
        <v>8</v>
      </c>
      <c r="ED138" s="367">
        <v>0</v>
      </c>
      <c r="EE138" s="369">
        <v>0</v>
      </c>
      <c r="EF138" s="370">
        <v>1</v>
      </c>
      <c r="EG138" s="367">
        <v>0</v>
      </c>
      <c r="EH138" s="367">
        <v>0</v>
      </c>
      <c r="EI138" s="367">
        <v>1</v>
      </c>
      <c r="EJ138" s="367">
        <v>0</v>
      </c>
      <c r="EK138" s="367">
        <v>0</v>
      </c>
      <c r="EL138" s="367">
        <v>0</v>
      </c>
      <c r="EM138" s="367">
        <v>0</v>
      </c>
      <c r="EN138" s="367">
        <v>2</v>
      </c>
      <c r="EO138" s="367"/>
      <c r="EP138" s="367"/>
      <c r="EQ138" s="367"/>
      <c r="ER138" s="367"/>
      <c r="ES138" s="369">
        <f t="shared" si="156"/>
        <v>4</v>
      </c>
      <c r="ET138" s="367">
        <v>2</v>
      </c>
      <c r="EU138" s="367">
        <v>0</v>
      </c>
      <c r="EV138" s="367">
        <v>3</v>
      </c>
      <c r="EW138" s="367">
        <v>0</v>
      </c>
      <c r="EX138" s="367">
        <v>2</v>
      </c>
      <c r="EY138" s="367">
        <v>1</v>
      </c>
      <c r="EZ138" s="367">
        <v>0</v>
      </c>
      <c r="FA138" s="367">
        <v>0</v>
      </c>
      <c r="FB138" s="367"/>
      <c r="FC138" s="367"/>
      <c r="FD138" s="367"/>
      <c r="FE138" s="367"/>
      <c r="FF138" s="367"/>
      <c r="FG138" s="367">
        <f t="shared" si="157"/>
        <v>8</v>
      </c>
      <c r="FH138" s="371">
        <v>34</v>
      </c>
      <c r="FI138" s="371">
        <v>4</v>
      </c>
      <c r="FJ138" s="371">
        <v>8</v>
      </c>
      <c r="FK138" s="371">
        <v>4</v>
      </c>
      <c r="FL138" s="371">
        <v>1</v>
      </c>
      <c r="FM138" s="371">
        <v>10</v>
      </c>
      <c r="FN138" s="371">
        <f t="shared" si="146"/>
        <v>0</v>
      </c>
      <c r="FO138" s="371">
        <f t="shared" si="147"/>
        <v>0</v>
      </c>
      <c r="FP138" s="371">
        <f t="shared" ref="FP138:FU138" si="160">((SUM(AO138,AY138,BI138,BS138,CC138,CM138,CW138,DG138,DQ138))-(FH138))</f>
        <v>0</v>
      </c>
      <c r="FQ138" s="371">
        <f t="shared" si="160"/>
        <v>0</v>
      </c>
      <c r="FR138" s="371">
        <f t="shared" si="160"/>
        <v>0</v>
      </c>
      <c r="FS138" s="371">
        <f t="shared" si="160"/>
        <v>0</v>
      </c>
      <c r="FT138" s="371">
        <f t="shared" si="160"/>
        <v>0</v>
      </c>
      <c r="FU138" s="371">
        <f t="shared" si="160"/>
        <v>0</v>
      </c>
      <c r="FV138" s="371">
        <f t="shared" ref="FV138:GI138" si="161">(EF138-ET138)</f>
        <v>-1</v>
      </c>
      <c r="FW138" s="371">
        <f t="shared" si="161"/>
        <v>0</v>
      </c>
      <c r="FX138" s="371">
        <f t="shared" si="161"/>
        <v>-3</v>
      </c>
      <c r="FY138" s="371">
        <f t="shared" si="161"/>
        <v>1</v>
      </c>
      <c r="FZ138" s="371">
        <f t="shared" si="161"/>
        <v>-2</v>
      </c>
      <c r="GA138" s="371">
        <f t="shared" si="161"/>
        <v>-1</v>
      </c>
      <c r="GB138" s="371">
        <f t="shared" si="161"/>
        <v>0</v>
      </c>
      <c r="GC138" s="371">
        <f t="shared" si="161"/>
        <v>0</v>
      </c>
      <c r="GD138" s="371">
        <f t="shared" si="161"/>
        <v>2</v>
      </c>
      <c r="GE138" s="371">
        <f t="shared" si="161"/>
        <v>0</v>
      </c>
      <c r="GF138" s="371">
        <f t="shared" si="161"/>
        <v>0</v>
      </c>
      <c r="GG138" s="371">
        <f t="shared" si="161"/>
        <v>0</v>
      </c>
      <c r="GH138" s="371">
        <f t="shared" si="161"/>
        <v>0</v>
      </c>
      <c r="GI138" s="371">
        <f t="shared" si="161"/>
        <v>-4</v>
      </c>
      <c r="GJ138" s="372"/>
      <c r="GK138" s="367"/>
      <c r="GL138" s="376"/>
      <c r="GM138" s="376"/>
    </row>
    <row r="139" spans="1:196" x14ac:dyDescent="0.25">
      <c r="A139" s="356">
        <v>40426</v>
      </c>
      <c r="B139" s="356" t="s">
        <v>133</v>
      </c>
      <c r="C139" s="356" t="s">
        <v>131</v>
      </c>
      <c r="D139" s="356" t="s">
        <v>130</v>
      </c>
      <c r="E139" s="357">
        <v>28268</v>
      </c>
      <c r="F139" s="360"/>
      <c r="G139" s="358">
        <v>2</v>
      </c>
      <c r="H139" s="359" t="s">
        <v>393</v>
      </c>
      <c r="I139" s="360">
        <v>0</v>
      </c>
      <c r="J139" s="360">
        <v>0</v>
      </c>
      <c r="K139" s="361">
        <v>5</v>
      </c>
      <c r="L139" s="360">
        <v>6</v>
      </c>
      <c r="M139" s="360">
        <v>4</v>
      </c>
      <c r="N139" s="360">
        <v>4</v>
      </c>
      <c r="O139" s="360">
        <v>3</v>
      </c>
      <c r="P139" s="360">
        <v>5</v>
      </c>
      <c r="Q139" s="360">
        <v>1</v>
      </c>
      <c r="R139" s="360">
        <v>0</v>
      </c>
      <c r="S139" s="360">
        <v>23</v>
      </c>
      <c r="T139" s="360">
        <v>103</v>
      </c>
      <c r="U139" s="360">
        <v>65</v>
      </c>
      <c r="V139" s="360">
        <v>0</v>
      </c>
      <c r="W139" s="362">
        <v>0</v>
      </c>
      <c r="X139" s="360">
        <v>0</v>
      </c>
      <c r="Y139" s="360">
        <v>1</v>
      </c>
      <c r="Z139" s="360">
        <v>1</v>
      </c>
      <c r="AA139" s="360">
        <v>0</v>
      </c>
      <c r="AB139" s="360">
        <v>1</v>
      </c>
      <c r="AC139" s="361">
        <v>3</v>
      </c>
      <c r="AD139" s="360">
        <v>4</v>
      </c>
      <c r="AE139" s="360">
        <v>4</v>
      </c>
      <c r="AF139" s="360">
        <v>4</v>
      </c>
      <c r="AG139" s="360">
        <v>4</v>
      </c>
      <c r="AH139" s="360">
        <v>2</v>
      </c>
      <c r="AI139" s="360">
        <v>0</v>
      </c>
      <c r="AJ139" s="360">
        <v>0</v>
      </c>
      <c r="AK139" s="360">
        <v>14</v>
      </c>
      <c r="AL139" s="360">
        <v>62</v>
      </c>
      <c r="AM139" s="360">
        <v>33</v>
      </c>
      <c r="AN139" s="363" t="s">
        <v>275</v>
      </c>
      <c r="AO139" s="364">
        <v>4</v>
      </c>
      <c r="AP139" s="364">
        <v>0</v>
      </c>
      <c r="AQ139" s="364">
        <v>1</v>
      </c>
      <c r="AR139" s="364">
        <v>0</v>
      </c>
      <c r="AS139" s="364">
        <v>1</v>
      </c>
      <c r="AT139" s="364">
        <v>0</v>
      </c>
      <c r="AU139" s="364">
        <v>0</v>
      </c>
      <c r="AV139" s="364">
        <v>0</v>
      </c>
      <c r="AW139" s="365">
        <v>1</v>
      </c>
      <c r="AX139" s="363" t="s">
        <v>389</v>
      </c>
      <c r="AY139" s="364">
        <v>5</v>
      </c>
      <c r="AZ139" s="364">
        <v>1</v>
      </c>
      <c r="BA139" s="364">
        <v>1</v>
      </c>
      <c r="BB139" s="364">
        <v>1</v>
      </c>
      <c r="BC139" s="364">
        <v>0</v>
      </c>
      <c r="BD139" s="364">
        <v>1</v>
      </c>
      <c r="BE139" s="364">
        <v>0</v>
      </c>
      <c r="BF139" s="364">
        <v>0</v>
      </c>
      <c r="BG139" s="365">
        <v>4</v>
      </c>
      <c r="BH139" s="363" t="s">
        <v>391</v>
      </c>
      <c r="BI139" s="364">
        <v>4</v>
      </c>
      <c r="BJ139" s="364">
        <v>1</v>
      </c>
      <c r="BK139" s="364">
        <v>2</v>
      </c>
      <c r="BL139" s="364">
        <v>0</v>
      </c>
      <c r="BM139" s="364">
        <v>1</v>
      </c>
      <c r="BN139" s="364">
        <v>0</v>
      </c>
      <c r="BO139" s="364">
        <v>0</v>
      </c>
      <c r="BP139" s="364">
        <v>0</v>
      </c>
      <c r="BQ139" s="365">
        <v>4</v>
      </c>
      <c r="BR139" s="363" t="s">
        <v>390</v>
      </c>
      <c r="BS139" s="364">
        <v>4</v>
      </c>
      <c r="BT139" s="364">
        <v>2</v>
      </c>
      <c r="BU139" s="364">
        <v>1</v>
      </c>
      <c r="BV139" s="364">
        <v>2</v>
      </c>
      <c r="BW139" s="364">
        <v>1</v>
      </c>
      <c r="BX139" s="364">
        <v>1</v>
      </c>
      <c r="BY139" s="364">
        <v>0</v>
      </c>
      <c r="BZ139" s="364">
        <v>0</v>
      </c>
      <c r="CA139" s="365">
        <v>4</v>
      </c>
      <c r="CB139" s="363" t="s">
        <v>387</v>
      </c>
      <c r="CC139" s="364">
        <v>4</v>
      </c>
      <c r="CD139" s="364">
        <v>1</v>
      </c>
      <c r="CE139" s="364">
        <v>2</v>
      </c>
      <c r="CF139" s="364">
        <v>2</v>
      </c>
      <c r="CG139" s="364">
        <v>0</v>
      </c>
      <c r="CH139" s="364">
        <v>1</v>
      </c>
      <c r="CI139" s="364">
        <v>0</v>
      </c>
      <c r="CJ139" s="364">
        <v>0</v>
      </c>
      <c r="CK139" s="365">
        <v>7</v>
      </c>
      <c r="CL139" s="363" t="s">
        <v>271</v>
      </c>
      <c r="CM139" s="364">
        <v>4</v>
      </c>
      <c r="CN139" s="364">
        <v>1</v>
      </c>
      <c r="CO139" s="364">
        <v>1</v>
      </c>
      <c r="CP139" s="364">
        <v>0</v>
      </c>
      <c r="CQ139" s="364">
        <v>0</v>
      </c>
      <c r="CR139" s="364">
        <v>2</v>
      </c>
      <c r="CS139" s="364">
        <v>0</v>
      </c>
      <c r="CT139" s="364">
        <v>0</v>
      </c>
      <c r="CU139" s="365">
        <v>1</v>
      </c>
      <c r="CV139" s="363" t="s">
        <v>273</v>
      </c>
      <c r="CW139" s="364">
        <v>3</v>
      </c>
      <c r="CX139" s="364">
        <v>1</v>
      </c>
      <c r="CY139" s="364">
        <v>1</v>
      </c>
      <c r="CZ139" s="364">
        <v>2</v>
      </c>
      <c r="DA139" s="364">
        <v>1</v>
      </c>
      <c r="DB139" s="364">
        <v>0</v>
      </c>
      <c r="DC139" s="364">
        <v>0</v>
      </c>
      <c r="DD139" s="364">
        <v>0</v>
      </c>
      <c r="DE139" s="365">
        <v>4</v>
      </c>
      <c r="DF139" s="363" t="s">
        <v>406</v>
      </c>
      <c r="DG139" s="364">
        <v>4</v>
      </c>
      <c r="DH139" s="364">
        <v>0</v>
      </c>
      <c r="DI139" s="364">
        <v>0</v>
      </c>
      <c r="DJ139" s="364">
        <v>0</v>
      </c>
      <c r="DK139" s="364">
        <v>0</v>
      </c>
      <c r="DL139" s="364">
        <v>2</v>
      </c>
      <c r="DM139" s="364">
        <v>0</v>
      </c>
      <c r="DN139" s="364">
        <v>0</v>
      </c>
      <c r="DO139" s="365">
        <v>0</v>
      </c>
      <c r="DP139" s="363" t="s">
        <v>384</v>
      </c>
      <c r="DQ139" s="364">
        <v>4</v>
      </c>
      <c r="DR139" s="364">
        <v>0</v>
      </c>
      <c r="DS139" s="364">
        <v>2</v>
      </c>
      <c r="DT139" s="364">
        <v>0</v>
      </c>
      <c r="DU139" s="364">
        <v>0</v>
      </c>
      <c r="DV139" s="364">
        <v>1</v>
      </c>
      <c r="DW139" s="364">
        <v>0</v>
      </c>
      <c r="DX139" s="364">
        <v>0</v>
      </c>
      <c r="DY139" s="365">
        <v>2</v>
      </c>
      <c r="DZ139" s="366">
        <v>1</v>
      </c>
      <c r="EA139" s="367">
        <v>0</v>
      </c>
      <c r="EB139" s="367">
        <v>0</v>
      </c>
      <c r="EC139" s="368">
        <v>8</v>
      </c>
      <c r="ED139" s="367">
        <v>0</v>
      </c>
      <c r="EE139" s="369">
        <v>0</v>
      </c>
      <c r="EF139" s="370">
        <v>0</v>
      </c>
      <c r="EG139" s="367">
        <v>0</v>
      </c>
      <c r="EH139" s="367">
        <v>1</v>
      </c>
      <c r="EI139" s="367">
        <v>0</v>
      </c>
      <c r="EJ139" s="367">
        <v>0</v>
      </c>
      <c r="EK139" s="367">
        <v>4</v>
      </c>
      <c r="EL139" s="367">
        <v>2</v>
      </c>
      <c r="EM139" s="367">
        <v>0</v>
      </c>
      <c r="EN139" s="367">
        <v>0</v>
      </c>
      <c r="EO139" s="367"/>
      <c r="EP139" s="367"/>
      <c r="EQ139" s="367"/>
      <c r="ER139" s="367"/>
      <c r="ES139" s="369">
        <f t="shared" si="156"/>
        <v>7</v>
      </c>
      <c r="ET139" s="367">
        <v>2</v>
      </c>
      <c r="EU139" s="367">
        <v>0</v>
      </c>
      <c r="EV139" s="367">
        <v>2</v>
      </c>
      <c r="EW139" s="367">
        <v>0</v>
      </c>
      <c r="EX139" s="367">
        <v>0</v>
      </c>
      <c r="EY139" s="367">
        <v>4</v>
      </c>
      <c r="EZ139" s="367">
        <v>0</v>
      </c>
      <c r="FA139" s="367">
        <v>0</v>
      </c>
      <c r="FB139" s="367"/>
      <c r="FC139" s="367"/>
      <c r="FD139" s="367"/>
      <c r="FE139" s="367"/>
      <c r="FF139" s="367"/>
      <c r="FG139" s="367">
        <f t="shared" si="157"/>
        <v>8</v>
      </c>
      <c r="FH139" s="371">
        <v>36</v>
      </c>
      <c r="FI139" s="371">
        <v>7</v>
      </c>
      <c r="FJ139" s="371">
        <v>11</v>
      </c>
      <c r="FK139" s="371">
        <v>7</v>
      </c>
      <c r="FL139" s="371">
        <v>4</v>
      </c>
      <c r="FM139" s="371">
        <v>8</v>
      </c>
      <c r="FN139" s="371">
        <f t="shared" ref="FN139:FN144" si="162">((SUM(M139,AE139))-(FG139))</f>
        <v>0</v>
      </c>
      <c r="FO139" s="371">
        <f t="shared" ref="FO139:FO144" si="163">((SUM(AP139,AZ139,BJ139,BT139,CD139,CN139,CX139,DH139,DR139))-(ES139))</f>
        <v>0</v>
      </c>
      <c r="FP139" s="371">
        <f t="shared" ref="FP139:FU139" si="164">((SUM(AO139,AY139,BI139,BS139,CC139,CM139,CW139,DG139,DQ139))-(FH139))</f>
        <v>0</v>
      </c>
      <c r="FQ139" s="371">
        <f t="shared" si="164"/>
        <v>0</v>
      </c>
      <c r="FR139" s="371">
        <f t="shared" si="164"/>
        <v>0</v>
      </c>
      <c r="FS139" s="371">
        <f t="shared" si="164"/>
        <v>0</v>
      </c>
      <c r="FT139" s="371">
        <f t="shared" si="164"/>
        <v>0</v>
      </c>
      <c r="FU139" s="371">
        <f t="shared" si="164"/>
        <v>0</v>
      </c>
      <c r="FV139" s="371">
        <f t="shared" ref="FV139:GI139" si="165">(EF139-ET139)</f>
        <v>-2</v>
      </c>
      <c r="FW139" s="371">
        <f t="shared" si="165"/>
        <v>0</v>
      </c>
      <c r="FX139" s="371">
        <f t="shared" si="165"/>
        <v>-1</v>
      </c>
      <c r="FY139" s="371">
        <f t="shared" si="165"/>
        <v>0</v>
      </c>
      <c r="FZ139" s="371">
        <f t="shared" si="165"/>
        <v>0</v>
      </c>
      <c r="GA139" s="371">
        <f t="shared" si="165"/>
        <v>0</v>
      </c>
      <c r="GB139" s="371">
        <f t="shared" si="165"/>
        <v>2</v>
      </c>
      <c r="GC139" s="371">
        <f t="shared" si="165"/>
        <v>0</v>
      </c>
      <c r="GD139" s="371">
        <f t="shared" si="165"/>
        <v>0</v>
      </c>
      <c r="GE139" s="371">
        <f t="shared" si="165"/>
        <v>0</v>
      </c>
      <c r="GF139" s="371">
        <f t="shared" si="165"/>
        <v>0</v>
      </c>
      <c r="GG139" s="371">
        <f t="shared" si="165"/>
        <v>0</v>
      </c>
      <c r="GH139" s="371">
        <f t="shared" si="165"/>
        <v>0</v>
      </c>
      <c r="GI139" s="371">
        <f t="shared" si="165"/>
        <v>-1</v>
      </c>
      <c r="GJ139" s="372"/>
      <c r="GK139" s="367"/>
      <c r="GL139" s="376"/>
      <c r="GM139" s="376"/>
    </row>
    <row r="140" spans="1:196" x14ac:dyDescent="0.25">
      <c r="A140" s="356">
        <v>40427</v>
      </c>
      <c r="B140" s="356" t="s">
        <v>133</v>
      </c>
      <c r="C140" s="356" t="s">
        <v>131</v>
      </c>
      <c r="D140" s="356" t="s">
        <v>134</v>
      </c>
      <c r="E140" s="357">
        <v>37546</v>
      </c>
      <c r="F140" s="360"/>
      <c r="G140" s="358">
        <v>3</v>
      </c>
      <c r="H140" s="359" t="s">
        <v>395</v>
      </c>
      <c r="I140" s="360">
        <v>0</v>
      </c>
      <c r="J140" s="360">
        <v>1</v>
      </c>
      <c r="K140" s="361">
        <f>1+2/3</f>
        <v>1.6666666666666665</v>
      </c>
      <c r="L140" s="360">
        <v>4</v>
      </c>
      <c r="M140" s="360">
        <v>6</v>
      </c>
      <c r="N140" s="360">
        <v>6</v>
      </c>
      <c r="O140" s="360">
        <v>3</v>
      </c>
      <c r="P140" s="360">
        <v>4</v>
      </c>
      <c r="Q140" s="360">
        <v>2</v>
      </c>
      <c r="R140" s="360">
        <v>0</v>
      </c>
      <c r="S140" s="360">
        <v>12</v>
      </c>
      <c r="T140" s="360">
        <v>65</v>
      </c>
      <c r="U140" s="360">
        <v>37</v>
      </c>
      <c r="V140" s="360">
        <v>2</v>
      </c>
      <c r="W140" s="362">
        <v>1</v>
      </c>
      <c r="X140" s="360">
        <v>0</v>
      </c>
      <c r="Y140" s="360">
        <v>0</v>
      </c>
      <c r="Z140" s="360">
        <v>0</v>
      </c>
      <c r="AA140" s="360">
        <v>0</v>
      </c>
      <c r="AB140" s="360">
        <v>0</v>
      </c>
      <c r="AC140" s="361">
        <f>6+1/3</f>
        <v>6.333333333333333</v>
      </c>
      <c r="AD140" s="360">
        <v>5</v>
      </c>
      <c r="AE140" s="360">
        <v>6</v>
      </c>
      <c r="AF140" s="360">
        <v>6</v>
      </c>
      <c r="AG140" s="360">
        <v>7</v>
      </c>
      <c r="AH140" s="360">
        <v>3</v>
      </c>
      <c r="AI140" s="360">
        <v>1</v>
      </c>
      <c r="AJ140" s="360">
        <v>0</v>
      </c>
      <c r="AK140" s="360">
        <v>30</v>
      </c>
      <c r="AL140" s="360">
        <v>111</v>
      </c>
      <c r="AM140" s="360">
        <v>63</v>
      </c>
      <c r="AN140" s="363" t="s">
        <v>273</v>
      </c>
      <c r="AO140" s="364">
        <v>5</v>
      </c>
      <c r="AP140" s="364">
        <v>2</v>
      </c>
      <c r="AQ140" s="364">
        <v>2</v>
      </c>
      <c r="AR140" s="364">
        <v>0</v>
      </c>
      <c r="AS140" s="364">
        <v>0</v>
      </c>
      <c r="AT140" s="364">
        <v>0</v>
      </c>
      <c r="AU140" s="364">
        <v>0</v>
      </c>
      <c r="AV140" s="364">
        <v>0</v>
      </c>
      <c r="AW140" s="365">
        <v>2</v>
      </c>
      <c r="AX140" s="363" t="s">
        <v>384</v>
      </c>
      <c r="AY140" s="364">
        <v>5</v>
      </c>
      <c r="AZ140" s="364">
        <v>2</v>
      </c>
      <c r="BA140" s="364">
        <v>2</v>
      </c>
      <c r="BB140" s="364">
        <v>0</v>
      </c>
      <c r="BC140" s="364">
        <v>0</v>
      </c>
      <c r="BD140" s="364">
        <v>1</v>
      </c>
      <c r="BE140" s="364">
        <v>0</v>
      </c>
      <c r="BF140" s="364">
        <v>0</v>
      </c>
      <c r="BG140" s="365">
        <v>2</v>
      </c>
      <c r="BH140" s="363" t="s">
        <v>391</v>
      </c>
      <c r="BI140" s="364">
        <v>3</v>
      </c>
      <c r="BJ140" s="364">
        <v>0</v>
      </c>
      <c r="BK140" s="364">
        <v>1</v>
      </c>
      <c r="BL140" s="364">
        <v>2</v>
      </c>
      <c r="BM140" s="364">
        <v>2</v>
      </c>
      <c r="BN140" s="364">
        <v>1</v>
      </c>
      <c r="BO140" s="364">
        <v>0</v>
      </c>
      <c r="BP140" s="364">
        <v>0</v>
      </c>
      <c r="BQ140" s="365">
        <v>1</v>
      </c>
      <c r="BR140" s="363" t="s">
        <v>390</v>
      </c>
      <c r="BS140" s="364">
        <v>4</v>
      </c>
      <c r="BT140" s="364">
        <v>0</v>
      </c>
      <c r="BU140" s="364">
        <v>0</v>
      </c>
      <c r="BV140" s="364">
        <v>1</v>
      </c>
      <c r="BW140" s="364">
        <v>1</v>
      </c>
      <c r="BX140" s="364">
        <v>2</v>
      </c>
      <c r="BY140" s="364">
        <v>0</v>
      </c>
      <c r="BZ140" s="364">
        <v>0</v>
      </c>
      <c r="CA140" s="365">
        <v>0</v>
      </c>
      <c r="CB140" s="363" t="s">
        <v>274</v>
      </c>
      <c r="CC140" s="364">
        <v>1</v>
      </c>
      <c r="CD140" s="364">
        <v>0</v>
      </c>
      <c r="CE140" s="364">
        <v>0</v>
      </c>
      <c r="CF140" s="364">
        <v>1</v>
      </c>
      <c r="CG140" s="364">
        <v>3</v>
      </c>
      <c r="CH140" s="364">
        <v>1</v>
      </c>
      <c r="CI140" s="364">
        <v>0</v>
      </c>
      <c r="CJ140" s="364">
        <v>0</v>
      </c>
      <c r="CK140" s="365">
        <v>0</v>
      </c>
      <c r="CL140" s="363" t="s">
        <v>271</v>
      </c>
      <c r="CM140" s="364">
        <v>4</v>
      </c>
      <c r="CN140" s="364">
        <v>0</v>
      </c>
      <c r="CO140" s="364">
        <v>1</v>
      </c>
      <c r="CP140" s="364">
        <v>1</v>
      </c>
      <c r="CQ140" s="364">
        <v>0</v>
      </c>
      <c r="CR140" s="364">
        <v>1</v>
      </c>
      <c r="CS140" s="364">
        <v>0</v>
      </c>
      <c r="CT140" s="364">
        <v>0</v>
      </c>
      <c r="CU140" s="365">
        <v>1</v>
      </c>
      <c r="CV140" s="363" t="s">
        <v>575</v>
      </c>
      <c r="CW140" s="364">
        <v>4</v>
      </c>
      <c r="CX140" s="364">
        <v>0</v>
      </c>
      <c r="CY140" s="364">
        <v>0</v>
      </c>
      <c r="CZ140" s="364">
        <v>0</v>
      </c>
      <c r="DA140" s="364">
        <v>0</v>
      </c>
      <c r="DB140" s="364">
        <v>1</v>
      </c>
      <c r="DC140" s="364">
        <v>0</v>
      </c>
      <c r="DD140" s="364">
        <v>0</v>
      </c>
      <c r="DE140" s="365">
        <v>0</v>
      </c>
      <c r="DF140" s="363" t="s">
        <v>389</v>
      </c>
      <c r="DG140" s="364">
        <v>4</v>
      </c>
      <c r="DH140" s="364">
        <v>1</v>
      </c>
      <c r="DI140" s="364">
        <v>2</v>
      </c>
      <c r="DJ140" s="364">
        <v>0</v>
      </c>
      <c r="DK140" s="364">
        <v>0</v>
      </c>
      <c r="DL140" s="364">
        <v>2</v>
      </c>
      <c r="DM140" s="364">
        <v>0</v>
      </c>
      <c r="DN140" s="364">
        <v>0</v>
      </c>
      <c r="DO140" s="365">
        <v>2</v>
      </c>
      <c r="DP140" s="363" t="s">
        <v>388</v>
      </c>
      <c r="DQ140" s="364">
        <v>4</v>
      </c>
      <c r="DR140" s="364">
        <v>0</v>
      </c>
      <c r="DS140" s="364">
        <v>0</v>
      </c>
      <c r="DT140" s="364">
        <v>0</v>
      </c>
      <c r="DU140" s="364">
        <v>0</v>
      </c>
      <c r="DV140" s="364">
        <v>3</v>
      </c>
      <c r="DW140" s="364">
        <v>0</v>
      </c>
      <c r="DX140" s="364">
        <v>0</v>
      </c>
      <c r="DY140" s="365">
        <v>0</v>
      </c>
      <c r="DZ140" s="366">
        <v>7</v>
      </c>
      <c r="EA140" s="367">
        <v>2</v>
      </c>
      <c r="EB140" s="367">
        <v>0</v>
      </c>
      <c r="EC140" s="368">
        <v>2</v>
      </c>
      <c r="ED140" s="367">
        <v>0</v>
      </c>
      <c r="EE140" s="369">
        <v>0</v>
      </c>
      <c r="EF140" s="370">
        <v>1</v>
      </c>
      <c r="EG140" s="367">
        <v>0</v>
      </c>
      <c r="EH140" s="367">
        <v>1</v>
      </c>
      <c r="EI140" s="367">
        <v>0</v>
      </c>
      <c r="EJ140" s="367">
        <v>0</v>
      </c>
      <c r="EK140" s="367">
        <v>0</v>
      </c>
      <c r="EL140" s="367">
        <v>3</v>
      </c>
      <c r="EM140" s="367">
        <v>0</v>
      </c>
      <c r="EN140" s="367">
        <v>0</v>
      </c>
      <c r="EO140" s="367"/>
      <c r="EP140" s="367"/>
      <c r="EQ140" s="367"/>
      <c r="ER140" s="367"/>
      <c r="ES140" s="369">
        <f t="shared" si="156"/>
        <v>5</v>
      </c>
      <c r="ET140" s="367">
        <v>3</v>
      </c>
      <c r="EU140" s="367">
        <v>3</v>
      </c>
      <c r="EV140" s="367">
        <v>0</v>
      </c>
      <c r="EW140" s="367">
        <v>5</v>
      </c>
      <c r="EX140" s="367">
        <v>0</v>
      </c>
      <c r="EY140" s="367">
        <v>0</v>
      </c>
      <c r="EZ140" s="367">
        <v>1</v>
      </c>
      <c r="FA140" s="367">
        <v>0</v>
      </c>
      <c r="FB140" s="367"/>
      <c r="FC140" s="367"/>
      <c r="FD140" s="367"/>
      <c r="FE140" s="367"/>
      <c r="FF140" s="367"/>
      <c r="FG140" s="367">
        <f t="shared" si="157"/>
        <v>12</v>
      </c>
      <c r="FH140" s="371">
        <v>34</v>
      </c>
      <c r="FI140" s="371">
        <v>5</v>
      </c>
      <c r="FJ140" s="371">
        <v>8</v>
      </c>
      <c r="FK140" s="371">
        <v>5</v>
      </c>
      <c r="FL140" s="371">
        <v>6</v>
      </c>
      <c r="FM140" s="371">
        <v>12</v>
      </c>
      <c r="FN140" s="371">
        <f t="shared" si="162"/>
        <v>0</v>
      </c>
      <c r="FO140" s="371">
        <f t="shared" si="163"/>
        <v>0</v>
      </c>
      <c r="FP140" s="371">
        <f t="shared" ref="FP140:FU140" si="166">((SUM(AO140,AY140,BI140,BS140,CC140,CM140,CW140,DG140,DQ140))-(FH140))</f>
        <v>0</v>
      </c>
      <c r="FQ140" s="371">
        <f t="shared" si="166"/>
        <v>0</v>
      </c>
      <c r="FR140" s="371">
        <f t="shared" si="166"/>
        <v>0</v>
      </c>
      <c r="FS140" s="371">
        <f t="shared" si="166"/>
        <v>0</v>
      </c>
      <c r="FT140" s="371">
        <f t="shared" si="166"/>
        <v>0</v>
      </c>
      <c r="FU140" s="371">
        <f t="shared" si="166"/>
        <v>0</v>
      </c>
      <c r="FV140" s="371">
        <f t="shared" ref="FV140:GI140" si="167">(EF140-ET140)</f>
        <v>-2</v>
      </c>
      <c r="FW140" s="371">
        <f t="shared" si="167"/>
        <v>-3</v>
      </c>
      <c r="FX140" s="371">
        <f t="shared" si="167"/>
        <v>1</v>
      </c>
      <c r="FY140" s="371">
        <f t="shared" si="167"/>
        <v>-5</v>
      </c>
      <c r="FZ140" s="371">
        <f t="shared" si="167"/>
        <v>0</v>
      </c>
      <c r="GA140" s="371">
        <f t="shared" si="167"/>
        <v>0</v>
      </c>
      <c r="GB140" s="371">
        <f t="shared" si="167"/>
        <v>2</v>
      </c>
      <c r="GC140" s="371">
        <f t="shared" si="167"/>
        <v>0</v>
      </c>
      <c r="GD140" s="371">
        <f t="shared" si="167"/>
        <v>0</v>
      </c>
      <c r="GE140" s="371">
        <f t="shared" si="167"/>
        <v>0</v>
      </c>
      <c r="GF140" s="371">
        <f t="shared" si="167"/>
        <v>0</v>
      </c>
      <c r="GG140" s="371">
        <f t="shared" si="167"/>
        <v>0</v>
      </c>
      <c r="GH140" s="371">
        <f t="shared" si="167"/>
        <v>0</v>
      </c>
      <c r="GI140" s="371">
        <f t="shared" si="167"/>
        <v>-7</v>
      </c>
      <c r="GJ140" s="372"/>
      <c r="GK140" s="367"/>
      <c r="GL140" s="376"/>
      <c r="GM140" s="376"/>
    </row>
    <row r="141" spans="1:196" x14ac:dyDescent="0.25">
      <c r="A141" s="356">
        <v>40428</v>
      </c>
      <c r="B141" s="356" t="s">
        <v>133</v>
      </c>
      <c r="C141" s="356" t="s">
        <v>129</v>
      </c>
      <c r="D141" s="356" t="s">
        <v>134</v>
      </c>
      <c r="E141" s="357">
        <v>37290</v>
      </c>
      <c r="F141" s="360"/>
      <c r="G141" s="358">
        <v>4</v>
      </c>
      <c r="H141" s="359" t="s">
        <v>394</v>
      </c>
      <c r="I141" s="360">
        <v>1</v>
      </c>
      <c r="J141" s="360">
        <v>0</v>
      </c>
      <c r="K141" s="361">
        <v>6</v>
      </c>
      <c r="L141" s="360">
        <v>2</v>
      </c>
      <c r="M141" s="360">
        <v>2</v>
      </c>
      <c r="N141" s="360">
        <v>1</v>
      </c>
      <c r="O141" s="360">
        <v>4</v>
      </c>
      <c r="P141" s="360">
        <v>2</v>
      </c>
      <c r="Q141" s="360">
        <v>0</v>
      </c>
      <c r="R141" s="360">
        <v>0</v>
      </c>
      <c r="S141" s="360">
        <v>25</v>
      </c>
      <c r="T141" s="360">
        <v>95</v>
      </c>
      <c r="U141" s="360">
        <v>58</v>
      </c>
      <c r="V141" s="360">
        <v>0</v>
      </c>
      <c r="W141" s="362">
        <v>0</v>
      </c>
      <c r="X141" s="360">
        <v>0</v>
      </c>
      <c r="Y141" s="360">
        <v>0</v>
      </c>
      <c r="Z141" s="360">
        <v>0</v>
      </c>
      <c r="AA141" s="360">
        <v>0</v>
      </c>
      <c r="AB141" s="360">
        <v>0</v>
      </c>
      <c r="AC141" s="361">
        <v>3</v>
      </c>
      <c r="AD141" s="360">
        <v>5</v>
      </c>
      <c r="AE141" s="360">
        <v>3</v>
      </c>
      <c r="AF141" s="360">
        <v>3</v>
      </c>
      <c r="AG141" s="360">
        <v>1</v>
      </c>
      <c r="AH141" s="360">
        <v>2</v>
      </c>
      <c r="AI141" s="360">
        <v>1</v>
      </c>
      <c r="AJ141" s="360">
        <v>0</v>
      </c>
      <c r="AK141" s="360">
        <v>14</v>
      </c>
      <c r="AL141" s="360">
        <v>53</v>
      </c>
      <c r="AM141" s="360">
        <v>34</v>
      </c>
      <c r="AN141" s="363" t="s">
        <v>275</v>
      </c>
      <c r="AO141" s="364">
        <v>5</v>
      </c>
      <c r="AP141" s="364">
        <v>2</v>
      </c>
      <c r="AQ141" s="364">
        <v>1</v>
      </c>
      <c r="AR141" s="364">
        <v>0</v>
      </c>
      <c r="AS141" s="364">
        <v>1</v>
      </c>
      <c r="AT141" s="364">
        <v>1</v>
      </c>
      <c r="AU141" s="364">
        <v>0</v>
      </c>
      <c r="AV141" s="364">
        <v>0</v>
      </c>
      <c r="AW141" s="365">
        <v>2</v>
      </c>
      <c r="AX141" s="363" t="s">
        <v>389</v>
      </c>
      <c r="AY141" s="364">
        <v>5</v>
      </c>
      <c r="AZ141" s="364">
        <v>2</v>
      </c>
      <c r="BA141" s="364">
        <v>2</v>
      </c>
      <c r="BB141" s="364">
        <v>3</v>
      </c>
      <c r="BC141" s="364">
        <v>1</v>
      </c>
      <c r="BD141" s="364">
        <v>0</v>
      </c>
      <c r="BE141" s="364">
        <v>0</v>
      </c>
      <c r="BF141" s="364">
        <v>0</v>
      </c>
      <c r="BG141" s="365">
        <v>5</v>
      </c>
      <c r="BH141" s="363" t="s">
        <v>391</v>
      </c>
      <c r="BI141" s="364">
        <v>5</v>
      </c>
      <c r="BJ141" s="364">
        <v>1</v>
      </c>
      <c r="BK141" s="364">
        <v>4</v>
      </c>
      <c r="BL141" s="364">
        <v>2</v>
      </c>
      <c r="BM141" s="364">
        <v>0</v>
      </c>
      <c r="BN141" s="364">
        <v>0</v>
      </c>
      <c r="BO141" s="364">
        <v>0</v>
      </c>
      <c r="BP141" s="364">
        <v>0</v>
      </c>
      <c r="BQ141" s="365">
        <v>7</v>
      </c>
      <c r="BR141" s="363" t="s">
        <v>390</v>
      </c>
      <c r="BS141" s="364">
        <v>4</v>
      </c>
      <c r="BT141" s="364">
        <v>1</v>
      </c>
      <c r="BU141" s="364">
        <v>1</v>
      </c>
      <c r="BV141" s="364">
        <v>3</v>
      </c>
      <c r="BW141" s="364">
        <v>1</v>
      </c>
      <c r="BX141" s="364">
        <v>2</v>
      </c>
      <c r="BY141" s="364">
        <v>0</v>
      </c>
      <c r="BZ141" s="364">
        <v>0</v>
      </c>
      <c r="CA141" s="365">
        <v>4</v>
      </c>
      <c r="CB141" s="363" t="s">
        <v>274</v>
      </c>
      <c r="CC141" s="364">
        <v>5</v>
      </c>
      <c r="CD141" s="364">
        <v>0</v>
      </c>
      <c r="CE141" s="364">
        <v>0</v>
      </c>
      <c r="CF141" s="364">
        <v>0</v>
      </c>
      <c r="CG141" s="364">
        <v>0</v>
      </c>
      <c r="CH141" s="364">
        <v>0</v>
      </c>
      <c r="CI141" s="364">
        <v>0</v>
      </c>
      <c r="CJ141" s="364">
        <v>0</v>
      </c>
      <c r="CK141" s="365">
        <v>0</v>
      </c>
      <c r="CL141" s="363" t="s">
        <v>387</v>
      </c>
      <c r="CM141" s="364">
        <v>4</v>
      </c>
      <c r="CN141" s="364">
        <v>1</v>
      </c>
      <c r="CO141" s="364">
        <v>0</v>
      </c>
      <c r="CP141" s="364">
        <v>0</v>
      </c>
      <c r="CQ141" s="364">
        <v>1</v>
      </c>
      <c r="CR141" s="364">
        <v>0</v>
      </c>
      <c r="CS141" s="364">
        <v>0</v>
      </c>
      <c r="CT141" s="364">
        <v>0</v>
      </c>
      <c r="CU141" s="365">
        <v>0</v>
      </c>
      <c r="CV141" s="363" t="s">
        <v>332</v>
      </c>
      <c r="CW141" s="364">
        <v>3</v>
      </c>
      <c r="CX141" s="364">
        <v>2</v>
      </c>
      <c r="CY141" s="364">
        <v>1</v>
      </c>
      <c r="CZ141" s="364">
        <v>1</v>
      </c>
      <c r="DA141" s="364">
        <v>2</v>
      </c>
      <c r="DB141" s="364">
        <v>0</v>
      </c>
      <c r="DC141" s="364">
        <v>0</v>
      </c>
      <c r="DD141" s="364">
        <v>0</v>
      </c>
      <c r="DE141" s="365">
        <v>4</v>
      </c>
      <c r="DF141" s="363" t="s">
        <v>273</v>
      </c>
      <c r="DG141" s="364">
        <v>4</v>
      </c>
      <c r="DH141" s="364">
        <v>3</v>
      </c>
      <c r="DI141" s="364">
        <v>2</v>
      </c>
      <c r="DJ141" s="364">
        <v>1</v>
      </c>
      <c r="DK141" s="364">
        <v>0</v>
      </c>
      <c r="DL141" s="364">
        <v>1</v>
      </c>
      <c r="DM141" s="364">
        <v>0</v>
      </c>
      <c r="DN141" s="364">
        <v>0</v>
      </c>
      <c r="DO141" s="365">
        <v>5</v>
      </c>
      <c r="DP141" s="363" t="s">
        <v>384</v>
      </c>
      <c r="DQ141" s="364">
        <v>4</v>
      </c>
      <c r="DR141" s="364">
        <v>2</v>
      </c>
      <c r="DS141" s="364">
        <v>1</v>
      </c>
      <c r="DT141" s="364">
        <v>3</v>
      </c>
      <c r="DU141" s="364">
        <v>1</v>
      </c>
      <c r="DV141" s="364">
        <v>1</v>
      </c>
      <c r="DW141" s="364">
        <v>0</v>
      </c>
      <c r="DX141" s="364">
        <v>0</v>
      </c>
      <c r="DY141" s="365">
        <v>4</v>
      </c>
      <c r="DZ141" s="366">
        <v>0</v>
      </c>
      <c r="EA141" s="367">
        <v>0</v>
      </c>
      <c r="EB141" s="367">
        <v>0</v>
      </c>
      <c r="EC141" s="368">
        <v>9</v>
      </c>
      <c r="ED141" s="367">
        <v>1</v>
      </c>
      <c r="EE141" s="369">
        <v>0</v>
      </c>
      <c r="EF141" s="370">
        <v>0</v>
      </c>
      <c r="EG141" s="367">
        <v>0</v>
      </c>
      <c r="EH141" s="367">
        <v>2</v>
      </c>
      <c r="EI141" s="367">
        <v>4</v>
      </c>
      <c r="EJ141" s="367">
        <v>6</v>
      </c>
      <c r="EK141" s="367">
        <v>2</v>
      </c>
      <c r="EL141" s="367">
        <v>0</v>
      </c>
      <c r="EM141" s="367">
        <v>0</v>
      </c>
      <c r="EN141" s="367">
        <v>0</v>
      </c>
      <c r="EO141" s="367"/>
      <c r="EP141" s="367"/>
      <c r="EQ141" s="367"/>
      <c r="ER141" s="367"/>
      <c r="ES141" s="369">
        <f t="shared" si="156"/>
        <v>14</v>
      </c>
      <c r="ET141" s="367">
        <v>2</v>
      </c>
      <c r="EU141" s="367">
        <v>0</v>
      </c>
      <c r="EV141" s="367">
        <v>0</v>
      </c>
      <c r="EW141" s="367">
        <v>0</v>
      </c>
      <c r="EX141" s="367">
        <v>0</v>
      </c>
      <c r="EY141" s="367">
        <v>0</v>
      </c>
      <c r="EZ141" s="367">
        <v>0</v>
      </c>
      <c r="FA141" s="367">
        <v>3</v>
      </c>
      <c r="FB141" s="367">
        <v>0</v>
      </c>
      <c r="FC141" s="367"/>
      <c r="FD141" s="367"/>
      <c r="FE141" s="367"/>
      <c r="FF141" s="367"/>
      <c r="FG141" s="367">
        <f t="shared" si="157"/>
        <v>5</v>
      </c>
      <c r="FH141" s="371">
        <v>39</v>
      </c>
      <c r="FI141" s="371">
        <v>14</v>
      </c>
      <c r="FJ141" s="371">
        <v>12</v>
      </c>
      <c r="FK141" s="371">
        <v>13</v>
      </c>
      <c r="FL141" s="371">
        <v>7</v>
      </c>
      <c r="FM141" s="371">
        <v>5</v>
      </c>
      <c r="FN141" s="371">
        <f t="shared" si="162"/>
        <v>0</v>
      </c>
      <c r="FO141" s="371">
        <f t="shared" si="163"/>
        <v>0</v>
      </c>
      <c r="FP141" s="371">
        <f t="shared" ref="FP141:FU141" si="168">((SUM(AO141,AY141,BI141,BS141,CC141,CM141,CW141,DG141,DQ141))-(FH141))</f>
        <v>0</v>
      </c>
      <c r="FQ141" s="371">
        <f t="shared" si="168"/>
        <v>0</v>
      </c>
      <c r="FR141" s="371">
        <f t="shared" si="168"/>
        <v>0</v>
      </c>
      <c r="FS141" s="371">
        <f t="shared" si="168"/>
        <v>0</v>
      </c>
      <c r="FT141" s="371">
        <f t="shared" si="168"/>
        <v>0</v>
      </c>
      <c r="FU141" s="371">
        <f t="shared" si="168"/>
        <v>0</v>
      </c>
      <c r="FV141" s="371">
        <f t="shared" ref="FV141:GI141" si="169">(EF141-ET141)</f>
        <v>-2</v>
      </c>
      <c r="FW141" s="371">
        <f t="shared" si="169"/>
        <v>0</v>
      </c>
      <c r="FX141" s="371">
        <f t="shared" si="169"/>
        <v>2</v>
      </c>
      <c r="FY141" s="371">
        <f t="shared" si="169"/>
        <v>4</v>
      </c>
      <c r="FZ141" s="371">
        <f t="shared" si="169"/>
        <v>6</v>
      </c>
      <c r="GA141" s="371">
        <f t="shared" si="169"/>
        <v>2</v>
      </c>
      <c r="GB141" s="371">
        <f t="shared" si="169"/>
        <v>0</v>
      </c>
      <c r="GC141" s="371">
        <f t="shared" si="169"/>
        <v>-3</v>
      </c>
      <c r="GD141" s="371">
        <f t="shared" si="169"/>
        <v>0</v>
      </c>
      <c r="GE141" s="371">
        <f t="shared" si="169"/>
        <v>0</v>
      </c>
      <c r="GF141" s="371">
        <f t="shared" si="169"/>
        <v>0</v>
      </c>
      <c r="GG141" s="371">
        <f t="shared" si="169"/>
        <v>0</v>
      </c>
      <c r="GH141" s="371">
        <f t="shared" si="169"/>
        <v>0</v>
      </c>
      <c r="GI141" s="371">
        <f t="shared" si="169"/>
        <v>9</v>
      </c>
      <c r="GJ141" s="372"/>
      <c r="GK141" s="367"/>
      <c r="GL141" s="376"/>
      <c r="GM141" s="376"/>
    </row>
    <row r="142" spans="1:196" x14ac:dyDescent="0.25">
      <c r="A142" s="356">
        <v>40429</v>
      </c>
      <c r="B142" s="356" t="s">
        <v>133</v>
      </c>
      <c r="C142" s="356" t="s">
        <v>131</v>
      </c>
      <c r="D142" s="356" t="s">
        <v>134</v>
      </c>
      <c r="E142" s="357">
        <v>37757</v>
      </c>
      <c r="F142" s="360"/>
      <c r="G142" s="358">
        <v>5</v>
      </c>
      <c r="H142" s="359" t="s">
        <v>396</v>
      </c>
      <c r="I142" s="360">
        <v>0</v>
      </c>
      <c r="J142" s="360">
        <v>1</v>
      </c>
      <c r="K142" s="361">
        <f>4+1/3</f>
        <v>4.333333333333333</v>
      </c>
      <c r="L142" s="360">
        <v>9</v>
      </c>
      <c r="M142" s="360">
        <v>6</v>
      </c>
      <c r="N142" s="360">
        <v>6</v>
      </c>
      <c r="O142" s="360">
        <v>2</v>
      </c>
      <c r="P142" s="360">
        <v>1</v>
      </c>
      <c r="Q142" s="360">
        <v>4</v>
      </c>
      <c r="R142" s="360">
        <v>0</v>
      </c>
      <c r="S142" s="360">
        <v>23</v>
      </c>
      <c r="T142" s="360">
        <v>107</v>
      </c>
      <c r="U142" s="360">
        <v>66</v>
      </c>
      <c r="V142" s="360">
        <v>1</v>
      </c>
      <c r="W142" s="362">
        <v>1</v>
      </c>
      <c r="X142" s="360">
        <v>0</v>
      </c>
      <c r="Y142" s="360">
        <v>0</v>
      </c>
      <c r="Z142" s="360">
        <v>0</v>
      </c>
      <c r="AA142" s="360">
        <v>0</v>
      </c>
      <c r="AB142" s="360">
        <v>0</v>
      </c>
      <c r="AC142" s="361">
        <f>3+2/3</f>
        <v>3.6666666666666665</v>
      </c>
      <c r="AD142" s="360">
        <v>8</v>
      </c>
      <c r="AE142" s="360">
        <v>5</v>
      </c>
      <c r="AF142" s="360">
        <v>4</v>
      </c>
      <c r="AG142" s="360">
        <v>4</v>
      </c>
      <c r="AH142" s="360">
        <v>2</v>
      </c>
      <c r="AI142" s="360">
        <v>3</v>
      </c>
      <c r="AJ142" s="360">
        <v>1</v>
      </c>
      <c r="AK142" s="360">
        <v>21</v>
      </c>
      <c r="AL142" s="360">
        <v>77</v>
      </c>
      <c r="AM142" s="360">
        <v>47</v>
      </c>
      <c r="AN142" s="363" t="s">
        <v>275</v>
      </c>
      <c r="AO142" s="364">
        <v>4</v>
      </c>
      <c r="AP142" s="364">
        <v>1</v>
      </c>
      <c r="AQ142" s="364">
        <v>2</v>
      </c>
      <c r="AR142" s="364">
        <v>0</v>
      </c>
      <c r="AS142" s="364">
        <v>1</v>
      </c>
      <c r="AT142" s="364">
        <v>0</v>
      </c>
      <c r="AU142" s="364">
        <v>0</v>
      </c>
      <c r="AV142" s="364">
        <v>0</v>
      </c>
      <c r="AW142" s="365">
        <v>2</v>
      </c>
      <c r="AX142" s="363" t="s">
        <v>389</v>
      </c>
      <c r="AY142" s="364">
        <v>4</v>
      </c>
      <c r="AZ142" s="364">
        <v>0</v>
      </c>
      <c r="BA142" s="364">
        <v>0</v>
      </c>
      <c r="BB142" s="364">
        <v>0</v>
      </c>
      <c r="BC142" s="364">
        <v>1</v>
      </c>
      <c r="BD142" s="364">
        <v>1</v>
      </c>
      <c r="BE142" s="364">
        <v>0</v>
      </c>
      <c r="BF142" s="364">
        <v>0</v>
      </c>
      <c r="BG142" s="365">
        <v>0</v>
      </c>
      <c r="BH142" s="363" t="s">
        <v>391</v>
      </c>
      <c r="BI142" s="364">
        <v>5</v>
      </c>
      <c r="BJ142" s="364">
        <v>0</v>
      </c>
      <c r="BK142" s="364">
        <v>0</v>
      </c>
      <c r="BL142" s="364">
        <v>0</v>
      </c>
      <c r="BM142" s="364">
        <v>0</v>
      </c>
      <c r="BN142" s="364">
        <v>2</v>
      </c>
      <c r="BO142" s="364">
        <v>0</v>
      </c>
      <c r="BP142" s="364">
        <v>0</v>
      </c>
      <c r="BQ142" s="365">
        <v>0</v>
      </c>
      <c r="BR142" s="363" t="s">
        <v>390</v>
      </c>
      <c r="BS142" s="364">
        <v>2</v>
      </c>
      <c r="BT142" s="364">
        <v>0</v>
      </c>
      <c r="BU142" s="364">
        <v>0</v>
      </c>
      <c r="BV142" s="364">
        <v>1</v>
      </c>
      <c r="BW142" s="364">
        <v>1</v>
      </c>
      <c r="BX142" s="364">
        <v>0</v>
      </c>
      <c r="BY142" s="364">
        <v>0</v>
      </c>
      <c r="BZ142" s="364">
        <v>1</v>
      </c>
      <c r="CA142" s="365">
        <v>0</v>
      </c>
      <c r="CB142" s="363" t="s">
        <v>274</v>
      </c>
      <c r="CC142" s="364">
        <v>4</v>
      </c>
      <c r="CD142" s="364">
        <v>0</v>
      </c>
      <c r="CE142" s="364">
        <v>1</v>
      </c>
      <c r="CF142" s="364">
        <v>0</v>
      </c>
      <c r="CG142" s="364">
        <v>0</v>
      </c>
      <c r="CH142" s="364">
        <v>0</v>
      </c>
      <c r="CI142" s="364">
        <v>0</v>
      </c>
      <c r="CJ142" s="364">
        <v>0</v>
      </c>
      <c r="CK142" s="365">
        <v>1</v>
      </c>
      <c r="CL142" s="363" t="s">
        <v>387</v>
      </c>
      <c r="CM142" s="364">
        <v>4</v>
      </c>
      <c r="CN142" s="364">
        <v>1</v>
      </c>
      <c r="CO142" s="364">
        <v>2</v>
      </c>
      <c r="CP142" s="364">
        <v>0</v>
      </c>
      <c r="CQ142" s="364">
        <v>0</v>
      </c>
      <c r="CR142" s="364">
        <v>0</v>
      </c>
      <c r="CS142" s="364">
        <v>0</v>
      </c>
      <c r="CT142" s="364">
        <v>0</v>
      </c>
      <c r="CU142" s="365">
        <v>3</v>
      </c>
      <c r="CV142" s="363" t="s">
        <v>674</v>
      </c>
      <c r="CW142" s="364">
        <v>3</v>
      </c>
      <c r="CX142" s="364">
        <v>2</v>
      </c>
      <c r="CY142" s="364">
        <v>1</v>
      </c>
      <c r="CZ142" s="364">
        <v>0</v>
      </c>
      <c r="DA142" s="364">
        <v>1</v>
      </c>
      <c r="DB142" s="364">
        <v>0</v>
      </c>
      <c r="DC142" s="364">
        <v>0</v>
      </c>
      <c r="DD142" s="364">
        <v>0</v>
      </c>
      <c r="DE142" s="365">
        <v>1</v>
      </c>
      <c r="DF142" s="363" t="s">
        <v>273</v>
      </c>
      <c r="DG142" s="364">
        <v>4</v>
      </c>
      <c r="DH142" s="364">
        <v>1</v>
      </c>
      <c r="DI142" s="364">
        <v>1</v>
      </c>
      <c r="DJ142" s="364">
        <v>3</v>
      </c>
      <c r="DK142" s="364">
        <v>0</v>
      </c>
      <c r="DL142" s="364">
        <v>2</v>
      </c>
      <c r="DM142" s="364">
        <v>0</v>
      </c>
      <c r="DN142" s="364">
        <v>0</v>
      </c>
      <c r="DO142" s="365">
        <v>4</v>
      </c>
      <c r="DP142" s="363" t="s">
        <v>384</v>
      </c>
      <c r="DQ142" s="364">
        <v>4</v>
      </c>
      <c r="DR142" s="364">
        <v>0</v>
      </c>
      <c r="DS142" s="364">
        <v>1</v>
      </c>
      <c r="DT142" s="364">
        <v>1</v>
      </c>
      <c r="DU142" s="364">
        <v>0</v>
      </c>
      <c r="DV142" s="364">
        <v>1</v>
      </c>
      <c r="DW142" s="364">
        <v>0</v>
      </c>
      <c r="DX142" s="364">
        <v>0</v>
      </c>
      <c r="DY142" s="365">
        <v>2</v>
      </c>
      <c r="DZ142" s="366">
        <v>1</v>
      </c>
      <c r="EA142" s="367">
        <v>0</v>
      </c>
      <c r="EB142" s="367">
        <v>0</v>
      </c>
      <c r="EC142" s="368">
        <v>8</v>
      </c>
      <c r="ED142" s="367">
        <v>0</v>
      </c>
      <c r="EE142" s="369">
        <v>0</v>
      </c>
      <c r="EF142" s="370">
        <v>1</v>
      </c>
      <c r="EG142" s="367">
        <v>3</v>
      </c>
      <c r="EH142" s="367">
        <v>0</v>
      </c>
      <c r="EI142" s="367">
        <v>1</v>
      </c>
      <c r="EJ142" s="367">
        <v>0</v>
      </c>
      <c r="EK142" s="367">
        <v>0</v>
      </c>
      <c r="EL142" s="367">
        <v>0</v>
      </c>
      <c r="EM142" s="367">
        <v>0</v>
      </c>
      <c r="EN142" s="367">
        <v>0</v>
      </c>
      <c r="EO142" s="367"/>
      <c r="EP142" s="367"/>
      <c r="EQ142" s="367"/>
      <c r="ER142" s="367"/>
      <c r="ES142" s="369">
        <f t="shared" si="156"/>
        <v>5</v>
      </c>
      <c r="ET142" s="367">
        <v>0</v>
      </c>
      <c r="EU142" s="367">
        <v>2</v>
      </c>
      <c r="EV142" s="367">
        <v>2</v>
      </c>
      <c r="EW142" s="367">
        <v>0</v>
      </c>
      <c r="EX142" s="367">
        <v>3</v>
      </c>
      <c r="EY142" s="367">
        <v>1</v>
      </c>
      <c r="EZ142" s="367">
        <v>3</v>
      </c>
      <c r="FA142" s="367">
        <v>0</v>
      </c>
      <c r="FB142" s="367"/>
      <c r="FC142" s="367"/>
      <c r="FD142" s="367"/>
      <c r="FE142" s="367"/>
      <c r="FF142" s="367"/>
      <c r="FG142" s="367">
        <f t="shared" si="157"/>
        <v>11</v>
      </c>
      <c r="FH142" s="371">
        <v>34</v>
      </c>
      <c r="FI142" s="371">
        <v>5</v>
      </c>
      <c r="FJ142" s="371">
        <v>8</v>
      </c>
      <c r="FK142" s="371">
        <v>5</v>
      </c>
      <c r="FL142" s="371">
        <v>4</v>
      </c>
      <c r="FM142" s="371">
        <v>6</v>
      </c>
      <c r="FN142" s="371">
        <f t="shared" si="162"/>
        <v>0</v>
      </c>
      <c r="FO142" s="371">
        <f t="shared" si="163"/>
        <v>0</v>
      </c>
      <c r="FP142" s="371">
        <f t="shared" ref="FP142:FU142" si="170">((SUM(AO142,AY142,BI142,BS142,CC142,CM142,CW142,DG142,DQ142))-(FH142))</f>
        <v>0</v>
      </c>
      <c r="FQ142" s="371">
        <f t="shared" si="170"/>
        <v>0</v>
      </c>
      <c r="FR142" s="371">
        <f t="shared" si="170"/>
        <v>0</v>
      </c>
      <c r="FS142" s="371">
        <f t="shared" si="170"/>
        <v>0</v>
      </c>
      <c r="FT142" s="371">
        <f t="shared" si="170"/>
        <v>0</v>
      </c>
      <c r="FU142" s="371">
        <f t="shared" si="170"/>
        <v>0</v>
      </c>
      <c r="FV142" s="371">
        <f t="shared" ref="FV142:GI142" si="171">(EF142-ET142)</f>
        <v>1</v>
      </c>
      <c r="FW142" s="371">
        <f t="shared" si="171"/>
        <v>1</v>
      </c>
      <c r="FX142" s="371">
        <f t="shared" si="171"/>
        <v>-2</v>
      </c>
      <c r="FY142" s="371">
        <f t="shared" si="171"/>
        <v>1</v>
      </c>
      <c r="FZ142" s="371">
        <f t="shared" si="171"/>
        <v>-3</v>
      </c>
      <c r="GA142" s="371">
        <f t="shared" si="171"/>
        <v>-1</v>
      </c>
      <c r="GB142" s="371">
        <f t="shared" si="171"/>
        <v>-3</v>
      </c>
      <c r="GC142" s="371">
        <f t="shared" si="171"/>
        <v>0</v>
      </c>
      <c r="GD142" s="371">
        <f t="shared" si="171"/>
        <v>0</v>
      </c>
      <c r="GE142" s="371">
        <f t="shared" si="171"/>
        <v>0</v>
      </c>
      <c r="GF142" s="371">
        <f t="shared" si="171"/>
        <v>0</v>
      </c>
      <c r="GG142" s="371">
        <f t="shared" si="171"/>
        <v>0</v>
      </c>
      <c r="GH142" s="371">
        <f t="shared" si="171"/>
        <v>0</v>
      </c>
      <c r="GI142" s="371">
        <f t="shared" si="171"/>
        <v>-6</v>
      </c>
      <c r="GJ142" s="372"/>
      <c r="GK142" s="367"/>
      <c r="GL142" s="376"/>
      <c r="GM142" s="376"/>
    </row>
    <row r="143" spans="1:196" x14ac:dyDescent="0.25">
      <c r="A143" s="356">
        <v>40431</v>
      </c>
      <c r="B143" s="356" t="s">
        <v>133</v>
      </c>
      <c r="C143" s="356" t="s">
        <v>129</v>
      </c>
      <c r="D143" s="356" t="s">
        <v>136</v>
      </c>
      <c r="E143" s="357">
        <v>14305</v>
      </c>
      <c r="F143" s="360"/>
      <c r="G143" s="358">
        <v>1</v>
      </c>
      <c r="H143" s="359" t="s">
        <v>392</v>
      </c>
      <c r="I143" s="360">
        <v>0</v>
      </c>
      <c r="J143" s="360">
        <v>0</v>
      </c>
      <c r="K143" s="361">
        <v>5</v>
      </c>
      <c r="L143" s="360">
        <v>7</v>
      </c>
      <c r="M143" s="360">
        <v>5</v>
      </c>
      <c r="N143" s="360">
        <v>4</v>
      </c>
      <c r="O143" s="360">
        <v>0</v>
      </c>
      <c r="P143" s="360">
        <v>4</v>
      </c>
      <c r="Q143" s="360">
        <v>2</v>
      </c>
      <c r="R143" s="360">
        <v>0</v>
      </c>
      <c r="S143" s="360">
        <v>22</v>
      </c>
      <c r="T143" s="360">
        <v>83</v>
      </c>
      <c r="U143" s="360">
        <v>55</v>
      </c>
      <c r="V143" s="360">
        <v>0</v>
      </c>
      <c r="W143" s="362">
        <v>0</v>
      </c>
      <c r="X143" s="360">
        <v>1</v>
      </c>
      <c r="Y143" s="360">
        <v>0</v>
      </c>
      <c r="Z143" s="360">
        <v>2</v>
      </c>
      <c r="AA143" s="360">
        <v>1</v>
      </c>
      <c r="AB143" s="360">
        <v>1</v>
      </c>
      <c r="AC143" s="361">
        <v>4</v>
      </c>
      <c r="AD143" s="360">
        <v>2</v>
      </c>
      <c r="AE143" s="360">
        <v>3</v>
      </c>
      <c r="AF143" s="360">
        <v>3</v>
      </c>
      <c r="AG143" s="360">
        <v>1</v>
      </c>
      <c r="AH143" s="360">
        <v>6</v>
      </c>
      <c r="AI143" s="360">
        <v>2</v>
      </c>
      <c r="AJ143" s="360">
        <v>0</v>
      </c>
      <c r="AK143" s="360">
        <v>15</v>
      </c>
      <c r="AL143" s="360">
        <v>57</v>
      </c>
      <c r="AM143" s="360">
        <v>40</v>
      </c>
      <c r="AN143" s="363" t="s">
        <v>273</v>
      </c>
      <c r="AO143" s="364">
        <v>5</v>
      </c>
      <c r="AP143" s="364">
        <v>1</v>
      </c>
      <c r="AQ143" s="364">
        <v>2</v>
      </c>
      <c r="AR143" s="364">
        <v>1</v>
      </c>
      <c r="AS143" s="364">
        <v>0</v>
      </c>
      <c r="AT143" s="364">
        <v>2</v>
      </c>
      <c r="AU143" s="364">
        <v>0</v>
      </c>
      <c r="AV143" s="364">
        <v>0</v>
      </c>
      <c r="AW143" s="365">
        <v>5</v>
      </c>
      <c r="AX143" s="363" t="s">
        <v>384</v>
      </c>
      <c r="AY143" s="364">
        <v>4</v>
      </c>
      <c r="AZ143" s="364">
        <v>2</v>
      </c>
      <c r="BA143" s="364">
        <v>1</v>
      </c>
      <c r="BB143" s="364">
        <v>0</v>
      </c>
      <c r="BC143" s="364">
        <v>1</v>
      </c>
      <c r="BD143" s="364">
        <v>0</v>
      </c>
      <c r="BE143" s="364">
        <v>0</v>
      </c>
      <c r="BF143" s="364">
        <v>0</v>
      </c>
      <c r="BG143" s="365">
        <v>2</v>
      </c>
      <c r="BH143" s="363" t="s">
        <v>391</v>
      </c>
      <c r="BI143" s="364">
        <v>5</v>
      </c>
      <c r="BJ143" s="364">
        <v>1</v>
      </c>
      <c r="BK143" s="364">
        <v>2</v>
      </c>
      <c r="BL143" s="364">
        <v>1</v>
      </c>
      <c r="BM143" s="364">
        <v>0</v>
      </c>
      <c r="BN143" s="364">
        <v>0</v>
      </c>
      <c r="BO143" s="364">
        <v>0</v>
      </c>
      <c r="BP143" s="364">
        <v>0</v>
      </c>
      <c r="BQ143" s="365">
        <v>4</v>
      </c>
      <c r="BR143" s="363" t="s">
        <v>390</v>
      </c>
      <c r="BS143" s="364">
        <v>4</v>
      </c>
      <c r="BT143" s="364">
        <v>2</v>
      </c>
      <c r="BU143" s="364">
        <v>2</v>
      </c>
      <c r="BV143" s="364">
        <v>2</v>
      </c>
      <c r="BW143" s="364">
        <v>1</v>
      </c>
      <c r="BX143" s="364">
        <v>0</v>
      </c>
      <c r="BY143" s="364">
        <v>0</v>
      </c>
      <c r="BZ143" s="364">
        <v>0</v>
      </c>
      <c r="CA143" s="365">
        <v>2</v>
      </c>
      <c r="CB143" s="363" t="s">
        <v>274</v>
      </c>
      <c r="CC143" s="364">
        <v>4</v>
      </c>
      <c r="CD143" s="364">
        <v>0</v>
      </c>
      <c r="CE143" s="364">
        <v>0</v>
      </c>
      <c r="CF143" s="364">
        <v>0</v>
      </c>
      <c r="CG143" s="364">
        <v>1</v>
      </c>
      <c r="CH143" s="364">
        <v>2</v>
      </c>
      <c r="CI143" s="364">
        <v>0</v>
      </c>
      <c r="CJ143" s="364">
        <v>0</v>
      </c>
      <c r="CK143" s="365">
        <v>0</v>
      </c>
      <c r="CL143" s="363" t="s">
        <v>271</v>
      </c>
      <c r="CM143" s="364">
        <v>4</v>
      </c>
      <c r="CN143" s="364">
        <v>1</v>
      </c>
      <c r="CO143" s="364">
        <v>0</v>
      </c>
      <c r="CP143" s="364">
        <v>0</v>
      </c>
      <c r="CQ143" s="364">
        <v>1</v>
      </c>
      <c r="CR143" s="364">
        <v>0</v>
      </c>
      <c r="CS143" s="364">
        <v>0</v>
      </c>
      <c r="CT143" s="364">
        <v>0</v>
      </c>
      <c r="CU143" s="365">
        <v>0</v>
      </c>
      <c r="CV143" s="363" t="s">
        <v>575</v>
      </c>
      <c r="CW143" s="364">
        <v>4</v>
      </c>
      <c r="CX143" s="364">
        <v>1</v>
      </c>
      <c r="CY143" s="364">
        <v>1</v>
      </c>
      <c r="CZ143" s="364">
        <v>2</v>
      </c>
      <c r="DA143" s="364">
        <v>1</v>
      </c>
      <c r="DB143" s="364">
        <v>1</v>
      </c>
      <c r="DC143" s="364">
        <v>0</v>
      </c>
      <c r="DD143" s="364">
        <v>0</v>
      </c>
      <c r="DE143" s="365">
        <v>2</v>
      </c>
      <c r="DF143" s="363" t="s">
        <v>389</v>
      </c>
      <c r="DG143" s="364">
        <v>2</v>
      </c>
      <c r="DH143" s="364">
        <v>1</v>
      </c>
      <c r="DI143" s="364">
        <v>1</v>
      </c>
      <c r="DJ143" s="364">
        <v>2</v>
      </c>
      <c r="DK143" s="364">
        <v>2</v>
      </c>
      <c r="DL143" s="364">
        <v>0</v>
      </c>
      <c r="DM143" s="364">
        <v>0</v>
      </c>
      <c r="DN143" s="364">
        <v>0</v>
      </c>
      <c r="DO143" s="365">
        <v>4</v>
      </c>
      <c r="DP143" s="363" t="s">
        <v>388</v>
      </c>
      <c r="DQ143" s="364">
        <v>3</v>
      </c>
      <c r="DR143" s="364">
        <v>0</v>
      </c>
      <c r="DS143" s="364">
        <v>0</v>
      </c>
      <c r="DT143" s="364">
        <v>0</v>
      </c>
      <c r="DU143" s="364">
        <v>1</v>
      </c>
      <c r="DV143" s="364">
        <v>2</v>
      </c>
      <c r="DW143" s="364">
        <v>0</v>
      </c>
      <c r="DX143" s="364">
        <v>0</v>
      </c>
      <c r="DY143" s="365">
        <v>0</v>
      </c>
      <c r="DZ143" s="366">
        <f>2+1/3</f>
        <v>2.3333333333333335</v>
      </c>
      <c r="EA143" s="367">
        <v>0</v>
      </c>
      <c r="EB143" s="367">
        <v>0</v>
      </c>
      <c r="EC143" s="368">
        <f>6+2/3</f>
        <v>6.666666666666667</v>
      </c>
      <c r="ED143" s="367">
        <v>1</v>
      </c>
      <c r="EE143" s="369">
        <v>0</v>
      </c>
      <c r="EF143" s="370">
        <v>6</v>
      </c>
      <c r="EG143" s="367">
        <v>1</v>
      </c>
      <c r="EH143" s="367">
        <v>0</v>
      </c>
      <c r="EI143" s="367">
        <v>1</v>
      </c>
      <c r="EJ143" s="367">
        <v>0</v>
      </c>
      <c r="EK143" s="367">
        <v>0</v>
      </c>
      <c r="EL143" s="367">
        <v>0</v>
      </c>
      <c r="EM143" s="367">
        <v>0</v>
      </c>
      <c r="EN143" s="367">
        <v>1</v>
      </c>
      <c r="EO143" s="367"/>
      <c r="EP143" s="367"/>
      <c r="EQ143" s="367"/>
      <c r="ER143" s="367"/>
      <c r="ES143" s="369">
        <f t="shared" ref="ES143:ES148" si="172">SUM(EF143:ER143)</f>
        <v>9</v>
      </c>
      <c r="ET143" s="367">
        <v>1</v>
      </c>
      <c r="EU143" s="367">
        <v>0</v>
      </c>
      <c r="EV143" s="367">
        <v>0</v>
      </c>
      <c r="EW143" s="367">
        <v>2</v>
      </c>
      <c r="EX143" s="367">
        <v>2</v>
      </c>
      <c r="EY143" s="367">
        <v>0</v>
      </c>
      <c r="EZ143" s="367">
        <v>3</v>
      </c>
      <c r="FA143" s="367">
        <v>0</v>
      </c>
      <c r="FB143" s="367">
        <v>0</v>
      </c>
      <c r="FC143" s="367"/>
      <c r="FD143" s="367"/>
      <c r="FE143" s="367"/>
      <c r="FF143" s="367"/>
      <c r="FG143" s="367">
        <f t="shared" ref="FG143:FG148" si="173">SUM(ET143:FF143)</f>
        <v>8</v>
      </c>
      <c r="FH143" s="371">
        <v>35</v>
      </c>
      <c r="FI143" s="371">
        <v>9</v>
      </c>
      <c r="FJ143" s="371">
        <v>9</v>
      </c>
      <c r="FK143" s="371">
        <v>8</v>
      </c>
      <c r="FL143" s="371">
        <v>8</v>
      </c>
      <c r="FM143" s="371">
        <v>7</v>
      </c>
      <c r="FN143" s="371">
        <f t="shared" si="162"/>
        <v>0</v>
      </c>
      <c r="FO143" s="371">
        <f t="shared" si="163"/>
        <v>0</v>
      </c>
      <c r="FP143" s="371">
        <f t="shared" ref="FP143:FU143" si="174">((SUM(AO143,AY143,BI143,BS143,CC143,CM143,CW143,DG143,DQ143))-(FH143))</f>
        <v>0</v>
      </c>
      <c r="FQ143" s="371">
        <f t="shared" si="174"/>
        <v>0</v>
      </c>
      <c r="FR143" s="371">
        <f t="shared" si="174"/>
        <v>0</v>
      </c>
      <c r="FS143" s="371">
        <f t="shared" si="174"/>
        <v>0</v>
      </c>
      <c r="FT143" s="371">
        <f t="shared" si="174"/>
        <v>0</v>
      </c>
      <c r="FU143" s="371">
        <f t="shared" si="174"/>
        <v>0</v>
      </c>
      <c r="FV143" s="371">
        <f t="shared" ref="FV143:GI143" si="175">(EF143-ET143)</f>
        <v>5</v>
      </c>
      <c r="FW143" s="371">
        <f t="shared" si="175"/>
        <v>1</v>
      </c>
      <c r="FX143" s="371">
        <f t="shared" si="175"/>
        <v>0</v>
      </c>
      <c r="FY143" s="371">
        <f t="shared" si="175"/>
        <v>-1</v>
      </c>
      <c r="FZ143" s="371">
        <f t="shared" si="175"/>
        <v>-2</v>
      </c>
      <c r="GA143" s="371">
        <f t="shared" si="175"/>
        <v>0</v>
      </c>
      <c r="GB143" s="371">
        <f t="shared" si="175"/>
        <v>-3</v>
      </c>
      <c r="GC143" s="371">
        <f t="shared" si="175"/>
        <v>0</v>
      </c>
      <c r="GD143" s="371">
        <f t="shared" si="175"/>
        <v>1</v>
      </c>
      <c r="GE143" s="371">
        <f t="shared" si="175"/>
        <v>0</v>
      </c>
      <c r="GF143" s="371">
        <f t="shared" si="175"/>
        <v>0</v>
      </c>
      <c r="GG143" s="371">
        <f t="shared" si="175"/>
        <v>0</v>
      </c>
      <c r="GH143" s="371">
        <f t="shared" si="175"/>
        <v>0</v>
      </c>
      <c r="GI143" s="371">
        <f t="shared" si="175"/>
        <v>1</v>
      </c>
      <c r="GJ143" s="372"/>
      <c r="GK143" s="367"/>
      <c r="GL143" s="376"/>
      <c r="GM143" s="376"/>
    </row>
    <row r="144" spans="1:196" x14ac:dyDescent="0.25">
      <c r="A144" s="356">
        <v>40432</v>
      </c>
      <c r="B144" s="356" t="s">
        <v>133</v>
      </c>
      <c r="C144" s="356" t="s">
        <v>129</v>
      </c>
      <c r="D144" s="356" t="s">
        <v>136</v>
      </c>
      <c r="E144" s="357">
        <v>17632</v>
      </c>
      <c r="F144" s="360"/>
      <c r="G144" s="358">
        <v>2</v>
      </c>
      <c r="H144" s="359" t="s">
        <v>393</v>
      </c>
      <c r="I144" s="360">
        <v>1</v>
      </c>
      <c r="J144" s="360">
        <v>0</v>
      </c>
      <c r="K144" s="361">
        <v>7</v>
      </c>
      <c r="L144" s="360">
        <v>7</v>
      </c>
      <c r="M144" s="360">
        <v>1</v>
      </c>
      <c r="N144" s="360">
        <v>1</v>
      </c>
      <c r="O144" s="360">
        <v>3</v>
      </c>
      <c r="P144" s="360">
        <v>6</v>
      </c>
      <c r="Q144" s="360">
        <v>1</v>
      </c>
      <c r="R144" s="360">
        <v>0</v>
      </c>
      <c r="S144" s="360">
        <v>30</v>
      </c>
      <c r="T144" s="360">
        <v>108</v>
      </c>
      <c r="U144" s="360">
        <v>66</v>
      </c>
      <c r="V144" s="360">
        <v>0</v>
      </c>
      <c r="W144" s="362">
        <v>0</v>
      </c>
      <c r="X144" s="360">
        <v>0</v>
      </c>
      <c r="Y144" s="360">
        <v>0</v>
      </c>
      <c r="Z144" s="360">
        <v>0</v>
      </c>
      <c r="AA144" s="360">
        <v>0</v>
      </c>
      <c r="AB144" s="360">
        <v>0</v>
      </c>
      <c r="AC144" s="361">
        <v>2</v>
      </c>
      <c r="AD144" s="360">
        <v>0</v>
      </c>
      <c r="AE144" s="360">
        <v>0</v>
      </c>
      <c r="AF144" s="360">
        <v>0</v>
      </c>
      <c r="AG144" s="360">
        <v>0</v>
      </c>
      <c r="AH144" s="360">
        <v>0</v>
      </c>
      <c r="AI144" s="360">
        <v>0</v>
      </c>
      <c r="AJ144" s="360">
        <v>0</v>
      </c>
      <c r="AK144" s="360">
        <v>6</v>
      </c>
      <c r="AL144" s="360">
        <v>20</v>
      </c>
      <c r="AM144" s="360">
        <v>13</v>
      </c>
      <c r="AN144" s="363" t="s">
        <v>273</v>
      </c>
      <c r="AO144" s="364">
        <v>5</v>
      </c>
      <c r="AP144" s="364">
        <v>2</v>
      </c>
      <c r="AQ144" s="364">
        <v>1</v>
      </c>
      <c r="AR144" s="364">
        <v>0</v>
      </c>
      <c r="AS144" s="364">
        <v>1</v>
      </c>
      <c r="AT144" s="364">
        <v>2</v>
      </c>
      <c r="AU144" s="364">
        <v>0</v>
      </c>
      <c r="AV144" s="364">
        <v>0</v>
      </c>
      <c r="AW144" s="365">
        <v>2</v>
      </c>
      <c r="AX144" s="363" t="s">
        <v>384</v>
      </c>
      <c r="AY144" s="364">
        <v>4</v>
      </c>
      <c r="AZ144" s="364">
        <v>2</v>
      </c>
      <c r="BA144" s="364">
        <v>1</v>
      </c>
      <c r="BB144" s="364">
        <v>1</v>
      </c>
      <c r="BC144" s="364">
        <v>1</v>
      </c>
      <c r="BD144" s="364">
        <v>1</v>
      </c>
      <c r="BE144" s="364">
        <v>0</v>
      </c>
      <c r="BF144" s="364">
        <v>0</v>
      </c>
      <c r="BG144" s="365">
        <v>3</v>
      </c>
      <c r="BH144" s="363" t="s">
        <v>391</v>
      </c>
      <c r="BI144" s="364">
        <v>4</v>
      </c>
      <c r="BJ144" s="364">
        <v>1</v>
      </c>
      <c r="BK144" s="364">
        <v>1</v>
      </c>
      <c r="BL144" s="364">
        <v>3</v>
      </c>
      <c r="BM144" s="364">
        <v>0</v>
      </c>
      <c r="BN144" s="364">
        <v>1</v>
      </c>
      <c r="BO144" s="364">
        <v>1</v>
      </c>
      <c r="BP144" s="364">
        <v>0</v>
      </c>
      <c r="BQ144" s="365">
        <v>3</v>
      </c>
      <c r="BR144" s="363" t="s">
        <v>390</v>
      </c>
      <c r="BS144" s="364">
        <v>4</v>
      </c>
      <c r="BT144" s="364">
        <v>0</v>
      </c>
      <c r="BU144" s="364">
        <v>1</v>
      </c>
      <c r="BV144" s="364">
        <v>0</v>
      </c>
      <c r="BW144" s="364">
        <v>1</v>
      </c>
      <c r="BX144" s="364">
        <v>1</v>
      </c>
      <c r="BY144" s="364">
        <v>0</v>
      </c>
      <c r="BZ144" s="364">
        <v>0</v>
      </c>
      <c r="CA144" s="365">
        <v>1</v>
      </c>
      <c r="CB144" s="363" t="s">
        <v>389</v>
      </c>
      <c r="CC144" s="364">
        <v>4</v>
      </c>
      <c r="CD144" s="364">
        <v>2</v>
      </c>
      <c r="CE144" s="364">
        <v>2</v>
      </c>
      <c r="CF144" s="364">
        <v>2</v>
      </c>
      <c r="CG144" s="364">
        <v>1</v>
      </c>
      <c r="CH144" s="364">
        <v>0</v>
      </c>
      <c r="CI144" s="364">
        <v>0</v>
      </c>
      <c r="CJ144" s="364">
        <v>0</v>
      </c>
      <c r="CK144" s="365">
        <v>4</v>
      </c>
      <c r="CL144" s="363" t="s">
        <v>274</v>
      </c>
      <c r="CM144" s="364">
        <v>4</v>
      </c>
      <c r="CN144" s="364">
        <v>1</v>
      </c>
      <c r="CO144" s="364">
        <v>1</v>
      </c>
      <c r="CP144" s="364">
        <v>1</v>
      </c>
      <c r="CQ144" s="364">
        <v>1</v>
      </c>
      <c r="CR144" s="364">
        <v>3</v>
      </c>
      <c r="CS144" s="364">
        <v>0</v>
      </c>
      <c r="CT144" s="364">
        <v>0</v>
      </c>
      <c r="CU144" s="365">
        <v>2</v>
      </c>
      <c r="CV144" s="363" t="s">
        <v>271</v>
      </c>
      <c r="CW144" s="364">
        <v>4</v>
      </c>
      <c r="CX144" s="364">
        <v>1</v>
      </c>
      <c r="CY144" s="364">
        <v>0</v>
      </c>
      <c r="CZ144" s="364">
        <v>0</v>
      </c>
      <c r="DA144" s="364">
        <v>1</v>
      </c>
      <c r="DB144" s="364">
        <v>2</v>
      </c>
      <c r="DC144" s="364">
        <v>0</v>
      </c>
      <c r="DD144" s="364">
        <v>0</v>
      </c>
      <c r="DE144" s="365">
        <v>0</v>
      </c>
      <c r="DF144" s="363" t="s">
        <v>674</v>
      </c>
      <c r="DG144" s="364">
        <v>5</v>
      </c>
      <c r="DH144" s="364">
        <v>2</v>
      </c>
      <c r="DI144" s="364">
        <v>2</v>
      </c>
      <c r="DJ144" s="364">
        <v>4</v>
      </c>
      <c r="DK144" s="364">
        <v>0</v>
      </c>
      <c r="DL144" s="364">
        <v>1</v>
      </c>
      <c r="DM144" s="364">
        <v>0</v>
      </c>
      <c r="DN144" s="364">
        <v>0</v>
      </c>
      <c r="DO144" s="365">
        <v>5</v>
      </c>
      <c r="DP144" s="363" t="s">
        <v>388</v>
      </c>
      <c r="DQ144" s="364">
        <v>3</v>
      </c>
      <c r="DR144" s="364">
        <v>2</v>
      </c>
      <c r="DS144" s="364">
        <v>1</v>
      </c>
      <c r="DT144" s="364">
        <v>2</v>
      </c>
      <c r="DU144" s="364">
        <v>1</v>
      </c>
      <c r="DV144" s="364">
        <v>2</v>
      </c>
      <c r="DW144" s="364">
        <v>1</v>
      </c>
      <c r="DX144" s="364">
        <v>0</v>
      </c>
      <c r="DY144" s="365">
        <v>4</v>
      </c>
      <c r="DZ144" s="366">
        <v>9</v>
      </c>
      <c r="EA144" s="367">
        <v>0</v>
      </c>
      <c r="EB144" s="367">
        <v>0</v>
      </c>
      <c r="EC144" s="368">
        <v>0</v>
      </c>
      <c r="ED144" s="367">
        <v>0</v>
      </c>
      <c r="EE144" s="369">
        <v>0</v>
      </c>
      <c r="EF144" s="370">
        <v>0</v>
      </c>
      <c r="EG144" s="367">
        <v>0</v>
      </c>
      <c r="EH144" s="367">
        <v>0</v>
      </c>
      <c r="EI144" s="367">
        <v>6</v>
      </c>
      <c r="EJ144" s="367">
        <v>1</v>
      </c>
      <c r="EK144" s="367">
        <v>2</v>
      </c>
      <c r="EL144" s="367">
        <v>0</v>
      </c>
      <c r="EM144" s="367">
        <v>4</v>
      </c>
      <c r="EN144" s="367">
        <v>0</v>
      </c>
      <c r="EO144" s="367"/>
      <c r="EP144" s="367"/>
      <c r="EQ144" s="367"/>
      <c r="ER144" s="367"/>
      <c r="ES144" s="369">
        <f t="shared" si="172"/>
        <v>13</v>
      </c>
      <c r="ET144" s="367">
        <v>0</v>
      </c>
      <c r="EU144" s="367">
        <v>0</v>
      </c>
      <c r="EV144" s="367">
        <v>0</v>
      </c>
      <c r="EW144" s="367">
        <v>1</v>
      </c>
      <c r="EX144" s="367">
        <v>0</v>
      </c>
      <c r="EY144" s="367">
        <v>0</v>
      </c>
      <c r="EZ144" s="367">
        <v>0</v>
      </c>
      <c r="FA144" s="367">
        <v>0</v>
      </c>
      <c r="FB144" s="367">
        <v>0</v>
      </c>
      <c r="FC144" s="367"/>
      <c r="FD144" s="367"/>
      <c r="FE144" s="367"/>
      <c r="FF144" s="367"/>
      <c r="FG144" s="367">
        <f t="shared" si="173"/>
        <v>1</v>
      </c>
      <c r="FH144" s="371">
        <v>37</v>
      </c>
      <c r="FI144" s="371">
        <v>13</v>
      </c>
      <c r="FJ144" s="371">
        <v>10</v>
      </c>
      <c r="FK144" s="371">
        <v>13</v>
      </c>
      <c r="FL144" s="371">
        <v>7</v>
      </c>
      <c r="FM144" s="371">
        <v>13</v>
      </c>
      <c r="FN144" s="371">
        <f t="shared" si="162"/>
        <v>0</v>
      </c>
      <c r="FO144" s="371">
        <f t="shared" si="163"/>
        <v>0</v>
      </c>
      <c r="FP144" s="371">
        <f t="shared" ref="FP144:FU144" si="176">((SUM(AO144,AY144,BI144,BS144,CC144,CM144,CW144,DG144,DQ144))-(FH144))</f>
        <v>0</v>
      </c>
      <c r="FQ144" s="371">
        <f t="shared" si="176"/>
        <v>0</v>
      </c>
      <c r="FR144" s="371">
        <f t="shared" si="176"/>
        <v>0</v>
      </c>
      <c r="FS144" s="371">
        <f t="shared" si="176"/>
        <v>0</v>
      </c>
      <c r="FT144" s="371">
        <f t="shared" si="176"/>
        <v>0</v>
      </c>
      <c r="FU144" s="371">
        <f t="shared" si="176"/>
        <v>0</v>
      </c>
      <c r="FV144" s="371">
        <f t="shared" ref="FV144:GI144" si="177">(EF144-ET144)</f>
        <v>0</v>
      </c>
      <c r="FW144" s="371">
        <f t="shared" si="177"/>
        <v>0</v>
      </c>
      <c r="FX144" s="371">
        <f t="shared" si="177"/>
        <v>0</v>
      </c>
      <c r="FY144" s="371">
        <f t="shared" si="177"/>
        <v>5</v>
      </c>
      <c r="FZ144" s="371">
        <f t="shared" si="177"/>
        <v>1</v>
      </c>
      <c r="GA144" s="371">
        <f t="shared" si="177"/>
        <v>2</v>
      </c>
      <c r="GB144" s="371">
        <f t="shared" si="177"/>
        <v>0</v>
      </c>
      <c r="GC144" s="371">
        <f t="shared" si="177"/>
        <v>4</v>
      </c>
      <c r="GD144" s="371">
        <f t="shared" si="177"/>
        <v>0</v>
      </c>
      <c r="GE144" s="371">
        <f t="shared" si="177"/>
        <v>0</v>
      </c>
      <c r="GF144" s="371">
        <f t="shared" si="177"/>
        <v>0</v>
      </c>
      <c r="GG144" s="371">
        <f t="shared" si="177"/>
        <v>0</v>
      </c>
      <c r="GH144" s="371">
        <f t="shared" si="177"/>
        <v>0</v>
      </c>
      <c r="GI144" s="371">
        <f t="shared" si="177"/>
        <v>12</v>
      </c>
      <c r="GJ144" s="372"/>
      <c r="GK144" s="367"/>
      <c r="GL144" s="376"/>
      <c r="GM144" s="376"/>
    </row>
    <row r="145" spans="1:195" x14ac:dyDescent="0.25">
      <c r="A145" s="356">
        <v>40433</v>
      </c>
      <c r="B145" s="356" t="s">
        <v>133</v>
      </c>
      <c r="C145" s="356" t="s">
        <v>131</v>
      </c>
      <c r="D145" s="356" t="s">
        <v>136</v>
      </c>
      <c r="E145" s="357">
        <v>14658</v>
      </c>
      <c r="F145" s="360"/>
      <c r="G145" s="358">
        <v>3</v>
      </c>
      <c r="H145" s="359" t="s">
        <v>395</v>
      </c>
      <c r="I145" s="360">
        <v>0</v>
      </c>
      <c r="J145" s="360">
        <v>0</v>
      </c>
      <c r="K145" s="361">
        <v>5</v>
      </c>
      <c r="L145" s="360">
        <v>2</v>
      </c>
      <c r="M145" s="360">
        <v>3</v>
      </c>
      <c r="N145" s="360">
        <v>3</v>
      </c>
      <c r="O145" s="360">
        <v>4</v>
      </c>
      <c r="P145" s="360">
        <v>5</v>
      </c>
      <c r="Q145" s="360">
        <v>0</v>
      </c>
      <c r="R145" s="360">
        <v>0</v>
      </c>
      <c r="S145" s="360">
        <v>22</v>
      </c>
      <c r="T145" s="360">
        <v>73</v>
      </c>
      <c r="U145" s="360">
        <v>42</v>
      </c>
      <c r="V145" s="360">
        <v>0</v>
      </c>
      <c r="W145" s="362">
        <v>0</v>
      </c>
      <c r="X145" s="360">
        <v>0</v>
      </c>
      <c r="Y145" s="360">
        <v>1</v>
      </c>
      <c r="Z145" s="360">
        <v>0</v>
      </c>
      <c r="AA145" s="360">
        <v>0</v>
      </c>
      <c r="AB145" s="360">
        <v>1</v>
      </c>
      <c r="AC145" s="361">
        <v>3</v>
      </c>
      <c r="AD145" s="360">
        <v>3</v>
      </c>
      <c r="AE145" s="360">
        <v>2</v>
      </c>
      <c r="AF145" s="360">
        <v>2</v>
      </c>
      <c r="AG145" s="360">
        <v>1</v>
      </c>
      <c r="AH145" s="360">
        <v>3</v>
      </c>
      <c r="AI145" s="360">
        <v>1</v>
      </c>
      <c r="AJ145" s="360">
        <v>0</v>
      </c>
      <c r="AK145" s="360">
        <v>12</v>
      </c>
      <c r="AL145" s="360">
        <v>47</v>
      </c>
      <c r="AM145" s="360">
        <v>29</v>
      </c>
      <c r="AN145" s="363" t="s">
        <v>273</v>
      </c>
      <c r="AO145" s="364">
        <v>4</v>
      </c>
      <c r="AP145" s="364">
        <v>0</v>
      </c>
      <c r="AQ145" s="364">
        <v>1</v>
      </c>
      <c r="AR145" s="364">
        <v>1</v>
      </c>
      <c r="AS145" s="364">
        <v>0</v>
      </c>
      <c r="AT145" s="364">
        <v>0</v>
      </c>
      <c r="AU145" s="364">
        <v>0</v>
      </c>
      <c r="AV145" s="364">
        <v>1</v>
      </c>
      <c r="AW145" s="365">
        <v>1</v>
      </c>
      <c r="AX145" s="363" t="s">
        <v>384</v>
      </c>
      <c r="AY145" s="364">
        <v>5</v>
      </c>
      <c r="AZ145" s="364">
        <v>0</v>
      </c>
      <c r="BA145" s="364">
        <v>0</v>
      </c>
      <c r="BB145" s="364">
        <v>0</v>
      </c>
      <c r="BC145" s="364">
        <v>0</v>
      </c>
      <c r="BD145" s="364">
        <v>2</v>
      </c>
      <c r="BE145" s="364">
        <v>0</v>
      </c>
      <c r="BF145" s="364">
        <v>0</v>
      </c>
      <c r="BG145" s="365">
        <v>0</v>
      </c>
      <c r="BH145" s="363" t="s">
        <v>271</v>
      </c>
      <c r="BI145" s="364">
        <v>4</v>
      </c>
      <c r="BJ145" s="364">
        <v>1</v>
      </c>
      <c r="BK145" s="364">
        <v>1</v>
      </c>
      <c r="BL145" s="364">
        <v>0</v>
      </c>
      <c r="BM145" s="364">
        <v>0</v>
      </c>
      <c r="BN145" s="364">
        <v>1</v>
      </c>
      <c r="BO145" s="364">
        <v>0</v>
      </c>
      <c r="BP145" s="364">
        <v>0</v>
      </c>
      <c r="BQ145" s="365">
        <v>1</v>
      </c>
      <c r="BR145" s="363" t="s">
        <v>390</v>
      </c>
      <c r="BS145" s="364">
        <v>3</v>
      </c>
      <c r="BT145" s="364">
        <v>2</v>
      </c>
      <c r="BU145" s="364">
        <v>2</v>
      </c>
      <c r="BV145" s="364">
        <v>0</v>
      </c>
      <c r="BW145" s="364">
        <v>1</v>
      </c>
      <c r="BX145" s="364">
        <v>0</v>
      </c>
      <c r="BY145" s="364">
        <v>0</v>
      </c>
      <c r="BZ145" s="364">
        <v>0</v>
      </c>
      <c r="CA145" s="365">
        <v>3</v>
      </c>
      <c r="CB145" s="363" t="s">
        <v>575</v>
      </c>
      <c r="CC145" s="364">
        <v>4</v>
      </c>
      <c r="CD145" s="364">
        <v>0</v>
      </c>
      <c r="CE145" s="364">
        <v>0</v>
      </c>
      <c r="CF145" s="364">
        <v>0</v>
      </c>
      <c r="CG145" s="364">
        <v>0</v>
      </c>
      <c r="CH145" s="364">
        <v>1</v>
      </c>
      <c r="CI145" s="364">
        <v>0</v>
      </c>
      <c r="CJ145" s="364">
        <v>0</v>
      </c>
      <c r="CK145" s="365">
        <v>0</v>
      </c>
      <c r="CL145" s="363" t="s">
        <v>389</v>
      </c>
      <c r="CM145" s="364">
        <v>3</v>
      </c>
      <c r="CN145" s="364">
        <v>0</v>
      </c>
      <c r="CO145" s="364">
        <v>2</v>
      </c>
      <c r="CP145" s="364">
        <v>2</v>
      </c>
      <c r="CQ145" s="364">
        <v>1</v>
      </c>
      <c r="CR145" s="364">
        <v>0</v>
      </c>
      <c r="CS145" s="364">
        <v>0</v>
      </c>
      <c r="CT145" s="364">
        <v>0</v>
      </c>
      <c r="CU145" s="365">
        <v>4</v>
      </c>
      <c r="CV145" s="363" t="s">
        <v>406</v>
      </c>
      <c r="CW145" s="364">
        <v>4</v>
      </c>
      <c r="CX145" s="364">
        <v>0</v>
      </c>
      <c r="CY145" s="364">
        <v>0</v>
      </c>
      <c r="CZ145" s="364">
        <v>0</v>
      </c>
      <c r="DA145" s="364">
        <v>0</v>
      </c>
      <c r="DB145" s="364">
        <v>0</v>
      </c>
      <c r="DC145" s="364">
        <v>0</v>
      </c>
      <c r="DD145" s="364">
        <v>0</v>
      </c>
      <c r="DE145" s="365">
        <v>0</v>
      </c>
      <c r="DF145" s="363" t="s">
        <v>674</v>
      </c>
      <c r="DG145" s="364">
        <v>3</v>
      </c>
      <c r="DH145" s="364">
        <v>1</v>
      </c>
      <c r="DI145" s="364">
        <v>0</v>
      </c>
      <c r="DJ145" s="364">
        <v>0</v>
      </c>
      <c r="DK145" s="364">
        <v>1</v>
      </c>
      <c r="DL145" s="364">
        <v>2</v>
      </c>
      <c r="DM145" s="364">
        <v>0</v>
      </c>
      <c r="DN145" s="364">
        <v>0</v>
      </c>
      <c r="DO145" s="365">
        <v>0</v>
      </c>
      <c r="DP145" s="363" t="s">
        <v>399</v>
      </c>
      <c r="DQ145" s="364">
        <v>4</v>
      </c>
      <c r="DR145" s="364">
        <v>0</v>
      </c>
      <c r="DS145" s="364">
        <v>2</v>
      </c>
      <c r="DT145" s="364">
        <v>0</v>
      </c>
      <c r="DU145" s="364">
        <v>0</v>
      </c>
      <c r="DV145" s="364">
        <v>1</v>
      </c>
      <c r="DW145" s="364">
        <v>0</v>
      </c>
      <c r="DX145" s="364">
        <v>0</v>
      </c>
      <c r="DY145" s="365">
        <v>2</v>
      </c>
      <c r="DZ145" s="366">
        <f>1+1/3</f>
        <v>1.3333333333333333</v>
      </c>
      <c r="EA145" s="367">
        <v>0</v>
      </c>
      <c r="EB145" s="367">
        <v>0</v>
      </c>
      <c r="EC145" s="368">
        <f>7+2/3</f>
        <v>7.666666666666667</v>
      </c>
      <c r="ED145" s="367">
        <v>2</v>
      </c>
      <c r="EE145" s="369">
        <v>0</v>
      </c>
      <c r="EF145" s="370">
        <v>0</v>
      </c>
      <c r="EG145" s="367">
        <v>0</v>
      </c>
      <c r="EH145" s="367">
        <v>0</v>
      </c>
      <c r="EI145" s="367">
        <v>1</v>
      </c>
      <c r="EJ145" s="367">
        <v>0</v>
      </c>
      <c r="EK145" s="367">
        <v>2</v>
      </c>
      <c r="EL145" s="367">
        <v>0</v>
      </c>
      <c r="EM145" s="367">
        <v>0</v>
      </c>
      <c r="EN145" s="367">
        <v>1</v>
      </c>
      <c r="EO145" s="367"/>
      <c r="EP145" s="367"/>
      <c r="EQ145" s="367"/>
      <c r="ER145" s="367"/>
      <c r="ES145" s="369">
        <f t="shared" si="172"/>
        <v>4</v>
      </c>
      <c r="ET145" s="367">
        <v>0</v>
      </c>
      <c r="EU145" s="367">
        <v>0</v>
      </c>
      <c r="EV145" s="367">
        <v>0</v>
      </c>
      <c r="EW145" s="367">
        <v>3</v>
      </c>
      <c r="EX145" s="367">
        <v>0</v>
      </c>
      <c r="EY145" s="367">
        <v>0</v>
      </c>
      <c r="EZ145" s="367">
        <v>0</v>
      </c>
      <c r="FA145" s="367">
        <v>0</v>
      </c>
      <c r="FB145" s="367">
        <v>2</v>
      </c>
      <c r="FC145" s="367"/>
      <c r="FD145" s="367"/>
      <c r="FE145" s="367"/>
      <c r="FF145" s="367"/>
      <c r="FG145" s="367">
        <f t="shared" si="173"/>
        <v>5</v>
      </c>
      <c r="FH145" s="371">
        <v>34</v>
      </c>
      <c r="FI145" s="371">
        <v>4</v>
      </c>
      <c r="FJ145" s="371">
        <v>8</v>
      </c>
      <c r="FK145" s="371">
        <v>3</v>
      </c>
      <c r="FL145" s="371">
        <v>3</v>
      </c>
      <c r="FM145" s="371">
        <v>7</v>
      </c>
      <c r="FN145" s="371">
        <f t="shared" ref="FN145:FN150" si="178">((SUM(M145,AE145))-(FG145))</f>
        <v>0</v>
      </c>
      <c r="FO145" s="371">
        <f t="shared" ref="FO145:FO150" si="179">((SUM(AP145,AZ145,BJ145,BT145,CD145,CN145,CX145,DH145,DR145))-(ES145))</f>
        <v>0</v>
      </c>
      <c r="FP145" s="371">
        <f t="shared" ref="FP145:FU145" si="180">((SUM(AO145,AY145,BI145,BS145,CC145,CM145,CW145,DG145,DQ145))-(FH145))</f>
        <v>0</v>
      </c>
      <c r="FQ145" s="371">
        <f t="shared" si="180"/>
        <v>0</v>
      </c>
      <c r="FR145" s="371">
        <f t="shared" si="180"/>
        <v>0</v>
      </c>
      <c r="FS145" s="371">
        <f t="shared" si="180"/>
        <v>0</v>
      </c>
      <c r="FT145" s="371">
        <f t="shared" si="180"/>
        <v>0</v>
      </c>
      <c r="FU145" s="371">
        <f t="shared" si="180"/>
        <v>0</v>
      </c>
      <c r="FV145" s="371">
        <f t="shared" ref="FV145:GI145" si="181">(EF145-ET145)</f>
        <v>0</v>
      </c>
      <c r="FW145" s="371">
        <f t="shared" si="181"/>
        <v>0</v>
      </c>
      <c r="FX145" s="371">
        <f t="shared" si="181"/>
        <v>0</v>
      </c>
      <c r="FY145" s="371">
        <f t="shared" si="181"/>
        <v>-2</v>
      </c>
      <c r="FZ145" s="371">
        <f t="shared" si="181"/>
        <v>0</v>
      </c>
      <c r="GA145" s="371">
        <f t="shared" si="181"/>
        <v>2</v>
      </c>
      <c r="GB145" s="371">
        <f t="shared" si="181"/>
        <v>0</v>
      </c>
      <c r="GC145" s="371">
        <f t="shared" si="181"/>
        <v>0</v>
      </c>
      <c r="GD145" s="371">
        <f t="shared" si="181"/>
        <v>-1</v>
      </c>
      <c r="GE145" s="371">
        <f t="shared" si="181"/>
        <v>0</v>
      </c>
      <c r="GF145" s="371">
        <f t="shared" si="181"/>
        <v>0</v>
      </c>
      <c r="GG145" s="371">
        <f t="shared" si="181"/>
        <v>0</v>
      </c>
      <c r="GH145" s="371">
        <f t="shared" si="181"/>
        <v>0</v>
      </c>
      <c r="GI145" s="371">
        <f t="shared" si="181"/>
        <v>-1</v>
      </c>
      <c r="GJ145" s="372"/>
      <c r="GK145" s="367"/>
      <c r="GL145" s="376"/>
      <c r="GM145" s="376"/>
    </row>
    <row r="146" spans="1:195" x14ac:dyDescent="0.25">
      <c r="A146" s="356">
        <v>40434</v>
      </c>
      <c r="B146" s="356" t="s">
        <v>19</v>
      </c>
      <c r="C146" s="356" t="s">
        <v>129</v>
      </c>
      <c r="D146" s="356" t="s">
        <v>132</v>
      </c>
      <c r="E146" s="357">
        <v>26907</v>
      </c>
      <c r="F146" s="360"/>
      <c r="G146" s="358">
        <v>4</v>
      </c>
      <c r="H146" s="359" t="s">
        <v>394</v>
      </c>
      <c r="I146" s="360">
        <v>0</v>
      </c>
      <c r="J146" s="360">
        <v>0</v>
      </c>
      <c r="K146" s="361">
        <v>8</v>
      </c>
      <c r="L146" s="360">
        <v>3</v>
      </c>
      <c r="M146" s="360">
        <v>0</v>
      </c>
      <c r="N146" s="360">
        <v>0</v>
      </c>
      <c r="O146" s="360">
        <v>2</v>
      </c>
      <c r="P146" s="360">
        <v>4</v>
      </c>
      <c r="Q146" s="360">
        <v>0</v>
      </c>
      <c r="R146" s="360">
        <v>0</v>
      </c>
      <c r="S146" s="360">
        <v>27</v>
      </c>
      <c r="T146" s="360">
        <v>114</v>
      </c>
      <c r="U146" s="360">
        <v>73</v>
      </c>
      <c r="V146" s="360">
        <v>0</v>
      </c>
      <c r="W146" s="362">
        <v>0</v>
      </c>
      <c r="X146" s="360">
        <v>1</v>
      </c>
      <c r="Y146" s="360">
        <v>0</v>
      </c>
      <c r="Z146" s="360">
        <v>0</v>
      </c>
      <c r="AA146" s="360">
        <v>0</v>
      </c>
      <c r="AB146" s="360">
        <v>0</v>
      </c>
      <c r="AC146" s="361">
        <v>3</v>
      </c>
      <c r="AD146" s="360">
        <v>1</v>
      </c>
      <c r="AE146" s="360">
        <v>0</v>
      </c>
      <c r="AF146" s="360">
        <v>0</v>
      </c>
      <c r="AG146" s="360">
        <v>1</v>
      </c>
      <c r="AH146" s="360">
        <v>0</v>
      </c>
      <c r="AI146" s="360">
        <v>0</v>
      </c>
      <c r="AJ146" s="360">
        <v>0</v>
      </c>
      <c r="AK146" s="360">
        <v>10</v>
      </c>
      <c r="AL146" s="360">
        <v>36</v>
      </c>
      <c r="AM146" s="360">
        <v>19</v>
      </c>
      <c r="AN146" s="363" t="s">
        <v>273</v>
      </c>
      <c r="AO146" s="364">
        <v>3</v>
      </c>
      <c r="AP146" s="364">
        <v>0</v>
      </c>
      <c r="AQ146" s="364">
        <v>0</v>
      </c>
      <c r="AR146" s="364">
        <v>0</v>
      </c>
      <c r="AS146" s="364">
        <v>2</v>
      </c>
      <c r="AT146" s="364">
        <v>1</v>
      </c>
      <c r="AU146" s="364">
        <v>0</v>
      </c>
      <c r="AV146" s="364">
        <v>0</v>
      </c>
      <c r="AW146" s="365">
        <v>0</v>
      </c>
      <c r="AX146" s="363" t="s">
        <v>384</v>
      </c>
      <c r="AY146" s="364">
        <v>5</v>
      </c>
      <c r="AZ146" s="364">
        <v>0</v>
      </c>
      <c r="BA146" s="364">
        <v>0</v>
      </c>
      <c r="BB146" s="364">
        <v>0</v>
      </c>
      <c r="BC146" s="364">
        <v>0</v>
      </c>
      <c r="BD146" s="364">
        <v>1</v>
      </c>
      <c r="BE146" s="364">
        <v>0</v>
      </c>
      <c r="BF146" s="364">
        <v>0</v>
      </c>
      <c r="BG146" s="365">
        <v>0</v>
      </c>
      <c r="BH146" s="363" t="s">
        <v>391</v>
      </c>
      <c r="BI146" s="364">
        <v>5</v>
      </c>
      <c r="BJ146" s="364">
        <v>1</v>
      </c>
      <c r="BK146" s="364">
        <v>1</v>
      </c>
      <c r="BL146" s="364">
        <v>1</v>
      </c>
      <c r="BM146" s="364">
        <v>0</v>
      </c>
      <c r="BN146" s="364">
        <v>3</v>
      </c>
      <c r="BO146" s="364">
        <v>0</v>
      </c>
      <c r="BP146" s="364">
        <v>0</v>
      </c>
      <c r="BQ146" s="365">
        <v>4</v>
      </c>
      <c r="BR146" s="363" t="s">
        <v>390</v>
      </c>
      <c r="BS146" s="364">
        <v>4</v>
      </c>
      <c r="BT146" s="364">
        <v>0</v>
      </c>
      <c r="BU146" s="364">
        <v>0</v>
      </c>
      <c r="BV146" s="364">
        <v>0</v>
      </c>
      <c r="BW146" s="364">
        <v>0</v>
      </c>
      <c r="BX146" s="364">
        <v>2</v>
      </c>
      <c r="BY146" s="364">
        <v>0</v>
      </c>
      <c r="BZ146" s="364">
        <v>0</v>
      </c>
      <c r="CA146" s="365">
        <v>0</v>
      </c>
      <c r="CB146" s="363" t="s">
        <v>389</v>
      </c>
      <c r="CC146" s="364">
        <v>3</v>
      </c>
      <c r="CD146" s="364">
        <v>0</v>
      </c>
      <c r="CE146" s="364">
        <v>0</v>
      </c>
      <c r="CF146" s="364">
        <v>0</v>
      </c>
      <c r="CG146" s="364">
        <v>1</v>
      </c>
      <c r="CH146" s="364">
        <v>0</v>
      </c>
      <c r="CI146" s="364">
        <v>0</v>
      </c>
      <c r="CJ146" s="364">
        <v>0</v>
      </c>
      <c r="CK146" s="365">
        <v>0</v>
      </c>
      <c r="CL146" s="363" t="s">
        <v>274</v>
      </c>
      <c r="CM146" s="364">
        <v>4</v>
      </c>
      <c r="CN146" s="364">
        <v>0</v>
      </c>
      <c r="CO146" s="364">
        <v>0</v>
      </c>
      <c r="CP146" s="364">
        <v>0</v>
      </c>
      <c r="CQ146" s="364">
        <v>0</v>
      </c>
      <c r="CR146" s="364">
        <v>3</v>
      </c>
      <c r="CS146" s="364">
        <v>0</v>
      </c>
      <c r="CT146" s="364">
        <v>0</v>
      </c>
      <c r="CU146" s="365">
        <v>0</v>
      </c>
      <c r="CV146" s="363" t="s">
        <v>271</v>
      </c>
      <c r="CW146" s="364">
        <v>4</v>
      </c>
      <c r="CX146" s="364">
        <v>0</v>
      </c>
      <c r="CY146" s="364">
        <v>1</v>
      </c>
      <c r="CZ146" s="364">
        <v>0</v>
      </c>
      <c r="DA146" s="364">
        <v>0</v>
      </c>
      <c r="DB146" s="364">
        <v>3</v>
      </c>
      <c r="DC146" s="364">
        <v>0</v>
      </c>
      <c r="DD146" s="364">
        <v>0</v>
      </c>
      <c r="DE146" s="365">
        <v>1</v>
      </c>
      <c r="DF146" s="363" t="s">
        <v>272</v>
      </c>
      <c r="DG146" s="364">
        <v>2</v>
      </c>
      <c r="DH146" s="364">
        <v>0</v>
      </c>
      <c r="DI146" s="364">
        <v>0</v>
      </c>
      <c r="DJ146" s="364">
        <v>0</v>
      </c>
      <c r="DK146" s="364">
        <v>1</v>
      </c>
      <c r="DL146" s="364">
        <v>1</v>
      </c>
      <c r="DM146" s="364">
        <v>0</v>
      </c>
      <c r="DN146" s="364">
        <v>0</v>
      </c>
      <c r="DO146" s="365">
        <v>0</v>
      </c>
      <c r="DP146" s="363" t="s">
        <v>388</v>
      </c>
      <c r="DQ146" s="364">
        <v>3</v>
      </c>
      <c r="DR146" s="364">
        <v>0</v>
      </c>
      <c r="DS146" s="364">
        <v>2</v>
      </c>
      <c r="DT146" s="364">
        <v>0</v>
      </c>
      <c r="DU146" s="364">
        <v>0</v>
      </c>
      <c r="DV146" s="364">
        <v>0</v>
      </c>
      <c r="DW146" s="364">
        <v>1</v>
      </c>
      <c r="DX146" s="364">
        <v>0</v>
      </c>
      <c r="DY146" s="365">
        <v>2</v>
      </c>
      <c r="DZ146" s="366">
        <f>8+1/3</f>
        <v>8.3333333333333339</v>
      </c>
      <c r="EA146" s="367">
        <v>0</v>
      </c>
      <c r="EB146" s="367">
        <v>0</v>
      </c>
      <c r="EC146" s="368">
        <f>1+2/3</f>
        <v>1.6666666666666665</v>
      </c>
      <c r="ED146" s="367">
        <v>0</v>
      </c>
      <c r="EE146" s="369">
        <v>0</v>
      </c>
      <c r="EF146" s="370">
        <v>0</v>
      </c>
      <c r="EG146" s="367">
        <v>0</v>
      </c>
      <c r="EH146" s="367">
        <v>0</v>
      </c>
      <c r="EI146" s="367">
        <v>0</v>
      </c>
      <c r="EJ146" s="367">
        <v>0</v>
      </c>
      <c r="EK146" s="367">
        <v>0</v>
      </c>
      <c r="EL146" s="367">
        <v>0</v>
      </c>
      <c r="EM146" s="367">
        <v>0</v>
      </c>
      <c r="EN146" s="367">
        <v>0</v>
      </c>
      <c r="EO146" s="367">
        <v>0</v>
      </c>
      <c r="EP146" s="367">
        <v>1</v>
      </c>
      <c r="EQ146" s="367"/>
      <c r="ER146" s="367"/>
      <c r="ES146" s="369">
        <f t="shared" si="172"/>
        <v>1</v>
      </c>
      <c r="ET146" s="367">
        <v>0</v>
      </c>
      <c r="EU146" s="367">
        <v>0</v>
      </c>
      <c r="EV146" s="367">
        <v>0</v>
      </c>
      <c r="EW146" s="367">
        <v>0</v>
      </c>
      <c r="EX146" s="367">
        <v>0</v>
      </c>
      <c r="EY146" s="367">
        <v>0</v>
      </c>
      <c r="EZ146" s="367">
        <v>0</v>
      </c>
      <c r="FA146" s="367">
        <v>0</v>
      </c>
      <c r="FB146" s="367">
        <v>0</v>
      </c>
      <c r="FC146" s="367">
        <v>0</v>
      </c>
      <c r="FD146" s="367">
        <v>0</v>
      </c>
      <c r="FE146" s="367"/>
      <c r="FF146" s="367"/>
      <c r="FG146" s="367">
        <f t="shared" si="173"/>
        <v>0</v>
      </c>
      <c r="FH146" s="371">
        <v>33</v>
      </c>
      <c r="FI146" s="371">
        <v>1</v>
      </c>
      <c r="FJ146" s="371">
        <v>4</v>
      </c>
      <c r="FK146" s="371">
        <v>1</v>
      </c>
      <c r="FL146" s="371">
        <v>4</v>
      </c>
      <c r="FM146" s="371">
        <v>14</v>
      </c>
      <c r="FN146" s="371">
        <f t="shared" si="178"/>
        <v>0</v>
      </c>
      <c r="FO146" s="371">
        <f t="shared" si="179"/>
        <v>0</v>
      </c>
      <c r="FP146" s="371">
        <f t="shared" ref="FP146:FU146" si="182">((SUM(AO146,AY146,BI146,BS146,CC146,CM146,CW146,DG146,DQ146))-(FH146))</f>
        <v>0</v>
      </c>
      <c r="FQ146" s="371">
        <f t="shared" si="182"/>
        <v>0</v>
      </c>
      <c r="FR146" s="371">
        <f t="shared" si="182"/>
        <v>0</v>
      </c>
      <c r="FS146" s="371">
        <f t="shared" si="182"/>
        <v>0</v>
      </c>
      <c r="FT146" s="371">
        <f t="shared" si="182"/>
        <v>0</v>
      </c>
      <c r="FU146" s="371">
        <f t="shared" si="182"/>
        <v>0</v>
      </c>
      <c r="FV146" s="371">
        <f t="shared" ref="FV146:GI146" si="183">(EF146-ET146)</f>
        <v>0</v>
      </c>
      <c r="FW146" s="371">
        <f t="shared" si="183"/>
        <v>0</v>
      </c>
      <c r="FX146" s="371">
        <f t="shared" si="183"/>
        <v>0</v>
      </c>
      <c r="FY146" s="371">
        <f t="shared" si="183"/>
        <v>0</v>
      </c>
      <c r="FZ146" s="371">
        <f t="shared" si="183"/>
        <v>0</v>
      </c>
      <c r="GA146" s="371">
        <f t="shared" si="183"/>
        <v>0</v>
      </c>
      <c r="GB146" s="371">
        <f t="shared" si="183"/>
        <v>0</v>
      </c>
      <c r="GC146" s="371">
        <f t="shared" si="183"/>
        <v>0</v>
      </c>
      <c r="GD146" s="371">
        <f t="shared" si="183"/>
        <v>0</v>
      </c>
      <c r="GE146" s="371">
        <f t="shared" si="183"/>
        <v>0</v>
      </c>
      <c r="GF146" s="371">
        <f t="shared" si="183"/>
        <v>1</v>
      </c>
      <c r="GG146" s="371">
        <f t="shared" si="183"/>
        <v>0</v>
      </c>
      <c r="GH146" s="371">
        <f t="shared" si="183"/>
        <v>0</v>
      </c>
      <c r="GI146" s="371">
        <f t="shared" si="183"/>
        <v>1</v>
      </c>
      <c r="GJ146" s="372"/>
      <c r="GK146" s="367"/>
      <c r="GL146" s="376"/>
      <c r="GM146" s="376"/>
    </row>
    <row r="147" spans="1:195" x14ac:dyDescent="0.25">
      <c r="A147" s="356">
        <v>40435</v>
      </c>
      <c r="B147" s="356" t="s">
        <v>19</v>
      </c>
      <c r="C147" s="356" t="s">
        <v>131</v>
      </c>
      <c r="D147" s="356" t="s">
        <v>132</v>
      </c>
      <c r="E147" s="357">
        <v>28713</v>
      </c>
      <c r="F147" s="360"/>
      <c r="G147" s="358">
        <v>5</v>
      </c>
      <c r="H147" s="359" t="s">
        <v>396</v>
      </c>
      <c r="I147" s="360">
        <v>0</v>
      </c>
      <c r="J147" s="360">
        <v>0</v>
      </c>
      <c r="K147" s="361">
        <f>4+2/3</f>
        <v>4.666666666666667</v>
      </c>
      <c r="L147" s="360">
        <v>9</v>
      </c>
      <c r="M147" s="360">
        <v>6</v>
      </c>
      <c r="N147" s="360">
        <v>6</v>
      </c>
      <c r="O147" s="360">
        <v>2</v>
      </c>
      <c r="P147" s="360">
        <v>4</v>
      </c>
      <c r="Q147" s="360">
        <v>2</v>
      </c>
      <c r="R147" s="360">
        <v>0</v>
      </c>
      <c r="S147" s="360">
        <v>25</v>
      </c>
      <c r="T147" s="360">
        <v>96</v>
      </c>
      <c r="U147" s="360">
        <v>54</v>
      </c>
      <c r="V147" s="360">
        <v>2</v>
      </c>
      <c r="W147" s="362">
        <v>1</v>
      </c>
      <c r="X147" s="360">
        <v>0</v>
      </c>
      <c r="Y147" s="360">
        <v>1</v>
      </c>
      <c r="Z147" s="360">
        <v>0</v>
      </c>
      <c r="AA147" s="360">
        <v>0</v>
      </c>
      <c r="AB147" s="360">
        <v>1</v>
      </c>
      <c r="AC147" s="361">
        <f>5+1/3</f>
        <v>5.333333333333333</v>
      </c>
      <c r="AD147" s="360">
        <v>4</v>
      </c>
      <c r="AE147" s="360">
        <v>2</v>
      </c>
      <c r="AF147" s="360">
        <v>2</v>
      </c>
      <c r="AG147" s="360">
        <v>4</v>
      </c>
      <c r="AH147" s="360">
        <v>6</v>
      </c>
      <c r="AI147" s="360">
        <v>1</v>
      </c>
      <c r="AJ147" s="360">
        <v>0</v>
      </c>
      <c r="AK147" s="360">
        <v>24</v>
      </c>
      <c r="AL147" s="360">
        <v>86</v>
      </c>
      <c r="AM147" s="360">
        <v>49</v>
      </c>
      <c r="AN147" s="363" t="s">
        <v>275</v>
      </c>
      <c r="AO147" s="364">
        <v>5</v>
      </c>
      <c r="AP147" s="364">
        <v>1</v>
      </c>
      <c r="AQ147" s="364">
        <v>1</v>
      </c>
      <c r="AR147" s="364">
        <v>1</v>
      </c>
      <c r="AS147" s="364">
        <v>0</v>
      </c>
      <c r="AT147" s="364">
        <v>1</v>
      </c>
      <c r="AU147" s="364">
        <v>0</v>
      </c>
      <c r="AV147" s="364">
        <v>0</v>
      </c>
      <c r="AW147" s="365">
        <v>1</v>
      </c>
      <c r="AX147" s="363" t="s">
        <v>389</v>
      </c>
      <c r="AY147" s="364">
        <v>5</v>
      </c>
      <c r="AZ147" s="364">
        <v>0</v>
      </c>
      <c r="BA147" s="364">
        <v>0</v>
      </c>
      <c r="BB147" s="364">
        <v>0</v>
      </c>
      <c r="BC147" s="364">
        <v>0</v>
      </c>
      <c r="BD147" s="364">
        <v>0</v>
      </c>
      <c r="BE147" s="364">
        <v>0</v>
      </c>
      <c r="BF147" s="364">
        <v>0</v>
      </c>
      <c r="BG147" s="365">
        <v>0</v>
      </c>
      <c r="BH147" s="363" t="s">
        <v>391</v>
      </c>
      <c r="BI147" s="364">
        <v>4</v>
      </c>
      <c r="BJ147" s="364">
        <v>1</v>
      </c>
      <c r="BK147" s="364">
        <v>2</v>
      </c>
      <c r="BL147" s="364">
        <v>0</v>
      </c>
      <c r="BM147" s="364">
        <v>1</v>
      </c>
      <c r="BN147" s="364">
        <v>1</v>
      </c>
      <c r="BO147" s="364">
        <v>0</v>
      </c>
      <c r="BP147" s="364">
        <v>0</v>
      </c>
      <c r="BQ147" s="365">
        <v>2</v>
      </c>
      <c r="BR147" s="363" t="s">
        <v>390</v>
      </c>
      <c r="BS147" s="364">
        <v>4</v>
      </c>
      <c r="BT147" s="364">
        <v>1</v>
      </c>
      <c r="BU147" s="364">
        <v>1</v>
      </c>
      <c r="BV147" s="364">
        <v>1</v>
      </c>
      <c r="BW147" s="364">
        <v>1</v>
      </c>
      <c r="BX147" s="364">
        <v>1</v>
      </c>
      <c r="BY147" s="364">
        <v>0</v>
      </c>
      <c r="BZ147" s="364">
        <v>0</v>
      </c>
      <c r="CA147" s="365">
        <v>1</v>
      </c>
      <c r="CB147" s="363" t="s">
        <v>387</v>
      </c>
      <c r="CC147" s="364">
        <v>5</v>
      </c>
      <c r="CD147" s="364">
        <v>1</v>
      </c>
      <c r="CE147" s="364">
        <v>1</v>
      </c>
      <c r="CF147" s="364">
        <v>1</v>
      </c>
      <c r="CG147" s="364">
        <v>0</v>
      </c>
      <c r="CH147" s="364">
        <v>1</v>
      </c>
      <c r="CI147" s="364">
        <v>0</v>
      </c>
      <c r="CJ147" s="364">
        <v>0</v>
      </c>
      <c r="CK147" s="365">
        <v>1</v>
      </c>
      <c r="CL147" s="363" t="s">
        <v>332</v>
      </c>
      <c r="CM147" s="364">
        <v>4</v>
      </c>
      <c r="CN147" s="364">
        <v>1</v>
      </c>
      <c r="CO147" s="364">
        <v>1</v>
      </c>
      <c r="CP147" s="364">
        <v>3</v>
      </c>
      <c r="CQ147" s="364">
        <v>0</v>
      </c>
      <c r="CR147" s="364">
        <v>1</v>
      </c>
      <c r="CS147" s="364">
        <v>0</v>
      </c>
      <c r="CT147" s="364">
        <v>0</v>
      </c>
      <c r="CU147" s="365">
        <v>4</v>
      </c>
      <c r="CV147" s="363" t="s">
        <v>274</v>
      </c>
      <c r="CW147" s="364">
        <v>2</v>
      </c>
      <c r="CX147" s="364">
        <v>1</v>
      </c>
      <c r="CY147" s="364">
        <v>1</v>
      </c>
      <c r="CZ147" s="364">
        <v>1</v>
      </c>
      <c r="DA147" s="364">
        <v>2</v>
      </c>
      <c r="DB147" s="364">
        <v>1</v>
      </c>
      <c r="DC147" s="364">
        <v>0</v>
      </c>
      <c r="DD147" s="364">
        <v>0</v>
      </c>
      <c r="DE147" s="365">
        <v>4</v>
      </c>
      <c r="DF147" s="363" t="s">
        <v>273</v>
      </c>
      <c r="DG147" s="364">
        <v>4</v>
      </c>
      <c r="DH147" s="364">
        <v>1</v>
      </c>
      <c r="DI147" s="364">
        <v>1</v>
      </c>
      <c r="DJ147" s="364">
        <v>0</v>
      </c>
      <c r="DK147" s="364">
        <v>0</v>
      </c>
      <c r="DL147" s="364">
        <v>1</v>
      </c>
      <c r="DM147" s="364">
        <v>0</v>
      </c>
      <c r="DN147" s="364">
        <v>0</v>
      </c>
      <c r="DO147" s="365">
        <v>2</v>
      </c>
      <c r="DP147" s="363" t="s">
        <v>385</v>
      </c>
      <c r="DQ147" s="364">
        <v>4</v>
      </c>
      <c r="DR147" s="364">
        <v>0</v>
      </c>
      <c r="DS147" s="364">
        <v>0</v>
      </c>
      <c r="DT147" s="364">
        <v>0</v>
      </c>
      <c r="DU147" s="364">
        <v>0</v>
      </c>
      <c r="DV147" s="364">
        <v>2</v>
      </c>
      <c r="DW147" s="364">
        <v>0</v>
      </c>
      <c r="DX147" s="364">
        <v>0</v>
      </c>
      <c r="DY147" s="365">
        <v>0</v>
      </c>
      <c r="DZ147" s="366">
        <f>1+1/3</f>
        <v>1.3333333333333333</v>
      </c>
      <c r="EA147" s="367">
        <v>0</v>
      </c>
      <c r="EB147" s="367">
        <v>0</v>
      </c>
      <c r="EC147" s="368">
        <f>8+2/3</f>
        <v>8.6666666666666661</v>
      </c>
      <c r="ED147" s="367">
        <v>1</v>
      </c>
      <c r="EE147" s="369">
        <v>0</v>
      </c>
      <c r="EF147" s="370">
        <v>0</v>
      </c>
      <c r="EG147" s="367">
        <v>0</v>
      </c>
      <c r="EH147" s="367">
        <v>0</v>
      </c>
      <c r="EI147" s="367">
        <v>0</v>
      </c>
      <c r="EJ147" s="367">
        <v>7</v>
      </c>
      <c r="EK147" s="367">
        <v>0</v>
      </c>
      <c r="EL147" s="367">
        <v>0</v>
      </c>
      <c r="EM147" s="367">
        <v>0</v>
      </c>
      <c r="EN147" s="367">
        <v>0</v>
      </c>
      <c r="EO147" s="367">
        <v>0</v>
      </c>
      <c r="EP147" s="367"/>
      <c r="EQ147" s="367"/>
      <c r="ER147" s="367"/>
      <c r="ES147" s="369">
        <f t="shared" si="172"/>
        <v>7</v>
      </c>
      <c r="ET147" s="367">
        <v>0</v>
      </c>
      <c r="EU147" s="367">
        <v>0</v>
      </c>
      <c r="EV147" s="367">
        <v>4</v>
      </c>
      <c r="EW147" s="367">
        <v>0</v>
      </c>
      <c r="EX147" s="367">
        <v>2</v>
      </c>
      <c r="EY147" s="367">
        <v>1</v>
      </c>
      <c r="EZ147" s="367">
        <v>0</v>
      </c>
      <c r="FA147" s="367">
        <v>0</v>
      </c>
      <c r="FB147" s="367">
        <v>0</v>
      </c>
      <c r="FC147" s="367">
        <v>1</v>
      </c>
      <c r="FD147" s="367"/>
      <c r="FE147" s="367"/>
      <c r="FF147" s="367"/>
      <c r="FG147" s="367">
        <f t="shared" si="173"/>
        <v>8</v>
      </c>
      <c r="FH147" s="371">
        <v>37</v>
      </c>
      <c r="FI147" s="371">
        <v>7</v>
      </c>
      <c r="FJ147" s="371">
        <v>8</v>
      </c>
      <c r="FK147" s="371">
        <v>7</v>
      </c>
      <c r="FL147" s="371">
        <v>4</v>
      </c>
      <c r="FM147" s="371">
        <v>9</v>
      </c>
      <c r="FN147" s="371">
        <f t="shared" si="178"/>
        <v>0</v>
      </c>
      <c r="FO147" s="371">
        <f t="shared" si="179"/>
        <v>0</v>
      </c>
      <c r="FP147" s="371">
        <f t="shared" ref="FP147:FU148" si="184">((SUM(AO147,AY147,BI147,BS147,CC147,CM147,CW147,DG147,DQ147))-(FH147))</f>
        <v>0</v>
      </c>
      <c r="FQ147" s="371">
        <f t="shared" si="184"/>
        <v>0</v>
      </c>
      <c r="FR147" s="371">
        <f t="shared" si="184"/>
        <v>0</v>
      </c>
      <c r="FS147" s="371">
        <f t="shared" si="184"/>
        <v>0</v>
      </c>
      <c r="FT147" s="371">
        <f t="shared" si="184"/>
        <v>0</v>
      </c>
      <c r="FU147" s="371">
        <f t="shared" si="184"/>
        <v>0</v>
      </c>
      <c r="FV147" s="371">
        <f t="shared" ref="FV147:GI148" si="185">(EF147-ET147)</f>
        <v>0</v>
      </c>
      <c r="FW147" s="371">
        <f t="shared" si="185"/>
        <v>0</v>
      </c>
      <c r="FX147" s="371">
        <f t="shared" si="185"/>
        <v>-4</v>
      </c>
      <c r="FY147" s="371">
        <f t="shared" si="185"/>
        <v>0</v>
      </c>
      <c r="FZ147" s="371">
        <f t="shared" si="185"/>
        <v>5</v>
      </c>
      <c r="GA147" s="371">
        <f t="shared" si="185"/>
        <v>-1</v>
      </c>
      <c r="GB147" s="371">
        <f t="shared" si="185"/>
        <v>0</v>
      </c>
      <c r="GC147" s="371">
        <f t="shared" si="185"/>
        <v>0</v>
      </c>
      <c r="GD147" s="371">
        <f t="shared" si="185"/>
        <v>0</v>
      </c>
      <c r="GE147" s="371">
        <f t="shared" si="185"/>
        <v>-1</v>
      </c>
      <c r="GF147" s="371">
        <f t="shared" si="185"/>
        <v>0</v>
      </c>
      <c r="GG147" s="371">
        <f t="shared" si="185"/>
        <v>0</v>
      </c>
      <c r="GH147" s="371">
        <f t="shared" si="185"/>
        <v>0</v>
      </c>
      <c r="GI147" s="371">
        <f t="shared" si="185"/>
        <v>-1</v>
      </c>
      <c r="GJ147" s="372"/>
      <c r="GK147" s="367"/>
      <c r="GL147" s="376"/>
      <c r="GM147" s="376"/>
    </row>
    <row r="148" spans="1:195" x14ac:dyDescent="0.25">
      <c r="A148" s="356">
        <v>40436</v>
      </c>
      <c r="B148" s="356" t="s">
        <v>19</v>
      </c>
      <c r="C148" s="356" t="s">
        <v>129</v>
      </c>
      <c r="D148" s="356" t="s">
        <v>132</v>
      </c>
      <c r="E148" s="357">
        <v>29733</v>
      </c>
      <c r="F148" s="360"/>
      <c r="G148" s="358">
        <v>1</v>
      </c>
      <c r="H148" s="359" t="s">
        <v>392</v>
      </c>
      <c r="I148" s="360">
        <v>0</v>
      </c>
      <c r="J148" s="360">
        <v>0</v>
      </c>
      <c r="K148" s="361">
        <f>6+1/3</f>
        <v>6.333333333333333</v>
      </c>
      <c r="L148" s="360">
        <v>8</v>
      </c>
      <c r="M148" s="360">
        <v>1</v>
      </c>
      <c r="N148" s="360">
        <v>1</v>
      </c>
      <c r="O148" s="360">
        <v>2</v>
      </c>
      <c r="P148" s="360">
        <v>8</v>
      </c>
      <c r="Q148" s="360">
        <v>0</v>
      </c>
      <c r="R148" s="360">
        <v>0</v>
      </c>
      <c r="S148" s="360">
        <v>27</v>
      </c>
      <c r="T148" s="360">
        <v>117</v>
      </c>
      <c r="U148" s="360">
        <v>79</v>
      </c>
      <c r="V148" s="360">
        <v>0</v>
      </c>
      <c r="W148" s="362">
        <v>0</v>
      </c>
      <c r="X148" s="360">
        <v>1</v>
      </c>
      <c r="Y148" s="360">
        <v>0</v>
      </c>
      <c r="Z148" s="360">
        <v>1</v>
      </c>
      <c r="AA148" s="360">
        <v>1</v>
      </c>
      <c r="AB148" s="360">
        <v>1</v>
      </c>
      <c r="AC148" s="361">
        <f>2+2/3</f>
        <v>2.6666666666666665</v>
      </c>
      <c r="AD148" s="360">
        <v>2</v>
      </c>
      <c r="AE148" s="360">
        <v>2</v>
      </c>
      <c r="AF148" s="360">
        <v>2</v>
      </c>
      <c r="AG148" s="360">
        <v>2</v>
      </c>
      <c r="AH148" s="360">
        <v>4</v>
      </c>
      <c r="AI148" s="360">
        <v>1</v>
      </c>
      <c r="AJ148" s="360">
        <v>1</v>
      </c>
      <c r="AK148" s="360">
        <v>13</v>
      </c>
      <c r="AL148" s="360">
        <v>63</v>
      </c>
      <c r="AM148" s="360">
        <v>35</v>
      </c>
      <c r="AN148" s="363" t="s">
        <v>275</v>
      </c>
      <c r="AO148" s="364">
        <v>4</v>
      </c>
      <c r="AP148" s="364">
        <v>0</v>
      </c>
      <c r="AQ148" s="364">
        <v>0</v>
      </c>
      <c r="AR148" s="364">
        <v>0</v>
      </c>
      <c r="AS148" s="364">
        <v>0</v>
      </c>
      <c r="AT148" s="364">
        <v>0</v>
      </c>
      <c r="AU148" s="364">
        <v>0</v>
      </c>
      <c r="AV148" s="364">
        <v>0</v>
      </c>
      <c r="AW148" s="365">
        <v>0</v>
      </c>
      <c r="AX148" s="363" t="s">
        <v>389</v>
      </c>
      <c r="AY148" s="364">
        <v>4</v>
      </c>
      <c r="AZ148" s="364">
        <v>0</v>
      </c>
      <c r="BA148" s="364">
        <v>0</v>
      </c>
      <c r="BB148" s="364">
        <v>0</v>
      </c>
      <c r="BC148" s="364">
        <v>0</v>
      </c>
      <c r="BD148" s="364">
        <v>1</v>
      </c>
      <c r="BE148" s="364">
        <v>0</v>
      </c>
      <c r="BF148" s="364">
        <v>0</v>
      </c>
      <c r="BG148" s="365">
        <v>0</v>
      </c>
      <c r="BH148" s="363" t="s">
        <v>391</v>
      </c>
      <c r="BI148" s="364">
        <v>3</v>
      </c>
      <c r="BJ148" s="364">
        <v>0</v>
      </c>
      <c r="BK148" s="364">
        <v>0</v>
      </c>
      <c r="BL148" s="364">
        <v>0</v>
      </c>
      <c r="BM148" s="364">
        <v>0</v>
      </c>
      <c r="BN148" s="364">
        <v>0</v>
      </c>
      <c r="BO148" s="364">
        <v>0</v>
      </c>
      <c r="BP148" s="364">
        <v>0</v>
      </c>
      <c r="BQ148" s="365">
        <v>0</v>
      </c>
      <c r="BR148" s="363" t="s">
        <v>390</v>
      </c>
      <c r="BS148" s="364">
        <v>3</v>
      </c>
      <c r="BT148" s="364">
        <v>1</v>
      </c>
      <c r="BU148" s="364">
        <v>1</v>
      </c>
      <c r="BV148" s="364">
        <v>0</v>
      </c>
      <c r="BW148" s="364">
        <v>0</v>
      </c>
      <c r="BX148" s="364">
        <v>1</v>
      </c>
      <c r="BY148" s="364">
        <v>0</v>
      </c>
      <c r="BZ148" s="364">
        <v>0</v>
      </c>
      <c r="CA148" s="365">
        <v>1</v>
      </c>
      <c r="CB148" s="363" t="s">
        <v>387</v>
      </c>
      <c r="CC148" s="364">
        <v>3</v>
      </c>
      <c r="CD148" s="364">
        <v>1</v>
      </c>
      <c r="CE148" s="364">
        <v>1</v>
      </c>
      <c r="CF148" s="364">
        <v>0</v>
      </c>
      <c r="CG148" s="364">
        <v>0</v>
      </c>
      <c r="CH148" s="364">
        <v>0</v>
      </c>
      <c r="CI148" s="364">
        <v>0</v>
      </c>
      <c r="CJ148" s="364">
        <v>0</v>
      </c>
      <c r="CK148" s="365">
        <v>1</v>
      </c>
      <c r="CL148" s="363" t="s">
        <v>332</v>
      </c>
      <c r="CM148" s="364">
        <v>3</v>
      </c>
      <c r="CN148" s="364">
        <v>2</v>
      </c>
      <c r="CO148" s="364">
        <v>2</v>
      </c>
      <c r="CP148" s="364">
        <v>4</v>
      </c>
      <c r="CQ148" s="364">
        <v>0</v>
      </c>
      <c r="CR148" s="364">
        <v>0</v>
      </c>
      <c r="CS148" s="364">
        <v>0</v>
      </c>
      <c r="CT148" s="364">
        <v>0</v>
      </c>
      <c r="CU148" s="365">
        <v>8</v>
      </c>
      <c r="CV148" s="363" t="s">
        <v>274</v>
      </c>
      <c r="CW148" s="364">
        <v>3</v>
      </c>
      <c r="CX148" s="364">
        <v>0</v>
      </c>
      <c r="CY148" s="364">
        <v>1</v>
      </c>
      <c r="CZ148" s="364">
        <v>0</v>
      </c>
      <c r="DA148" s="364">
        <v>0</v>
      </c>
      <c r="DB148" s="364">
        <v>2</v>
      </c>
      <c r="DC148" s="364">
        <v>0</v>
      </c>
      <c r="DD148" s="364">
        <v>0</v>
      </c>
      <c r="DE148" s="365">
        <v>1</v>
      </c>
      <c r="DF148" s="363" t="s">
        <v>273</v>
      </c>
      <c r="DG148" s="364">
        <v>3</v>
      </c>
      <c r="DH148" s="364">
        <v>0</v>
      </c>
      <c r="DI148" s="364">
        <v>1</v>
      </c>
      <c r="DJ148" s="364">
        <v>0</v>
      </c>
      <c r="DK148" s="364">
        <v>0</v>
      </c>
      <c r="DL148" s="364">
        <v>1</v>
      </c>
      <c r="DM148" s="364">
        <v>0</v>
      </c>
      <c r="DN148" s="364">
        <v>0</v>
      </c>
      <c r="DO148" s="365">
        <v>1</v>
      </c>
      <c r="DP148" s="363" t="s">
        <v>384</v>
      </c>
      <c r="DQ148" s="364">
        <v>3</v>
      </c>
      <c r="DR148" s="364">
        <v>0</v>
      </c>
      <c r="DS148" s="364">
        <v>0</v>
      </c>
      <c r="DT148" s="364">
        <v>0</v>
      </c>
      <c r="DU148" s="364">
        <v>0</v>
      </c>
      <c r="DV148" s="364">
        <v>2</v>
      </c>
      <c r="DW148" s="364">
        <v>0</v>
      </c>
      <c r="DX148" s="364">
        <v>0</v>
      </c>
      <c r="DY148" s="365">
        <v>0</v>
      </c>
      <c r="DZ148" s="366">
        <v>0</v>
      </c>
      <c r="EA148" s="367">
        <v>0</v>
      </c>
      <c r="EB148" s="367">
        <v>0</v>
      </c>
      <c r="EC148" s="368">
        <v>8</v>
      </c>
      <c r="ED148" s="367">
        <v>0</v>
      </c>
      <c r="EE148" s="369">
        <v>1</v>
      </c>
      <c r="EF148" s="370">
        <v>0</v>
      </c>
      <c r="EG148" s="367">
        <v>0</v>
      </c>
      <c r="EH148" s="367">
        <v>0</v>
      </c>
      <c r="EI148" s="367">
        <v>0</v>
      </c>
      <c r="EJ148" s="367">
        <v>2</v>
      </c>
      <c r="EK148" s="367">
        <v>0</v>
      </c>
      <c r="EL148" s="367">
        <v>2</v>
      </c>
      <c r="EM148" s="367">
        <v>0</v>
      </c>
      <c r="EN148" s="367"/>
      <c r="EO148" s="367"/>
      <c r="EP148" s="367"/>
      <c r="EQ148" s="367"/>
      <c r="ER148" s="367"/>
      <c r="ES148" s="369">
        <f t="shared" si="172"/>
        <v>4</v>
      </c>
      <c r="ET148" s="367">
        <v>1</v>
      </c>
      <c r="EU148" s="367">
        <v>0</v>
      </c>
      <c r="EV148" s="367">
        <v>0</v>
      </c>
      <c r="EW148" s="367">
        <v>0</v>
      </c>
      <c r="EX148" s="367">
        <v>0</v>
      </c>
      <c r="EY148" s="367">
        <v>0</v>
      </c>
      <c r="EZ148" s="367">
        <v>2</v>
      </c>
      <c r="FA148" s="367">
        <v>0</v>
      </c>
      <c r="FB148" s="367">
        <v>0</v>
      </c>
      <c r="FC148" s="367"/>
      <c r="FD148" s="367"/>
      <c r="FE148" s="367"/>
      <c r="FF148" s="367"/>
      <c r="FG148" s="367">
        <f t="shared" si="173"/>
        <v>3</v>
      </c>
      <c r="FH148" s="371">
        <v>29</v>
      </c>
      <c r="FI148" s="371">
        <v>4</v>
      </c>
      <c r="FJ148" s="371">
        <v>6</v>
      </c>
      <c r="FK148" s="371">
        <v>4</v>
      </c>
      <c r="FL148" s="371">
        <v>0</v>
      </c>
      <c r="FM148" s="371">
        <v>7</v>
      </c>
      <c r="FN148" s="371">
        <f t="shared" si="178"/>
        <v>0</v>
      </c>
      <c r="FO148" s="371">
        <f t="shared" si="179"/>
        <v>0</v>
      </c>
      <c r="FP148" s="371">
        <f t="shared" si="184"/>
        <v>0</v>
      </c>
      <c r="FQ148" s="371">
        <f t="shared" si="184"/>
        <v>0</v>
      </c>
      <c r="FR148" s="371">
        <f t="shared" si="184"/>
        <v>0</v>
      </c>
      <c r="FS148" s="371">
        <f t="shared" si="184"/>
        <v>0</v>
      </c>
      <c r="FT148" s="371">
        <f t="shared" si="184"/>
        <v>0</v>
      </c>
      <c r="FU148" s="371">
        <f t="shared" si="184"/>
        <v>0</v>
      </c>
      <c r="FV148" s="371">
        <f t="shared" si="185"/>
        <v>-1</v>
      </c>
      <c r="FW148" s="371">
        <f t="shared" si="185"/>
        <v>0</v>
      </c>
      <c r="FX148" s="371">
        <f t="shared" si="185"/>
        <v>0</v>
      </c>
      <c r="FY148" s="371">
        <f t="shared" si="185"/>
        <v>0</v>
      </c>
      <c r="FZ148" s="371">
        <f t="shared" si="185"/>
        <v>2</v>
      </c>
      <c r="GA148" s="371">
        <f t="shared" si="185"/>
        <v>0</v>
      </c>
      <c r="GB148" s="371">
        <f t="shared" si="185"/>
        <v>0</v>
      </c>
      <c r="GC148" s="371">
        <f t="shared" si="185"/>
        <v>0</v>
      </c>
      <c r="GD148" s="371">
        <f t="shared" si="185"/>
        <v>0</v>
      </c>
      <c r="GE148" s="371">
        <f t="shared" si="185"/>
        <v>0</v>
      </c>
      <c r="GF148" s="371">
        <f t="shared" si="185"/>
        <v>0</v>
      </c>
      <c r="GG148" s="371">
        <f t="shared" si="185"/>
        <v>0</v>
      </c>
      <c r="GH148" s="371">
        <f t="shared" si="185"/>
        <v>0</v>
      </c>
      <c r="GI148" s="371">
        <f t="shared" si="185"/>
        <v>1</v>
      </c>
      <c r="GJ148" s="372"/>
      <c r="GK148" s="367"/>
      <c r="GL148" s="376"/>
      <c r="GM148" s="376"/>
    </row>
    <row r="149" spans="1:195" x14ac:dyDescent="0.25">
      <c r="A149" s="356">
        <v>40438</v>
      </c>
      <c r="B149" s="356" t="s">
        <v>19</v>
      </c>
      <c r="C149" s="356" t="s">
        <v>131</v>
      </c>
      <c r="D149" s="356" t="s">
        <v>140</v>
      </c>
      <c r="E149" s="357">
        <v>23215</v>
      </c>
      <c r="F149" s="360"/>
      <c r="G149" s="358">
        <v>2</v>
      </c>
      <c r="H149" s="359" t="s">
        <v>393</v>
      </c>
      <c r="I149" s="360">
        <v>0</v>
      </c>
      <c r="J149" s="360">
        <v>0</v>
      </c>
      <c r="K149" s="361">
        <v>6</v>
      </c>
      <c r="L149" s="360">
        <v>7</v>
      </c>
      <c r="M149" s="360">
        <v>3</v>
      </c>
      <c r="N149" s="360">
        <v>2</v>
      </c>
      <c r="O149" s="360">
        <v>1</v>
      </c>
      <c r="P149" s="360">
        <v>8</v>
      </c>
      <c r="Q149" s="360">
        <v>0</v>
      </c>
      <c r="R149" s="360">
        <v>0</v>
      </c>
      <c r="S149" s="360">
        <v>26</v>
      </c>
      <c r="T149" s="360">
        <v>110</v>
      </c>
      <c r="U149" s="360">
        <v>71</v>
      </c>
      <c r="V149" s="360">
        <v>0</v>
      </c>
      <c r="W149" s="362">
        <v>0</v>
      </c>
      <c r="X149" s="360">
        <v>0</v>
      </c>
      <c r="Y149" s="360">
        <v>1</v>
      </c>
      <c r="Z149" s="360">
        <v>0</v>
      </c>
      <c r="AA149" s="360">
        <v>0</v>
      </c>
      <c r="AB149" s="360">
        <v>0</v>
      </c>
      <c r="AC149" s="361">
        <v>3</v>
      </c>
      <c r="AD149" s="360">
        <v>3</v>
      </c>
      <c r="AE149" s="360">
        <v>1</v>
      </c>
      <c r="AF149" s="360">
        <v>1</v>
      </c>
      <c r="AG149" s="360">
        <v>1</v>
      </c>
      <c r="AH149" s="360">
        <v>3</v>
      </c>
      <c r="AI149" s="360">
        <v>1</v>
      </c>
      <c r="AJ149" s="360">
        <v>0</v>
      </c>
      <c r="AK149" s="360">
        <v>12</v>
      </c>
      <c r="AL149" s="360">
        <v>46</v>
      </c>
      <c r="AM149" s="360">
        <v>26</v>
      </c>
      <c r="AN149" s="363" t="s">
        <v>275</v>
      </c>
      <c r="AO149" s="364">
        <v>4</v>
      </c>
      <c r="AP149" s="364">
        <v>1</v>
      </c>
      <c r="AQ149" s="364">
        <v>2</v>
      </c>
      <c r="AR149" s="364">
        <v>0</v>
      </c>
      <c r="AS149" s="364">
        <v>1</v>
      </c>
      <c r="AT149" s="364">
        <v>0</v>
      </c>
      <c r="AU149" s="364">
        <v>0</v>
      </c>
      <c r="AV149" s="364">
        <v>0</v>
      </c>
      <c r="AW149" s="365">
        <v>2</v>
      </c>
      <c r="AX149" s="363" t="s">
        <v>389</v>
      </c>
      <c r="AY149" s="364">
        <v>4</v>
      </c>
      <c r="AZ149" s="364">
        <v>0</v>
      </c>
      <c r="BA149" s="364">
        <v>0</v>
      </c>
      <c r="BB149" s="364">
        <v>0</v>
      </c>
      <c r="BC149" s="364">
        <v>0</v>
      </c>
      <c r="BD149" s="364">
        <v>2</v>
      </c>
      <c r="BE149" s="364">
        <v>0</v>
      </c>
      <c r="BF149" s="364">
        <v>0</v>
      </c>
      <c r="BG149" s="365">
        <v>0</v>
      </c>
      <c r="BH149" s="363" t="s">
        <v>391</v>
      </c>
      <c r="BI149" s="364">
        <v>3</v>
      </c>
      <c r="BJ149" s="364">
        <v>0</v>
      </c>
      <c r="BK149" s="364">
        <v>1</v>
      </c>
      <c r="BL149" s="364">
        <v>2</v>
      </c>
      <c r="BM149" s="364">
        <v>1</v>
      </c>
      <c r="BN149" s="364">
        <v>1</v>
      </c>
      <c r="BO149" s="364">
        <v>0</v>
      </c>
      <c r="BP149" s="364">
        <v>0</v>
      </c>
      <c r="BQ149" s="365">
        <v>3</v>
      </c>
      <c r="BR149" s="363" t="s">
        <v>390</v>
      </c>
      <c r="BS149" s="364">
        <v>3</v>
      </c>
      <c r="BT149" s="364">
        <v>0</v>
      </c>
      <c r="BU149" s="364">
        <v>0</v>
      </c>
      <c r="BV149" s="364">
        <v>0</v>
      </c>
      <c r="BW149" s="364">
        <v>1</v>
      </c>
      <c r="BX149" s="364">
        <v>1</v>
      </c>
      <c r="BY149" s="364">
        <v>0</v>
      </c>
      <c r="BZ149" s="364">
        <v>0</v>
      </c>
      <c r="CA149" s="365">
        <v>0</v>
      </c>
      <c r="CB149" s="363" t="s">
        <v>387</v>
      </c>
      <c r="CC149" s="364">
        <v>3</v>
      </c>
      <c r="CD149" s="364">
        <v>0</v>
      </c>
      <c r="CE149" s="364">
        <v>0</v>
      </c>
      <c r="CF149" s="364">
        <v>0</v>
      </c>
      <c r="CG149" s="364">
        <v>1</v>
      </c>
      <c r="CH149" s="364">
        <v>1</v>
      </c>
      <c r="CI149" s="364">
        <v>0</v>
      </c>
      <c r="CJ149" s="364">
        <v>0</v>
      </c>
      <c r="CK149" s="365">
        <v>0</v>
      </c>
      <c r="CL149" s="363" t="s">
        <v>332</v>
      </c>
      <c r="CM149" s="364">
        <v>3</v>
      </c>
      <c r="CN149" s="364">
        <v>1</v>
      </c>
      <c r="CO149" s="364">
        <v>1</v>
      </c>
      <c r="CP149" s="364">
        <v>1</v>
      </c>
      <c r="CQ149" s="364">
        <v>1</v>
      </c>
      <c r="CR149" s="364">
        <v>1</v>
      </c>
      <c r="CS149" s="364">
        <v>0</v>
      </c>
      <c r="CT149" s="364">
        <v>0</v>
      </c>
      <c r="CU149" s="365">
        <v>4</v>
      </c>
      <c r="CV149" s="363" t="s">
        <v>274</v>
      </c>
      <c r="CW149" s="364">
        <v>3</v>
      </c>
      <c r="CX149" s="364">
        <v>0</v>
      </c>
      <c r="CY149" s="364">
        <v>0</v>
      </c>
      <c r="CZ149" s="364">
        <v>0</v>
      </c>
      <c r="DA149" s="364">
        <v>1</v>
      </c>
      <c r="DB149" s="364">
        <v>2</v>
      </c>
      <c r="DC149" s="364">
        <v>0</v>
      </c>
      <c r="DD149" s="364">
        <v>0</v>
      </c>
      <c r="DE149" s="365">
        <v>0</v>
      </c>
      <c r="DF149" s="363" t="s">
        <v>273</v>
      </c>
      <c r="DG149" s="364">
        <v>3</v>
      </c>
      <c r="DH149" s="364">
        <v>0</v>
      </c>
      <c r="DI149" s="364">
        <v>0</v>
      </c>
      <c r="DJ149" s="364">
        <v>0</v>
      </c>
      <c r="DK149" s="364">
        <v>1</v>
      </c>
      <c r="DL149" s="364">
        <v>2</v>
      </c>
      <c r="DM149" s="364">
        <v>0</v>
      </c>
      <c r="DN149" s="364">
        <v>0</v>
      </c>
      <c r="DO149" s="365">
        <v>0</v>
      </c>
      <c r="DP149" s="363" t="s">
        <v>384</v>
      </c>
      <c r="DQ149" s="364">
        <v>4</v>
      </c>
      <c r="DR149" s="364">
        <v>1</v>
      </c>
      <c r="DS149" s="364">
        <v>1</v>
      </c>
      <c r="DT149" s="364">
        <v>0</v>
      </c>
      <c r="DU149" s="364">
        <v>0</v>
      </c>
      <c r="DV149" s="364">
        <v>3</v>
      </c>
      <c r="DW149" s="364">
        <v>0</v>
      </c>
      <c r="DX149" s="364">
        <v>0</v>
      </c>
      <c r="DY149" s="365">
        <v>1</v>
      </c>
      <c r="DZ149" s="366">
        <v>0</v>
      </c>
      <c r="EA149" s="367">
        <v>0</v>
      </c>
      <c r="EB149" s="367">
        <v>0</v>
      </c>
      <c r="EC149" s="368">
        <v>9</v>
      </c>
      <c r="ED149" s="367">
        <v>0</v>
      </c>
      <c r="EE149" s="369">
        <v>1</v>
      </c>
      <c r="EF149" s="370">
        <v>0</v>
      </c>
      <c r="EG149" s="367">
        <v>1</v>
      </c>
      <c r="EH149" s="367">
        <v>0</v>
      </c>
      <c r="EI149" s="367">
        <v>0</v>
      </c>
      <c r="EJ149" s="367">
        <v>0</v>
      </c>
      <c r="EK149" s="367">
        <v>2</v>
      </c>
      <c r="EL149" s="367">
        <v>0</v>
      </c>
      <c r="EM149" s="367">
        <v>0</v>
      </c>
      <c r="EN149" s="367">
        <v>0</v>
      </c>
      <c r="EO149" s="367"/>
      <c r="EP149" s="367"/>
      <c r="EQ149" s="367"/>
      <c r="ER149" s="367"/>
      <c r="ES149" s="369">
        <f t="shared" ref="ES149:ES155" si="186">SUM(EF149:ER149)</f>
        <v>3</v>
      </c>
      <c r="ET149" s="367">
        <v>0</v>
      </c>
      <c r="EU149" s="367">
        <v>1</v>
      </c>
      <c r="EV149" s="367">
        <v>2</v>
      </c>
      <c r="EW149" s="367">
        <v>0</v>
      </c>
      <c r="EX149" s="367">
        <v>0</v>
      </c>
      <c r="EY149" s="367">
        <v>0</v>
      </c>
      <c r="EZ149" s="367">
        <v>0</v>
      </c>
      <c r="FA149" s="367">
        <v>0</v>
      </c>
      <c r="FB149" s="367">
        <v>1</v>
      </c>
      <c r="FC149" s="367"/>
      <c r="FD149" s="367"/>
      <c r="FE149" s="367"/>
      <c r="FF149" s="367"/>
      <c r="FG149" s="367">
        <f t="shared" ref="FG149:FG155" si="187">SUM(ET149:FF149)</f>
        <v>4</v>
      </c>
      <c r="FH149" s="371">
        <v>30</v>
      </c>
      <c r="FI149" s="371">
        <v>3</v>
      </c>
      <c r="FJ149" s="371">
        <v>5</v>
      </c>
      <c r="FK149" s="371">
        <v>3</v>
      </c>
      <c r="FL149" s="371">
        <v>7</v>
      </c>
      <c r="FM149" s="371">
        <v>13</v>
      </c>
      <c r="FN149" s="371">
        <f t="shared" si="178"/>
        <v>0</v>
      </c>
      <c r="FO149" s="371">
        <f t="shared" si="179"/>
        <v>0</v>
      </c>
      <c r="FP149" s="371">
        <f t="shared" ref="FP149:FU149" si="188">((SUM(AO149,AY149,BI149,BS149,CC149,CM149,CW149,DG149,DQ149))-(FH149))</f>
        <v>0</v>
      </c>
      <c r="FQ149" s="371">
        <f t="shared" si="188"/>
        <v>0</v>
      </c>
      <c r="FR149" s="371">
        <f t="shared" si="188"/>
        <v>0</v>
      </c>
      <c r="FS149" s="371">
        <f t="shared" si="188"/>
        <v>0</v>
      </c>
      <c r="FT149" s="371">
        <f t="shared" si="188"/>
        <v>0</v>
      </c>
      <c r="FU149" s="371">
        <f t="shared" si="188"/>
        <v>0</v>
      </c>
      <c r="FV149" s="371">
        <f t="shared" ref="FV149:GI149" si="189">(EF149-ET149)</f>
        <v>0</v>
      </c>
      <c r="FW149" s="371">
        <f t="shared" si="189"/>
        <v>0</v>
      </c>
      <c r="FX149" s="371">
        <f t="shared" si="189"/>
        <v>-2</v>
      </c>
      <c r="FY149" s="371">
        <f t="shared" si="189"/>
        <v>0</v>
      </c>
      <c r="FZ149" s="371">
        <f t="shared" si="189"/>
        <v>0</v>
      </c>
      <c r="GA149" s="371">
        <f t="shared" si="189"/>
        <v>2</v>
      </c>
      <c r="GB149" s="371">
        <f t="shared" si="189"/>
        <v>0</v>
      </c>
      <c r="GC149" s="371">
        <f t="shared" si="189"/>
        <v>0</v>
      </c>
      <c r="GD149" s="371">
        <f t="shared" si="189"/>
        <v>-1</v>
      </c>
      <c r="GE149" s="371">
        <f t="shared" si="189"/>
        <v>0</v>
      </c>
      <c r="GF149" s="371">
        <f t="shared" si="189"/>
        <v>0</v>
      </c>
      <c r="GG149" s="371">
        <f t="shared" si="189"/>
        <v>0</v>
      </c>
      <c r="GH149" s="371">
        <f t="shared" si="189"/>
        <v>0</v>
      </c>
      <c r="GI149" s="371">
        <f t="shared" si="189"/>
        <v>-1</v>
      </c>
      <c r="GJ149" s="372"/>
      <c r="GK149" s="367"/>
      <c r="GL149" s="376"/>
      <c r="GM149" s="376"/>
    </row>
    <row r="150" spans="1:195" x14ac:dyDescent="0.25">
      <c r="A150" s="356">
        <v>40439</v>
      </c>
      <c r="B150" s="356" t="s">
        <v>19</v>
      </c>
      <c r="C150" s="356" t="s">
        <v>129</v>
      </c>
      <c r="D150" s="356" t="s">
        <v>140</v>
      </c>
      <c r="E150" s="357">
        <v>31896</v>
      </c>
      <c r="F150" s="360"/>
      <c r="G150" s="358">
        <v>3</v>
      </c>
      <c r="H150" s="359" t="s">
        <v>394</v>
      </c>
      <c r="I150" s="360">
        <v>0</v>
      </c>
      <c r="J150" s="360">
        <v>0</v>
      </c>
      <c r="K150" s="361">
        <v>7</v>
      </c>
      <c r="L150" s="360">
        <v>4</v>
      </c>
      <c r="M150" s="360">
        <v>3</v>
      </c>
      <c r="N150" s="360">
        <v>3</v>
      </c>
      <c r="O150" s="360">
        <v>2</v>
      </c>
      <c r="P150" s="360">
        <v>5</v>
      </c>
      <c r="Q150" s="360">
        <v>1</v>
      </c>
      <c r="R150" s="360">
        <v>0</v>
      </c>
      <c r="S150" s="360">
        <v>27</v>
      </c>
      <c r="T150" s="360">
        <v>105</v>
      </c>
      <c r="U150" s="360">
        <v>75</v>
      </c>
      <c r="V150" s="360">
        <v>0</v>
      </c>
      <c r="W150" s="362">
        <v>0</v>
      </c>
      <c r="X150" s="360">
        <v>1</v>
      </c>
      <c r="Y150" s="360">
        <v>0</v>
      </c>
      <c r="Z150" s="360">
        <v>0</v>
      </c>
      <c r="AA150" s="360">
        <v>0</v>
      </c>
      <c r="AB150" s="360">
        <v>0</v>
      </c>
      <c r="AC150" s="361">
        <v>3</v>
      </c>
      <c r="AD150" s="360">
        <v>0</v>
      </c>
      <c r="AE150" s="360">
        <v>0</v>
      </c>
      <c r="AF150" s="360">
        <v>0</v>
      </c>
      <c r="AG150" s="360">
        <v>3</v>
      </c>
      <c r="AH150" s="360">
        <v>3</v>
      </c>
      <c r="AI150" s="360">
        <v>0</v>
      </c>
      <c r="AJ150" s="360">
        <v>0</v>
      </c>
      <c r="AK150" s="360">
        <v>11</v>
      </c>
      <c r="AL150" s="360">
        <v>54</v>
      </c>
      <c r="AM150" s="360">
        <v>30</v>
      </c>
      <c r="AN150" s="363" t="s">
        <v>275</v>
      </c>
      <c r="AO150" s="364">
        <v>5</v>
      </c>
      <c r="AP150" s="364">
        <v>0</v>
      </c>
      <c r="AQ150" s="364">
        <v>0</v>
      </c>
      <c r="AR150" s="364">
        <v>0</v>
      </c>
      <c r="AS150" s="364">
        <v>0</v>
      </c>
      <c r="AT150" s="364">
        <v>1</v>
      </c>
      <c r="AU150" s="364">
        <v>0</v>
      </c>
      <c r="AV150" s="364">
        <v>0</v>
      </c>
      <c r="AW150" s="365">
        <v>0</v>
      </c>
      <c r="AX150" s="363" t="s">
        <v>389</v>
      </c>
      <c r="AY150" s="364">
        <v>4</v>
      </c>
      <c r="AZ150" s="364">
        <v>0</v>
      </c>
      <c r="BA150" s="364">
        <v>0</v>
      </c>
      <c r="BB150" s="364">
        <v>0</v>
      </c>
      <c r="BC150" s="364">
        <v>1</v>
      </c>
      <c r="BD150" s="364">
        <v>1</v>
      </c>
      <c r="BE150" s="364">
        <v>0</v>
      </c>
      <c r="BF150" s="364">
        <v>0</v>
      </c>
      <c r="BG150" s="365">
        <v>0</v>
      </c>
      <c r="BH150" s="363" t="s">
        <v>391</v>
      </c>
      <c r="BI150" s="364">
        <v>5</v>
      </c>
      <c r="BJ150" s="364">
        <v>0</v>
      </c>
      <c r="BK150" s="364">
        <v>2</v>
      </c>
      <c r="BL150" s="364">
        <v>0</v>
      </c>
      <c r="BM150" s="364">
        <v>0</v>
      </c>
      <c r="BN150" s="364">
        <v>0</v>
      </c>
      <c r="BO150" s="364">
        <v>0</v>
      </c>
      <c r="BP150" s="364">
        <v>0</v>
      </c>
      <c r="BQ150" s="365">
        <v>2</v>
      </c>
      <c r="BR150" s="363" t="s">
        <v>390</v>
      </c>
      <c r="BS150" s="364">
        <v>4</v>
      </c>
      <c r="BT150" s="364">
        <v>0</v>
      </c>
      <c r="BU150" s="364">
        <v>2</v>
      </c>
      <c r="BV150" s="364">
        <v>0</v>
      </c>
      <c r="BW150" s="364">
        <v>1</v>
      </c>
      <c r="BX150" s="364">
        <v>0</v>
      </c>
      <c r="BY150" s="364">
        <v>0</v>
      </c>
      <c r="BZ150" s="364">
        <v>0</v>
      </c>
      <c r="CA150" s="365">
        <v>2</v>
      </c>
      <c r="CB150" s="363" t="s">
        <v>332</v>
      </c>
      <c r="CC150" s="364">
        <v>5</v>
      </c>
      <c r="CD150" s="364">
        <v>1</v>
      </c>
      <c r="CE150" s="364">
        <v>1</v>
      </c>
      <c r="CF150" s="364">
        <v>0</v>
      </c>
      <c r="CG150" s="364">
        <v>0</v>
      </c>
      <c r="CH150" s="364">
        <v>1</v>
      </c>
      <c r="CI150" s="364">
        <v>0</v>
      </c>
      <c r="CJ150" s="364">
        <v>0</v>
      </c>
      <c r="CK150" s="365">
        <v>1</v>
      </c>
      <c r="CL150" s="363" t="s">
        <v>387</v>
      </c>
      <c r="CM150" s="364">
        <v>4</v>
      </c>
      <c r="CN150" s="364">
        <v>0</v>
      </c>
      <c r="CO150" s="364">
        <v>1</v>
      </c>
      <c r="CP150" s="364">
        <v>0</v>
      </c>
      <c r="CQ150" s="364">
        <v>0</v>
      </c>
      <c r="CR150" s="364">
        <v>2</v>
      </c>
      <c r="CS150" s="364">
        <v>0</v>
      </c>
      <c r="CT150" s="364">
        <v>0</v>
      </c>
      <c r="CU150" s="365">
        <v>1</v>
      </c>
      <c r="CV150" s="363" t="s">
        <v>274</v>
      </c>
      <c r="CW150" s="364">
        <v>3</v>
      </c>
      <c r="CX150" s="364">
        <v>0</v>
      </c>
      <c r="CY150" s="364">
        <v>1</v>
      </c>
      <c r="CZ150" s="364">
        <v>1</v>
      </c>
      <c r="DA150" s="364">
        <v>1</v>
      </c>
      <c r="DB150" s="364">
        <v>1</v>
      </c>
      <c r="DC150" s="364">
        <v>0</v>
      </c>
      <c r="DD150" s="364">
        <v>0</v>
      </c>
      <c r="DE150" s="365">
        <v>1</v>
      </c>
      <c r="DF150" s="363" t="s">
        <v>273</v>
      </c>
      <c r="DG150" s="364">
        <v>4</v>
      </c>
      <c r="DH150" s="364">
        <v>1</v>
      </c>
      <c r="DI150" s="364">
        <v>1</v>
      </c>
      <c r="DJ150" s="364">
        <v>0</v>
      </c>
      <c r="DK150" s="364">
        <v>0</v>
      </c>
      <c r="DL150" s="364">
        <v>1</v>
      </c>
      <c r="DM150" s="364">
        <v>0</v>
      </c>
      <c r="DN150" s="364">
        <v>0</v>
      </c>
      <c r="DO150" s="365">
        <v>1</v>
      </c>
      <c r="DP150" s="363" t="s">
        <v>385</v>
      </c>
      <c r="DQ150" s="364">
        <v>4</v>
      </c>
      <c r="DR150" s="364">
        <v>2</v>
      </c>
      <c r="DS150" s="364">
        <v>2</v>
      </c>
      <c r="DT150" s="364">
        <v>2</v>
      </c>
      <c r="DU150" s="364">
        <v>0</v>
      </c>
      <c r="DV150" s="364">
        <v>0</v>
      </c>
      <c r="DW150" s="364">
        <v>0</v>
      </c>
      <c r="DX150" s="364">
        <v>0</v>
      </c>
      <c r="DY150" s="365">
        <v>6</v>
      </c>
      <c r="DZ150" s="366">
        <v>0</v>
      </c>
      <c r="EA150" s="367">
        <v>0</v>
      </c>
      <c r="EB150" s="367">
        <v>0</v>
      </c>
      <c r="EC150" s="368">
        <f>9+2/3</f>
        <v>9.6666666666666661</v>
      </c>
      <c r="ED150" s="367">
        <v>0</v>
      </c>
      <c r="EE150" s="369">
        <v>0</v>
      </c>
      <c r="EF150" s="370">
        <v>0</v>
      </c>
      <c r="EG150" s="367">
        <v>0</v>
      </c>
      <c r="EH150" s="367">
        <v>0</v>
      </c>
      <c r="EI150" s="367">
        <v>0</v>
      </c>
      <c r="EJ150" s="367">
        <v>2</v>
      </c>
      <c r="EK150" s="367">
        <v>0</v>
      </c>
      <c r="EL150" s="367">
        <v>0</v>
      </c>
      <c r="EM150" s="367">
        <v>0</v>
      </c>
      <c r="EN150" s="367">
        <v>1</v>
      </c>
      <c r="EO150" s="367">
        <v>1</v>
      </c>
      <c r="EP150" s="367"/>
      <c r="EQ150" s="367"/>
      <c r="ER150" s="367"/>
      <c r="ES150" s="369">
        <f t="shared" si="186"/>
        <v>4</v>
      </c>
      <c r="ET150" s="367">
        <v>0</v>
      </c>
      <c r="EU150" s="367">
        <v>0</v>
      </c>
      <c r="EV150" s="367">
        <v>0</v>
      </c>
      <c r="EW150" s="367">
        <v>0</v>
      </c>
      <c r="EX150" s="367">
        <v>0</v>
      </c>
      <c r="EY150" s="367">
        <v>0</v>
      </c>
      <c r="EZ150" s="367">
        <v>3</v>
      </c>
      <c r="FA150" s="367">
        <v>0</v>
      </c>
      <c r="FB150" s="367">
        <v>0</v>
      </c>
      <c r="FC150" s="367">
        <v>0</v>
      </c>
      <c r="FD150" s="367"/>
      <c r="FE150" s="367"/>
      <c r="FF150" s="367"/>
      <c r="FG150" s="367">
        <f t="shared" si="187"/>
        <v>3</v>
      </c>
      <c r="FH150" s="371">
        <v>38</v>
      </c>
      <c r="FI150" s="371">
        <v>4</v>
      </c>
      <c r="FJ150" s="371">
        <v>10</v>
      </c>
      <c r="FK150" s="371">
        <v>3</v>
      </c>
      <c r="FL150" s="371">
        <v>3</v>
      </c>
      <c r="FM150" s="371">
        <v>7</v>
      </c>
      <c r="FN150" s="371">
        <f t="shared" si="178"/>
        <v>0</v>
      </c>
      <c r="FO150" s="371">
        <f t="shared" si="179"/>
        <v>0</v>
      </c>
      <c r="FP150" s="371">
        <f t="shared" ref="FP150:FU150" si="190">((SUM(AO150,AY150,BI150,BS150,CC150,CM150,CW150,DG150,DQ150))-(FH150))</f>
        <v>0</v>
      </c>
      <c r="FQ150" s="371">
        <f t="shared" si="190"/>
        <v>0</v>
      </c>
      <c r="FR150" s="371">
        <f t="shared" si="190"/>
        <v>0</v>
      </c>
      <c r="FS150" s="371">
        <f t="shared" si="190"/>
        <v>0</v>
      </c>
      <c r="FT150" s="371">
        <f t="shared" si="190"/>
        <v>0</v>
      </c>
      <c r="FU150" s="371">
        <f t="shared" si="190"/>
        <v>0</v>
      </c>
      <c r="FV150" s="371">
        <f t="shared" ref="FV150:GI150" si="191">(EF150-ET150)</f>
        <v>0</v>
      </c>
      <c r="FW150" s="371">
        <f t="shared" si="191"/>
        <v>0</v>
      </c>
      <c r="FX150" s="371">
        <f t="shared" si="191"/>
        <v>0</v>
      </c>
      <c r="FY150" s="371">
        <f t="shared" si="191"/>
        <v>0</v>
      </c>
      <c r="FZ150" s="371">
        <f t="shared" si="191"/>
        <v>2</v>
      </c>
      <c r="GA150" s="371">
        <f t="shared" si="191"/>
        <v>0</v>
      </c>
      <c r="GB150" s="371">
        <f t="shared" si="191"/>
        <v>-3</v>
      </c>
      <c r="GC150" s="371">
        <f t="shared" si="191"/>
        <v>0</v>
      </c>
      <c r="GD150" s="371">
        <f t="shared" si="191"/>
        <v>1</v>
      </c>
      <c r="GE150" s="371">
        <f t="shared" si="191"/>
        <v>1</v>
      </c>
      <c r="GF150" s="371">
        <f t="shared" si="191"/>
        <v>0</v>
      </c>
      <c r="GG150" s="371">
        <f t="shared" si="191"/>
        <v>0</v>
      </c>
      <c r="GH150" s="371">
        <f t="shared" si="191"/>
        <v>0</v>
      </c>
      <c r="GI150" s="371">
        <f t="shared" si="191"/>
        <v>1</v>
      </c>
      <c r="GJ150" s="372"/>
      <c r="GK150" s="367"/>
      <c r="GL150" s="376"/>
      <c r="GM150" s="376"/>
    </row>
    <row r="151" spans="1:195" x14ac:dyDescent="0.25">
      <c r="A151" s="356">
        <v>40440</v>
      </c>
      <c r="B151" s="356" t="s">
        <v>19</v>
      </c>
      <c r="C151" s="356" t="s">
        <v>131</v>
      </c>
      <c r="D151" s="356" t="s">
        <v>140</v>
      </c>
      <c r="E151" s="357">
        <v>25794</v>
      </c>
      <c r="F151" s="360">
        <v>194</v>
      </c>
      <c r="G151" s="358">
        <v>4</v>
      </c>
      <c r="H151" s="359" t="s">
        <v>395</v>
      </c>
      <c r="I151" s="360">
        <v>0</v>
      </c>
      <c r="J151" s="360">
        <v>1</v>
      </c>
      <c r="K151" s="361">
        <f>4+1/3</f>
        <v>4.333333333333333</v>
      </c>
      <c r="L151" s="360">
        <v>6</v>
      </c>
      <c r="M151" s="360">
        <v>5</v>
      </c>
      <c r="N151" s="360">
        <v>5</v>
      </c>
      <c r="O151" s="360">
        <v>3</v>
      </c>
      <c r="P151" s="360">
        <v>5</v>
      </c>
      <c r="Q151" s="360">
        <v>2</v>
      </c>
      <c r="R151" s="360">
        <v>0</v>
      </c>
      <c r="S151" s="360">
        <v>22</v>
      </c>
      <c r="T151" s="360">
        <v>100</v>
      </c>
      <c r="U151" s="360">
        <v>64</v>
      </c>
      <c r="V151" s="360">
        <v>1</v>
      </c>
      <c r="W151" s="362">
        <v>0</v>
      </c>
      <c r="X151" s="360">
        <v>0</v>
      </c>
      <c r="Y151" s="360">
        <v>0</v>
      </c>
      <c r="Z151" s="360">
        <v>0</v>
      </c>
      <c r="AA151" s="360">
        <v>0</v>
      </c>
      <c r="AB151" s="360">
        <v>0</v>
      </c>
      <c r="AC151" s="361">
        <f>4+2/3</f>
        <v>4.666666666666667</v>
      </c>
      <c r="AD151" s="360">
        <v>3</v>
      </c>
      <c r="AE151" s="360">
        <v>1</v>
      </c>
      <c r="AF151" s="360">
        <v>1</v>
      </c>
      <c r="AG151" s="360">
        <v>0</v>
      </c>
      <c r="AH151" s="360">
        <v>3</v>
      </c>
      <c r="AI151" s="360">
        <v>1</v>
      </c>
      <c r="AJ151" s="360">
        <v>0</v>
      </c>
      <c r="AK151" s="360">
        <v>17</v>
      </c>
      <c r="AL151" s="360">
        <v>52</v>
      </c>
      <c r="AM151" s="360">
        <v>37</v>
      </c>
      <c r="AN151" s="363" t="s">
        <v>399</v>
      </c>
      <c r="AO151" s="364">
        <v>5</v>
      </c>
      <c r="AP151" s="364">
        <v>0</v>
      </c>
      <c r="AQ151" s="364">
        <v>0</v>
      </c>
      <c r="AR151" s="364">
        <v>0</v>
      </c>
      <c r="AS151" s="364">
        <v>0</v>
      </c>
      <c r="AT151" s="364">
        <v>1</v>
      </c>
      <c r="AU151" s="364">
        <v>0</v>
      </c>
      <c r="AV151" s="364">
        <v>0</v>
      </c>
      <c r="AW151" s="365">
        <v>0</v>
      </c>
      <c r="AX151" s="363" t="s">
        <v>389</v>
      </c>
      <c r="AY151" s="364">
        <v>4</v>
      </c>
      <c r="AZ151" s="364">
        <v>1</v>
      </c>
      <c r="BA151" s="364">
        <v>2</v>
      </c>
      <c r="BB151" s="364">
        <v>1</v>
      </c>
      <c r="BC151" s="364">
        <v>1</v>
      </c>
      <c r="BD151" s="364">
        <v>0</v>
      </c>
      <c r="BE151" s="364">
        <v>0</v>
      </c>
      <c r="BF151" s="364">
        <v>0</v>
      </c>
      <c r="BG151" s="365">
        <v>3</v>
      </c>
      <c r="BH151" s="363" t="s">
        <v>391</v>
      </c>
      <c r="BI151" s="364">
        <v>5</v>
      </c>
      <c r="BJ151" s="364">
        <v>0</v>
      </c>
      <c r="BK151" s="364">
        <v>3</v>
      </c>
      <c r="BL151" s="364">
        <v>0</v>
      </c>
      <c r="BM151" s="364">
        <v>0</v>
      </c>
      <c r="BN151" s="364">
        <v>0</v>
      </c>
      <c r="BO151" s="364">
        <v>0</v>
      </c>
      <c r="BP151" s="364">
        <v>0</v>
      </c>
      <c r="BQ151" s="365">
        <v>3</v>
      </c>
      <c r="BR151" s="363" t="s">
        <v>390</v>
      </c>
      <c r="BS151" s="364">
        <v>3</v>
      </c>
      <c r="BT151" s="364">
        <v>0</v>
      </c>
      <c r="BU151" s="364">
        <v>1</v>
      </c>
      <c r="BV151" s="364">
        <v>0</v>
      </c>
      <c r="BW151" s="364">
        <v>1</v>
      </c>
      <c r="BX151" s="364">
        <v>0</v>
      </c>
      <c r="BY151" s="364">
        <v>0</v>
      </c>
      <c r="BZ151" s="364">
        <v>0</v>
      </c>
      <c r="CA151" s="365">
        <v>2</v>
      </c>
      <c r="CB151" s="363" t="s">
        <v>575</v>
      </c>
      <c r="CC151" s="364">
        <v>4</v>
      </c>
      <c r="CD151" s="364">
        <v>0</v>
      </c>
      <c r="CE151" s="364">
        <v>0</v>
      </c>
      <c r="CF151" s="364">
        <v>1</v>
      </c>
      <c r="CG151" s="364">
        <v>0</v>
      </c>
      <c r="CH151" s="364">
        <v>1</v>
      </c>
      <c r="CI151" s="364">
        <v>0</v>
      </c>
      <c r="CJ151" s="364">
        <v>0</v>
      </c>
      <c r="CK151" s="365">
        <v>0</v>
      </c>
      <c r="CL151" s="363" t="s">
        <v>271</v>
      </c>
      <c r="CM151" s="364">
        <v>3</v>
      </c>
      <c r="CN151" s="364">
        <v>0</v>
      </c>
      <c r="CO151" s="364">
        <v>1</v>
      </c>
      <c r="CP151" s="364">
        <v>0</v>
      </c>
      <c r="CQ151" s="364">
        <v>1</v>
      </c>
      <c r="CR151" s="364">
        <v>2</v>
      </c>
      <c r="CS151" s="364">
        <v>0</v>
      </c>
      <c r="CT151" s="364">
        <v>0</v>
      </c>
      <c r="CU151" s="365">
        <v>1</v>
      </c>
      <c r="CV151" s="363" t="s">
        <v>674</v>
      </c>
      <c r="CW151" s="364">
        <v>4</v>
      </c>
      <c r="CX151" s="364">
        <v>0</v>
      </c>
      <c r="CY151" s="364">
        <v>0</v>
      </c>
      <c r="CZ151" s="364">
        <v>0</v>
      </c>
      <c r="DA151" s="364">
        <v>0</v>
      </c>
      <c r="DB151" s="364">
        <v>0</v>
      </c>
      <c r="DC151" s="364">
        <v>0</v>
      </c>
      <c r="DD151" s="364">
        <v>0</v>
      </c>
      <c r="DE151" s="365">
        <v>0</v>
      </c>
      <c r="DF151" s="363" t="s">
        <v>388</v>
      </c>
      <c r="DG151" s="364">
        <v>4</v>
      </c>
      <c r="DH151" s="364">
        <v>1</v>
      </c>
      <c r="DI151" s="364">
        <v>1</v>
      </c>
      <c r="DJ151" s="364">
        <v>1</v>
      </c>
      <c r="DK151" s="364">
        <v>0</v>
      </c>
      <c r="DL151" s="364">
        <v>1</v>
      </c>
      <c r="DM151" s="364">
        <v>0</v>
      </c>
      <c r="DN151" s="364">
        <v>0</v>
      </c>
      <c r="DO151" s="365">
        <v>4</v>
      </c>
      <c r="DP151" s="363" t="s">
        <v>384</v>
      </c>
      <c r="DQ151" s="364">
        <v>3</v>
      </c>
      <c r="DR151" s="364">
        <v>1</v>
      </c>
      <c r="DS151" s="364">
        <v>1</v>
      </c>
      <c r="DT151" s="364">
        <v>0</v>
      </c>
      <c r="DU151" s="364">
        <v>1</v>
      </c>
      <c r="DV151" s="364">
        <v>1</v>
      </c>
      <c r="DW151" s="364">
        <v>0</v>
      </c>
      <c r="DX151" s="364">
        <v>0</v>
      </c>
      <c r="DY151" s="365">
        <v>1</v>
      </c>
      <c r="DZ151" s="366">
        <v>5</v>
      </c>
      <c r="EA151" s="367">
        <v>1</v>
      </c>
      <c r="EB151" s="367">
        <v>0</v>
      </c>
      <c r="EC151" s="368">
        <v>4</v>
      </c>
      <c r="ED151" s="367">
        <v>0</v>
      </c>
      <c r="EE151" s="369">
        <v>0</v>
      </c>
      <c r="EF151" s="370">
        <v>0</v>
      </c>
      <c r="EG151" s="367">
        <v>1</v>
      </c>
      <c r="EH151" s="367">
        <v>0</v>
      </c>
      <c r="EI151" s="367">
        <v>0</v>
      </c>
      <c r="EJ151" s="367">
        <v>0</v>
      </c>
      <c r="EK151" s="367">
        <v>0</v>
      </c>
      <c r="EL151" s="367">
        <v>0</v>
      </c>
      <c r="EM151" s="367">
        <v>1</v>
      </c>
      <c r="EN151" s="367">
        <v>1</v>
      </c>
      <c r="EO151" s="367"/>
      <c r="EP151" s="367"/>
      <c r="EQ151" s="367"/>
      <c r="ER151" s="367"/>
      <c r="ES151" s="369">
        <f t="shared" si="186"/>
        <v>3</v>
      </c>
      <c r="ET151" s="367">
        <v>1</v>
      </c>
      <c r="EU151" s="367">
        <v>0</v>
      </c>
      <c r="EV151" s="367">
        <v>0</v>
      </c>
      <c r="EW151" s="367">
        <v>3</v>
      </c>
      <c r="EX151" s="367">
        <v>1</v>
      </c>
      <c r="EY151" s="367">
        <v>0</v>
      </c>
      <c r="EZ151" s="367">
        <v>1</v>
      </c>
      <c r="FA151" s="367">
        <v>0</v>
      </c>
      <c r="FB151" s="367">
        <v>0</v>
      </c>
      <c r="FC151" s="367"/>
      <c r="FD151" s="367"/>
      <c r="FE151" s="367"/>
      <c r="FF151" s="367"/>
      <c r="FG151" s="367">
        <f t="shared" si="187"/>
        <v>6</v>
      </c>
      <c r="FH151" s="371">
        <v>35</v>
      </c>
      <c r="FI151" s="371">
        <v>3</v>
      </c>
      <c r="FJ151" s="371">
        <v>9</v>
      </c>
      <c r="FK151" s="371">
        <v>3</v>
      </c>
      <c r="FL151" s="371">
        <v>4</v>
      </c>
      <c r="FM151" s="371">
        <v>6</v>
      </c>
      <c r="FN151" s="371">
        <f t="shared" ref="FN151:FN156" si="192">((SUM(M151,AE151))-(FG151))</f>
        <v>0</v>
      </c>
      <c r="FO151" s="371">
        <f t="shared" ref="FO151:FO156" si="193">((SUM(AP151,AZ151,BJ151,BT151,CD151,CN151,CX151,DH151,DR151))-(ES151))</f>
        <v>0</v>
      </c>
      <c r="FP151" s="371">
        <f t="shared" ref="FP151:FU151" si="194">((SUM(AO151,AY151,BI151,BS151,CC151,CM151,CW151,DG151,DQ151))-(FH151))</f>
        <v>0</v>
      </c>
      <c r="FQ151" s="371">
        <f t="shared" si="194"/>
        <v>0</v>
      </c>
      <c r="FR151" s="371">
        <f t="shared" si="194"/>
        <v>0</v>
      </c>
      <c r="FS151" s="371">
        <f t="shared" si="194"/>
        <v>0</v>
      </c>
      <c r="FT151" s="371">
        <f t="shared" si="194"/>
        <v>0</v>
      </c>
      <c r="FU151" s="371">
        <f t="shared" si="194"/>
        <v>0</v>
      </c>
      <c r="FV151" s="371">
        <f t="shared" ref="FV151:GI151" si="195">(EF151-ET151)</f>
        <v>-1</v>
      </c>
      <c r="FW151" s="371">
        <f t="shared" si="195"/>
        <v>1</v>
      </c>
      <c r="FX151" s="371">
        <f t="shared" si="195"/>
        <v>0</v>
      </c>
      <c r="FY151" s="371">
        <f t="shared" si="195"/>
        <v>-3</v>
      </c>
      <c r="FZ151" s="371">
        <f t="shared" si="195"/>
        <v>-1</v>
      </c>
      <c r="GA151" s="371">
        <f t="shared" si="195"/>
        <v>0</v>
      </c>
      <c r="GB151" s="371">
        <f t="shared" si="195"/>
        <v>-1</v>
      </c>
      <c r="GC151" s="371">
        <f t="shared" si="195"/>
        <v>1</v>
      </c>
      <c r="GD151" s="371">
        <f t="shared" si="195"/>
        <v>1</v>
      </c>
      <c r="GE151" s="371">
        <f t="shared" si="195"/>
        <v>0</v>
      </c>
      <c r="GF151" s="371">
        <f t="shared" si="195"/>
        <v>0</v>
      </c>
      <c r="GG151" s="371">
        <f t="shared" si="195"/>
        <v>0</v>
      </c>
      <c r="GH151" s="371">
        <f t="shared" si="195"/>
        <v>0</v>
      </c>
      <c r="GI151" s="371">
        <f t="shared" si="195"/>
        <v>-3</v>
      </c>
      <c r="GJ151" s="372"/>
      <c r="GK151" s="367" t="s">
        <v>693</v>
      </c>
      <c r="GL151" s="376" t="s">
        <v>691</v>
      </c>
      <c r="GM151" s="376" t="s">
        <v>692</v>
      </c>
    </row>
    <row r="152" spans="1:195" x14ac:dyDescent="0.25">
      <c r="A152" s="356">
        <v>40441</v>
      </c>
      <c r="B152" s="356" t="s">
        <v>133</v>
      </c>
      <c r="C152" s="356" t="s">
        <v>131</v>
      </c>
      <c r="D152" s="356" t="s">
        <v>132</v>
      </c>
      <c r="E152" s="357">
        <v>47437</v>
      </c>
      <c r="F152" s="360">
        <v>199</v>
      </c>
      <c r="G152" s="358">
        <v>5</v>
      </c>
      <c r="H152" s="359" t="s">
        <v>396</v>
      </c>
      <c r="I152" s="360">
        <v>0</v>
      </c>
      <c r="J152" s="360">
        <v>1</v>
      </c>
      <c r="K152" s="361">
        <v>5</v>
      </c>
      <c r="L152" s="360">
        <v>8</v>
      </c>
      <c r="M152" s="360">
        <v>7</v>
      </c>
      <c r="N152" s="360">
        <v>5</v>
      </c>
      <c r="O152" s="360">
        <v>4</v>
      </c>
      <c r="P152" s="360">
        <v>1</v>
      </c>
      <c r="Q152" s="360">
        <v>1</v>
      </c>
      <c r="R152" s="360">
        <v>0</v>
      </c>
      <c r="S152" s="360">
        <v>28</v>
      </c>
      <c r="T152" s="360">
        <v>94</v>
      </c>
      <c r="U152" s="360">
        <v>44</v>
      </c>
      <c r="V152" s="360">
        <v>2</v>
      </c>
      <c r="W152" s="362">
        <v>2</v>
      </c>
      <c r="X152" s="360">
        <v>0</v>
      </c>
      <c r="Y152" s="360">
        <v>0</v>
      </c>
      <c r="Z152" s="360">
        <v>0</v>
      </c>
      <c r="AA152" s="360">
        <v>0</v>
      </c>
      <c r="AB152" s="360">
        <v>0</v>
      </c>
      <c r="AC152" s="361">
        <v>3</v>
      </c>
      <c r="AD152" s="360">
        <v>3</v>
      </c>
      <c r="AE152" s="360">
        <v>1</v>
      </c>
      <c r="AF152" s="360">
        <v>1</v>
      </c>
      <c r="AG152" s="360">
        <v>2</v>
      </c>
      <c r="AH152" s="360">
        <v>2</v>
      </c>
      <c r="AI152" s="360">
        <v>1</v>
      </c>
      <c r="AJ152" s="360">
        <v>0</v>
      </c>
      <c r="AK152" s="360">
        <v>13</v>
      </c>
      <c r="AL152" s="360">
        <v>59</v>
      </c>
      <c r="AM152" s="360">
        <v>32</v>
      </c>
      <c r="AN152" s="363" t="s">
        <v>275</v>
      </c>
      <c r="AO152" s="364">
        <v>4</v>
      </c>
      <c r="AP152" s="364">
        <v>2</v>
      </c>
      <c r="AQ152" s="364">
        <v>1</v>
      </c>
      <c r="AR152" s="364">
        <v>0</v>
      </c>
      <c r="AS152" s="364">
        <v>1</v>
      </c>
      <c r="AT152" s="364">
        <v>0</v>
      </c>
      <c r="AU152" s="364">
        <v>0</v>
      </c>
      <c r="AV152" s="364">
        <v>0</v>
      </c>
      <c r="AW152" s="365">
        <v>1</v>
      </c>
      <c r="AX152" s="363" t="s">
        <v>389</v>
      </c>
      <c r="AY152" s="364">
        <v>5</v>
      </c>
      <c r="AZ152" s="364">
        <v>2</v>
      </c>
      <c r="BA152" s="364">
        <v>3</v>
      </c>
      <c r="BB152" s="364">
        <v>0</v>
      </c>
      <c r="BC152" s="364">
        <v>0</v>
      </c>
      <c r="BD152" s="364">
        <v>2</v>
      </c>
      <c r="BE152" s="364">
        <v>0</v>
      </c>
      <c r="BF152" s="364">
        <v>0</v>
      </c>
      <c r="BG152" s="365">
        <v>4</v>
      </c>
      <c r="BH152" s="363" t="s">
        <v>391</v>
      </c>
      <c r="BI152" s="364">
        <v>4</v>
      </c>
      <c r="BJ152" s="364">
        <v>0</v>
      </c>
      <c r="BK152" s="364">
        <v>1</v>
      </c>
      <c r="BL152" s="364">
        <v>1</v>
      </c>
      <c r="BM152" s="364">
        <v>0</v>
      </c>
      <c r="BN152" s="364">
        <v>0</v>
      </c>
      <c r="BO152" s="364">
        <v>0</v>
      </c>
      <c r="BP152" s="364">
        <v>0</v>
      </c>
      <c r="BQ152" s="365">
        <v>1</v>
      </c>
      <c r="BR152" s="363" t="s">
        <v>390</v>
      </c>
      <c r="BS152" s="364">
        <v>4</v>
      </c>
      <c r="BT152" s="364">
        <v>0</v>
      </c>
      <c r="BU152" s="364">
        <v>1</v>
      </c>
      <c r="BV152" s="364">
        <v>2</v>
      </c>
      <c r="BW152" s="364">
        <v>0</v>
      </c>
      <c r="BX152" s="364">
        <v>0</v>
      </c>
      <c r="BY152" s="364">
        <v>0</v>
      </c>
      <c r="BZ152" s="364">
        <v>1</v>
      </c>
      <c r="CA152" s="365">
        <v>1</v>
      </c>
      <c r="CB152" s="363" t="s">
        <v>332</v>
      </c>
      <c r="CC152" s="364">
        <v>3</v>
      </c>
      <c r="CD152" s="364">
        <v>1</v>
      </c>
      <c r="CE152" s="364">
        <v>1</v>
      </c>
      <c r="CF152" s="364">
        <v>1</v>
      </c>
      <c r="CG152" s="364">
        <v>1</v>
      </c>
      <c r="CH152" s="364">
        <v>0</v>
      </c>
      <c r="CI152" s="364">
        <v>1</v>
      </c>
      <c r="CJ152" s="364">
        <v>0</v>
      </c>
      <c r="CK152" s="365">
        <v>1</v>
      </c>
      <c r="CL152" s="363" t="s">
        <v>387</v>
      </c>
      <c r="CM152" s="364">
        <v>4</v>
      </c>
      <c r="CN152" s="364">
        <v>0</v>
      </c>
      <c r="CO152" s="364">
        <v>0</v>
      </c>
      <c r="CP152" s="364">
        <v>0</v>
      </c>
      <c r="CQ152" s="364">
        <v>1</v>
      </c>
      <c r="CR152" s="364">
        <v>0</v>
      </c>
      <c r="CS152" s="364">
        <v>0</v>
      </c>
      <c r="CT152" s="364">
        <v>0</v>
      </c>
      <c r="CU152" s="365">
        <v>0</v>
      </c>
      <c r="CV152" s="363" t="s">
        <v>274</v>
      </c>
      <c r="CW152" s="364">
        <v>4</v>
      </c>
      <c r="CX152" s="364">
        <v>0</v>
      </c>
      <c r="CY152" s="364">
        <v>1</v>
      </c>
      <c r="CZ152" s="364">
        <v>0</v>
      </c>
      <c r="DA152" s="364">
        <v>0</v>
      </c>
      <c r="DB152" s="364">
        <v>2</v>
      </c>
      <c r="DC152" s="364">
        <v>0</v>
      </c>
      <c r="DD152" s="364">
        <v>0</v>
      </c>
      <c r="DE152" s="365">
        <v>1</v>
      </c>
      <c r="DF152" s="363" t="s">
        <v>273</v>
      </c>
      <c r="DG152" s="364">
        <v>3</v>
      </c>
      <c r="DH152" s="364">
        <v>0</v>
      </c>
      <c r="DI152" s="364">
        <v>0</v>
      </c>
      <c r="DJ152" s="364">
        <v>1</v>
      </c>
      <c r="DK152" s="364">
        <v>1</v>
      </c>
      <c r="DL152" s="364">
        <v>1</v>
      </c>
      <c r="DM152" s="364">
        <v>0</v>
      </c>
      <c r="DN152" s="364">
        <v>0</v>
      </c>
      <c r="DO152" s="365">
        <v>0</v>
      </c>
      <c r="DP152" s="363" t="s">
        <v>384</v>
      </c>
      <c r="DQ152" s="364">
        <v>3</v>
      </c>
      <c r="DR152" s="364">
        <v>1</v>
      </c>
      <c r="DS152" s="364">
        <v>1</v>
      </c>
      <c r="DT152" s="364">
        <v>0</v>
      </c>
      <c r="DU152" s="364">
        <v>1</v>
      </c>
      <c r="DV152" s="364">
        <v>0</v>
      </c>
      <c r="DW152" s="364">
        <v>0</v>
      </c>
      <c r="DX152" s="364">
        <v>0</v>
      </c>
      <c r="DY152" s="365">
        <v>1</v>
      </c>
      <c r="DZ152" s="366">
        <v>0</v>
      </c>
      <c r="EA152" s="367">
        <v>0</v>
      </c>
      <c r="EB152" s="367">
        <v>0</v>
      </c>
      <c r="EC152" s="368">
        <v>9</v>
      </c>
      <c r="ED152" s="367">
        <v>1</v>
      </c>
      <c r="EE152" s="369">
        <v>0</v>
      </c>
      <c r="EF152" s="370">
        <v>0</v>
      </c>
      <c r="EG152" s="367">
        <v>0</v>
      </c>
      <c r="EH152" s="367">
        <v>0</v>
      </c>
      <c r="EI152" s="367">
        <v>0</v>
      </c>
      <c r="EJ152" s="367">
        <v>0</v>
      </c>
      <c r="EK152" s="367">
        <v>4</v>
      </c>
      <c r="EL152" s="367">
        <v>1</v>
      </c>
      <c r="EM152" s="367">
        <v>0</v>
      </c>
      <c r="EN152" s="367">
        <v>1</v>
      </c>
      <c r="EO152" s="367"/>
      <c r="EP152" s="367"/>
      <c r="EQ152" s="367"/>
      <c r="ER152" s="367"/>
      <c r="ES152" s="369">
        <f t="shared" si="186"/>
        <v>6</v>
      </c>
      <c r="ET152" s="367">
        <v>0</v>
      </c>
      <c r="EU152" s="367">
        <v>0</v>
      </c>
      <c r="EV152" s="367">
        <v>2</v>
      </c>
      <c r="EW152" s="367">
        <v>0</v>
      </c>
      <c r="EX152" s="367">
        <v>2</v>
      </c>
      <c r="EY152" s="367">
        <v>4</v>
      </c>
      <c r="EZ152" s="367">
        <v>0</v>
      </c>
      <c r="FA152" s="367">
        <v>0</v>
      </c>
      <c r="FB152" s="367"/>
      <c r="FC152" s="367"/>
      <c r="FD152" s="367"/>
      <c r="FE152" s="367"/>
      <c r="FF152" s="367"/>
      <c r="FG152" s="367">
        <f t="shared" si="187"/>
        <v>8</v>
      </c>
      <c r="FH152" s="371">
        <v>34</v>
      </c>
      <c r="FI152" s="371">
        <v>6</v>
      </c>
      <c r="FJ152" s="371">
        <v>9</v>
      </c>
      <c r="FK152" s="371">
        <v>5</v>
      </c>
      <c r="FL152" s="371">
        <v>5</v>
      </c>
      <c r="FM152" s="371">
        <v>5</v>
      </c>
      <c r="FN152" s="371">
        <f t="shared" si="192"/>
        <v>0</v>
      </c>
      <c r="FO152" s="371">
        <f t="shared" si="193"/>
        <v>0</v>
      </c>
      <c r="FP152" s="371">
        <f t="shared" ref="FP152:FU152" si="196">((SUM(AO152,AY152,BI152,BS152,CC152,CM152,CW152,DG152,DQ152))-(FH152))</f>
        <v>0</v>
      </c>
      <c r="FQ152" s="371">
        <f t="shared" si="196"/>
        <v>0</v>
      </c>
      <c r="FR152" s="371">
        <f t="shared" si="196"/>
        <v>0</v>
      </c>
      <c r="FS152" s="371">
        <f t="shared" si="196"/>
        <v>0</v>
      </c>
      <c r="FT152" s="371">
        <f t="shared" si="196"/>
        <v>0</v>
      </c>
      <c r="FU152" s="371">
        <f t="shared" si="196"/>
        <v>0</v>
      </c>
      <c r="FV152" s="371">
        <f t="shared" ref="FV152:GI152" si="197">(EF152-ET152)</f>
        <v>0</v>
      </c>
      <c r="FW152" s="371">
        <f t="shared" si="197"/>
        <v>0</v>
      </c>
      <c r="FX152" s="371">
        <f t="shared" si="197"/>
        <v>-2</v>
      </c>
      <c r="FY152" s="371">
        <f t="shared" si="197"/>
        <v>0</v>
      </c>
      <c r="FZ152" s="371">
        <f t="shared" si="197"/>
        <v>-2</v>
      </c>
      <c r="GA152" s="371">
        <f t="shared" si="197"/>
        <v>0</v>
      </c>
      <c r="GB152" s="371">
        <f t="shared" si="197"/>
        <v>1</v>
      </c>
      <c r="GC152" s="371">
        <f t="shared" si="197"/>
        <v>0</v>
      </c>
      <c r="GD152" s="371">
        <f t="shared" si="197"/>
        <v>1</v>
      </c>
      <c r="GE152" s="371">
        <f t="shared" si="197"/>
        <v>0</v>
      </c>
      <c r="GF152" s="371">
        <f t="shared" si="197"/>
        <v>0</v>
      </c>
      <c r="GG152" s="371">
        <f t="shared" si="197"/>
        <v>0</v>
      </c>
      <c r="GH152" s="371">
        <f t="shared" si="197"/>
        <v>0</v>
      </c>
      <c r="GI152" s="371">
        <f t="shared" si="197"/>
        <v>-2</v>
      </c>
      <c r="GJ152" s="372"/>
      <c r="GK152" s="367" t="s">
        <v>695</v>
      </c>
      <c r="GL152" s="376" t="s">
        <v>694</v>
      </c>
      <c r="GM152" s="376" t="s">
        <v>692</v>
      </c>
    </row>
    <row r="153" spans="1:195" x14ac:dyDescent="0.25">
      <c r="A153" s="356">
        <v>40442</v>
      </c>
      <c r="B153" s="356" t="s">
        <v>133</v>
      </c>
      <c r="C153" s="356" t="s">
        <v>131</v>
      </c>
      <c r="D153" s="356" t="s">
        <v>132</v>
      </c>
      <c r="E153" s="357">
        <v>46609</v>
      </c>
      <c r="F153" s="360">
        <v>194</v>
      </c>
      <c r="G153" s="358">
        <v>1</v>
      </c>
      <c r="H153" s="359" t="s">
        <v>392</v>
      </c>
      <c r="I153" s="360">
        <v>0</v>
      </c>
      <c r="J153" s="360">
        <v>1</v>
      </c>
      <c r="K153" s="361">
        <f>5+1/3</f>
        <v>5.333333333333333</v>
      </c>
      <c r="L153" s="360">
        <v>7</v>
      </c>
      <c r="M153" s="360">
        <v>5</v>
      </c>
      <c r="N153" s="360">
        <v>5</v>
      </c>
      <c r="O153" s="360">
        <v>2</v>
      </c>
      <c r="P153" s="360">
        <v>4</v>
      </c>
      <c r="Q153" s="360">
        <v>1</v>
      </c>
      <c r="R153" s="360">
        <v>1</v>
      </c>
      <c r="S153" s="360">
        <v>25</v>
      </c>
      <c r="T153" s="360">
        <v>104</v>
      </c>
      <c r="U153" s="360">
        <v>64</v>
      </c>
      <c r="V153" s="360">
        <v>2</v>
      </c>
      <c r="W153" s="362">
        <v>0</v>
      </c>
      <c r="X153" s="360">
        <v>0</v>
      </c>
      <c r="Y153" s="360">
        <v>0</v>
      </c>
      <c r="Z153" s="360">
        <v>0</v>
      </c>
      <c r="AA153" s="360">
        <v>0</v>
      </c>
      <c r="AB153" s="360">
        <v>0</v>
      </c>
      <c r="AC153" s="361">
        <f>2+2/3</f>
        <v>2.6666666666666665</v>
      </c>
      <c r="AD153" s="360">
        <v>5</v>
      </c>
      <c r="AE153" s="360">
        <v>3</v>
      </c>
      <c r="AF153" s="360">
        <v>3</v>
      </c>
      <c r="AG153" s="360">
        <v>0</v>
      </c>
      <c r="AH153" s="360">
        <v>2</v>
      </c>
      <c r="AI153" s="360">
        <v>0</v>
      </c>
      <c r="AJ153" s="360">
        <v>0</v>
      </c>
      <c r="AK153" s="360">
        <v>13</v>
      </c>
      <c r="AL153" s="360">
        <v>54</v>
      </c>
      <c r="AM153" s="360">
        <v>36</v>
      </c>
      <c r="AN153" s="363" t="s">
        <v>275</v>
      </c>
      <c r="AO153" s="364">
        <v>3</v>
      </c>
      <c r="AP153" s="364">
        <v>1</v>
      </c>
      <c r="AQ153" s="364">
        <v>0</v>
      </c>
      <c r="AR153" s="364">
        <v>0</v>
      </c>
      <c r="AS153" s="364">
        <v>2</v>
      </c>
      <c r="AT153" s="364">
        <v>0</v>
      </c>
      <c r="AU153" s="364">
        <v>0</v>
      </c>
      <c r="AV153" s="364">
        <v>0</v>
      </c>
      <c r="AW153" s="365">
        <v>0</v>
      </c>
      <c r="AX153" s="363" t="s">
        <v>389</v>
      </c>
      <c r="AY153" s="364">
        <v>4</v>
      </c>
      <c r="AZ153" s="364">
        <v>0</v>
      </c>
      <c r="BA153" s="364">
        <v>0</v>
      </c>
      <c r="BB153" s="364">
        <v>0</v>
      </c>
      <c r="BC153" s="364">
        <v>1</v>
      </c>
      <c r="BD153" s="364">
        <v>0</v>
      </c>
      <c r="BE153" s="364">
        <v>0</v>
      </c>
      <c r="BF153" s="364">
        <v>0</v>
      </c>
      <c r="BG153" s="365">
        <v>0</v>
      </c>
      <c r="BH153" s="363" t="s">
        <v>391</v>
      </c>
      <c r="BI153" s="364">
        <v>4</v>
      </c>
      <c r="BJ153" s="364">
        <v>0</v>
      </c>
      <c r="BK153" s="364">
        <v>1</v>
      </c>
      <c r="BL153" s="364">
        <v>1</v>
      </c>
      <c r="BM153" s="364">
        <v>1</v>
      </c>
      <c r="BN153" s="364">
        <v>0</v>
      </c>
      <c r="BO153" s="364">
        <v>0</v>
      </c>
      <c r="BP153" s="364">
        <v>0</v>
      </c>
      <c r="BQ153" s="365">
        <v>1</v>
      </c>
      <c r="BR153" s="363" t="s">
        <v>390</v>
      </c>
      <c r="BS153" s="364">
        <v>5</v>
      </c>
      <c r="BT153" s="364">
        <v>0</v>
      </c>
      <c r="BU153" s="364">
        <v>1</v>
      </c>
      <c r="BV153" s="364">
        <v>1</v>
      </c>
      <c r="BW153" s="364">
        <v>0</v>
      </c>
      <c r="BX153" s="364">
        <v>1</v>
      </c>
      <c r="BY153" s="364">
        <v>0</v>
      </c>
      <c r="BZ153" s="364">
        <v>0</v>
      </c>
      <c r="CA153" s="365">
        <v>1</v>
      </c>
      <c r="CB153" s="363" t="s">
        <v>332</v>
      </c>
      <c r="CC153" s="364">
        <v>4</v>
      </c>
      <c r="CD153" s="364">
        <v>0</v>
      </c>
      <c r="CE153" s="364">
        <v>1</v>
      </c>
      <c r="CF153" s="364">
        <v>0</v>
      </c>
      <c r="CG153" s="364">
        <v>0</v>
      </c>
      <c r="CH153" s="364">
        <v>1</v>
      </c>
      <c r="CI153" s="364">
        <v>0</v>
      </c>
      <c r="CJ153" s="364">
        <v>0</v>
      </c>
      <c r="CK153" s="365">
        <v>1</v>
      </c>
      <c r="CL153" s="363" t="s">
        <v>387</v>
      </c>
      <c r="CM153" s="364">
        <v>3</v>
      </c>
      <c r="CN153" s="364">
        <v>1</v>
      </c>
      <c r="CO153" s="364">
        <v>2</v>
      </c>
      <c r="CP153" s="364">
        <v>1</v>
      </c>
      <c r="CQ153" s="364">
        <v>1</v>
      </c>
      <c r="CR153" s="364">
        <v>0</v>
      </c>
      <c r="CS153" s="364">
        <v>0</v>
      </c>
      <c r="CT153" s="364">
        <v>0</v>
      </c>
      <c r="CU153" s="365">
        <v>5</v>
      </c>
      <c r="CV153" s="363" t="s">
        <v>274</v>
      </c>
      <c r="CW153" s="364">
        <v>4</v>
      </c>
      <c r="CX153" s="364">
        <v>0</v>
      </c>
      <c r="CY153" s="364">
        <v>0</v>
      </c>
      <c r="CZ153" s="364">
        <v>0</v>
      </c>
      <c r="DA153" s="364">
        <v>0</v>
      </c>
      <c r="DB153" s="364">
        <v>2</v>
      </c>
      <c r="DC153" s="364">
        <v>0</v>
      </c>
      <c r="DD153" s="364">
        <v>0</v>
      </c>
      <c r="DE153" s="365">
        <v>0</v>
      </c>
      <c r="DF153" s="363" t="s">
        <v>273</v>
      </c>
      <c r="DG153" s="364">
        <v>4</v>
      </c>
      <c r="DH153" s="364">
        <v>0</v>
      </c>
      <c r="DI153" s="364">
        <v>1</v>
      </c>
      <c r="DJ153" s="364">
        <v>0</v>
      </c>
      <c r="DK153" s="364">
        <v>0</v>
      </c>
      <c r="DL153" s="364">
        <v>1</v>
      </c>
      <c r="DM153" s="364">
        <v>0</v>
      </c>
      <c r="DN153" s="364">
        <v>0</v>
      </c>
      <c r="DO153" s="365">
        <v>1</v>
      </c>
      <c r="DP153" s="363" t="s">
        <v>384</v>
      </c>
      <c r="DQ153" s="364">
        <v>4</v>
      </c>
      <c r="DR153" s="364">
        <v>1</v>
      </c>
      <c r="DS153" s="364">
        <v>2</v>
      </c>
      <c r="DT153" s="364">
        <v>0</v>
      </c>
      <c r="DU153" s="364">
        <v>0</v>
      </c>
      <c r="DV153" s="364">
        <v>2</v>
      </c>
      <c r="DW153" s="364">
        <v>0</v>
      </c>
      <c r="DX153" s="364">
        <v>0</v>
      </c>
      <c r="DY153" s="365">
        <v>2</v>
      </c>
      <c r="DZ153" s="366">
        <v>0</v>
      </c>
      <c r="EA153" s="367">
        <v>0</v>
      </c>
      <c r="EB153" s="367">
        <v>0</v>
      </c>
      <c r="EC153" s="368">
        <v>9</v>
      </c>
      <c r="ED153" s="367">
        <v>0</v>
      </c>
      <c r="EE153" s="369">
        <v>0</v>
      </c>
      <c r="EF153" s="370">
        <v>0</v>
      </c>
      <c r="EG153" s="367">
        <v>1</v>
      </c>
      <c r="EH153" s="367">
        <v>1</v>
      </c>
      <c r="EI153" s="367">
        <v>0</v>
      </c>
      <c r="EJ153" s="367">
        <v>0</v>
      </c>
      <c r="EK153" s="367">
        <v>0</v>
      </c>
      <c r="EL153" s="367">
        <v>1</v>
      </c>
      <c r="EM153" s="367">
        <v>0</v>
      </c>
      <c r="EN153" s="367">
        <v>0</v>
      </c>
      <c r="EO153" s="367"/>
      <c r="EP153" s="367"/>
      <c r="EQ153" s="367"/>
      <c r="ER153" s="367"/>
      <c r="ES153" s="369">
        <f t="shared" si="186"/>
        <v>3</v>
      </c>
      <c r="ET153" s="367">
        <v>5</v>
      </c>
      <c r="EU153" s="367">
        <v>0</v>
      </c>
      <c r="EV153" s="367">
        <v>0</v>
      </c>
      <c r="EW153" s="367">
        <v>0</v>
      </c>
      <c r="EX153" s="367">
        <v>0</v>
      </c>
      <c r="EY153" s="367">
        <v>0</v>
      </c>
      <c r="EZ153" s="367">
        <v>2</v>
      </c>
      <c r="FA153" s="367">
        <v>1</v>
      </c>
      <c r="FB153" s="367"/>
      <c r="FC153" s="367"/>
      <c r="FD153" s="367"/>
      <c r="FE153" s="367"/>
      <c r="FF153" s="367"/>
      <c r="FG153" s="367">
        <f t="shared" si="187"/>
        <v>8</v>
      </c>
      <c r="FH153" s="371">
        <v>35</v>
      </c>
      <c r="FI153" s="371">
        <v>3</v>
      </c>
      <c r="FJ153" s="371">
        <v>8</v>
      </c>
      <c r="FK153" s="371">
        <v>3</v>
      </c>
      <c r="FL153" s="371">
        <v>5</v>
      </c>
      <c r="FM153" s="371">
        <v>7</v>
      </c>
      <c r="FN153" s="371">
        <f t="shared" si="192"/>
        <v>0</v>
      </c>
      <c r="FO153" s="371">
        <f t="shared" si="193"/>
        <v>0</v>
      </c>
      <c r="FP153" s="371">
        <f t="shared" ref="FP153:FU155" si="198">((SUM(AO153,AY153,BI153,BS153,CC153,CM153,CW153,DG153,DQ153))-(FH153))</f>
        <v>0</v>
      </c>
      <c r="FQ153" s="371">
        <f t="shared" si="198"/>
        <v>0</v>
      </c>
      <c r="FR153" s="371">
        <f t="shared" si="198"/>
        <v>0</v>
      </c>
      <c r="FS153" s="371">
        <f t="shared" si="198"/>
        <v>0</v>
      </c>
      <c r="FT153" s="371">
        <f t="shared" si="198"/>
        <v>0</v>
      </c>
      <c r="FU153" s="371">
        <f t="shared" si="198"/>
        <v>0</v>
      </c>
      <c r="FV153" s="371">
        <f t="shared" ref="FV153:GI155" si="199">(EF153-ET153)</f>
        <v>-5</v>
      </c>
      <c r="FW153" s="371">
        <f t="shared" si="199"/>
        <v>1</v>
      </c>
      <c r="FX153" s="371">
        <f t="shared" si="199"/>
        <v>1</v>
      </c>
      <c r="FY153" s="371">
        <f t="shared" si="199"/>
        <v>0</v>
      </c>
      <c r="FZ153" s="371">
        <f t="shared" si="199"/>
        <v>0</v>
      </c>
      <c r="GA153" s="371">
        <f t="shared" si="199"/>
        <v>0</v>
      </c>
      <c r="GB153" s="371">
        <f t="shared" si="199"/>
        <v>-1</v>
      </c>
      <c r="GC153" s="371">
        <f t="shared" si="199"/>
        <v>-1</v>
      </c>
      <c r="GD153" s="371">
        <f t="shared" si="199"/>
        <v>0</v>
      </c>
      <c r="GE153" s="371">
        <f t="shared" si="199"/>
        <v>0</v>
      </c>
      <c r="GF153" s="371">
        <f t="shared" si="199"/>
        <v>0</v>
      </c>
      <c r="GG153" s="371">
        <f t="shared" si="199"/>
        <v>0</v>
      </c>
      <c r="GH153" s="371">
        <f t="shared" si="199"/>
        <v>0</v>
      </c>
      <c r="GI153" s="371">
        <f t="shared" si="199"/>
        <v>-5</v>
      </c>
      <c r="GJ153" s="372"/>
      <c r="GK153" s="367" t="s">
        <v>694</v>
      </c>
      <c r="GL153" s="376" t="s">
        <v>694</v>
      </c>
      <c r="GM153" s="376" t="s">
        <v>692</v>
      </c>
    </row>
    <row r="154" spans="1:195" x14ac:dyDescent="0.25">
      <c r="A154" s="356">
        <v>40443</v>
      </c>
      <c r="B154" s="356" t="s">
        <v>133</v>
      </c>
      <c r="C154" s="356" t="s">
        <v>129</v>
      </c>
      <c r="D154" s="356" t="s">
        <v>132</v>
      </c>
      <c r="E154" s="357">
        <v>46986</v>
      </c>
      <c r="F154" s="360">
        <v>195</v>
      </c>
      <c r="G154" s="358">
        <v>2</v>
      </c>
      <c r="H154" s="359" t="s">
        <v>393</v>
      </c>
      <c r="I154" s="360">
        <v>0</v>
      </c>
      <c r="J154" s="360">
        <v>0</v>
      </c>
      <c r="K154" s="361">
        <f>2+1/3</f>
        <v>2.3333333333333335</v>
      </c>
      <c r="L154" s="360">
        <v>0</v>
      </c>
      <c r="M154" s="360">
        <v>0</v>
      </c>
      <c r="N154" s="360">
        <v>0</v>
      </c>
      <c r="O154" s="360">
        <v>1</v>
      </c>
      <c r="P154" s="360">
        <v>1</v>
      </c>
      <c r="Q154" s="360">
        <v>0</v>
      </c>
      <c r="R154" s="360">
        <v>0</v>
      </c>
      <c r="S154" s="360">
        <v>8</v>
      </c>
      <c r="T154" s="360">
        <v>33</v>
      </c>
      <c r="U154" s="360">
        <v>20</v>
      </c>
      <c r="V154" s="360">
        <v>1</v>
      </c>
      <c r="W154" s="362">
        <v>0</v>
      </c>
      <c r="X154" s="360">
        <v>1</v>
      </c>
      <c r="Y154" s="360">
        <v>0</v>
      </c>
      <c r="Z154" s="360">
        <v>2</v>
      </c>
      <c r="AA154" s="360">
        <v>0</v>
      </c>
      <c r="AB154" s="360">
        <v>0</v>
      </c>
      <c r="AC154" s="361">
        <f>6+2/3</f>
        <v>6.666666666666667</v>
      </c>
      <c r="AD154" s="360">
        <v>6</v>
      </c>
      <c r="AE154" s="360">
        <v>2</v>
      </c>
      <c r="AF154" s="360">
        <v>2</v>
      </c>
      <c r="AG154" s="360">
        <v>0</v>
      </c>
      <c r="AH154" s="360">
        <v>6</v>
      </c>
      <c r="AI154" s="360">
        <v>1</v>
      </c>
      <c r="AJ154" s="360">
        <v>1</v>
      </c>
      <c r="AK154" s="360">
        <v>27</v>
      </c>
      <c r="AL154" s="360">
        <v>108</v>
      </c>
      <c r="AM154" s="360">
        <v>68</v>
      </c>
      <c r="AN154" s="363" t="s">
        <v>275</v>
      </c>
      <c r="AO154" s="364">
        <v>2</v>
      </c>
      <c r="AP154" s="364">
        <v>2</v>
      </c>
      <c r="AQ154" s="364">
        <v>1</v>
      </c>
      <c r="AR154" s="364">
        <v>0</v>
      </c>
      <c r="AS154" s="364">
        <v>3</v>
      </c>
      <c r="AT154" s="364">
        <v>0</v>
      </c>
      <c r="AU154" s="364">
        <v>0</v>
      </c>
      <c r="AV154" s="364">
        <v>0</v>
      </c>
      <c r="AW154" s="365">
        <v>1</v>
      </c>
      <c r="AX154" s="363" t="s">
        <v>389</v>
      </c>
      <c r="AY154" s="364">
        <v>3</v>
      </c>
      <c r="AZ154" s="364">
        <v>0</v>
      </c>
      <c r="BA154" s="364">
        <v>1</v>
      </c>
      <c r="BB154" s="364">
        <v>1</v>
      </c>
      <c r="BC154" s="364">
        <v>2</v>
      </c>
      <c r="BD154" s="364">
        <v>0</v>
      </c>
      <c r="BE154" s="364">
        <v>0</v>
      </c>
      <c r="BF154" s="364">
        <v>0</v>
      </c>
      <c r="BG154" s="365">
        <v>1</v>
      </c>
      <c r="BH154" s="363" t="s">
        <v>391</v>
      </c>
      <c r="BI154" s="364">
        <v>5</v>
      </c>
      <c r="BJ154" s="364">
        <v>1</v>
      </c>
      <c r="BK154" s="364">
        <v>2</v>
      </c>
      <c r="BL154" s="364">
        <v>2</v>
      </c>
      <c r="BM154" s="364">
        <v>0</v>
      </c>
      <c r="BN154" s="364">
        <v>0</v>
      </c>
      <c r="BO154" s="364">
        <v>0</v>
      </c>
      <c r="BP154" s="364">
        <v>0</v>
      </c>
      <c r="BQ154" s="365">
        <v>5</v>
      </c>
      <c r="BR154" s="363" t="s">
        <v>390</v>
      </c>
      <c r="BS154" s="364">
        <v>4</v>
      </c>
      <c r="BT154" s="364">
        <v>2</v>
      </c>
      <c r="BU154" s="364">
        <v>2</v>
      </c>
      <c r="BV154" s="364">
        <v>2</v>
      </c>
      <c r="BW154" s="364">
        <v>0</v>
      </c>
      <c r="BX154" s="364">
        <v>0</v>
      </c>
      <c r="BY154" s="364">
        <v>0</v>
      </c>
      <c r="BZ154" s="364">
        <v>1</v>
      </c>
      <c r="CA154" s="365">
        <v>5</v>
      </c>
      <c r="CB154" s="363" t="s">
        <v>332</v>
      </c>
      <c r="CC154" s="364">
        <v>4</v>
      </c>
      <c r="CD154" s="364">
        <v>1</v>
      </c>
      <c r="CE154" s="364">
        <v>1</v>
      </c>
      <c r="CF154" s="364">
        <v>1</v>
      </c>
      <c r="CG154" s="364">
        <v>1</v>
      </c>
      <c r="CH154" s="364">
        <v>1</v>
      </c>
      <c r="CI154" s="364">
        <v>0</v>
      </c>
      <c r="CJ154" s="364">
        <v>0</v>
      </c>
      <c r="CK154" s="365">
        <v>4</v>
      </c>
      <c r="CL154" s="363" t="s">
        <v>387</v>
      </c>
      <c r="CM154" s="364">
        <v>5</v>
      </c>
      <c r="CN154" s="364">
        <v>0</v>
      </c>
      <c r="CO154" s="364">
        <v>1</v>
      </c>
      <c r="CP154" s="364">
        <v>0</v>
      </c>
      <c r="CQ154" s="364">
        <v>0</v>
      </c>
      <c r="CR154" s="364">
        <v>2</v>
      </c>
      <c r="CS154" s="364">
        <v>0</v>
      </c>
      <c r="CT154" s="364">
        <v>0</v>
      </c>
      <c r="CU154" s="365">
        <v>2</v>
      </c>
      <c r="CV154" s="363" t="s">
        <v>384</v>
      </c>
      <c r="CW154" s="364">
        <v>5</v>
      </c>
      <c r="CX154" s="364">
        <v>0</v>
      </c>
      <c r="CY154" s="364">
        <v>1</v>
      </c>
      <c r="CZ154" s="364">
        <v>0</v>
      </c>
      <c r="DA154" s="364">
        <v>0</v>
      </c>
      <c r="DB154" s="364">
        <v>2</v>
      </c>
      <c r="DC154" s="364">
        <v>0</v>
      </c>
      <c r="DD154" s="364">
        <v>0</v>
      </c>
      <c r="DE154" s="365">
        <v>1</v>
      </c>
      <c r="DF154" s="363" t="s">
        <v>385</v>
      </c>
      <c r="DG154" s="364">
        <v>4</v>
      </c>
      <c r="DH154" s="364">
        <v>1</v>
      </c>
      <c r="DI154" s="364">
        <v>2</v>
      </c>
      <c r="DJ154" s="364">
        <v>1</v>
      </c>
      <c r="DK154" s="364">
        <v>1</v>
      </c>
      <c r="DL154" s="364">
        <v>0</v>
      </c>
      <c r="DM154" s="364">
        <v>0</v>
      </c>
      <c r="DN154" s="364">
        <v>0</v>
      </c>
      <c r="DO154" s="365">
        <v>2</v>
      </c>
      <c r="DP154" s="363" t="s">
        <v>406</v>
      </c>
      <c r="DQ154" s="364">
        <v>5</v>
      </c>
      <c r="DR154" s="364">
        <v>0</v>
      </c>
      <c r="DS154" s="364">
        <v>1</v>
      </c>
      <c r="DT154" s="364">
        <v>0</v>
      </c>
      <c r="DU154" s="364">
        <v>0</v>
      </c>
      <c r="DV154" s="364">
        <v>2</v>
      </c>
      <c r="DW154" s="364">
        <v>0</v>
      </c>
      <c r="DX154" s="364">
        <v>0</v>
      </c>
      <c r="DY154" s="365">
        <v>1</v>
      </c>
      <c r="DZ154" s="366">
        <f>1+2/3</f>
        <v>1.6666666666666665</v>
      </c>
      <c r="EA154" s="367">
        <v>0</v>
      </c>
      <c r="EB154" s="367">
        <v>0</v>
      </c>
      <c r="EC154" s="368">
        <f>7+1/3</f>
        <v>7.333333333333333</v>
      </c>
      <c r="ED154" s="367">
        <v>2</v>
      </c>
      <c r="EE154" s="369">
        <v>0</v>
      </c>
      <c r="EF154" s="370">
        <v>1</v>
      </c>
      <c r="EG154" s="367">
        <v>0</v>
      </c>
      <c r="EH154" s="367">
        <v>0</v>
      </c>
      <c r="EI154" s="367">
        <v>0</v>
      </c>
      <c r="EJ154" s="367">
        <v>1</v>
      </c>
      <c r="EK154" s="367">
        <v>1</v>
      </c>
      <c r="EL154" s="367">
        <v>2</v>
      </c>
      <c r="EM154" s="367">
        <v>1</v>
      </c>
      <c r="EN154" s="367">
        <v>1</v>
      </c>
      <c r="EO154" s="367"/>
      <c r="EP154" s="367"/>
      <c r="EQ154" s="367"/>
      <c r="ER154" s="367"/>
      <c r="ES154" s="369">
        <f t="shared" si="186"/>
        <v>7</v>
      </c>
      <c r="ET154" s="367">
        <v>0</v>
      </c>
      <c r="EU154" s="367">
        <v>0</v>
      </c>
      <c r="EV154" s="367">
        <v>0</v>
      </c>
      <c r="EW154" s="367">
        <v>0</v>
      </c>
      <c r="EX154" s="367">
        <v>1</v>
      </c>
      <c r="EY154" s="367">
        <v>1</v>
      </c>
      <c r="EZ154" s="367">
        <v>0</v>
      </c>
      <c r="FA154" s="367">
        <v>0</v>
      </c>
      <c r="FB154" s="367">
        <v>0</v>
      </c>
      <c r="FC154" s="367"/>
      <c r="FD154" s="367"/>
      <c r="FE154" s="367"/>
      <c r="FF154" s="367"/>
      <c r="FG154" s="367">
        <f t="shared" si="187"/>
        <v>2</v>
      </c>
      <c r="FH154" s="371">
        <v>37</v>
      </c>
      <c r="FI154" s="371">
        <v>7</v>
      </c>
      <c r="FJ154" s="371">
        <v>12</v>
      </c>
      <c r="FK154" s="371">
        <v>7</v>
      </c>
      <c r="FL154" s="371">
        <v>7</v>
      </c>
      <c r="FM154" s="371">
        <v>7</v>
      </c>
      <c r="FN154" s="371">
        <f t="shared" si="192"/>
        <v>0</v>
      </c>
      <c r="FO154" s="371">
        <f t="shared" si="193"/>
        <v>0</v>
      </c>
      <c r="FP154" s="371">
        <f t="shared" si="198"/>
        <v>0</v>
      </c>
      <c r="FQ154" s="371">
        <f t="shared" si="198"/>
        <v>0</v>
      </c>
      <c r="FR154" s="371">
        <f t="shared" si="198"/>
        <v>0</v>
      </c>
      <c r="FS154" s="371">
        <f t="shared" si="198"/>
        <v>0</v>
      </c>
      <c r="FT154" s="371">
        <f t="shared" si="198"/>
        <v>0</v>
      </c>
      <c r="FU154" s="371">
        <f t="shared" si="198"/>
        <v>0</v>
      </c>
      <c r="FV154" s="371">
        <f t="shared" si="199"/>
        <v>1</v>
      </c>
      <c r="FW154" s="371">
        <f t="shared" si="199"/>
        <v>0</v>
      </c>
      <c r="FX154" s="371">
        <f t="shared" si="199"/>
        <v>0</v>
      </c>
      <c r="FY154" s="371">
        <f t="shared" si="199"/>
        <v>0</v>
      </c>
      <c r="FZ154" s="371">
        <f t="shared" si="199"/>
        <v>0</v>
      </c>
      <c r="GA154" s="371">
        <f t="shared" si="199"/>
        <v>0</v>
      </c>
      <c r="GB154" s="371">
        <f t="shared" si="199"/>
        <v>2</v>
      </c>
      <c r="GC154" s="371">
        <f t="shared" si="199"/>
        <v>1</v>
      </c>
      <c r="GD154" s="371">
        <f t="shared" si="199"/>
        <v>1</v>
      </c>
      <c r="GE154" s="371">
        <f t="shared" si="199"/>
        <v>0</v>
      </c>
      <c r="GF154" s="371">
        <f t="shared" si="199"/>
        <v>0</v>
      </c>
      <c r="GG154" s="371">
        <f t="shared" si="199"/>
        <v>0</v>
      </c>
      <c r="GH154" s="371">
        <f t="shared" si="199"/>
        <v>0</v>
      </c>
      <c r="GI154" s="371">
        <f t="shared" si="199"/>
        <v>5</v>
      </c>
      <c r="GJ154" s="372"/>
      <c r="GK154" s="367" t="s">
        <v>694</v>
      </c>
      <c r="GL154" s="376" t="s">
        <v>694</v>
      </c>
      <c r="GM154" s="376" t="s">
        <v>692</v>
      </c>
    </row>
    <row r="155" spans="1:195" x14ac:dyDescent="0.25">
      <c r="A155" s="356">
        <v>40444</v>
      </c>
      <c r="B155" s="356" t="s">
        <v>133</v>
      </c>
      <c r="C155" s="356" t="s">
        <v>129</v>
      </c>
      <c r="D155" s="356" t="s">
        <v>132</v>
      </c>
      <c r="E155" s="357">
        <v>47646</v>
      </c>
      <c r="F155" s="360">
        <v>203</v>
      </c>
      <c r="G155" s="358">
        <v>3</v>
      </c>
      <c r="H155" s="359" t="s">
        <v>394</v>
      </c>
      <c r="I155" s="360">
        <v>1</v>
      </c>
      <c r="J155" s="360">
        <v>0</v>
      </c>
      <c r="K155" s="361">
        <v>6</v>
      </c>
      <c r="L155" s="360">
        <v>8</v>
      </c>
      <c r="M155" s="360">
        <v>3</v>
      </c>
      <c r="N155" s="360">
        <v>3</v>
      </c>
      <c r="O155" s="360">
        <v>4</v>
      </c>
      <c r="P155" s="360">
        <v>7</v>
      </c>
      <c r="Q155" s="360">
        <v>1</v>
      </c>
      <c r="R155" s="360">
        <v>0</v>
      </c>
      <c r="S155" s="360">
        <v>30</v>
      </c>
      <c r="T155" s="360">
        <v>107</v>
      </c>
      <c r="U155" s="360">
        <v>64</v>
      </c>
      <c r="V155" s="360">
        <v>0</v>
      </c>
      <c r="W155" s="362">
        <v>0</v>
      </c>
      <c r="X155" s="360">
        <v>0</v>
      </c>
      <c r="Y155" s="360">
        <v>0</v>
      </c>
      <c r="Z155" s="360">
        <v>0</v>
      </c>
      <c r="AA155" s="360">
        <v>0</v>
      </c>
      <c r="AB155" s="360">
        <v>0</v>
      </c>
      <c r="AC155" s="361">
        <v>3</v>
      </c>
      <c r="AD155" s="360">
        <v>1</v>
      </c>
      <c r="AE155" s="360">
        <v>0</v>
      </c>
      <c r="AF155" s="360">
        <v>0</v>
      </c>
      <c r="AG155" s="360">
        <v>0</v>
      </c>
      <c r="AH155" s="360">
        <v>1</v>
      </c>
      <c r="AI155" s="360">
        <v>0</v>
      </c>
      <c r="AJ155" s="360">
        <v>0</v>
      </c>
      <c r="AK155" s="360">
        <v>9</v>
      </c>
      <c r="AL155" s="360">
        <v>33</v>
      </c>
      <c r="AM155" s="360">
        <v>22</v>
      </c>
      <c r="AN155" s="363" t="s">
        <v>273</v>
      </c>
      <c r="AO155" s="364">
        <v>5</v>
      </c>
      <c r="AP155" s="364">
        <v>1</v>
      </c>
      <c r="AQ155" s="364">
        <v>2</v>
      </c>
      <c r="AR155" s="364">
        <v>2</v>
      </c>
      <c r="AS155" s="364">
        <v>1</v>
      </c>
      <c r="AT155" s="364">
        <v>3</v>
      </c>
      <c r="AU155" s="364">
        <v>0</v>
      </c>
      <c r="AV155" s="364">
        <v>0</v>
      </c>
      <c r="AW155" s="365">
        <v>3</v>
      </c>
      <c r="AX155" s="363" t="s">
        <v>384</v>
      </c>
      <c r="AY155" s="364">
        <v>5</v>
      </c>
      <c r="AZ155" s="364">
        <v>1</v>
      </c>
      <c r="BA155" s="364">
        <v>2</v>
      </c>
      <c r="BB155" s="364">
        <v>0</v>
      </c>
      <c r="BC155" s="364">
        <v>0</v>
      </c>
      <c r="BD155" s="364">
        <v>1</v>
      </c>
      <c r="BE155" s="364">
        <v>0</v>
      </c>
      <c r="BF155" s="364">
        <v>0</v>
      </c>
      <c r="BG155" s="365">
        <v>2</v>
      </c>
      <c r="BH155" s="363" t="s">
        <v>391</v>
      </c>
      <c r="BI155" s="364">
        <v>5</v>
      </c>
      <c r="BJ155" s="364">
        <v>1</v>
      </c>
      <c r="BK155" s="364">
        <v>3</v>
      </c>
      <c r="BL155" s="364">
        <v>2</v>
      </c>
      <c r="BM155" s="364">
        <v>0</v>
      </c>
      <c r="BN155" s="364">
        <v>0</v>
      </c>
      <c r="BO155" s="364">
        <v>0</v>
      </c>
      <c r="BP155" s="364">
        <v>0</v>
      </c>
      <c r="BQ155" s="365">
        <v>3</v>
      </c>
      <c r="BR155" s="363" t="s">
        <v>390</v>
      </c>
      <c r="BS155" s="364">
        <v>4</v>
      </c>
      <c r="BT155" s="364">
        <v>1</v>
      </c>
      <c r="BU155" s="364">
        <v>1</v>
      </c>
      <c r="BV155" s="364">
        <v>0</v>
      </c>
      <c r="BW155" s="364">
        <v>1</v>
      </c>
      <c r="BX155" s="364">
        <v>0</v>
      </c>
      <c r="BY155" s="364">
        <v>0</v>
      </c>
      <c r="BZ155" s="364">
        <v>0</v>
      </c>
      <c r="CA155" s="365">
        <v>2</v>
      </c>
      <c r="CB155" s="363" t="s">
        <v>389</v>
      </c>
      <c r="CC155" s="364">
        <v>4</v>
      </c>
      <c r="CD155" s="364">
        <v>1</v>
      </c>
      <c r="CE155" s="364">
        <v>1</v>
      </c>
      <c r="CF155" s="364">
        <v>1</v>
      </c>
      <c r="CG155" s="364">
        <v>1</v>
      </c>
      <c r="CH155" s="364">
        <v>1</v>
      </c>
      <c r="CI155" s="364">
        <v>0</v>
      </c>
      <c r="CJ155" s="364">
        <v>0</v>
      </c>
      <c r="CK155" s="365">
        <v>1</v>
      </c>
      <c r="CL155" s="363" t="s">
        <v>575</v>
      </c>
      <c r="CM155" s="364">
        <v>4</v>
      </c>
      <c r="CN155" s="364">
        <v>2</v>
      </c>
      <c r="CO155" s="364">
        <v>2</v>
      </c>
      <c r="CP155" s="364">
        <v>1</v>
      </c>
      <c r="CQ155" s="364">
        <v>0</v>
      </c>
      <c r="CR155" s="364">
        <v>0</v>
      </c>
      <c r="CS155" s="364">
        <v>1</v>
      </c>
      <c r="CT155" s="364">
        <v>0</v>
      </c>
      <c r="CU155" s="365">
        <v>2</v>
      </c>
      <c r="CV155" s="363" t="s">
        <v>272</v>
      </c>
      <c r="CW155" s="364">
        <v>3</v>
      </c>
      <c r="CX155" s="364">
        <v>1</v>
      </c>
      <c r="CY155" s="364">
        <v>2</v>
      </c>
      <c r="CZ155" s="364">
        <v>1</v>
      </c>
      <c r="DA155" s="364">
        <v>0</v>
      </c>
      <c r="DB155" s="364">
        <v>0</v>
      </c>
      <c r="DC155" s="364">
        <v>1</v>
      </c>
      <c r="DD155" s="364">
        <v>0</v>
      </c>
      <c r="DE155" s="365">
        <v>2</v>
      </c>
      <c r="DF155" s="363" t="s">
        <v>388</v>
      </c>
      <c r="DG155" s="364">
        <v>3</v>
      </c>
      <c r="DH155" s="364">
        <v>1</v>
      </c>
      <c r="DI155" s="364">
        <v>0</v>
      </c>
      <c r="DJ155" s="364">
        <v>1</v>
      </c>
      <c r="DK155" s="364">
        <v>1</v>
      </c>
      <c r="DL155" s="364">
        <v>1</v>
      </c>
      <c r="DM155" s="364">
        <v>1</v>
      </c>
      <c r="DN155" s="364">
        <v>0</v>
      </c>
      <c r="DO155" s="365">
        <v>0</v>
      </c>
      <c r="DP155" s="363" t="s">
        <v>271</v>
      </c>
      <c r="DQ155" s="364">
        <v>3</v>
      </c>
      <c r="DR155" s="364">
        <v>1</v>
      </c>
      <c r="DS155" s="364">
        <v>0</v>
      </c>
      <c r="DT155" s="364">
        <v>2</v>
      </c>
      <c r="DU155" s="364">
        <v>1</v>
      </c>
      <c r="DV155" s="364">
        <v>3</v>
      </c>
      <c r="DW155" s="364">
        <v>0</v>
      </c>
      <c r="DX155" s="364">
        <v>1</v>
      </c>
      <c r="DY155" s="365">
        <v>0</v>
      </c>
      <c r="DZ155" s="366">
        <f>5+1/3</f>
        <v>5.333333333333333</v>
      </c>
      <c r="EA155" s="367">
        <v>0</v>
      </c>
      <c r="EB155" s="367">
        <v>0</v>
      </c>
      <c r="EC155" s="368">
        <f>3+2/3</f>
        <v>3.6666666666666665</v>
      </c>
      <c r="ED155" s="367">
        <v>0</v>
      </c>
      <c r="EE155" s="369">
        <v>0</v>
      </c>
      <c r="EF155" s="370">
        <v>0</v>
      </c>
      <c r="EG155" s="367">
        <v>0</v>
      </c>
      <c r="EH155" s="367">
        <v>1</v>
      </c>
      <c r="EI155" s="367">
        <v>0</v>
      </c>
      <c r="EJ155" s="367">
        <v>0</v>
      </c>
      <c r="EK155" s="367">
        <v>7</v>
      </c>
      <c r="EL155" s="367">
        <v>2</v>
      </c>
      <c r="EM155" s="367">
        <v>0</v>
      </c>
      <c r="EN155" s="367">
        <v>0</v>
      </c>
      <c r="EO155" s="367"/>
      <c r="EP155" s="367"/>
      <c r="EQ155" s="367"/>
      <c r="ER155" s="367"/>
      <c r="ES155" s="369">
        <f t="shared" si="186"/>
        <v>10</v>
      </c>
      <c r="ET155" s="367">
        <v>0</v>
      </c>
      <c r="EU155" s="367">
        <v>2</v>
      </c>
      <c r="EV155" s="367">
        <v>0</v>
      </c>
      <c r="EW155" s="367">
        <v>0</v>
      </c>
      <c r="EX155" s="367">
        <v>1</v>
      </c>
      <c r="EY155" s="367">
        <v>0</v>
      </c>
      <c r="EZ155" s="367">
        <v>0</v>
      </c>
      <c r="FA155" s="367">
        <v>0</v>
      </c>
      <c r="FB155" s="367">
        <v>0</v>
      </c>
      <c r="FC155" s="367"/>
      <c r="FD155" s="367"/>
      <c r="FE155" s="367"/>
      <c r="FF155" s="367"/>
      <c r="FG155" s="367">
        <f t="shared" si="187"/>
        <v>3</v>
      </c>
      <c r="FH155" s="371">
        <v>36</v>
      </c>
      <c r="FI155" s="371">
        <v>10</v>
      </c>
      <c r="FJ155" s="371">
        <v>13</v>
      </c>
      <c r="FK155" s="371">
        <v>10</v>
      </c>
      <c r="FL155" s="371">
        <v>5</v>
      </c>
      <c r="FM155" s="371">
        <v>9</v>
      </c>
      <c r="FN155" s="371">
        <f t="shared" si="192"/>
        <v>0</v>
      </c>
      <c r="FO155" s="371">
        <f t="shared" si="193"/>
        <v>0</v>
      </c>
      <c r="FP155" s="371">
        <f t="shared" si="198"/>
        <v>0</v>
      </c>
      <c r="FQ155" s="371">
        <f t="shared" si="198"/>
        <v>0</v>
      </c>
      <c r="FR155" s="371">
        <f t="shared" si="198"/>
        <v>0</v>
      </c>
      <c r="FS155" s="371">
        <f t="shared" si="198"/>
        <v>0</v>
      </c>
      <c r="FT155" s="371">
        <f t="shared" si="198"/>
        <v>0</v>
      </c>
      <c r="FU155" s="371">
        <f t="shared" si="198"/>
        <v>0</v>
      </c>
      <c r="FV155" s="371">
        <f t="shared" si="199"/>
        <v>0</v>
      </c>
      <c r="FW155" s="371">
        <f t="shared" si="199"/>
        <v>-2</v>
      </c>
      <c r="FX155" s="371">
        <f t="shared" si="199"/>
        <v>1</v>
      </c>
      <c r="FY155" s="371">
        <f t="shared" si="199"/>
        <v>0</v>
      </c>
      <c r="FZ155" s="371">
        <f t="shared" si="199"/>
        <v>-1</v>
      </c>
      <c r="GA155" s="371">
        <f t="shared" si="199"/>
        <v>7</v>
      </c>
      <c r="GB155" s="371">
        <f t="shared" si="199"/>
        <v>2</v>
      </c>
      <c r="GC155" s="371">
        <f t="shared" si="199"/>
        <v>0</v>
      </c>
      <c r="GD155" s="371">
        <f t="shared" si="199"/>
        <v>0</v>
      </c>
      <c r="GE155" s="371">
        <f t="shared" si="199"/>
        <v>0</v>
      </c>
      <c r="GF155" s="371">
        <f t="shared" si="199"/>
        <v>0</v>
      </c>
      <c r="GG155" s="371">
        <f t="shared" si="199"/>
        <v>0</v>
      </c>
      <c r="GH155" s="371">
        <f t="shared" si="199"/>
        <v>0</v>
      </c>
      <c r="GI155" s="371">
        <f t="shared" si="199"/>
        <v>7</v>
      </c>
      <c r="GJ155" s="372"/>
      <c r="GK155" s="367" t="s">
        <v>694</v>
      </c>
      <c r="GL155" s="376" t="s">
        <v>694</v>
      </c>
      <c r="GM155" s="376" t="s">
        <v>692</v>
      </c>
    </row>
    <row r="156" spans="1:195" x14ac:dyDescent="0.25">
      <c r="A156" s="356">
        <v>40445</v>
      </c>
      <c r="B156" s="356" t="s">
        <v>19</v>
      </c>
      <c r="C156" s="356" t="s">
        <v>129</v>
      </c>
      <c r="D156" s="356" t="s">
        <v>139</v>
      </c>
      <c r="E156" s="357">
        <v>17840</v>
      </c>
      <c r="F156" s="360">
        <v>172</v>
      </c>
      <c r="G156" s="358">
        <v>4</v>
      </c>
      <c r="H156" s="359" t="s">
        <v>395</v>
      </c>
      <c r="I156" s="360">
        <v>1</v>
      </c>
      <c r="J156" s="360">
        <v>0</v>
      </c>
      <c r="K156" s="361">
        <f>5+2/3</f>
        <v>5.666666666666667</v>
      </c>
      <c r="L156" s="360">
        <v>7</v>
      </c>
      <c r="M156" s="360">
        <v>3</v>
      </c>
      <c r="N156" s="360">
        <v>3</v>
      </c>
      <c r="O156" s="360">
        <v>1</v>
      </c>
      <c r="P156" s="360">
        <v>4</v>
      </c>
      <c r="Q156" s="360">
        <v>0</v>
      </c>
      <c r="R156" s="360">
        <v>0</v>
      </c>
      <c r="S156" s="360">
        <v>24</v>
      </c>
      <c r="T156" s="360">
        <v>79</v>
      </c>
      <c r="U156" s="360">
        <v>52</v>
      </c>
      <c r="V156" s="360">
        <v>1</v>
      </c>
      <c r="W156" s="362">
        <v>0</v>
      </c>
      <c r="X156" s="360">
        <v>0</v>
      </c>
      <c r="Y156" s="360">
        <v>0</v>
      </c>
      <c r="Z156" s="360">
        <v>3</v>
      </c>
      <c r="AA156" s="360">
        <v>1</v>
      </c>
      <c r="AB156" s="360">
        <v>0</v>
      </c>
      <c r="AC156" s="361">
        <f>3+1/3</f>
        <v>3.3333333333333335</v>
      </c>
      <c r="AD156" s="360">
        <v>2</v>
      </c>
      <c r="AE156" s="360">
        <v>0</v>
      </c>
      <c r="AF156" s="360">
        <v>0</v>
      </c>
      <c r="AG156" s="360">
        <v>1</v>
      </c>
      <c r="AH156" s="360">
        <v>3</v>
      </c>
      <c r="AI156" s="360">
        <v>0</v>
      </c>
      <c r="AJ156" s="360">
        <v>0</v>
      </c>
      <c r="AK156" s="360">
        <v>13</v>
      </c>
      <c r="AL156" s="360">
        <v>51</v>
      </c>
      <c r="AM156" s="360">
        <v>33</v>
      </c>
      <c r="AN156" s="363" t="s">
        <v>273</v>
      </c>
      <c r="AO156" s="364">
        <v>3</v>
      </c>
      <c r="AP156" s="364">
        <v>2</v>
      </c>
      <c r="AQ156" s="364">
        <v>1</v>
      </c>
      <c r="AR156" s="364">
        <v>0</v>
      </c>
      <c r="AS156" s="364">
        <v>2</v>
      </c>
      <c r="AT156" s="364">
        <v>0</v>
      </c>
      <c r="AU156" s="364">
        <v>0</v>
      </c>
      <c r="AV156" s="364">
        <v>0</v>
      </c>
      <c r="AW156" s="365">
        <v>2</v>
      </c>
      <c r="AX156" s="363" t="s">
        <v>384</v>
      </c>
      <c r="AY156" s="364">
        <v>3</v>
      </c>
      <c r="AZ156" s="364">
        <v>1</v>
      </c>
      <c r="BA156" s="364">
        <v>2</v>
      </c>
      <c r="BB156" s="364">
        <v>0</v>
      </c>
      <c r="BC156" s="364">
        <v>2</v>
      </c>
      <c r="BD156" s="364">
        <v>0</v>
      </c>
      <c r="BE156" s="364">
        <v>0</v>
      </c>
      <c r="BF156" s="364">
        <v>0</v>
      </c>
      <c r="BG156" s="365">
        <v>3</v>
      </c>
      <c r="BH156" s="363" t="s">
        <v>391</v>
      </c>
      <c r="BI156" s="364">
        <v>4</v>
      </c>
      <c r="BJ156" s="364">
        <v>0</v>
      </c>
      <c r="BK156" s="364">
        <v>0</v>
      </c>
      <c r="BL156" s="364">
        <v>0</v>
      </c>
      <c r="BM156" s="364">
        <v>0</v>
      </c>
      <c r="BN156" s="364">
        <v>1</v>
      </c>
      <c r="BO156" s="364">
        <v>0</v>
      </c>
      <c r="BP156" s="364">
        <v>0</v>
      </c>
      <c r="BQ156" s="365">
        <v>0</v>
      </c>
      <c r="BR156" s="363" t="s">
        <v>272</v>
      </c>
      <c r="BS156" s="364">
        <v>3</v>
      </c>
      <c r="BT156" s="364">
        <v>1</v>
      </c>
      <c r="BU156" s="364">
        <v>1</v>
      </c>
      <c r="BV156" s="364">
        <v>2</v>
      </c>
      <c r="BW156" s="364">
        <v>0</v>
      </c>
      <c r="BX156" s="364">
        <v>0</v>
      </c>
      <c r="BY156" s="364">
        <v>0</v>
      </c>
      <c r="BZ156" s="364">
        <v>1</v>
      </c>
      <c r="CA156" s="365">
        <v>1</v>
      </c>
      <c r="CB156" s="363" t="s">
        <v>389</v>
      </c>
      <c r="CC156" s="364">
        <v>4</v>
      </c>
      <c r="CD156" s="364">
        <v>1</v>
      </c>
      <c r="CE156" s="364">
        <v>2</v>
      </c>
      <c r="CF156" s="364">
        <v>1</v>
      </c>
      <c r="CG156" s="364">
        <v>0</v>
      </c>
      <c r="CH156" s="364">
        <v>0</v>
      </c>
      <c r="CI156" s="364">
        <v>0</v>
      </c>
      <c r="CJ156" s="364">
        <v>0</v>
      </c>
      <c r="CK156" s="365">
        <v>3</v>
      </c>
      <c r="CL156" s="363" t="s">
        <v>388</v>
      </c>
      <c r="CM156" s="364">
        <v>4</v>
      </c>
      <c r="CN156" s="364">
        <v>0</v>
      </c>
      <c r="CO156" s="364">
        <v>2</v>
      </c>
      <c r="CP156" s="364">
        <v>1</v>
      </c>
      <c r="CQ156" s="364">
        <v>0</v>
      </c>
      <c r="CR156" s="364">
        <v>2</v>
      </c>
      <c r="CS156" s="364">
        <v>0</v>
      </c>
      <c r="CT156" s="364">
        <v>0</v>
      </c>
      <c r="CU156" s="365">
        <v>3</v>
      </c>
      <c r="CV156" s="363" t="s">
        <v>274</v>
      </c>
      <c r="CW156" s="364">
        <v>3</v>
      </c>
      <c r="CX156" s="364">
        <v>0</v>
      </c>
      <c r="CY156" s="364">
        <v>0</v>
      </c>
      <c r="CZ156" s="364">
        <v>0</v>
      </c>
      <c r="DA156" s="364">
        <v>1</v>
      </c>
      <c r="DB156" s="364">
        <v>1</v>
      </c>
      <c r="DC156" s="364">
        <v>0</v>
      </c>
      <c r="DD156" s="364">
        <v>0</v>
      </c>
      <c r="DE156" s="365">
        <v>0</v>
      </c>
      <c r="DF156" s="363" t="s">
        <v>271</v>
      </c>
      <c r="DG156" s="364">
        <v>3</v>
      </c>
      <c r="DH156" s="364">
        <v>0</v>
      </c>
      <c r="DI156" s="364">
        <v>0</v>
      </c>
      <c r="DJ156" s="364">
        <v>0</v>
      </c>
      <c r="DK156" s="364">
        <v>1</v>
      </c>
      <c r="DL156" s="364">
        <v>2</v>
      </c>
      <c r="DM156" s="364">
        <v>0</v>
      </c>
      <c r="DN156" s="364">
        <v>0</v>
      </c>
      <c r="DO156" s="365">
        <v>0</v>
      </c>
      <c r="DP156" s="363" t="s">
        <v>399</v>
      </c>
      <c r="DQ156" s="364">
        <v>4</v>
      </c>
      <c r="DR156" s="364">
        <v>0</v>
      </c>
      <c r="DS156" s="364">
        <v>0</v>
      </c>
      <c r="DT156" s="364">
        <v>0</v>
      </c>
      <c r="DU156" s="364">
        <v>0</v>
      </c>
      <c r="DV156" s="364">
        <v>1</v>
      </c>
      <c r="DW156" s="364">
        <v>0</v>
      </c>
      <c r="DX156" s="364">
        <v>0</v>
      </c>
      <c r="DY156" s="365">
        <v>0</v>
      </c>
      <c r="DZ156" s="366">
        <v>6</v>
      </c>
      <c r="EA156" s="367">
        <v>2</v>
      </c>
      <c r="EB156" s="367">
        <v>0</v>
      </c>
      <c r="EC156" s="368">
        <v>2</v>
      </c>
      <c r="ED156" s="367">
        <v>0</v>
      </c>
      <c r="EE156" s="369">
        <v>0</v>
      </c>
      <c r="EF156" s="370">
        <v>0</v>
      </c>
      <c r="EG156" s="367">
        <v>1</v>
      </c>
      <c r="EH156" s="367">
        <v>1</v>
      </c>
      <c r="EI156" s="367">
        <v>0</v>
      </c>
      <c r="EJ156" s="367">
        <v>3</v>
      </c>
      <c r="EK156" s="367">
        <v>0</v>
      </c>
      <c r="EL156" s="367">
        <v>0</v>
      </c>
      <c r="EM156" s="367">
        <v>0</v>
      </c>
      <c r="EN156" s="367"/>
      <c r="EO156" s="367"/>
      <c r="EP156" s="367"/>
      <c r="EQ156" s="367"/>
      <c r="ER156" s="367"/>
      <c r="ES156" s="369">
        <f t="shared" ref="ES156:ES161" si="200">SUM(EF156:ER156)</f>
        <v>5</v>
      </c>
      <c r="ET156" s="367">
        <v>0</v>
      </c>
      <c r="EU156" s="367">
        <v>0</v>
      </c>
      <c r="EV156" s="367">
        <v>0</v>
      </c>
      <c r="EW156" s="367">
        <v>2</v>
      </c>
      <c r="EX156" s="367">
        <v>0</v>
      </c>
      <c r="EY156" s="367">
        <v>1</v>
      </c>
      <c r="EZ156" s="367">
        <v>0</v>
      </c>
      <c r="FA156" s="367">
        <v>0</v>
      </c>
      <c r="FB156" s="367">
        <v>0</v>
      </c>
      <c r="FC156" s="367"/>
      <c r="FD156" s="367"/>
      <c r="FE156" s="367"/>
      <c r="FF156" s="367"/>
      <c r="FG156" s="367">
        <f t="shared" ref="FG156:FG161" si="201">SUM(ET156:FF156)</f>
        <v>3</v>
      </c>
      <c r="FH156" s="371">
        <v>31</v>
      </c>
      <c r="FI156" s="371">
        <v>5</v>
      </c>
      <c r="FJ156" s="371">
        <v>8</v>
      </c>
      <c r="FK156" s="371">
        <v>4</v>
      </c>
      <c r="FL156" s="371">
        <v>6</v>
      </c>
      <c r="FM156" s="371">
        <v>7</v>
      </c>
      <c r="FN156" s="371">
        <f t="shared" si="192"/>
        <v>0</v>
      </c>
      <c r="FO156" s="371">
        <f t="shared" si="193"/>
        <v>0</v>
      </c>
      <c r="FP156" s="371">
        <f t="shared" ref="FP156:FU156" si="202">((SUM(AO156,AY156,BI156,BS156,CC156,CM156,CW156,DG156,DQ156))-(FH156))</f>
        <v>0</v>
      </c>
      <c r="FQ156" s="371">
        <f t="shared" si="202"/>
        <v>0</v>
      </c>
      <c r="FR156" s="371">
        <f t="shared" si="202"/>
        <v>0</v>
      </c>
      <c r="FS156" s="371">
        <f t="shared" si="202"/>
        <v>0</v>
      </c>
      <c r="FT156" s="371">
        <f t="shared" si="202"/>
        <v>0</v>
      </c>
      <c r="FU156" s="371">
        <f t="shared" si="202"/>
        <v>0</v>
      </c>
      <c r="FV156" s="371">
        <f t="shared" ref="FV156:GI156" si="203">(EF156-ET156)</f>
        <v>0</v>
      </c>
      <c r="FW156" s="371">
        <f t="shared" si="203"/>
        <v>1</v>
      </c>
      <c r="FX156" s="371">
        <f t="shared" si="203"/>
        <v>1</v>
      </c>
      <c r="FY156" s="371">
        <f t="shared" si="203"/>
        <v>-2</v>
      </c>
      <c r="FZ156" s="371">
        <f t="shared" si="203"/>
        <v>3</v>
      </c>
      <c r="GA156" s="371">
        <f t="shared" si="203"/>
        <v>-1</v>
      </c>
      <c r="GB156" s="371">
        <f t="shared" si="203"/>
        <v>0</v>
      </c>
      <c r="GC156" s="371">
        <f t="shared" si="203"/>
        <v>0</v>
      </c>
      <c r="GD156" s="371">
        <f t="shared" si="203"/>
        <v>0</v>
      </c>
      <c r="GE156" s="371">
        <f t="shared" si="203"/>
        <v>0</v>
      </c>
      <c r="GF156" s="371">
        <f t="shared" si="203"/>
        <v>0</v>
      </c>
      <c r="GG156" s="371">
        <f t="shared" si="203"/>
        <v>0</v>
      </c>
      <c r="GH156" s="371">
        <f t="shared" si="203"/>
        <v>0</v>
      </c>
      <c r="GI156" s="371">
        <f t="shared" si="203"/>
        <v>2</v>
      </c>
      <c r="GJ156" s="372"/>
      <c r="GK156" s="367" t="s">
        <v>691</v>
      </c>
      <c r="GL156" s="376" t="s">
        <v>691</v>
      </c>
      <c r="GM156" s="376" t="s">
        <v>692</v>
      </c>
    </row>
    <row r="157" spans="1:195" x14ac:dyDescent="0.25">
      <c r="A157" s="356">
        <v>40446</v>
      </c>
      <c r="B157" s="356" t="s">
        <v>19</v>
      </c>
      <c r="C157" s="356" t="s">
        <v>129</v>
      </c>
      <c r="D157" s="356" t="s">
        <v>139</v>
      </c>
      <c r="E157" s="357">
        <v>26427</v>
      </c>
      <c r="F157" s="360">
        <v>145</v>
      </c>
      <c r="G157" s="358">
        <v>5</v>
      </c>
      <c r="H157" s="359" t="s">
        <v>396</v>
      </c>
      <c r="I157" s="360">
        <v>1</v>
      </c>
      <c r="J157" s="360">
        <v>0</v>
      </c>
      <c r="K157" s="361">
        <v>7</v>
      </c>
      <c r="L157" s="360">
        <v>8</v>
      </c>
      <c r="M157" s="360">
        <v>1</v>
      </c>
      <c r="N157" s="360">
        <v>1</v>
      </c>
      <c r="O157" s="360">
        <v>0</v>
      </c>
      <c r="P157" s="360">
        <v>5</v>
      </c>
      <c r="Q157" s="360">
        <v>0</v>
      </c>
      <c r="R157" s="360">
        <v>0</v>
      </c>
      <c r="S157" s="360">
        <v>27</v>
      </c>
      <c r="T157" s="360">
        <v>92</v>
      </c>
      <c r="U157" s="360">
        <v>64</v>
      </c>
      <c r="V157" s="360">
        <v>0</v>
      </c>
      <c r="W157" s="362">
        <v>0</v>
      </c>
      <c r="X157" s="360">
        <v>0</v>
      </c>
      <c r="Y157" s="360">
        <v>0</v>
      </c>
      <c r="Z157" s="360">
        <v>0</v>
      </c>
      <c r="AA157" s="360">
        <v>0</v>
      </c>
      <c r="AB157" s="360">
        <v>0</v>
      </c>
      <c r="AC157" s="361">
        <v>2</v>
      </c>
      <c r="AD157" s="360">
        <v>1</v>
      </c>
      <c r="AE157" s="360">
        <v>0</v>
      </c>
      <c r="AF157" s="360">
        <v>0</v>
      </c>
      <c r="AG157" s="360">
        <v>0</v>
      </c>
      <c r="AH157" s="360">
        <v>0</v>
      </c>
      <c r="AI157" s="360">
        <v>0</v>
      </c>
      <c r="AJ157" s="360">
        <v>0</v>
      </c>
      <c r="AK157" s="360">
        <v>7</v>
      </c>
      <c r="AL157" s="360">
        <v>22</v>
      </c>
      <c r="AM157" s="360">
        <v>13</v>
      </c>
      <c r="AN157" s="363" t="s">
        <v>275</v>
      </c>
      <c r="AO157" s="364">
        <v>5</v>
      </c>
      <c r="AP157" s="364">
        <v>2</v>
      </c>
      <c r="AQ157" s="364">
        <v>2</v>
      </c>
      <c r="AR157" s="364">
        <v>0</v>
      </c>
      <c r="AS157" s="364">
        <v>0</v>
      </c>
      <c r="AT157" s="364">
        <v>0</v>
      </c>
      <c r="AU157" s="364">
        <v>0</v>
      </c>
      <c r="AV157" s="364">
        <v>0</v>
      </c>
      <c r="AW157" s="365">
        <v>4</v>
      </c>
      <c r="AX157" s="363" t="s">
        <v>389</v>
      </c>
      <c r="AY157" s="364">
        <v>5</v>
      </c>
      <c r="AZ157" s="364">
        <v>1</v>
      </c>
      <c r="BA157" s="364">
        <v>1</v>
      </c>
      <c r="BB157" s="364">
        <v>1</v>
      </c>
      <c r="BC157" s="364">
        <v>0</v>
      </c>
      <c r="BD157" s="364">
        <v>1</v>
      </c>
      <c r="BE157" s="364">
        <v>0</v>
      </c>
      <c r="BF157" s="364">
        <v>0</v>
      </c>
      <c r="BG157" s="365">
        <v>2</v>
      </c>
      <c r="BH157" s="363" t="s">
        <v>391</v>
      </c>
      <c r="BI157" s="364">
        <v>4</v>
      </c>
      <c r="BJ157" s="364">
        <v>1</v>
      </c>
      <c r="BK157" s="364">
        <v>3</v>
      </c>
      <c r="BL157" s="364">
        <v>1</v>
      </c>
      <c r="BM157" s="364">
        <v>0</v>
      </c>
      <c r="BN157" s="364">
        <v>0</v>
      </c>
      <c r="BO157" s="364">
        <v>0</v>
      </c>
      <c r="BP157" s="364">
        <v>0</v>
      </c>
      <c r="BQ157" s="365">
        <v>3</v>
      </c>
      <c r="BR157" s="363" t="s">
        <v>332</v>
      </c>
      <c r="BS157" s="364">
        <v>3</v>
      </c>
      <c r="BT157" s="364">
        <v>0</v>
      </c>
      <c r="BU157" s="364">
        <v>0</v>
      </c>
      <c r="BV157" s="364">
        <v>1</v>
      </c>
      <c r="BW157" s="364">
        <v>0</v>
      </c>
      <c r="BX157" s="364">
        <v>1</v>
      </c>
      <c r="BY157" s="364">
        <v>0</v>
      </c>
      <c r="BZ157" s="364">
        <v>1</v>
      </c>
      <c r="CA157" s="365">
        <v>0</v>
      </c>
      <c r="CB157" s="363" t="s">
        <v>387</v>
      </c>
      <c r="CC157" s="364">
        <v>4</v>
      </c>
      <c r="CD157" s="364">
        <v>2</v>
      </c>
      <c r="CE157" s="364">
        <v>2</v>
      </c>
      <c r="CF157" s="364">
        <v>2</v>
      </c>
      <c r="CG157" s="364">
        <v>0</v>
      </c>
      <c r="CH157" s="364">
        <v>0</v>
      </c>
      <c r="CI157" s="364">
        <v>0</v>
      </c>
      <c r="CJ157" s="364">
        <v>0</v>
      </c>
      <c r="CK157" s="365">
        <v>6</v>
      </c>
      <c r="CL157" s="363" t="s">
        <v>274</v>
      </c>
      <c r="CM157" s="364">
        <v>4</v>
      </c>
      <c r="CN157" s="364">
        <v>0</v>
      </c>
      <c r="CO157" s="364">
        <v>0</v>
      </c>
      <c r="CP157" s="364">
        <v>0</v>
      </c>
      <c r="CQ157" s="364">
        <v>0</v>
      </c>
      <c r="CR157" s="364">
        <v>1</v>
      </c>
      <c r="CS157" s="364">
        <v>0</v>
      </c>
      <c r="CT157" s="364">
        <v>0</v>
      </c>
      <c r="CU157" s="365">
        <v>0</v>
      </c>
      <c r="CV157" s="363" t="s">
        <v>674</v>
      </c>
      <c r="CW157" s="364">
        <v>3</v>
      </c>
      <c r="CX157" s="364">
        <v>1</v>
      </c>
      <c r="CY157" s="364">
        <v>1</v>
      </c>
      <c r="CZ157" s="364">
        <v>1</v>
      </c>
      <c r="DA157" s="364">
        <v>0</v>
      </c>
      <c r="DB157" s="364">
        <v>2</v>
      </c>
      <c r="DC157" s="364">
        <v>1</v>
      </c>
      <c r="DD157" s="364">
        <v>0</v>
      </c>
      <c r="DE157" s="365">
        <v>1</v>
      </c>
      <c r="DF157" s="363" t="s">
        <v>273</v>
      </c>
      <c r="DG157" s="364">
        <v>3</v>
      </c>
      <c r="DH157" s="364">
        <v>2</v>
      </c>
      <c r="DI157" s="364">
        <v>2</v>
      </c>
      <c r="DJ157" s="364">
        <v>2</v>
      </c>
      <c r="DK157" s="364">
        <v>1</v>
      </c>
      <c r="DL157" s="364">
        <v>0</v>
      </c>
      <c r="DM157" s="364">
        <v>0</v>
      </c>
      <c r="DN157" s="364">
        <v>0</v>
      </c>
      <c r="DO157" s="365">
        <v>7</v>
      </c>
      <c r="DP157" s="363" t="s">
        <v>385</v>
      </c>
      <c r="DQ157" s="364">
        <v>4</v>
      </c>
      <c r="DR157" s="364">
        <v>0</v>
      </c>
      <c r="DS157" s="364">
        <v>1</v>
      </c>
      <c r="DT157" s="364">
        <v>1</v>
      </c>
      <c r="DU157" s="364">
        <v>0</v>
      </c>
      <c r="DV157" s="364">
        <v>0</v>
      </c>
      <c r="DW157" s="364">
        <v>0</v>
      </c>
      <c r="DX157" s="364">
        <v>0</v>
      </c>
      <c r="DY157" s="365">
        <v>1</v>
      </c>
      <c r="DZ157" s="366">
        <v>2</v>
      </c>
      <c r="EA157" s="367">
        <v>0</v>
      </c>
      <c r="EB157" s="367">
        <v>0</v>
      </c>
      <c r="EC157" s="368">
        <v>6</v>
      </c>
      <c r="ED157" s="367">
        <v>0</v>
      </c>
      <c r="EE157" s="369">
        <v>0</v>
      </c>
      <c r="EF157" s="370">
        <v>4</v>
      </c>
      <c r="EG157" s="367">
        <v>0</v>
      </c>
      <c r="EH157" s="367">
        <v>0</v>
      </c>
      <c r="EI157" s="367">
        <v>0</v>
      </c>
      <c r="EJ157" s="367">
        <v>0</v>
      </c>
      <c r="EK157" s="367">
        <v>0</v>
      </c>
      <c r="EL157" s="367">
        <v>2</v>
      </c>
      <c r="EM157" s="367">
        <v>3</v>
      </c>
      <c r="EN157" s="367"/>
      <c r="EO157" s="367"/>
      <c r="EP157" s="367"/>
      <c r="EQ157" s="367"/>
      <c r="ER157" s="367"/>
      <c r="ES157" s="369">
        <f t="shared" si="200"/>
        <v>9</v>
      </c>
      <c r="ET157" s="367">
        <v>0</v>
      </c>
      <c r="EU157" s="367">
        <v>0</v>
      </c>
      <c r="EV157" s="367">
        <v>0</v>
      </c>
      <c r="EW157" s="367">
        <v>0</v>
      </c>
      <c r="EX157" s="367">
        <v>0</v>
      </c>
      <c r="EY157" s="367">
        <v>1</v>
      </c>
      <c r="EZ157" s="367">
        <v>0</v>
      </c>
      <c r="FA157" s="367">
        <v>0</v>
      </c>
      <c r="FB157" s="367">
        <v>0</v>
      </c>
      <c r="FC157" s="367"/>
      <c r="FD157" s="367"/>
      <c r="FE157" s="367"/>
      <c r="FF157" s="367"/>
      <c r="FG157" s="367">
        <f t="shared" si="201"/>
        <v>1</v>
      </c>
      <c r="FH157" s="371">
        <v>35</v>
      </c>
      <c r="FI157" s="371">
        <v>9</v>
      </c>
      <c r="FJ157" s="371">
        <v>12</v>
      </c>
      <c r="FK157" s="371">
        <v>9</v>
      </c>
      <c r="FL157" s="371">
        <v>1</v>
      </c>
      <c r="FM157" s="371">
        <v>5</v>
      </c>
      <c r="FN157" s="371">
        <f t="shared" ref="FN157:FN162" si="204">((SUM(M157,AE157))-(FG157))</f>
        <v>0</v>
      </c>
      <c r="FO157" s="371">
        <f t="shared" ref="FO157:FO162" si="205">((SUM(AP157,AZ157,BJ157,BT157,CD157,CN157,CX157,DH157,DR157))-(ES157))</f>
        <v>0</v>
      </c>
      <c r="FP157" s="371">
        <f t="shared" ref="FP157:FU157" si="206">((SUM(AO157,AY157,BI157,BS157,CC157,CM157,CW157,DG157,DQ157))-(FH157))</f>
        <v>0</v>
      </c>
      <c r="FQ157" s="371">
        <f t="shared" si="206"/>
        <v>0</v>
      </c>
      <c r="FR157" s="371">
        <f t="shared" si="206"/>
        <v>0</v>
      </c>
      <c r="FS157" s="371">
        <f t="shared" si="206"/>
        <v>0</v>
      </c>
      <c r="FT157" s="371">
        <f t="shared" si="206"/>
        <v>0</v>
      </c>
      <c r="FU157" s="371">
        <f t="shared" si="206"/>
        <v>0</v>
      </c>
      <c r="FV157" s="371">
        <f t="shared" ref="FV157:GI157" si="207">(EF157-ET157)</f>
        <v>4</v>
      </c>
      <c r="FW157" s="371">
        <f t="shared" si="207"/>
        <v>0</v>
      </c>
      <c r="FX157" s="371">
        <f t="shared" si="207"/>
        <v>0</v>
      </c>
      <c r="FY157" s="371">
        <f t="shared" si="207"/>
        <v>0</v>
      </c>
      <c r="FZ157" s="371">
        <f t="shared" si="207"/>
        <v>0</v>
      </c>
      <c r="GA157" s="371">
        <f t="shared" si="207"/>
        <v>-1</v>
      </c>
      <c r="GB157" s="371">
        <f t="shared" si="207"/>
        <v>2</v>
      </c>
      <c r="GC157" s="371">
        <f t="shared" si="207"/>
        <v>3</v>
      </c>
      <c r="GD157" s="371">
        <f t="shared" si="207"/>
        <v>0</v>
      </c>
      <c r="GE157" s="371">
        <f t="shared" si="207"/>
        <v>0</v>
      </c>
      <c r="GF157" s="371">
        <f t="shared" si="207"/>
        <v>0</v>
      </c>
      <c r="GG157" s="371">
        <f t="shared" si="207"/>
        <v>0</v>
      </c>
      <c r="GH157" s="371">
        <f t="shared" si="207"/>
        <v>0</v>
      </c>
      <c r="GI157" s="371">
        <f t="shared" si="207"/>
        <v>8</v>
      </c>
      <c r="GJ157" s="372"/>
      <c r="GK157" s="367" t="s">
        <v>691</v>
      </c>
      <c r="GL157" s="376" t="s">
        <v>691</v>
      </c>
      <c r="GM157" s="376" t="s">
        <v>692</v>
      </c>
    </row>
    <row r="158" spans="1:195" x14ac:dyDescent="0.25">
      <c r="A158" s="356">
        <v>40447</v>
      </c>
      <c r="B158" s="356" t="s">
        <v>19</v>
      </c>
      <c r="C158" s="356" t="s">
        <v>131</v>
      </c>
      <c r="D158" s="356" t="s">
        <v>139</v>
      </c>
      <c r="E158" s="357">
        <v>22301</v>
      </c>
      <c r="F158" s="360">
        <v>163</v>
      </c>
      <c r="G158" s="358">
        <v>1</v>
      </c>
      <c r="H158" s="359" t="s">
        <v>392</v>
      </c>
      <c r="I158" s="360">
        <v>0</v>
      </c>
      <c r="J158" s="360">
        <v>1</v>
      </c>
      <c r="K158" s="361">
        <v>6</v>
      </c>
      <c r="L158" s="360">
        <v>8</v>
      </c>
      <c r="M158" s="360">
        <v>5</v>
      </c>
      <c r="N158" s="360">
        <v>5</v>
      </c>
      <c r="O158" s="360">
        <v>2</v>
      </c>
      <c r="P158" s="360">
        <v>6</v>
      </c>
      <c r="Q158" s="360">
        <v>1</v>
      </c>
      <c r="R158" s="360">
        <v>0</v>
      </c>
      <c r="S158" s="360">
        <v>28</v>
      </c>
      <c r="T158" s="360">
        <v>99</v>
      </c>
      <c r="U158" s="360">
        <v>67</v>
      </c>
      <c r="V158" s="360">
        <v>0</v>
      </c>
      <c r="W158" s="362">
        <v>0</v>
      </c>
      <c r="X158" s="360">
        <v>0</v>
      </c>
      <c r="Y158" s="360">
        <v>0</v>
      </c>
      <c r="Z158" s="360">
        <v>0</v>
      </c>
      <c r="AA158" s="360">
        <v>0</v>
      </c>
      <c r="AB158" s="360">
        <v>0</v>
      </c>
      <c r="AC158" s="361">
        <v>3</v>
      </c>
      <c r="AD158" s="360">
        <v>2</v>
      </c>
      <c r="AE158" s="360">
        <v>1</v>
      </c>
      <c r="AF158" s="360">
        <v>0</v>
      </c>
      <c r="AG158" s="360">
        <v>0</v>
      </c>
      <c r="AH158" s="360">
        <v>1</v>
      </c>
      <c r="AI158" s="360">
        <v>0</v>
      </c>
      <c r="AJ158" s="360">
        <v>0</v>
      </c>
      <c r="AK158" s="360">
        <v>12</v>
      </c>
      <c r="AL158" s="360">
        <v>38</v>
      </c>
      <c r="AM158" s="360">
        <v>26</v>
      </c>
      <c r="AN158" s="363" t="s">
        <v>273</v>
      </c>
      <c r="AO158" s="364">
        <v>4</v>
      </c>
      <c r="AP158" s="364">
        <v>0</v>
      </c>
      <c r="AQ158" s="364">
        <v>1</v>
      </c>
      <c r="AR158" s="364">
        <v>1</v>
      </c>
      <c r="AS158" s="364">
        <v>0</v>
      </c>
      <c r="AT158" s="364">
        <v>2</v>
      </c>
      <c r="AU158" s="364">
        <v>0</v>
      </c>
      <c r="AV158" s="364">
        <v>0</v>
      </c>
      <c r="AW158" s="365">
        <v>1</v>
      </c>
      <c r="AX158" s="363" t="s">
        <v>384</v>
      </c>
      <c r="AY158" s="364">
        <v>4</v>
      </c>
      <c r="AZ158" s="364">
        <v>0</v>
      </c>
      <c r="BA158" s="364">
        <v>3</v>
      </c>
      <c r="BB158" s="364">
        <v>0</v>
      </c>
      <c r="BC158" s="364">
        <v>0</v>
      </c>
      <c r="BD158" s="364">
        <v>0</v>
      </c>
      <c r="BE158" s="364">
        <v>0</v>
      </c>
      <c r="BF158" s="364">
        <v>0</v>
      </c>
      <c r="BG158" s="365">
        <v>4</v>
      </c>
      <c r="BH158" s="363" t="s">
        <v>272</v>
      </c>
      <c r="BI158" s="364">
        <v>3</v>
      </c>
      <c r="BJ158" s="364">
        <v>0</v>
      </c>
      <c r="BK158" s="364">
        <v>0</v>
      </c>
      <c r="BL158" s="364">
        <v>0</v>
      </c>
      <c r="BM158" s="364">
        <v>1</v>
      </c>
      <c r="BN158" s="364">
        <v>0</v>
      </c>
      <c r="BO158" s="364">
        <v>0</v>
      </c>
      <c r="BP158" s="364">
        <v>0</v>
      </c>
      <c r="BQ158" s="365">
        <v>0</v>
      </c>
      <c r="BR158" s="363" t="s">
        <v>575</v>
      </c>
      <c r="BS158" s="364">
        <v>4</v>
      </c>
      <c r="BT158" s="364">
        <v>0</v>
      </c>
      <c r="BU158" s="364">
        <v>0</v>
      </c>
      <c r="BV158" s="364">
        <v>0</v>
      </c>
      <c r="BW158" s="364">
        <v>0</v>
      </c>
      <c r="BX158" s="364">
        <v>1</v>
      </c>
      <c r="BY158" s="364">
        <v>0</v>
      </c>
      <c r="BZ158" s="364">
        <v>0</v>
      </c>
      <c r="CA158" s="365">
        <v>0</v>
      </c>
      <c r="CB158" s="363" t="s">
        <v>274</v>
      </c>
      <c r="CC158" s="364">
        <v>3</v>
      </c>
      <c r="CD158" s="364">
        <v>0</v>
      </c>
      <c r="CE158" s="364">
        <v>1</v>
      </c>
      <c r="CF158" s="364">
        <v>0</v>
      </c>
      <c r="CG158" s="364">
        <v>1</v>
      </c>
      <c r="CH158" s="364">
        <v>1</v>
      </c>
      <c r="CI158" s="364">
        <v>0</v>
      </c>
      <c r="CJ158" s="364">
        <v>0</v>
      </c>
      <c r="CK158" s="365">
        <v>1</v>
      </c>
      <c r="CL158" s="363" t="s">
        <v>388</v>
      </c>
      <c r="CM158" s="364">
        <v>4</v>
      </c>
      <c r="CN158" s="364">
        <v>0</v>
      </c>
      <c r="CO158" s="364">
        <v>1</v>
      </c>
      <c r="CP158" s="364">
        <v>0</v>
      </c>
      <c r="CQ158" s="364">
        <v>0</v>
      </c>
      <c r="CR158" s="364">
        <v>3</v>
      </c>
      <c r="CS158" s="364">
        <v>0</v>
      </c>
      <c r="CT158" s="364">
        <v>0</v>
      </c>
      <c r="CU158" s="365">
        <v>1</v>
      </c>
      <c r="CV158" s="363" t="s">
        <v>271</v>
      </c>
      <c r="CW158" s="364">
        <v>4</v>
      </c>
      <c r="CX158" s="364">
        <v>1</v>
      </c>
      <c r="CY158" s="364">
        <v>2</v>
      </c>
      <c r="CZ158" s="364">
        <v>0</v>
      </c>
      <c r="DA158" s="364">
        <v>0</v>
      </c>
      <c r="DB158" s="364">
        <v>0</v>
      </c>
      <c r="DC158" s="364">
        <v>0</v>
      </c>
      <c r="DD158" s="364">
        <v>0</v>
      </c>
      <c r="DE158" s="365">
        <v>3</v>
      </c>
      <c r="DF158" s="363" t="s">
        <v>406</v>
      </c>
      <c r="DG158" s="364">
        <v>4</v>
      </c>
      <c r="DH158" s="364">
        <v>0</v>
      </c>
      <c r="DI158" s="364">
        <v>0</v>
      </c>
      <c r="DJ158" s="364">
        <v>0</v>
      </c>
      <c r="DK158" s="364">
        <v>0</v>
      </c>
      <c r="DL158" s="364">
        <v>0</v>
      </c>
      <c r="DM158" s="364">
        <v>0</v>
      </c>
      <c r="DN158" s="364">
        <v>0</v>
      </c>
      <c r="DO158" s="365">
        <v>0</v>
      </c>
      <c r="DP158" s="363" t="s">
        <v>399</v>
      </c>
      <c r="DQ158" s="364">
        <v>3</v>
      </c>
      <c r="DR158" s="364">
        <v>1</v>
      </c>
      <c r="DS158" s="364">
        <v>1</v>
      </c>
      <c r="DT158" s="364">
        <v>1</v>
      </c>
      <c r="DU158" s="364">
        <v>1</v>
      </c>
      <c r="DV158" s="364">
        <v>1</v>
      </c>
      <c r="DW158" s="364">
        <v>0</v>
      </c>
      <c r="DX158" s="364">
        <v>0</v>
      </c>
      <c r="DY158" s="365">
        <v>3</v>
      </c>
      <c r="DZ158" s="366">
        <v>5</v>
      </c>
      <c r="EA158" s="367">
        <v>1</v>
      </c>
      <c r="EB158" s="367">
        <v>1</v>
      </c>
      <c r="EC158" s="368">
        <v>4</v>
      </c>
      <c r="ED158" s="367">
        <v>0</v>
      </c>
      <c r="EE158" s="369">
        <v>0</v>
      </c>
      <c r="EF158" s="370">
        <v>0</v>
      </c>
      <c r="EG158" s="367">
        <v>0</v>
      </c>
      <c r="EH158" s="367">
        <v>0</v>
      </c>
      <c r="EI158" s="367">
        <v>0</v>
      </c>
      <c r="EJ158" s="367">
        <v>2</v>
      </c>
      <c r="EK158" s="367">
        <v>0</v>
      </c>
      <c r="EL158" s="367">
        <v>0</v>
      </c>
      <c r="EM158" s="367">
        <v>0</v>
      </c>
      <c r="EN158" s="367">
        <v>0</v>
      </c>
      <c r="EO158" s="367"/>
      <c r="EP158" s="367"/>
      <c r="EQ158" s="367"/>
      <c r="ER158" s="367"/>
      <c r="ES158" s="369">
        <f t="shared" si="200"/>
        <v>2</v>
      </c>
      <c r="ET158" s="367">
        <v>0</v>
      </c>
      <c r="EU158" s="367">
        <v>0</v>
      </c>
      <c r="EV158" s="367">
        <v>0</v>
      </c>
      <c r="EW158" s="367">
        <v>0</v>
      </c>
      <c r="EX158" s="367">
        <v>2</v>
      </c>
      <c r="EY158" s="367">
        <v>3</v>
      </c>
      <c r="EZ158" s="367">
        <v>1</v>
      </c>
      <c r="FA158" s="367">
        <v>0</v>
      </c>
      <c r="FB158" s="367">
        <v>0</v>
      </c>
      <c r="FC158" s="367"/>
      <c r="FD158" s="367"/>
      <c r="FE158" s="367"/>
      <c r="FF158" s="367"/>
      <c r="FG158" s="367">
        <f t="shared" si="201"/>
        <v>6</v>
      </c>
      <c r="FH158" s="371">
        <v>33</v>
      </c>
      <c r="FI158" s="371">
        <v>2</v>
      </c>
      <c r="FJ158" s="371">
        <v>9</v>
      </c>
      <c r="FK158" s="371">
        <v>2</v>
      </c>
      <c r="FL158" s="371">
        <v>3</v>
      </c>
      <c r="FM158" s="371">
        <v>8</v>
      </c>
      <c r="FN158" s="371">
        <f t="shared" si="204"/>
        <v>0</v>
      </c>
      <c r="FO158" s="371">
        <f t="shared" si="205"/>
        <v>0</v>
      </c>
      <c r="FP158" s="371">
        <f t="shared" ref="FP158:FU158" si="208">((SUM(AO158,AY158,BI158,BS158,CC158,CM158,CW158,DG158,DQ158))-(FH158))</f>
        <v>0</v>
      </c>
      <c r="FQ158" s="371">
        <f t="shared" si="208"/>
        <v>0</v>
      </c>
      <c r="FR158" s="371">
        <f t="shared" si="208"/>
        <v>0</v>
      </c>
      <c r="FS158" s="371">
        <f t="shared" si="208"/>
        <v>0</v>
      </c>
      <c r="FT158" s="371">
        <f t="shared" si="208"/>
        <v>0</v>
      </c>
      <c r="FU158" s="371">
        <f t="shared" si="208"/>
        <v>0</v>
      </c>
      <c r="FV158" s="371">
        <f t="shared" ref="FV158:GI158" si="209">(EF158-ET158)</f>
        <v>0</v>
      </c>
      <c r="FW158" s="371">
        <f t="shared" si="209"/>
        <v>0</v>
      </c>
      <c r="FX158" s="371">
        <f t="shared" si="209"/>
        <v>0</v>
      </c>
      <c r="FY158" s="371">
        <f t="shared" si="209"/>
        <v>0</v>
      </c>
      <c r="FZ158" s="371">
        <f t="shared" si="209"/>
        <v>0</v>
      </c>
      <c r="GA158" s="371">
        <f t="shared" si="209"/>
        <v>-3</v>
      </c>
      <c r="GB158" s="371">
        <f t="shared" si="209"/>
        <v>-1</v>
      </c>
      <c r="GC158" s="371">
        <f t="shared" si="209"/>
        <v>0</v>
      </c>
      <c r="GD158" s="371">
        <f t="shared" si="209"/>
        <v>0</v>
      </c>
      <c r="GE158" s="371">
        <f t="shared" si="209"/>
        <v>0</v>
      </c>
      <c r="GF158" s="371">
        <f t="shared" si="209"/>
        <v>0</v>
      </c>
      <c r="GG158" s="371">
        <f t="shared" si="209"/>
        <v>0</v>
      </c>
      <c r="GH158" s="371">
        <f t="shared" si="209"/>
        <v>0</v>
      </c>
      <c r="GI158" s="371">
        <f t="shared" si="209"/>
        <v>-4</v>
      </c>
      <c r="GJ158" s="372"/>
      <c r="GK158" s="367" t="s">
        <v>693</v>
      </c>
      <c r="GL158" s="376" t="s">
        <v>691</v>
      </c>
      <c r="GM158" s="376" t="s">
        <v>692</v>
      </c>
    </row>
    <row r="159" spans="1:195" x14ac:dyDescent="0.25">
      <c r="A159" s="356">
        <v>40448</v>
      </c>
      <c r="B159" s="356" t="s">
        <v>19</v>
      </c>
      <c r="C159" s="356" t="s">
        <v>131</v>
      </c>
      <c r="D159" s="356" t="s">
        <v>130</v>
      </c>
      <c r="E159" s="357">
        <v>12446</v>
      </c>
      <c r="F159" s="360">
        <v>158</v>
      </c>
      <c r="G159" s="358">
        <v>2</v>
      </c>
      <c r="H159" s="359" t="s">
        <v>393</v>
      </c>
      <c r="I159" s="360">
        <v>0</v>
      </c>
      <c r="J159" s="360">
        <v>1</v>
      </c>
      <c r="K159" s="361">
        <f>6+1/3</f>
        <v>6.333333333333333</v>
      </c>
      <c r="L159" s="360">
        <v>7</v>
      </c>
      <c r="M159" s="360">
        <v>3</v>
      </c>
      <c r="N159" s="360">
        <v>3</v>
      </c>
      <c r="O159" s="360">
        <v>1</v>
      </c>
      <c r="P159" s="360">
        <v>2</v>
      </c>
      <c r="Q159" s="360">
        <v>0</v>
      </c>
      <c r="R159" s="360">
        <v>1</v>
      </c>
      <c r="S159" s="360">
        <v>28</v>
      </c>
      <c r="T159" s="360">
        <v>89</v>
      </c>
      <c r="U159" s="360">
        <v>62</v>
      </c>
      <c r="V159" s="360">
        <v>2</v>
      </c>
      <c r="W159" s="362">
        <v>2</v>
      </c>
      <c r="X159" s="360">
        <v>0</v>
      </c>
      <c r="Y159" s="360">
        <v>0</v>
      </c>
      <c r="Z159" s="360">
        <v>0</v>
      </c>
      <c r="AA159" s="360">
        <v>0</v>
      </c>
      <c r="AB159" s="360">
        <v>0</v>
      </c>
      <c r="AC159" s="361">
        <f>2+2/3</f>
        <v>2.6666666666666665</v>
      </c>
      <c r="AD159" s="360">
        <v>2</v>
      </c>
      <c r="AE159" s="360">
        <v>1</v>
      </c>
      <c r="AF159" s="360">
        <v>0</v>
      </c>
      <c r="AG159" s="360">
        <v>0</v>
      </c>
      <c r="AH159" s="360">
        <v>5</v>
      </c>
      <c r="AI159" s="360">
        <v>0</v>
      </c>
      <c r="AJ159" s="360">
        <v>0</v>
      </c>
      <c r="AK159" s="360">
        <v>10</v>
      </c>
      <c r="AL159" s="360">
        <v>39</v>
      </c>
      <c r="AM159" s="360">
        <v>31</v>
      </c>
      <c r="AN159" s="363" t="s">
        <v>273</v>
      </c>
      <c r="AO159" s="364">
        <v>4</v>
      </c>
      <c r="AP159" s="364">
        <v>0</v>
      </c>
      <c r="AQ159" s="364">
        <v>1</v>
      </c>
      <c r="AR159" s="364">
        <v>0</v>
      </c>
      <c r="AS159" s="364">
        <v>0</v>
      </c>
      <c r="AT159" s="364">
        <v>2</v>
      </c>
      <c r="AU159" s="364">
        <v>0</v>
      </c>
      <c r="AV159" s="364">
        <v>0</v>
      </c>
      <c r="AW159" s="365">
        <v>1</v>
      </c>
      <c r="AX159" s="363" t="s">
        <v>384</v>
      </c>
      <c r="AY159" s="364">
        <v>4</v>
      </c>
      <c r="AZ159" s="364">
        <v>0</v>
      </c>
      <c r="BA159" s="364">
        <v>1</v>
      </c>
      <c r="BB159" s="364">
        <v>0</v>
      </c>
      <c r="BC159" s="364">
        <v>0</v>
      </c>
      <c r="BD159" s="364">
        <v>0</v>
      </c>
      <c r="BE159" s="364">
        <v>0</v>
      </c>
      <c r="BF159" s="364">
        <v>0</v>
      </c>
      <c r="BG159" s="365">
        <v>1</v>
      </c>
      <c r="BH159" s="363" t="s">
        <v>391</v>
      </c>
      <c r="BI159" s="364">
        <v>4</v>
      </c>
      <c r="BJ159" s="364">
        <v>0</v>
      </c>
      <c r="BK159" s="364">
        <v>0</v>
      </c>
      <c r="BL159" s="364">
        <v>0</v>
      </c>
      <c r="BM159" s="364">
        <v>0</v>
      </c>
      <c r="BN159" s="364">
        <v>1</v>
      </c>
      <c r="BO159" s="364">
        <v>0</v>
      </c>
      <c r="BP159" s="364">
        <v>0</v>
      </c>
      <c r="BQ159" s="365">
        <v>0</v>
      </c>
      <c r="BR159" s="363" t="s">
        <v>272</v>
      </c>
      <c r="BS159" s="364">
        <v>3</v>
      </c>
      <c r="BT159" s="364">
        <v>0</v>
      </c>
      <c r="BU159" s="364">
        <v>0</v>
      </c>
      <c r="BV159" s="364">
        <v>0</v>
      </c>
      <c r="BW159" s="364">
        <v>0</v>
      </c>
      <c r="BX159" s="364">
        <v>1</v>
      </c>
      <c r="BY159" s="364">
        <v>1</v>
      </c>
      <c r="BZ159" s="364">
        <v>0</v>
      </c>
      <c r="CA159" s="365">
        <v>0</v>
      </c>
      <c r="CB159" s="363" t="s">
        <v>389</v>
      </c>
      <c r="CC159" s="364">
        <v>3</v>
      </c>
      <c r="CD159" s="364">
        <v>0</v>
      </c>
      <c r="CE159" s="364">
        <v>0</v>
      </c>
      <c r="CF159" s="364">
        <v>0</v>
      </c>
      <c r="CG159" s="364">
        <v>1</v>
      </c>
      <c r="CH159" s="364">
        <v>2</v>
      </c>
      <c r="CI159" s="364">
        <v>0</v>
      </c>
      <c r="CJ159" s="364">
        <v>0</v>
      </c>
      <c r="CK159" s="365">
        <v>0</v>
      </c>
      <c r="CL159" s="363" t="s">
        <v>388</v>
      </c>
      <c r="CM159" s="364">
        <v>4</v>
      </c>
      <c r="CN159" s="364">
        <v>0</v>
      </c>
      <c r="CO159" s="364">
        <v>1</v>
      </c>
      <c r="CP159" s="364">
        <v>0</v>
      </c>
      <c r="CQ159" s="364">
        <v>0</v>
      </c>
      <c r="CR159" s="364">
        <v>2</v>
      </c>
      <c r="CS159" s="364">
        <v>0</v>
      </c>
      <c r="CT159" s="364">
        <v>0</v>
      </c>
      <c r="CU159" s="365">
        <v>1</v>
      </c>
      <c r="CV159" s="363" t="s">
        <v>274</v>
      </c>
      <c r="CW159" s="364">
        <v>2</v>
      </c>
      <c r="CX159" s="364">
        <v>0</v>
      </c>
      <c r="CY159" s="364">
        <v>0</v>
      </c>
      <c r="CZ159" s="364">
        <v>0</v>
      </c>
      <c r="DA159" s="364">
        <v>1</v>
      </c>
      <c r="DB159" s="364">
        <v>1</v>
      </c>
      <c r="DC159" s="364">
        <v>0</v>
      </c>
      <c r="DD159" s="364">
        <v>0</v>
      </c>
      <c r="DE159" s="365">
        <v>0</v>
      </c>
      <c r="DF159" s="363" t="s">
        <v>271</v>
      </c>
      <c r="DG159" s="364">
        <v>3</v>
      </c>
      <c r="DH159" s="364">
        <v>0</v>
      </c>
      <c r="DI159" s="364">
        <v>0</v>
      </c>
      <c r="DJ159" s="364">
        <v>0</v>
      </c>
      <c r="DK159" s="364">
        <v>0</v>
      </c>
      <c r="DL159" s="364">
        <v>1</v>
      </c>
      <c r="DM159" s="364">
        <v>0</v>
      </c>
      <c r="DN159" s="364">
        <v>0</v>
      </c>
      <c r="DO159" s="365">
        <v>0</v>
      </c>
      <c r="DP159" s="363" t="s">
        <v>332</v>
      </c>
      <c r="DQ159" s="364">
        <v>3</v>
      </c>
      <c r="DR159" s="364">
        <v>0</v>
      </c>
      <c r="DS159" s="364">
        <v>0</v>
      </c>
      <c r="DT159" s="364">
        <v>0</v>
      </c>
      <c r="DU159" s="364">
        <v>0</v>
      </c>
      <c r="DV159" s="364">
        <v>1</v>
      </c>
      <c r="DW159" s="364">
        <v>0</v>
      </c>
      <c r="DX159" s="364">
        <v>0</v>
      </c>
      <c r="DY159" s="365">
        <v>0</v>
      </c>
      <c r="DZ159" s="366">
        <v>7</v>
      </c>
      <c r="EA159" s="367">
        <v>0</v>
      </c>
      <c r="EB159" s="367">
        <v>0</v>
      </c>
      <c r="EC159" s="368">
        <v>2</v>
      </c>
      <c r="ED159" s="367">
        <v>0</v>
      </c>
      <c r="EE159" s="369">
        <v>0</v>
      </c>
      <c r="EF159" s="370">
        <v>0</v>
      </c>
      <c r="EG159" s="367">
        <v>0</v>
      </c>
      <c r="EH159" s="367">
        <v>0</v>
      </c>
      <c r="EI159" s="367">
        <v>0</v>
      </c>
      <c r="EJ159" s="367">
        <v>0</v>
      </c>
      <c r="EK159" s="367">
        <v>0</v>
      </c>
      <c r="EL159" s="367">
        <v>0</v>
      </c>
      <c r="EM159" s="367">
        <v>0</v>
      </c>
      <c r="EN159" s="367">
        <v>0</v>
      </c>
      <c r="EO159" s="367"/>
      <c r="EP159" s="367"/>
      <c r="EQ159" s="367"/>
      <c r="ER159" s="367"/>
      <c r="ES159" s="369">
        <f t="shared" si="200"/>
        <v>0</v>
      </c>
      <c r="ET159" s="367">
        <v>0</v>
      </c>
      <c r="EU159" s="367">
        <v>0</v>
      </c>
      <c r="EV159" s="367">
        <v>0</v>
      </c>
      <c r="EW159" s="367">
        <v>0</v>
      </c>
      <c r="EX159" s="367">
        <v>1</v>
      </c>
      <c r="EY159" s="367">
        <v>0</v>
      </c>
      <c r="EZ159" s="367">
        <v>3</v>
      </c>
      <c r="FA159" s="367">
        <v>0</v>
      </c>
      <c r="FB159" s="367">
        <v>0</v>
      </c>
      <c r="FC159" s="367"/>
      <c r="FD159" s="367"/>
      <c r="FE159" s="367"/>
      <c r="FF159" s="367"/>
      <c r="FG159" s="367">
        <f t="shared" si="201"/>
        <v>4</v>
      </c>
      <c r="FH159" s="371">
        <v>30</v>
      </c>
      <c r="FI159" s="371">
        <v>0</v>
      </c>
      <c r="FJ159" s="371">
        <v>3</v>
      </c>
      <c r="FK159" s="371">
        <v>0</v>
      </c>
      <c r="FL159" s="371">
        <v>2</v>
      </c>
      <c r="FM159" s="371">
        <v>11</v>
      </c>
      <c r="FN159" s="371">
        <f t="shared" si="204"/>
        <v>0</v>
      </c>
      <c r="FO159" s="371">
        <f t="shared" si="205"/>
        <v>0</v>
      </c>
      <c r="FP159" s="371">
        <f t="shared" ref="FP159:FU159" si="210">((SUM(AO159,AY159,BI159,BS159,CC159,CM159,CW159,DG159,DQ159))-(FH159))</f>
        <v>0</v>
      </c>
      <c r="FQ159" s="371">
        <f t="shared" si="210"/>
        <v>0</v>
      </c>
      <c r="FR159" s="371">
        <f t="shared" si="210"/>
        <v>0</v>
      </c>
      <c r="FS159" s="371">
        <f t="shared" si="210"/>
        <v>0</v>
      </c>
      <c r="FT159" s="371">
        <f t="shared" si="210"/>
        <v>0</v>
      </c>
      <c r="FU159" s="371">
        <f t="shared" si="210"/>
        <v>0</v>
      </c>
      <c r="FV159" s="371">
        <f t="shared" ref="FV159:GI159" si="211">(EF159-ET159)</f>
        <v>0</v>
      </c>
      <c r="FW159" s="371">
        <f t="shared" si="211"/>
        <v>0</v>
      </c>
      <c r="FX159" s="371">
        <f t="shared" si="211"/>
        <v>0</v>
      </c>
      <c r="FY159" s="371">
        <f t="shared" si="211"/>
        <v>0</v>
      </c>
      <c r="FZ159" s="371">
        <f t="shared" si="211"/>
        <v>-1</v>
      </c>
      <c r="GA159" s="371">
        <f t="shared" si="211"/>
        <v>0</v>
      </c>
      <c r="GB159" s="371">
        <f t="shared" si="211"/>
        <v>-3</v>
      </c>
      <c r="GC159" s="371">
        <f t="shared" si="211"/>
        <v>0</v>
      </c>
      <c r="GD159" s="371">
        <f t="shared" si="211"/>
        <v>0</v>
      </c>
      <c r="GE159" s="371">
        <f t="shared" si="211"/>
        <v>0</v>
      </c>
      <c r="GF159" s="371">
        <f t="shared" si="211"/>
        <v>0</v>
      </c>
      <c r="GG159" s="371">
        <f t="shared" si="211"/>
        <v>0</v>
      </c>
      <c r="GH159" s="371">
        <f t="shared" si="211"/>
        <v>0</v>
      </c>
      <c r="GI159" s="371">
        <f t="shared" si="211"/>
        <v>-4</v>
      </c>
      <c r="GJ159" s="372"/>
      <c r="GK159" s="367" t="s">
        <v>691</v>
      </c>
      <c r="GL159" s="376" t="s">
        <v>691</v>
      </c>
      <c r="GM159" s="376" t="s">
        <v>692</v>
      </c>
    </row>
    <row r="160" spans="1:195" x14ac:dyDescent="0.25">
      <c r="A160" s="356">
        <v>40449</v>
      </c>
      <c r="B160" s="356" t="s">
        <v>19</v>
      </c>
      <c r="C160" s="356" t="s">
        <v>129</v>
      </c>
      <c r="D160" s="356" t="s">
        <v>130</v>
      </c>
      <c r="E160" s="357">
        <v>17891</v>
      </c>
      <c r="F160" s="360">
        <v>128</v>
      </c>
      <c r="G160" s="358">
        <v>3</v>
      </c>
      <c r="H160" s="359" t="s">
        <v>394</v>
      </c>
      <c r="I160" s="360">
        <v>1</v>
      </c>
      <c r="J160" s="360">
        <v>0</v>
      </c>
      <c r="K160" s="361">
        <v>8</v>
      </c>
      <c r="L160" s="360">
        <v>6</v>
      </c>
      <c r="M160" s="360">
        <v>0</v>
      </c>
      <c r="N160" s="360">
        <v>0</v>
      </c>
      <c r="O160" s="360">
        <v>0</v>
      </c>
      <c r="P160" s="360">
        <v>8</v>
      </c>
      <c r="Q160" s="360">
        <v>0</v>
      </c>
      <c r="R160" s="360">
        <v>0</v>
      </c>
      <c r="S160" s="360">
        <v>30</v>
      </c>
      <c r="T160" s="360">
        <v>113</v>
      </c>
      <c r="U160" s="360">
        <v>81</v>
      </c>
      <c r="V160" s="360">
        <v>0</v>
      </c>
      <c r="W160" s="362">
        <v>0</v>
      </c>
      <c r="X160" s="360">
        <v>0</v>
      </c>
      <c r="Y160" s="360">
        <v>0</v>
      </c>
      <c r="Z160" s="360">
        <v>0</v>
      </c>
      <c r="AA160" s="360">
        <v>0</v>
      </c>
      <c r="AB160" s="360">
        <v>0</v>
      </c>
      <c r="AC160" s="361">
        <v>1</v>
      </c>
      <c r="AD160" s="360">
        <v>0</v>
      </c>
      <c r="AE160" s="360">
        <v>0</v>
      </c>
      <c r="AF160" s="360">
        <v>0</v>
      </c>
      <c r="AG160" s="360">
        <v>0</v>
      </c>
      <c r="AH160" s="360">
        <v>2</v>
      </c>
      <c r="AI160" s="360">
        <v>0</v>
      </c>
      <c r="AJ160" s="360">
        <v>0</v>
      </c>
      <c r="AK160" s="360">
        <v>3</v>
      </c>
      <c r="AL160" s="360">
        <v>14</v>
      </c>
      <c r="AM160" s="360">
        <v>9</v>
      </c>
      <c r="AN160" s="363" t="s">
        <v>275</v>
      </c>
      <c r="AO160" s="364">
        <v>4</v>
      </c>
      <c r="AP160" s="364">
        <v>1</v>
      </c>
      <c r="AQ160" s="364">
        <v>1</v>
      </c>
      <c r="AR160" s="364">
        <v>0</v>
      </c>
      <c r="AS160" s="364">
        <v>0</v>
      </c>
      <c r="AT160" s="364">
        <v>0</v>
      </c>
      <c r="AU160" s="364">
        <v>0</v>
      </c>
      <c r="AV160" s="364">
        <v>0</v>
      </c>
      <c r="AW160" s="365">
        <v>3</v>
      </c>
      <c r="AX160" s="363" t="s">
        <v>389</v>
      </c>
      <c r="AY160" s="364">
        <v>3</v>
      </c>
      <c r="AZ160" s="364">
        <v>0</v>
      </c>
      <c r="BA160" s="364">
        <v>0</v>
      </c>
      <c r="BB160" s="364">
        <v>1</v>
      </c>
      <c r="BC160" s="364">
        <v>0</v>
      </c>
      <c r="BD160" s="364">
        <v>1</v>
      </c>
      <c r="BE160" s="364">
        <v>0</v>
      </c>
      <c r="BF160" s="364">
        <v>1</v>
      </c>
      <c r="BG160" s="365">
        <v>0</v>
      </c>
      <c r="BH160" s="363" t="s">
        <v>391</v>
      </c>
      <c r="BI160" s="364">
        <v>3</v>
      </c>
      <c r="BJ160" s="364">
        <v>2</v>
      </c>
      <c r="BK160" s="364">
        <v>2</v>
      </c>
      <c r="BL160" s="364">
        <v>1</v>
      </c>
      <c r="BM160" s="364">
        <v>1</v>
      </c>
      <c r="BN160" s="364">
        <v>1</v>
      </c>
      <c r="BO160" s="364">
        <v>0</v>
      </c>
      <c r="BP160" s="364">
        <v>0</v>
      </c>
      <c r="BQ160" s="365">
        <v>5</v>
      </c>
      <c r="BR160" s="363" t="s">
        <v>332</v>
      </c>
      <c r="BS160" s="364">
        <v>4</v>
      </c>
      <c r="BT160" s="364">
        <v>0</v>
      </c>
      <c r="BU160" s="364">
        <v>1</v>
      </c>
      <c r="BV160" s="364">
        <v>1</v>
      </c>
      <c r="BW160" s="364">
        <v>0</v>
      </c>
      <c r="BX160" s="364">
        <v>1</v>
      </c>
      <c r="BY160" s="364">
        <v>0</v>
      </c>
      <c r="BZ160" s="364">
        <v>0</v>
      </c>
      <c r="CA160" s="365">
        <v>2</v>
      </c>
      <c r="CB160" s="363" t="s">
        <v>387</v>
      </c>
      <c r="CC160" s="364">
        <v>3</v>
      </c>
      <c r="CD160" s="364">
        <v>1</v>
      </c>
      <c r="CE160" s="364">
        <v>0</v>
      </c>
      <c r="CF160" s="364">
        <v>0</v>
      </c>
      <c r="CG160" s="364">
        <v>1</v>
      </c>
      <c r="CH160" s="364">
        <v>1</v>
      </c>
      <c r="CI160" s="364">
        <v>0</v>
      </c>
      <c r="CJ160" s="364">
        <v>0</v>
      </c>
      <c r="CK160" s="365">
        <v>0</v>
      </c>
      <c r="CL160" s="363" t="s">
        <v>274</v>
      </c>
      <c r="CM160" s="364">
        <v>2</v>
      </c>
      <c r="CN160" s="364">
        <v>1</v>
      </c>
      <c r="CO160" s="364">
        <v>1</v>
      </c>
      <c r="CP160" s="364">
        <v>1</v>
      </c>
      <c r="CQ160" s="364">
        <v>1</v>
      </c>
      <c r="CR160" s="364">
        <v>0</v>
      </c>
      <c r="CS160" s="364">
        <v>0</v>
      </c>
      <c r="CT160" s="364">
        <v>0</v>
      </c>
      <c r="CU160" s="365">
        <v>4</v>
      </c>
      <c r="CV160" s="363" t="s">
        <v>273</v>
      </c>
      <c r="CW160" s="364">
        <v>3</v>
      </c>
      <c r="CX160" s="364">
        <v>0</v>
      </c>
      <c r="CY160" s="364">
        <v>1</v>
      </c>
      <c r="CZ160" s="364">
        <v>1</v>
      </c>
      <c r="DA160" s="364">
        <v>0</v>
      </c>
      <c r="DB160" s="364">
        <v>0</v>
      </c>
      <c r="DC160" s="364">
        <v>0</v>
      </c>
      <c r="DD160" s="364">
        <v>0</v>
      </c>
      <c r="DE160" s="365">
        <v>1</v>
      </c>
      <c r="DF160" s="363" t="s">
        <v>385</v>
      </c>
      <c r="DG160" s="364">
        <v>3</v>
      </c>
      <c r="DH160" s="364">
        <v>0</v>
      </c>
      <c r="DI160" s="364">
        <v>0</v>
      </c>
      <c r="DJ160" s="364">
        <v>0</v>
      </c>
      <c r="DK160" s="364">
        <v>0</v>
      </c>
      <c r="DL160" s="364">
        <v>0</v>
      </c>
      <c r="DM160" s="364">
        <v>0</v>
      </c>
      <c r="DN160" s="364">
        <v>0</v>
      </c>
      <c r="DO160" s="365">
        <v>0</v>
      </c>
      <c r="DP160" s="363" t="s">
        <v>271</v>
      </c>
      <c r="DQ160" s="364">
        <v>3</v>
      </c>
      <c r="DR160" s="364">
        <v>0</v>
      </c>
      <c r="DS160" s="364">
        <v>0</v>
      </c>
      <c r="DT160" s="364">
        <v>0</v>
      </c>
      <c r="DU160" s="364">
        <v>0</v>
      </c>
      <c r="DV160" s="364">
        <v>0</v>
      </c>
      <c r="DW160" s="364">
        <v>0</v>
      </c>
      <c r="DX160" s="364">
        <v>0</v>
      </c>
      <c r="DY160" s="365">
        <v>0</v>
      </c>
      <c r="DZ160" s="366">
        <v>3</v>
      </c>
      <c r="EA160" s="367">
        <v>0</v>
      </c>
      <c r="EB160" s="367">
        <v>0</v>
      </c>
      <c r="EC160" s="368">
        <v>5</v>
      </c>
      <c r="ED160" s="367">
        <v>0</v>
      </c>
      <c r="EE160" s="369">
        <v>0</v>
      </c>
      <c r="EF160" s="370">
        <v>0</v>
      </c>
      <c r="EG160" s="367">
        <v>1</v>
      </c>
      <c r="EH160" s="367">
        <v>1</v>
      </c>
      <c r="EI160" s="367">
        <v>1</v>
      </c>
      <c r="EJ160" s="367">
        <v>2</v>
      </c>
      <c r="EK160" s="367">
        <v>0</v>
      </c>
      <c r="EL160" s="367">
        <v>0</v>
      </c>
      <c r="EM160" s="367">
        <v>0</v>
      </c>
      <c r="EN160" s="367"/>
      <c r="EO160" s="367"/>
      <c r="EP160" s="367"/>
      <c r="EQ160" s="367"/>
      <c r="ER160" s="367"/>
      <c r="ES160" s="369">
        <f t="shared" si="200"/>
        <v>5</v>
      </c>
      <c r="ET160" s="367">
        <v>0</v>
      </c>
      <c r="EU160" s="367">
        <v>0</v>
      </c>
      <c r="EV160" s="367">
        <v>0</v>
      </c>
      <c r="EW160" s="367">
        <v>0</v>
      </c>
      <c r="EX160" s="367">
        <v>0</v>
      </c>
      <c r="EY160" s="367">
        <v>0</v>
      </c>
      <c r="EZ160" s="367">
        <v>0</v>
      </c>
      <c r="FA160" s="367">
        <v>0</v>
      </c>
      <c r="FB160" s="367">
        <v>0</v>
      </c>
      <c r="FC160" s="367"/>
      <c r="FD160" s="367"/>
      <c r="FE160" s="367"/>
      <c r="FF160" s="367"/>
      <c r="FG160" s="367">
        <f t="shared" si="201"/>
        <v>0</v>
      </c>
      <c r="FH160" s="371">
        <v>28</v>
      </c>
      <c r="FI160" s="371">
        <v>5</v>
      </c>
      <c r="FJ160" s="371">
        <v>6</v>
      </c>
      <c r="FK160" s="371">
        <v>5</v>
      </c>
      <c r="FL160" s="371">
        <v>3</v>
      </c>
      <c r="FM160" s="371">
        <v>4</v>
      </c>
      <c r="FN160" s="371">
        <f t="shared" si="204"/>
        <v>0</v>
      </c>
      <c r="FO160" s="371">
        <f t="shared" si="205"/>
        <v>0</v>
      </c>
      <c r="FP160" s="371">
        <f t="shared" ref="FP160:FU160" si="212">((SUM(AO160,AY160,BI160,BS160,CC160,CM160,CW160,DG160,DQ160))-(FH160))</f>
        <v>0</v>
      </c>
      <c r="FQ160" s="371">
        <f t="shared" si="212"/>
        <v>0</v>
      </c>
      <c r="FR160" s="371">
        <f t="shared" si="212"/>
        <v>0</v>
      </c>
      <c r="FS160" s="371">
        <f t="shared" si="212"/>
        <v>0</v>
      </c>
      <c r="FT160" s="371">
        <f t="shared" si="212"/>
        <v>0</v>
      </c>
      <c r="FU160" s="371">
        <f t="shared" si="212"/>
        <v>0</v>
      </c>
      <c r="FV160" s="371">
        <f t="shared" ref="FV160:GI160" si="213">(EF160-ET160)</f>
        <v>0</v>
      </c>
      <c r="FW160" s="371">
        <f t="shared" si="213"/>
        <v>1</v>
      </c>
      <c r="FX160" s="371">
        <f t="shared" si="213"/>
        <v>1</v>
      </c>
      <c r="FY160" s="371">
        <f t="shared" si="213"/>
        <v>1</v>
      </c>
      <c r="FZ160" s="371">
        <f t="shared" si="213"/>
        <v>2</v>
      </c>
      <c r="GA160" s="371">
        <f t="shared" si="213"/>
        <v>0</v>
      </c>
      <c r="GB160" s="371">
        <f t="shared" si="213"/>
        <v>0</v>
      </c>
      <c r="GC160" s="371">
        <f t="shared" si="213"/>
        <v>0</v>
      </c>
      <c r="GD160" s="371">
        <f t="shared" si="213"/>
        <v>0</v>
      </c>
      <c r="GE160" s="371">
        <f t="shared" si="213"/>
        <v>0</v>
      </c>
      <c r="GF160" s="371">
        <f t="shared" si="213"/>
        <v>0</v>
      </c>
      <c r="GG160" s="371">
        <f t="shared" si="213"/>
        <v>0</v>
      </c>
      <c r="GH160" s="371">
        <f t="shared" si="213"/>
        <v>0</v>
      </c>
      <c r="GI160" s="371">
        <f t="shared" si="213"/>
        <v>5</v>
      </c>
      <c r="GJ160" s="372"/>
      <c r="GK160" s="367" t="s">
        <v>691</v>
      </c>
      <c r="GL160" s="376" t="s">
        <v>691</v>
      </c>
      <c r="GM160" s="376" t="s">
        <v>692</v>
      </c>
    </row>
    <row r="161" spans="1:195" x14ac:dyDescent="0.25">
      <c r="A161" s="356">
        <v>40450</v>
      </c>
      <c r="B161" s="356" t="s">
        <v>19</v>
      </c>
      <c r="C161" s="356" t="s">
        <v>131</v>
      </c>
      <c r="D161" s="356" t="s">
        <v>130</v>
      </c>
      <c r="E161" s="357">
        <v>36973</v>
      </c>
      <c r="F161" s="360">
        <v>141</v>
      </c>
      <c r="G161" s="358">
        <v>4</v>
      </c>
      <c r="H161" s="359" t="s">
        <v>395</v>
      </c>
      <c r="I161" s="360">
        <v>0</v>
      </c>
      <c r="J161" s="360">
        <v>1</v>
      </c>
      <c r="K161" s="361">
        <v>7</v>
      </c>
      <c r="L161" s="360">
        <v>4</v>
      </c>
      <c r="M161" s="360">
        <v>2</v>
      </c>
      <c r="N161" s="360">
        <v>2</v>
      </c>
      <c r="O161" s="360">
        <v>1</v>
      </c>
      <c r="P161" s="360">
        <v>3</v>
      </c>
      <c r="Q161" s="360">
        <v>0</v>
      </c>
      <c r="R161" s="360">
        <v>0</v>
      </c>
      <c r="S161" s="360">
        <v>26</v>
      </c>
      <c r="T161" s="360">
        <v>84</v>
      </c>
      <c r="U161" s="360">
        <v>58</v>
      </c>
      <c r="V161" s="360">
        <v>0</v>
      </c>
      <c r="W161" s="362">
        <v>0</v>
      </c>
      <c r="X161" s="360">
        <v>0</v>
      </c>
      <c r="Y161" s="360">
        <v>0</v>
      </c>
      <c r="Z161" s="360">
        <v>0</v>
      </c>
      <c r="AA161" s="360">
        <v>0</v>
      </c>
      <c r="AB161" s="360">
        <v>0</v>
      </c>
      <c r="AC161" s="361">
        <v>2</v>
      </c>
      <c r="AD161" s="360">
        <v>2</v>
      </c>
      <c r="AE161" s="360">
        <v>0</v>
      </c>
      <c r="AF161" s="360">
        <v>0</v>
      </c>
      <c r="AG161" s="360">
        <v>0</v>
      </c>
      <c r="AH161" s="360">
        <v>1</v>
      </c>
      <c r="AI161" s="360">
        <v>0</v>
      </c>
      <c r="AJ161" s="360">
        <v>0</v>
      </c>
      <c r="AK161" s="360">
        <v>8</v>
      </c>
      <c r="AL161" s="360">
        <v>23</v>
      </c>
      <c r="AM161" s="360">
        <v>15</v>
      </c>
      <c r="AN161" s="363" t="s">
        <v>275</v>
      </c>
      <c r="AO161" s="364">
        <v>4</v>
      </c>
      <c r="AP161" s="364">
        <v>0</v>
      </c>
      <c r="AQ161" s="364">
        <v>1</v>
      </c>
      <c r="AR161" s="364">
        <v>0</v>
      </c>
      <c r="AS161" s="364">
        <v>0</v>
      </c>
      <c r="AT161" s="364">
        <v>2</v>
      </c>
      <c r="AU161" s="364">
        <v>0</v>
      </c>
      <c r="AV161" s="364">
        <v>0</v>
      </c>
      <c r="AW161" s="365">
        <v>1</v>
      </c>
      <c r="AX161" s="363" t="s">
        <v>389</v>
      </c>
      <c r="AY161" s="364">
        <v>3</v>
      </c>
      <c r="AZ161" s="364">
        <v>0</v>
      </c>
      <c r="BA161" s="364">
        <v>0</v>
      </c>
      <c r="BB161" s="364">
        <v>0</v>
      </c>
      <c r="BC161" s="364">
        <v>1</v>
      </c>
      <c r="BD161" s="364">
        <v>0</v>
      </c>
      <c r="BE161" s="364">
        <v>0</v>
      </c>
      <c r="BF161" s="364">
        <v>0</v>
      </c>
      <c r="BG161" s="365">
        <v>0</v>
      </c>
      <c r="BH161" s="363" t="s">
        <v>391</v>
      </c>
      <c r="BI161" s="364">
        <v>4</v>
      </c>
      <c r="BJ161" s="364">
        <v>0</v>
      </c>
      <c r="BK161" s="364">
        <v>1</v>
      </c>
      <c r="BL161" s="364">
        <v>0</v>
      </c>
      <c r="BM161" s="364">
        <v>0</v>
      </c>
      <c r="BN161" s="364">
        <v>1</v>
      </c>
      <c r="BO161" s="364">
        <v>0</v>
      </c>
      <c r="BP161" s="364">
        <v>0</v>
      </c>
      <c r="BQ161" s="365">
        <v>1</v>
      </c>
      <c r="BR161" s="363" t="s">
        <v>332</v>
      </c>
      <c r="BS161" s="364">
        <v>4</v>
      </c>
      <c r="BT161" s="364">
        <v>0</v>
      </c>
      <c r="BU161" s="364">
        <v>0</v>
      </c>
      <c r="BV161" s="364">
        <v>0</v>
      </c>
      <c r="BW161" s="364">
        <v>0</v>
      </c>
      <c r="BX161" s="364">
        <v>1</v>
      </c>
      <c r="BY161" s="364">
        <v>0</v>
      </c>
      <c r="BZ161" s="364">
        <v>0</v>
      </c>
      <c r="CA161" s="365">
        <v>0</v>
      </c>
      <c r="CB161" s="363" t="s">
        <v>274</v>
      </c>
      <c r="CC161" s="364">
        <v>3</v>
      </c>
      <c r="CD161" s="364">
        <v>0</v>
      </c>
      <c r="CE161" s="364">
        <v>0</v>
      </c>
      <c r="CF161" s="364">
        <v>0</v>
      </c>
      <c r="CG161" s="364">
        <v>0</v>
      </c>
      <c r="CH161" s="364">
        <v>1</v>
      </c>
      <c r="CI161" s="364">
        <v>0</v>
      </c>
      <c r="CJ161" s="364">
        <v>0</v>
      </c>
      <c r="CK161" s="365">
        <v>0</v>
      </c>
      <c r="CL161" s="363" t="s">
        <v>387</v>
      </c>
      <c r="CM161" s="364">
        <v>2</v>
      </c>
      <c r="CN161" s="364">
        <v>0</v>
      </c>
      <c r="CO161" s="364">
        <v>0</v>
      </c>
      <c r="CP161" s="364">
        <v>0</v>
      </c>
      <c r="CQ161" s="364">
        <v>1</v>
      </c>
      <c r="CR161" s="364">
        <v>1</v>
      </c>
      <c r="CS161" s="364">
        <v>0</v>
      </c>
      <c r="CT161" s="364">
        <v>0</v>
      </c>
      <c r="CU161" s="365">
        <v>0</v>
      </c>
      <c r="CV161" s="363" t="s">
        <v>273</v>
      </c>
      <c r="CW161" s="364">
        <v>3</v>
      </c>
      <c r="CX161" s="364">
        <v>0</v>
      </c>
      <c r="CY161" s="364">
        <v>0</v>
      </c>
      <c r="CZ161" s="364">
        <v>0</v>
      </c>
      <c r="DA161" s="364">
        <v>0</v>
      </c>
      <c r="DB161" s="364">
        <v>3</v>
      </c>
      <c r="DC161" s="364">
        <v>0</v>
      </c>
      <c r="DD161" s="364">
        <v>0</v>
      </c>
      <c r="DE161" s="365">
        <v>0</v>
      </c>
      <c r="DF161" s="363" t="s">
        <v>674</v>
      </c>
      <c r="DG161" s="364">
        <v>2</v>
      </c>
      <c r="DH161" s="364">
        <v>0</v>
      </c>
      <c r="DI161" s="364">
        <v>1</v>
      </c>
      <c r="DJ161" s="364">
        <v>0</v>
      </c>
      <c r="DK161" s="364">
        <v>1</v>
      </c>
      <c r="DL161" s="364">
        <v>1</v>
      </c>
      <c r="DM161" s="364">
        <v>0</v>
      </c>
      <c r="DN161" s="364">
        <v>0</v>
      </c>
      <c r="DO161" s="365">
        <v>1</v>
      </c>
      <c r="DP161" s="363" t="s">
        <v>384</v>
      </c>
      <c r="DQ161" s="364">
        <v>3</v>
      </c>
      <c r="DR161" s="364">
        <v>0</v>
      </c>
      <c r="DS161" s="364">
        <v>0</v>
      </c>
      <c r="DT161" s="364">
        <v>0</v>
      </c>
      <c r="DU161" s="364">
        <v>0</v>
      </c>
      <c r="DV161" s="364">
        <v>0</v>
      </c>
      <c r="DW161" s="364">
        <v>0</v>
      </c>
      <c r="DX161" s="364">
        <v>0</v>
      </c>
      <c r="DY161" s="365">
        <v>0</v>
      </c>
      <c r="DZ161" s="366">
        <v>0</v>
      </c>
      <c r="EA161" s="367">
        <v>0</v>
      </c>
      <c r="EB161" s="367">
        <v>0</v>
      </c>
      <c r="EC161" s="368">
        <v>9</v>
      </c>
      <c r="ED161" s="367">
        <v>0</v>
      </c>
      <c r="EE161" s="369">
        <v>0</v>
      </c>
      <c r="EF161" s="370">
        <v>0</v>
      </c>
      <c r="EG161" s="367">
        <v>0</v>
      </c>
      <c r="EH161" s="367">
        <v>0</v>
      </c>
      <c r="EI161" s="367">
        <v>0</v>
      </c>
      <c r="EJ161" s="367">
        <v>0</v>
      </c>
      <c r="EK161" s="367">
        <v>0</v>
      </c>
      <c r="EL161" s="367">
        <v>0</v>
      </c>
      <c r="EM161" s="367">
        <v>0</v>
      </c>
      <c r="EN161" s="367">
        <v>0</v>
      </c>
      <c r="EO161" s="367"/>
      <c r="EP161" s="367"/>
      <c r="EQ161" s="367"/>
      <c r="ER161" s="367"/>
      <c r="ES161" s="369">
        <f t="shared" si="200"/>
        <v>0</v>
      </c>
      <c r="ET161" s="367">
        <v>0</v>
      </c>
      <c r="EU161" s="367">
        <v>0</v>
      </c>
      <c r="EV161" s="367">
        <v>0</v>
      </c>
      <c r="EW161" s="367">
        <v>0</v>
      </c>
      <c r="EX161" s="367">
        <v>0</v>
      </c>
      <c r="EY161" s="367">
        <v>0</v>
      </c>
      <c r="EZ161" s="367">
        <v>2</v>
      </c>
      <c r="FA161" s="367">
        <v>0</v>
      </c>
      <c r="FB161" s="367">
        <v>0</v>
      </c>
      <c r="FC161" s="367"/>
      <c r="FD161" s="367"/>
      <c r="FE161" s="367"/>
      <c r="FF161" s="367"/>
      <c r="FG161" s="367">
        <f t="shared" si="201"/>
        <v>2</v>
      </c>
      <c r="FH161" s="371">
        <v>28</v>
      </c>
      <c r="FI161" s="371">
        <v>0</v>
      </c>
      <c r="FJ161" s="371">
        <v>3</v>
      </c>
      <c r="FK161" s="371">
        <v>0</v>
      </c>
      <c r="FL161" s="371">
        <v>3</v>
      </c>
      <c r="FM161" s="371">
        <v>10</v>
      </c>
      <c r="FN161" s="371">
        <f t="shared" si="204"/>
        <v>0</v>
      </c>
      <c r="FO161" s="371">
        <f t="shared" si="205"/>
        <v>0</v>
      </c>
      <c r="FP161" s="371">
        <f t="shared" ref="FP161:FU161" si="214">((SUM(AO161,AY161,BI161,BS161,CC161,CM161,CW161,DG161,DQ161))-(FH161))</f>
        <v>0</v>
      </c>
      <c r="FQ161" s="371">
        <f t="shared" si="214"/>
        <v>0</v>
      </c>
      <c r="FR161" s="371">
        <f t="shared" si="214"/>
        <v>0</v>
      </c>
      <c r="FS161" s="371">
        <f t="shared" si="214"/>
        <v>0</v>
      </c>
      <c r="FT161" s="371">
        <f t="shared" si="214"/>
        <v>0</v>
      </c>
      <c r="FU161" s="371">
        <f t="shared" si="214"/>
        <v>0</v>
      </c>
      <c r="FV161" s="371">
        <f t="shared" ref="FV161:GI161" si="215">(EF161-ET161)</f>
        <v>0</v>
      </c>
      <c r="FW161" s="371">
        <f t="shared" si="215"/>
        <v>0</v>
      </c>
      <c r="FX161" s="371">
        <f t="shared" si="215"/>
        <v>0</v>
      </c>
      <c r="FY161" s="371">
        <f t="shared" si="215"/>
        <v>0</v>
      </c>
      <c r="FZ161" s="371">
        <f t="shared" si="215"/>
        <v>0</v>
      </c>
      <c r="GA161" s="371">
        <f t="shared" si="215"/>
        <v>0</v>
      </c>
      <c r="GB161" s="371">
        <f t="shared" si="215"/>
        <v>-2</v>
      </c>
      <c r="GC161" s="371">
        <f t="shared" si="215"/>
        <v>0</v>
      </c>
      <c r="GD161" s="371">
        <f t="shared" si="215"/>
        <v>0</v>
      </c>
      <c r="GE161" s="371">
        <f t="shared" si="215"/>
        <v>0</v>
      </c>
      <c r="GF161" s="371">
        <f t="shared" si="215"/>
        <v>0</v>
      </c>
      <c r="GG161" s="371">
        <f t="shared" si="215"/>
        <v>0</v>
      </c>
      <c r="GH161" s="371">
        <f t="shared" si="215"/>
        <v>0</v>
      </c>
      <c r="GI161" s="371">
        <f t="shared" si="215"/>
        <v>-2</v>
      </c>
      <c r="GJ161" s="372"/>
      <c r="GK161" s="367" t="s">
        <v>691</v>
      </c>
      <c r="GL161" s="376" t="s">
        <v>691</v>
      </c>
      <c r="GM161" s="376" t="s">
        <v>698</v>
      </c>
    </row>
    <row r="162" spans="1:195" x14ac:dyDescent="0.25">
      <c r="A162" s="356">
        <v>40451</v>
      </c>
      <c r="B162" s="356" t="s">
        <v>133</v>
      </c>
      <c r="C162" s="356" t="s">
        <v>131</v>
      </c>
      <c r="D162" s="356" t="s">
        <v>138</v>
      </c>
      <c r="E162" s="357">
        <v>21563</v>
      </c>
      <c r="F162" s="360">
        <v>155</v>
      </c>
      <c r="G162" s="358">
        <v>5</v>
      </c>
      <c r="H162" s="359" t="s">
        <v>396</v>
      </c>
      <c r="I162" s="360">
        <v>0</v>
      </c>
      <c r="J162" s="360">
        <v>1</v>
      </c>
      <c r="K162" s="361">
        <v>7</v>
      </c>
      <c r="L162" s="360">
        <v>5</v>
      </c>
      <c r="M162" s="360">
        <v>3</v>
      </c>
      <c r="N162" s="360">
        <v>3</v>
      </c>
      <c r="O162" s="360">
        <v>1</v>
      </c>
      <c r="P162" s="360">
        <v>6</v>
      </c>
      <c r="Q162" s="360">
        <v>0</v>
      </c>
      <c r="R162" s="360">
        <v>0</v>
      </c>
      <c r="S162" s="360">
        <v>29</v>
      </c>
      <c r="T162" s="360">
        <v>106</v>
      </c>
      <c r="U162" s="360">
        <v>74</v>
      </c>
      <c r="V162" s="360">
        <v>0</v>
      </c>
      <c r="W162" s="362">
        <v>0</v>
      </c>
      <c r="X162" s="360">
        <v>0</v>
      </c>
      <c r="Y162" s="360">
        <v>0</v>
      </c>
      <c r="Z162" s="360">
        <v>0</v>
      </c>
      <c r="AA162" s="360">
        <v>0</v>
      </c>
      <c r="AB162" s="360">
        <v>0</v>
      </c>
      <c r="AC162" s="361">
        <v>1</v>
      </c>
      <c r="AD162" s="360">
        <v>1</v>
      </c>
      <c r="AE162" s="360">
        <v>0</v>
      </c>
      <c r="AF162" s="360">
        <v>0</v>
      </c>
      <c r="AG162" s="360">
        <v>0</v>
      </c>
      <c r="AH162" s="360">
        <v>0</v>
      </c>
      <c r="AI162" s="360">
        <v>0</v>
      </c>
      <c r="AJ162" s="360">
        <v>0</v>
      </c>
      <c r="AK162" s="360">
        <v>4</v>
      </c>
      <c r="AL162" s="360">
        <v>13</v>
      </c>
      <c r="AM162" s="360">
        <v>9</v>
      </c>
      <c r="AN162" s="363" t="s">
        <v>275</v>
      </c>
      <c r="AO162" s="364">
        <v>4</v>
      </c>
      <c r="AP162" s="364">
        <v>0</v>
      </c>
      <c r="AQ162" s="364">
        <v>1</v>
      </c>
      <c r="AR162" s="364">
        <v>0</v>
      </c>
      <c r="AS162" s="364">
        <v>0</v>
      </c>
      <c r="AT162" s="364">
        <v>0</v>
      </c>
      <c r="AU162" s="364">
        <v>0</v>
      </c>
      <c r="AV162" s="364">
        <v>0</v>
      </c>
      <c r="AW162" s="365">
        <v>1</v>
      </c>
      <c r="AX162" s="363" t="s">
        <v>389</v>
      </c>
      <c r="AY162" s="364">
        <v>4</v>
      </c>
      <c r="AZ162" s="364">
        <v>0</v>
      </c>
      <c r="BA162" s="364">
        <v>1</v>
      </c>
      <c r="BB162" s="364">
        <v>0</v>
      </c>
      <c r="BC162" s="364">
        <v>0</v>
      </c>
      <c r="BD162" s="364">
        <v>1</v>
      </c>
      <c r="BE162" s="364">
        <v>0</v>
      </c>
      <c r="BF162" s="364">
        <v>0</v>
      </c>
      <c r="BG162" s="365">
        <v>2</v>
      </c>
      <c r="BH162" s="363" t="s">
        <v>391</v>
      </c>
      <c r="BI162" s="364">
        <v>4</v>
      </c>
      <c r="BJ162" s="364">
        <v>1</v>
      </c>
      <c r="BK162" s="364">
        <v>1</v>
      </c>
      <c r="BL162" s="364">
        <v>1</v>
      </c>
      <c r="BM162" s="364">
        <v>0</v>
      </c>
      <c r="BN162" s="364">
        <v>1</v>
      </c>
      <c r="BO162" s="364">
        <v>0</v>
      </c>
      <c r="BP162" s="364">
        <v>0</v>
      </c>
      <c r="BQ162" s="365">
        <v>4</v>
      </c>
      <c r="BR162" s="363" t="s">
        <v>332</v>
      </c>
      <c r="BS162" s="364">
        <v>2</v>
      </c>
      <c r="BT162" s="364">
        <v>0</v>
      </c>
      <c r="BU162" s="364">
        <v>0</v>
      </c>
      <c r="BV162" s="364">
        <v>0</v>
      </c>
      <c r="BW162" s="364">
        <v>2</v>
      </c>
      <c r="BX162" s="364">
        <v>2</v>
      </c>
      <c r="BY162" s="364">
        <v>0</v>
      </c>
      <c r="BZ162" s="364">
        <v>0</v>
      </c>
      <c r="CA162" s="365">
        <v>0</v>
      </c>
      <c r="CB162" s="363" t="s">
        <v>274</v>
      </c>
      <c r="CC162" s="364">
        <v>4</v>
      </c>
      <c r="CD162" s="364">
        <v>0</v>
      </c>
      <c r="CE162" s="364">
        <v>0</v>
      </c>
      <c r="CF162" s="364">
        <v>0</v>
      </c>
      <c r="CG162" s="364">
        <v>0</v>
      </c>
      <c r="CH162" s="364">
        <v>1</v>
      </c>
      <c r="CI162" s="364">
        <v>0</v>
      </c>
      <c r="CJ162" s="364">
        <v>0</v>
      </c>
      <c r="CK162" s="365">
        <v>0</v>
      </c>
      <c r="CL162" s="363" t="s">
        <v>387</v>
      </c>
      <c r="CM162" s="364">
        <v>4</v>
      </c>
      <c r="CN162" s="364">
        <v>0</v>
      </c>
      <c r="CO162" s="364">
        <v>2</v>
      </c>
      <c r="CP162" s="364">
        <v>0</v>
      </c>
      <c r="CQ162" s="364">
        <v>0</v>
      </c>
      <c r="CR162" s="364">
        <v>2</v>
      </c>
      <c r="CS162" s="364">
        <v>0</v>
      </c>
      <c r="CT162" s="364">
        <v>0</v>
      </c>
      <c r="CU162" s="365">
        <v>2</v>
      </c>
      <c r="CV162" s="363" t="s">
        <v>273</v>
      </c>
      <c r="CW162" s="364">
        <v>4</v>
      </c>
      <c r="CX162" s="364">
        <v>1</v>
      </c>
      <c r="CY162" s="364">
        <v>1</v>
      </c>
      <c r="CZ162" s="364">
        <v>0</v>
      </c>
      <c r="DA162" s="364">
        <v>0</v>
      </c>
      <c r="DB162" s="364">
        <v>1</v>
      </c>
      <c r="DC162" s="364">
        <v>0</v>
      </c>
      <c r="DD162" s="364">
        <v>0</v>
      </c>
      <c r="DE162" s="365">
        <v>2</v>
      </c>
      <c r="DF162" s="363" t="s">
        <v>385</v>
      </c>
      <c r="DG162" s="364">
        <v>3</v>
      </c>
      <c r="DH162" s="364">
        <v>0</v>
      </c>
      <c r="DI162" s="364">
        <v>0</v>
      </c>
      <c r="DJ162" s="364">
        <v>1</v>
      </c>
      <c r="DK162" s="364">
        <v>0</v>
      </c>
      <c r="DL162" s="364">
        <v>0</v>
      </c>
      <c r="DM162" s="364">
        <v>0</v>
      </c>
      <c r="DN162" s="364">
        <v>1</v>
      </c>
      <c r="DO162" s="365">
        <v>0</v>
      </c>
      <c r="DP162" s="363" t="s">
        <v>384</v>
      </c>
      <c r="DQ162" s="364">
        <v>3</v>
      </c>
      <c r="DR162" s="364">
        <v>0</v>
      </c>
      <c r="DS162" s="364">
        <v>0</v>
      </c>
      <c r="DT162" s="364">
        <v>0</v>
      </c>
      <c r="DU162" s="364">
        <v>0</v>
      </c>
      <c r="DV162" s="364">
        <v>2</v>
      </c>
      <c r="DW162" s="364">
        <v>0</v>
      </c>
      <c r="DX162" s="364">
        <v>0</v>
      </c>
      <c r="DY162" s="365">
        <v>0</v>
      </c>
      <c r="DZ162" s="366">
        <v>0</v>
      </c>
      <c r="EA162" s="367">
        <v>0</v>
      </c>
      <c r="EB162" s="367">
        <v>0</v>
      </c>
      <c r="EC162" s="368">
        <v>9</v>
      </c>
      <c r="ED162" s="367">
        <v>3</v>
      </c>
      <c r="EE162" s="369">
        <v>0</v>
      </c>
      <c r="EF162" s="370">
        <v>0</v>
      </c>
      <c r="EG162" s="367">
        <v>0</v>
      </c>
      <c r="EH162" s="367">
        <v>0</v>
      </c>
      <c r="EI162" s="367">
        <v>1</v>
      </c>
      <c r="EJ162" s="367">
        <v>0</v>
      </c>
      <c r="EK162" s="367">
        <v>0</v>
      </c>
      <c r="EL162" s="367">
        <v>1</v>
      </c>
      <c r="EM162" s="367">
        <v>0</v>
      </c>
      <c r="EN162" s="367">
        <v>0</v>
      </c>
      <c r="EO162" s="367"/>
      <c r="EP162" s="367"/>
      <c r="EQ162" s="367"/>
      <c r="ER162" s="367"/>
      <c r="ES162" s="369">
        <f t="shared" ref="ES162:ES169" si="216">SUM(EF162:ER162)</f>
        <v>2</v>
      </c>
      <c r="ET162" s="367">
        <v>1</v>
      </c>
      <c r="EU162" s="367">
        <v>1</v>
      </c>
      <c r="EV162" s="367">
        <v>1</v>
      </c>
      <c r="EW162" s="367">
        <v>0</v>
      </c>
      <c r="EX162" s="367">
        <v>0</v>
      </c>
      <c r="EY162" s="367">
        <v>0</v>
      </c>
      <c r="EZ162" s="367">
        <v>0</v>
      </c>
      <c r="FA162" s="367">
        <v>0</v>
      </c>
      <c r="FB162" s="367"/>
      <c r="FC162" s="367"/>
      <c r="FD162" s="367"/>
      <c r="FE162" s="367"/>
      <c r="FF162" s="367"/>
      <c r="FG162" s="367">
        <f t="shared" ref="FG162:FG169" si="217">SUM(ET162:FF162)</f>
        <v>3</v>
      </c>
      <c r="FH162" s="371">
        <v>32</v>
      </c>
      <c r="FI162" s="371">
        <v>2</v>
      </c>
      <c r="FJ162" s="371">
        <v>6</v>
      </c>
      <c r="FK162" s="371">
        <v>2</v>
      </c>
      <c r="FL162" s="371">
        <v>2</v>
      </c>
      <c r="FM162" s="371">
        <v>10</v>
      </c>
      <c r="FN162" s="371">
        <f t="shared" si="204"/>
        <v>0</v>
      </c>
      <c r="FO162" s="371">
        <f t="shared" si="205"/>
        <v>0</v>
      </c>
      <c r="FP162" s="371">
        <f t="shared" ref="FP162:FU162" si="218">((SUM(AO162,AY162,BI162,BS162,CC162,CM162,CW162,DG162,DQ162))-(FH162))</f>
        <v>0</v>
      </c>
      <c r="FQ162" s="371">
        <f t="shared" si="218"/>
        <v>0</v>
      </c>
      <c r="FR162" s="371">
        <f t="shared" si="218"/>
        <v>0</v>
      </c>
      <c r="FS162" s="371">
        <f t="shared" si="218"/>
        <v>0</v>
      </c>
      <c r="FT162" s="371">
        <f t="shared" si="218"/>
        <v>0</v>
      </c>
      <c r="FU162" s="371">
        <f t="shared" si="218"/>
        <v>0</v>
      </c>
      <c r="FV162" s="371">
        <f t="shared" ref="FV162:GI162" si="219">(EF162-ET162)</f>
        <v>-1</v>
      </c>
      <c r="FW162" s="371">
        <f t="shared" si="219"/>
        <v>-1</v>
      </c>
      <c r="FX162" s="371">
        <f t="shared" si="219"/>
        <v>-1</v>
      </c>
      <c r="FY162" s="371">
        <f t="shared" si="219"/>
        <v>1</v>
      </c>
      <c r="FZ162" s="371">
        <f t="shared" si="219"/>
        <v>0</v>
      </c>
      <c r="GA162" s="371">
        <f t="shared" si="219"/>
        <v>0</v>
      </c>
      <c r="GB162" s="371">
        <f t="shared" si="219"/>
        <v>1</v>
      </c>
      <c r="GC162" s="371">
        <f t="shared" si="219"/>
        <v>0</v>
      </c>
      <c r="GD162" s="371">
        <f t="shared" si="219"/>
        <v>0</v>
      </c>
      <c r="GE162" s="371">
        <f t="shared" si="219"/>
        <v>0</v>
      </c>
      <c r="GF162" s="371">
        <f t="shared" si="219"/>
        <v>0</v>
      </c>
      <c r="GG162" s="371">
        <f t="shared" si="219"/>
        <v>0</v>
      </c>
      <c r="GH162" s="371">
        <f t="shared" si="219"/>
        <v>0</v>
      </c>
      <c r="GI162" s="371">
        <f t="shared" si="219"/>
        <v>-1</v>
      </c>
      <c r="GJ162" s="372"/>
      <c r="GK162" s="367" t="s">
        <v>694</v>
      </c>
      <c r="GL162" s="376" t="s">
        <v>694</v>
      </c>
      <c r="GM162" s="376" t="s">
        <v>692</v>
      </c>
    </row>
    <row r="163" spans="1:195" x14ac:dyDescent="0.25">
      <c r="A163" s="356">
        <v>40452</v>
      </c>
      <c r="B163" s="356" t="s">
        <v>133</v>
      </c>
      <c r="C163" s="356" t="s">
        <v>131</v>
      </c>
      <c r="D163" s="356" t="s">
        <v>138</v>
      </c>
      <c r="E163" s="357">
        <v>23374</v>
      </c>
      <c r="F163" s="360">
        <v>144</v>
      </c>
      <c r="G163" s="358">
        <v>1</v>
      </c>
      <c r="H163" s="359" t="s">
        <v>392</v>
      </c>
      <c r="I163" s="360">
        <v>0</v>
      </c>
      <c r="J163" s="360">
        <v>1</v>
      </c>
      <c r="K163" s="361">
        <v>5</v>
      </c>
      <c r="L163" s="360">
        <v>12</v>
      </c>
      <c r="M163" s="360">
        <v>7</v>
      </c>
      <c r="N163" s="360">
        <v>6</v>
      </c>
      <c r="O163" s="360">
        <v>2</v>
      </c>
      <c r="P163" s="360">
        <v>1</v>
      </c>
      <c r="Q163" s="360">
        <v>0</v>
      </c>
      <c r="R163" s="360">
        <v>0</v>
      </c>
      <c r="S163" s="360">
        <v>28</v>
      </c>
      <c r="T163" s="360">
        <v>99</v>
      </c>
      <c r="U163" s="360">
        <v>61</v>
      </c>
      <c r="V163" s="360">
        <v>0</v>
      </c>
      <c r="W163" s="362">
        <v>0</v>
      </c>
      <c r="X163" s="360">
        <v>0</v>
      </c>
      <c r="Y163" s="360">
        <v>0</v>
      </c>
      <c r="Z163" s="360">
        <v>0</v>
      </c>
      <c r="AA163" s="360">
        <v>0</v>
      </c>
      <c r="AB163" s="360">
        <v>0</v>
      </c>
      <c r="AC163" s="361">
        <v>3</v>
      </c>
      <c r="AD163" s="360">
        <v>1</v>
      </c>
      <c r="AE163" s="360">
        <v>0</v>
      </c>
      <c r="AF163" s="360">
        <v>0</v>
      </c>
      <c r="AG163" s="360">
        <v>2</v>
      </c>
      <c r="AH163" s="360">
        <v>2</v>
      </c>
      <c r="AI163" s="360">
        <v>0</v>
      </c>
      <c r="AJ163" s="360">
        <v>0</v>
      </c>
      <c r="AK163" s="360">
        <v>11</v>
      </c>
      <c r="AL163" s="360">
        <v>35</v>
      </c>
      <c r="AM163" s="360">
        <v>20</v>
      </c>
      <c r="AN163" s="363" t="s">
        <v>273</v>
      </c>
      <c r="AO163" s="364">
        <v>4</v>
      </c>
      <c r="AP163" s="364">
        <v>0</v>
      </c>
      <c r="AQ163" s="364">
        <v>1</v>
      </c>
      <c r="AR163" s="364">
        <v>0</v>
      </c>
      <c r="AS163" s="364">
        <v>0</v>
      </c>
      <c r="AT163" s="364">
        <v>0</v>
      </c>
      <c r="AU163" s="364">
        <v>0</v>
      </c>
      <c r="AV163" s="364">
        <v>0</v>
      </c>
      <c r="AW163" s="365">
        <v>2</v>
      </c>
      <c r="AX163" s="363" t="s">
        <v>384</v>
      </c>
      <c r="AY163" s="364">
        <v>4</v>
      </c>
      <c r="AZ163" s="364">
        <v>0</v>
      </c>
      <c r="BA163" s="364">
        <v>0</v>
      </c>
      <c r="BB163" s="364">
        <v>0</v>
      </c>
      <c r="BC163" s="364">
        <v>0</v>
      </c>
      <c r="BD163" s="364">
        <v>2</v>
      </c>
      <c r="BE163" s="364">
        <v>0</v>
      </c>
      <c r="BF163" s="364">
        <v>0</v>
      </c>
      <c r="BG163" s="365">
        <v>0</v>
      </c>
      <c r="BH163" s="363" t="s">
        <v>391</v>
      </c>
      <c r="BI163" s="364">
        <v>4</v>
      </c>
      <c r="BJ163" s="364">
        <v>0</v>
      </c>
      <c r="BK163" s="364">
        <v>0</v>
      </c>
      <c r="BL163" s="364">
        <v>0</v>
      </c>
      <c r="BM163" s="364">
        <v>0</v>
      </c>
      <c r="BN163" s="364">
        <v>1</v>
      </c>
      <c r="BO163" s="364">
        <v>0</v>
      </c>
      <c r="BP163" s="364">
        <v>0</v>
      </c>
      <c r="BQ163" s="365">
        <v>0</v>
      </c>
      <c r="BR163" s="363" t="s">
        <v>272</v>
      </c>
      <c r="BS163" s="364">
        <v>3</v>
      </c>
      <c r="BT163" s="364">
        <v>0</v>
      </c>
      <c r="BU163" s="364">
        <v>0</v>
      </c>
      <c r="BV163" s="364">
        <v>0</v>
      </c>
      <c r="BW163" s="364">
        <v>1</v>
      </c>
      <c r="BX163" s="364">
        <v>0</v>
      </c>
      <c r="BY163" s="364">
        <v>0</v>
      </c>
      <c r="BZ163" s="364">
        <v>0</v>
      </c>
      <c r="CA163" s="365">
        <v>0</v>
      </c>
      <c r="CB163" s="363" t="s">
        <v>274</v>
      </c>
      <c r="CC163" s="364">
        <v>3</v>
      </c>
      <c r="CD163" s="364">
        <v>0</v>
      </c>
      <c r="CE163" s="364">
        <v>0</v>
      </c>
      <c r="CF163" s="364">
        <v>0</v>
      </c>
      <c r="CG163" s="364">
        <v>0</v>
      </c>
      <c r="CH163" s="364">
        <v>1</v>
      </c>
      <c r="CI163" s="364">
        <v>0</v>
      </c>
      <c r="CJ163" s="364">
        <v>0</v>
      </c>
      <c r="CK163" s="365">
        <v>0</v>
      </c>
      <c r="CL163" s="363" t="s">
        <v>389</v>
      </c>
      <c r="CM163" s="364">
        <v>2</v>
      </c>
      <c r="CN163" s="364">
        <v>0</v>
      </c>
      <c r="CO163" s="364">
        <v>0</v>
      </c>
      <c r="CP163" s="364">
        <v>0</v>
      </c>
      <c r="CQ163" s="364">
        <v>1</v>
      </c>
      <c r="CR163" s="364">
        <v>0</v>
      </c>
      <c r="CS163" s="364">
        <v>0</v>
      </c>
      <c r="CT163" s="364">
        <v>0</v>
      </c>
      <c r="CU163" s="365">
        <v>0</v>
      </c>
      <c r="CV163" s="363" t="s">
        <v>575</v>
      </c>
      <c r="CW163" s="364">
        <v>3</v>
      </c>
      <c r="CX163" s="364">
        <v>0</v>
      </c>
      <c r="CY163" s="364">
        <v>0</v>
      </c>
      <c r="CZ163" s="364">
        <v>0</v>
      </c>
      <c r="DA163" s="364">
        <v>0</v>
      </c>
      <c r="DB163" s="364">
        <v>1</v>
      </c>
      <c r="DC163" s="364">
        <v>0</v>
      </c>
      <c r="DD163" s="364">
        <v>0</v>
      </c>
      <c r="DE163" s="365">
        <v>0</v>
      </c>
      <c r="DF163" s="363" t="s">
        <v>388</v>
      </c>
      <c r="DG163" s="364">
        <v>3</v>
      </c>
      <c r="DH163" s="364">
        <v>0</v>
      </c>
      <c r="DI163" s="364">
        <v>0</v>
      </c>
      <c r="DJ163" s="364">
        <v>0</v>
      </c>
      <c r="DK163" s="364">
        <v>0</v>
      </c>
      <c r="DL163" s="364">
        <v>2</v>
      </c>
      <c r="DM163" s="364">
        <v>0</v>
      </c>
      <c r="DN163" s="364">
        <v>0</v>
      </c>
      <c r="DO163" s="365">
        <v>0</v>
      </c>
      <c r="DP163" s="363" t="s">
        <v>271</v>
      </c>
      <c r="DQ163" s="364">
        <v>3</v>
      </c>
      <c r="DR163" s="364">
        <v>0</v>
      </c>
      <c r="DS163" s="364">
        <v>1</v>
      </c>
      <c r="DT163" s="364">
        <v>0</v>
      </c>
      <c r="DU163" s="364">
        <v>0</v>
      </c>
      <c r="DV163" s="364">
        <v>0</v>
      </c>
      <c r="DW163" s="364">
        <v>0</v>
      </c>
      <c r="DX163" s="364">
        <v>0</v>
      </c>
      <c r="DY163" s="365">
        <v>1</v>
      </c>
      <c r="DZ163" s="366">
        <v>9</v>
      </c>
      <c r="EA163" s="367">
        <v>0</v>
      </c>
      <c r="EB163" s="367">
        <v>0</v>
      </c>
      <c r="EC163" s="368">
        <v>0</v>
      </c>
      <c r="ED163" s="367">
        <v>0</v>
      </c>
      <c r="EE163" s="369">
        <v>0</v>
      </c>
      <c r="EF163" s="370">
        <v>0</v>
      </c>
      <c r="EG163" s="367">
        <v>0</v>
      </c>
      <c r="EH163" s="367">
        <v>0</v>
      </c>
      <c r="EI163" s="367">
        <v>0</v>
      </c>
      <c r="EJ163" s="367">
        <v>0</v>
      </c>
      <c r="EK163" s="367">
        <v>0</v>
      </c>
      <c r="EL163" s="367">
        <v>0</v>
      </c>
      <c r="EM163" s="367">
        <v>0</v>
      </c>
      <c r="EN163" s="367">
        <v>0</v>
      </c>
      <c r="EO163" s="367"/>
      <c r="EP163" s="367"/>
      <c r="EQ163" s="367"/>
      <c r="ER163" s="367"/>
      <c r="ES163" s="369">
        <f t="shared" si="216"/>
        <v>0</v>
      </c>
      <c r="ET163" s="367">
        <v>1</v>
      </c>
      <c r="EU163" s="367">
        <v>0</v>
      </c>
      <c r="EV163" s="367">
        <v>3</v>
      </c>
      <c r="EW163" s="367">
        <v>0</v>
      </c>
      <c r="EX163" s="367">
        <v>1</v>
      </c>
      <c r="EY163" s="367">
        <v>2</v>
      </c>
      <c r="EZ163" s="367">
        <v>0</v>
      </c>
      <c r="FA163" s="367">
        <v>0</v>
      </c>
      <c r="FB163" s="367"/>
      <c r="FC163" s="367"/>
      <c r="FD163" s="367"/>
      <c r="FE163" s="367"/>
      <c r="FF163" s="367"/>
      <c r="FG163" s="367">
        <f t="shared" si="217"/>
        <v>7</v>
      </c>
      <c r="FH163" s="371">
        <v>29</v>
      </c>
      <c r="FI163" s="371">
        <v>0</v>
      </c>
      <c r="FJ163" s="371">
        <v>2</v>
      </c>
      <c r="FK163" s="371">
        <v>0</v>
      </c>
      <c r="FL163" s="371">
        <v>2</v>
      </c>
      <c r="FM163" s="371">
        <v>7</v>
      </c>
      <c r="FN163" s="371">
        <f t="shared" ref="FN163:FN169" si="220">((SUM(M163,AE163))-(FG163))</f>
        <v>0</v>
      </c>
      <c r="FO163" s="371">
        <f t="shared" ref="FO163:FO169" si="221">((SUM(AP163,AZ163,BJ163,BT163,CD163,CN163,CX163,DH163,DR163))-(ES163))</f>
        <v>0</v>
      </c>
      <c r="FP163" s="371">
        <f t="shared" ref="FP163:FU163" si="222">((SUM(AO163,AY163,BI163,BS163,CC163,CM163,CW163,DG163,DQ163))-(FH163))</f>
        <v>0</v>
      </c>
      <c r="FQ163" s="371">
        <f t="shared" si="222"/>
        <v>0</v>
      </c>
      <c r="FR163" s="371">
        <f t="shared" si="222"/>
        <v>0</v>
      </c>
      <c r="FS163" s="371">
        <f t="shared" si="222"/>
        <v>0</v>
      </c>
      <c r="FT163" s="371">
        <f t="shared" si="222"/>
        <v>0</v>
      </c>
      <c r="FU163" s="371">
        <f t="shared" si="222"/>
        <v>0</v>
      </c>
      <c r="FV163" s="371">
        <f t="shared" ref="FV163:GI163" si="223">(EF163-ET163)</f>
        <v>-1</v>
      </c>
      <c r="FW163" s="371">
        <f t="shared" si="223"/>
        <v>0</v>
      </c>
      <c r="FX163" s="371">
        <f t="shared" si="223"/>
        <v>-3</v>
      </c>
      <c r="FY163" s="371">
        <f t="shared" si="223"/>
        <v>0</v>
      </c>
      <c r="FZ163" s="371">
        <f t="shared" si="223"/>
        <v>-1</v>
      </c>
      <c r="GA163" s="371">
        <f t="shared" si="223"/>
        <v>-2</v>
      </c>
      <c r="GB163" s="371">
        <f t="shared" si="223"/>
        <v>0</v>
      </c>
      <c r="GC163" s="371">
        <f t="shared" si="223"/>
        <v>0</v>
      </c>
      <c r="GD163" s="371">
        <f t="shared" si="223"/>
        <v>0</v>
      </c>
      <c r="GE163" s="371">
        <f t="shared" si="223"/>
        <v>0</v>
      </c>
      <c r="GF163" s="371">
        <f t="shared" si="223"/>
        <v>0</v>
      </c>
      <c r="GG163" s="371">
        <f t="shared" si="223"/>
        <v>0</v>
      </c>
      <c r="GH163" s="371">
        <f t="shared" si="223"/>
        <v>0</v>
      </c>
      <c r="GI163" s="371">
        <f t="shared" si="223"/>
        <v>-7</v>
      </c>
      <c r="GJ163" s="372"/>
      <c r="GK163" s="367" t="s">
        <v>694</v>
      </c>
      <c r="GL163" s="376" t="s">
        <v>694</v>
      </c>
      <c r="GM163" s="376" t="s">
        <v>692</v>
      </c>
    </row>
    <row r="164" spans="1:195" x14ac:dyDescent="0.25">
      <c r="A164" s="356">
        <v>40453</v>
      </c>
      <c r="B164" s="356" t="s">
        <v>133</v>
      </c>
      <c r="C164" s="356" t="s">
        <v>129</v>
      </c>
      <c r="D164" s="356" t="s">
        <v>138</v>
      </c>
      <c r="E164" s="357">
        <v>32484</v>
      </c>
      <c r="F164" s="360">
        <v>172</v>
      </c>
      <c r="G164" s="358" t="s">
        <v>523</v>
      </c>
      <c r="H164" s="359" t="s">
        <v>638</v>
      </c>
      <c r="I164" s="360">
        <v>0</v>
      </c>
      <c r="J164" s="360">
        <v>0</v>
      </c>
      <c r="K164" s="361">
        <f>2+1/3</f>
        <v>2.3333333333333335</v>
      </c>
      <c r="L164" s="360">
        <v>5</v>
      </c>
      <c r="M164" s="360">
        <v>0</v>
      </c>
      <c r="N164" s="360">
        <v>0</v>
      </c>
      <c r="O164" s="360">
        <v>0</v>
      </c>
      <c r="P164" s="360">
        <v>1</v>
      </c>
      <c r="Q164" s="360">
        <v>0</v>
      </c>
      <c r="R164" s="360">
        <v>1</v>
      </c>
      <c r="S164" s="360">
        <v>13</v>
      </c>
      <c r="T164" s="360">
        <v>39</v>
      </c>
      <c r="U164" s="360">
        <v>25</v>
      </c>
      <c r="V164" s="360">
        <v>3</v>
      </c>
      <c r="W164" s="362">
        <v>0</v>
      </c>
      <c r="X164" s="360">
        <v>1</v>
      </c>
      <c r="Y164" s="360">
        <v>0</v>
      </c>
      <c r="Z164" s="360">
        <v>0</v>
      </c>
      <c r="AA164" s="360">
        <v>0</v>
      </c>
      <c r="AB164" s="360">
        <v>0</v>
      </c>
      <c r="AC164" s="361">
        <f>6+2/3</f>
        <v>6.666666666666667</v>
      </c>
      <c r="AD164" s="360">
        <v>3</v>
      </c>
      <c r="AE164" s="360">
        <v>0</v>
      </c>
      <c r="AF164" s="360">
        <v>0</v>
      </c>
      <c r="AG164" s="360">
        <v>2</v>
      </c>
      <c r="AH164" s="360">
        <v>6</v>
      </c>
      <c r="AI164" s="360">
        <v>0</v>
      </c>
      <c r="AJ164" s="360">
        <v>0</v>
      </c>
      <c r="AK164" s="360">
        <v>22</v>
      </c>
      <c r="AL164" s="360">
        <v>97</v>
      </c>
      <c r="AM164" s="360">
        <v>69</v>
      </c>
      <c r="AN164" s="363" t="s">
        <v>275</v>
      </c>
      <c r="AO164" s="364">
        <v>4</v>
      </c>
      <c r="AP164" s="364">
        <v>0</v>
      </c>
      <c r="AQ164" s="364">
        <v>0</v>
      </c>
      <c r="AR164" s="364">
        <v>0</v>
      </c>
      <c r="AS164" s="364">
        <v>0</v>
      </c>
      <c r="AT164" s="364">
        <v>0</v>
      </c>
      <c r="AU164" s="364">
        <v>0</v>
      </c>
      <c r="AV164" s="364">
        <v>0</v>
      </c>
      <c r="AW164" s="365">
        <v>0</v>
      </c>
      <c r="AX164" s="363" t="s">
        <v>273</v>
      </c>
      <c r="AY164" s="364">
        <v>3</v>
      </c>
      <c r="AZ164" s="364">
        <v>1</v>
      </c>
      <c r="BA164" s="364">
        <v>1</v>
      </c>
      <c r="BB164" s="364">
        <v>1</v>
      </c>
      <c r="BC164" s="364">
        <v>0</v>
      </c>
      <c r="BD164" s="364">
        <v>1</v>
      </c>
      <c r="BE164" s="364">
        <v>0</v>
      </c>
      <c r="BF164" s="364">
        <v>1</v>
      </c>
      <c r="BG164" s="365">
        <v>1</v>
      </c>
      <c r="BH164" s="363" t="s">
        <v>391</v>
      </c>
      <c r="BI164" s="364">
        <v>4</v>
      </c>
      <c r="BJ164" s="364">
        <v>2</v>
      </c>
      <c r="BK164" s="364">
        <v>2</v>
      </c>
      <c r="BL164" s="364">
        <v>1</v>
      </c>
      <c r="BM164" s="364">
        <v>0</v>
      </c>
      <c r="BN164" s="364">
        <v>1</v>
      </c>
      <c r="BO164" s="364">
        <v>0</v>
      </c>
      <c r="BP164" s="364">
        <v>0</v>
      </c>
      <c r="BQ164" s="365">
        <v>5</v>
      </c>
      <c r="BR164" s="363" t="s">
        <v>332</v>
      </c>
      <c r="BS164" s="364">
        <v>2</v>
      </c>
      <c r="BT164" s="364">
        <v>0</v>
      </c>
      <c r="BU164" s="364">
        <v>0</v>
      </c>
      <c r="BV164" s="364">
        <v>0</v>
      </c>
      <c r="BW164" s="364">
        <v>2</v>
      </c>
      <c r="BX164" s="364">
        <v>1</v>
      </c>
      <c r="BY164" s="364">
        <v>0</v>
      </c>
      <c r="BZ164" s="364">
        <v>0</v>
      </c>
      <c r="CA164" s="365">
        <v>0</v>
      </c>
      <c r="CB164" s="363" t="s">
        <v>387</v>
      </c>
      <c r="CC164" s="364">
        <v>4</v>
      </c>
      <c r="CD164" s="364">
        <v>0</v>
      </c>
      <c r="CE164" s="364">
        <v>1</v>
      </c>
      <c r="CF164" s="364">
        <v>2</v>
      </c>
      <c r="CG164" s="364">
        <v>0</v>
      </c>
      <c r="CH164" s="364">
        <v>0</v>
      </c>
      <c r="CI164" s="364">
        <v>0</v>
      </c>
      <c r="CJ164" s="364">
        <v>0</v>
      </c>
      <c r="CK164" s="365">
        <v>3</v>
      </c>
      <c r="CL164" s="363" t="s">
        <v>274</v>
      </c>
      <c r="CM164" s="364">
        <v>4</v>
      </c>
      <c r="CN164" s="364">
        <v>0</v>
      </c>
      <c r="CO164" s="364">
        <v>1</v>
      </c>
      <c r="CP164" s="364">
        <v>0</v>
      </c>
      <c r="CQ164" s="364">
        <v>0</v>
      </c>
      <c r="CR164" s="364">
        <v>1</v>
      </c>
      <c r="CS164" s="364">
        <v>0</v>
      </c>
      <c r="CT164" s="364">
        <v>0</v>
      </c>
      <c r="CU164" s="365">
        <v>2</v>
      </c>
      <c r="CV164" s="363" t="s">
        <v>674</v>
      </c>
      <c r="CW164" s="364">
        <v>3</v>
      </c>
      <c r="CX164" s="364">
        <v>0</v>
      </c>
      <c r="CY164" s="364">
        <v>0</v>
      </c>
      <c r="CZ164" s="364">
        <v>0</v>
      </c>
      <c r="DA164" s="364">
        <v>1</v>
      </c>
      <c r="DB164" s="364">
        <v>2</v>
      </c>
      <c r="DC164" s="364">
        <v>0</v>
      </c>
      <c r="DD164" s="364">
        <v>0</v>
      </c>
      <c r="DE164" s="365">
        <v>0</v>
      </c>
      <c r="DF164" s="363" t="s">
        <v>271</v>
      </c>
      <c r="DG164" s="364">
        <v>3</v>
      </c>
      <c r="DH164" s="364">
        <v>0</v>
      </c>
      <c r="DI164" s="364">
        <v>0</v>
      </c>
      <c r="DJ164" s="364">
        <v>0</v>
      </c>
      <c r="DK164" s="364">
        <v>1</v>
      </c>
      <c r="DL164" s="364">
        <v>1</v>
      </c>
      <c r="DM164" s="364">
        <v>0</v>
      </c>
      <c r="DN164" s="364">
        <v>0</v>
      </c>
      <c r="DO164" s="365">
        <v>0</v>
      </c>
      <c r="DP164" s="363" t="s">
        <v>384</v>
      </c>
      <c r="DQ164" s="364">
        <v>4</v>
      </c>
      <c r="DR164" s="364">
        <v>1</v>
      </c>
      <c r="DS164" s="364">
        <v>1</v>
      </c>
      <c r="DT164" s="364">
        <v>0</v>
      </c>
      <c r="DU164" s="364">
        <v>0</v>
      </c>
      <c r="DV164" s="364">
        <v>1</v>
      </c>
      <c r="DW164" s="364">
        <v>0</v>
      </c>
      <c r="DX164" s="364">
        <v>0</v>
      </c>
      <c r="DY164" s="365">
        <v>2</v>
      </c>
      <c r="DZ164" s="366">
        <f>1+2/3</f>
        <v>1.6666666666666665</v>
      </c>
      <c r="EA164" s="367">
        <v>0</v>
      </c>
      <c r="EB164" s="367">
        <v>0</v>
      </c>
      <c r="EC164" s="368">
        <f>7+1/3</f>
        <v>7.333333333333333</v>
      </c>
      <c r="ED164" s="367">
        <v>1</v>
      </c>
      <c r="EE164" s="369">
        <v>0</v>
      </c>
      <c r="EF164" s="370">
        <v>2</v>
      </c>
      <c r="EG164" s="367">
        <v>0</v>
      </c>
      <c r="EH164" s="367">
        <v>1</v>
      </c>
      <c r="EI164" s="367">
        <v>0</v>
      </c>
      <c r="EJ164" s="367">
        <v>1</v>
      </c>
      <c r="EK164" s="367">
        <v>0</v>
      </c>
      <c r="EL164" s="367">
        <v>0</v>
      </c>
      <c r="EM164" s="367">
        <v>0</v>
      </c>
      <c r="EN164" s="367">
        <v>0</v>
      </c>
      <c r="EO164" s="367"/>
      <c r="EP164" s="367"/>
      <c r="EQ164" s="367"/>
      <c r="ER164" s="367"/>
      <c r="ES164" s="369">
        <f t="shared" si="216"/>
        <v>4</v>
      </c>
      <c r="ET164" s="367">
        <v>0</v>
      </c>
      <c r="EU164" s="367">
        <v>0</v>
      </c>
      <c r="EV164" s="367">
        <v>0</v>
      </c>
      <c r="EW164" s="367">
        <v>0</v>
      </c>
      <c r="EX164" s="367">
        <v>0</v>
      </c>
      <c r="EY164" s="367">
        <v>0</v>
      </c>
      <c r="EZ164" s="367">
        <v>0</v>
      </c>
      <c r="FA164" s="367">
        <v>0</v>
      </c>
      <c r="FB164" s="367">
        <v>0</v>
      </c>
      <c r="FC164" s="367"/>
      <c r="FD164" s="367"/>
      <c r="FE164" s="367"/>
      <c r="FF164" s="367"/>
      <c r="FG164" s="367">
        <f t="shared" si="217"/>
        <v>0</v>
      </c>
      <c r="FH164" s="371">
        <v>31</v>
      </c>
      <c r="FI164" s="371">
        <v>4</v>
      </c>
      <c r="FJ164" s="371">
        <v>6</v>
      </c>
      <c r="FK164" s="371">
        <v>4</v>
      </c>
      <c r="FL164" s="371">
        <v>4</v>
      </c>
      <c r="FM164" s="371">
        <v>8</v>
      </c>
      <c r="FN164" s="371">
        <f t="shared" si="220"/>
        <v>0</v>
      </c>
      <c r="FO164" s="371">
        <f t="shared" si="221"/>
        <v>0</v>
      </c>
      <c r="FP164" s="371">
        <f t="shared" ref="FP164:FU164" si="224">((SUM(AO164,AY164,BI164,BS164,CC164,CM164,CW164,DG164,DQ164))-(FH164))</f>
        <v>0</v>
      </c>
      <c r="FQ164" s="371">
        <f t="shared" si="224"/>
        <v>0</v>
      </c>
      <c r="FR164" s="371">
        <f t="shared" si="224"/>
        <v>0</v>
      </c>
      <c r="FS164" s="371">
        <f t="shared" si="224"/>
        <v>0</v>
      </c>
      <c r="FT164" s="371">
        <f t="shared" si="224"/>
        <v>0</v>
      </c>
      <c r="FU164" s="371">
        <f t="shared" si="224"/>
        <v>0</v>
      </c>
      <c r="FV164" s="371">
        <f t="shared" ref="FV164:GI164" si="225">(EF164-ET164)</f>
        <v>2</v>
      </c>
      <c r="FW164" s="371">
        <f t="shared" si="225"/>
        <v>0</v>
      </c>
      <c r="FX164" s="371">
        <f t="shared" si="225"/>
        <v>1</v>
      </c>
      <c r="FY164" s="371">
        <f t="shared" si="225"/>
        <v>0</v>
      </c>
      <c r="FZ164" s="371">
        <f t="shared" si="225"/>
        <v>1</v>
      </c>
      <c r="GA164" s="371">
        <f t="shared" si="225"/>
        <v>0</v>
      </c>
      <c r="GB164" s="371">
        <f t="shared" si="225"/>
        <v>0</v>
      </c>
      <c r="GC164" s="371">
        <f t="shared" si="225"/>
        <v>0</v>
      </c>
      <c r="GD164" s="371">
        <f t="shared" si="225"/>
        <v>0</v>
      </c>
      <c r="GE164" s="371">
        <f t="shared" si="225"/>
        <v>0</v>
      </c>
      <c r="GF164" s="371">
        <f t="shared" si="225"/>
        <v>0</v>
      </c>
      <c r="GG164" s="371">
        <f t="shared" si="225"/>
        <v>0</v>
      </c>
      <c r="GH164" s="371">
        <f t="shared" si="225"/>
        <v>0</v>
      </c>
      <c r="GI164" s="371">
        <f t="shared" si="225"/>
        <v>4</v>
      </c>
      <c r="GJ164" s="372"/>
      <c r="GK164" s="367" t="s">
        <v>694</v>
      </c>
      <c r="GL164" s="376" t="s">
        <v>694</v>
      </c>
      <c r="GM164" s="376" t="s">
        <v>692</v>
      </c>
    </row>
    <row r="165" spans="1:195" x14ac:dyDescent="0.25">
      <c r="A165" s="356">
        <v>40454</v>
      </c>
      <c r="B165" s="356" t="s">
        <v>133</v>
      </c>
      <c r="C165" s="356" t="s">
        <v>129</v>
      </c>
      <c r="D165" s="356" t="s">
        <v>138</v>
      </c>
      <c r="E165" s="357">
        <v>20936</v>
      </c>
      <c r="F165" s="360">
        <v>219</v>
      </c>
      <c r="G165" s="358">
        <v>2</v>
      </c>
      <c r="H165" s="359" t="s">
        <v>393</v>
      </c>
      <c r="I165" s="360">
        <v>0</v>
      </c>
      <c r="J165" s="360">
        <v>0</v>
      </c>
      <c r="K165" s="361">
        <v>7</v>
      </c>
      <c r="L165" s="360">
        <v>3</v>
      </c>
      <c r="M165" s="360">
        <v>2</v>
      </c>
      <c r="N165" s="360">
        <v>2</v>
      </c>
      <c r="O165" s="360">
        <v>2</v>
      </c>
      <c r="P165" s="360">
        <v>6</v>
      </c>
      <c r="Q165" s="360">
        <v>1</v>
      </c>
      <c r="R165" s="360">
        <v>0</v>
      </c>
      <c r="S165" s="360">
        <v>27</v>
      </c>
      <c r="T165" s="360">
        <v>104</v>
      </c>
      <c r="U165" s="360">
        <v>71</v>
      </c>
      <c r="V165" s="360">
        <v>0</v>
      </c>
      <c r="W165" s="362">
        <v>0</v>
      </c>
      <c r="X165" s="360">
        <v>1</v>
      </c>
      <c r="Y165" s="360">
        <v>0</v>
      </c>
      <c r="Z165" s="360">
        <v>0</v>
      </c>
      <c r="AA165" s="360">
        <v>1</v>
      </c>
      <c r="AB165" s="360">
        <v>0</v>
      </c>
      <c r="AC165" s="361">
        <v>5</v>
      </c>
      <c r="AD165" s="360">
        <v>3</v>
      </c>
      <c r="AE165" s="360">
        <v>0</v>
      </c>
      <c r="AF165" s="360">
        <v>0</v>
      </c>
      <c r="AG165" s="360">
        <v>1</v>
      </c>
      <c r="AH165" s="360">
        <v>9</v>
      </c>
      <c r="AI165" s="360">
        <v>0</v>
      </c>
      <c r="AJ165" s="360">
        <v>0</v>
      </c>
      <c r="AK165" s="360">
        <v>20</v>
      </c>
      <c r="AL165" s="360">
        <v>81</v>
      </c>
      <c r="AM165" s="360">
        <v>58</v>
      </c>
      <c r="AN165" s="363" t="s">
        <v>389</v>
      </c>
      <c r="AO165" s="364">
        <v>6</v>
      </c>
      <c r="AP165" s="364">
        <v>0</v>
      </c>
      <c r="AQ165" s="364">
        <v>0</v>
      </c>
      <c r="AR165" s="364">
        <v>0</v>
      </c>
      <c r="AS165" s="364">
        <v>0</v>
      </c>
      <c r="AT165" s="364">
        <v>1</v>
      </c>
      <c r="AU165" s="364">
        <v>0</v>
      </c>
      <c r="AV165" s="364">
        <v>0</v>
      </c>
      <c r="AW165" s="365">
        <v>0</v>
      </c>
      <c r="AX165" s="363" t="s">
        <v>273</v>
      </c>
      <c r="AY165" s="364">
        <v>5</v>
      </c>
      <c r="AZ165" s="364">
        <v>0</v>
      </c>
      <c r="BA165" s="364">
        <v>0</v>
      </c>
      <c r="BB165" s="364">
        <v>0</v>
      </c>
      <c r="BC165" s="364">
        <v>0</v>
      </c>
      <c r="BD165" s="364">
        <v>3</v>
      </c>
      <c r="BE165" s="364">
        <v>0</v>
      </c>
      <c r="BF165" s="364">
        <v>0</v>
      </c>
      <c r="BG165" s="365">
        <v>0</v>
      </c>
      <c r="BH165" s="363" t="s">
        <v>391</v>
      </c>
      <c r="BI165" s="364">
        <v>5</v>
      </c>
      <c r="BJ165" s="364">
        <v>1</v>
      </c>
      <c r="BK165" s="364">
        <v>1</v>
      </c>
      <c r="BL165" s="364">
        <v>0</v>
      </c>
      <c r="BM165" s="364">
        <v>0</v>
      </c>
      <c r="BN165" s="364">
        <v>2</v>
      </c>
      <c r="BO165" s="364">
        <v>0</v>
      </c>
      <c r="BP165" s="364">
        <v>0</v>
      </c>
      <c r="BQ165" s="365">
        <v>1</v>
      </c>
      <c r="BR165" s="363" t="s">
        <v>332</v>
      </c>
      <c r="BS165" s="364">
        <v>4</v>
      </c>
      <c r="BT165" s="364">
        <v>0</v>
      </c>
      <c r="BU165" s="364">
        <v>1</v>
      </c>
      <c r="BV165" s="364">
        <v>0</v>
      </c>
      <c r="BW165" s="364">
        <v>1</v>
      </c>
      <c r="BX165" s="364">
        <v>1</v>
      </c>
      <c r="BY165" s="364">
        <v>0</v>
      </c>
      <c r="BZ165" s="364">
        <v>0</v>
      </c>
      <c r="CA165" s="365">
        <v>1</v>
      </c>
      <c r="CB165" s="363" t="s">
        <v>387</v>
      </c>
      <c r="CC165" s="364">
        <v>5</v>
      </c>
      <c r="CD165" s="364">
        <v>1</v>
      </c>
      <c r="CE165" s="364">
        <v>2</v>
      </c>
      <c r="CF165" s="364">
        <v>0</v>
      </c>
      <c r="CG165" s="364">
        <v>0</v>
      </c>
      <c r="CH165" s="364">
        <v>1</v>
      </c>
      <c r="CI165" s="364">
        <v>0</v>
      </c>
      <c r="CJ165" s="364">
        <v>0</v>
      </c>
      <c r="CK165" s="365">
        <v>2</v>
      </c>
      <c r="CL165" s="363" t="s">
        <v>274</v>
      </c>
      <c r="CM165" s="364">
        <v>4</v>
      </c>
      <c r="CN165" s="364">
        <v>0</v>
      </c>
      <c r="CO165" s="364">
        <v>1</v>
      </c>
      <c r="CP165" s="364">
        <v>2</v>
      </c>
      <c r="CQ165" s="364">
        <v>1</v>
      </c>
      <c r="CR165" s="364">
        <v>1</v>
      </c>
      <c r="CS165" s="364">
        <v>0</v>
      </c>
      <c r="CT165" s="364">
        <v>0</v>
      </c>
      <c r="CU165" s="365">
        <v>2</v>
      </c>
      <c r="CV165" s="363" t="s">
        <v>674</v>
      </c>
      <c r="CW165" s="364">
        <v>5</v>
      </c>
      <c r="CX165" s="364">
        <v>1</v>
      </c>
      <c r="CY165" s="364">
        <v>2</v>
      </c>
      <c r="CZ165" s="364">
        <v>0</v>
      </c>
      <c r="DA165" s="364">
        <v>0</v>
      </c>
      <c r="DB165" s="364">
        <v>2</v>
      </c>
      <c r="DC165" s="364">
        <v>0</v>
      </c>
      <c r="DD165" s="364">
        <v>0</v>
      </c>
      <c r="DE165" s="365">
        <v>2</v>
      </c>
      <c r="DF165" s="363" t="s">
        <v>385</v>
      </c>
      <c r="DG165" s="364">
        <v>4</v>
      </c>
      <c r="DH165" s="364">
        <v>0</v>
      </c>
      <c r="DI165" s="364">
        <v>0</v>
      </c>
      <c r="DJ165" s="364">
        <v>0</v>
      </c>
      <c r="DK165" s="364">
        <v>1</v>
      </c>
      <c r="DL165" s="364">
        <v>1</v>
      </c>
      <c r="DM165" s="364">
        <v>0</v>
      </c>
      <c r="DN165" s="364">
        <v>0</v>
      </c>
      <c r="DO165" s="365">
        <v>0</v>
      </c>
      <c r="DP165" s="363" t="s">
        <v>406</v>
      </c>
      <c r="DQ165" s="364">
        <v>5</v>
      </c>
      <c r="DR165" s="364">
        <v>0</v>
      </c>
      <c r="DS165" s="364">
        <v>0</v>
      </c>
      <c r="DT165" s="364">
        <v>0</v>
      </c>
      <c r="DU165" s="364">
        <v>0</v>
      </c>
      <c r="DV165" s="364">
        <v>1</v>
      </c>
      <c r="DW165" s="364">
        <v>0</v>
      </c>
      <c r="DX165" s="364">
        <v>0</v>
      </c>
      <c r="DY165" s="365">
        <v>0</v>
      </c>
      <c r="DZ165" s="366">
        <f>1+2/3</f>
        <v>1.6666666666666665</v>
      </c>
      <c r="EA165" s="367">
        <v>1</v>
      </c>
      <c r="EB165" s="367">
        <v>0</v>
      </c>
      <c r="EC165" s="368">
        <f>10+1/3</f>
        <v>10.333333333333334</v>
      </c>
      <c r="ED165" s="367">
        <v>0</v>
      </c>
      <c r="EE165" s="369">
        <v>0</v>
      </c>
      <c r="EF165" s="370">
        <v>0</v>
      </c>
      <c r="EG165" s="367">
        <v>0</v>
      </c>
      <c r="EH165" s="367">
        <v>0</v>
      </c>
      <c r="EI165" s="367">
        <v>0</v>
      </c>
      <c r="EJ165" s="367">
        <v>0</v>
      </c>
      <c r="EK165" s="367">
        <v>0</v>
      </c>
      <c r="EL165" s="367">
        <v>0</v>
      </c>
      <c r="EM165" s="367">
        <v>0</v>
      </c>
      <c r="EN165" s="367">
        <v>2</v>
      </c>
      <c r="EO165" s="367">
        <v>0</v>
      </c>
      <c r="EP165" s="367">
        <v>0</v>
      </c>
      <c r="EQ165" s="367">
        <v>1</v>
      </c>
      <c r="ER165" s="367"/>
      <c r="ES165" s="369">
        <f t="shared" si="216"/>
        <v>3</v>
      </c>
      <c r="ET165" s="367">
        <v>0</v>
      </c>
      <c r="EU165" s="367">
        <v>0</v>
      </c>
      <c r="EV165" s="367">
        <v>0</v>
      </c>
      <c r="EW165" s="367">
        <v>2</v>
      </c>
      <c r="EX165" s="367">
        <v>0</v>
      </c>
      <c r="EY165" s="367">
        <v>0</v>
      </c>
      <c r="EZ165" s="367">
        <v>0</v>
      </c>
      <c r="FA165" s="367">
        <v>0</v>
      </c>
      <c r="FB165" s="367">
        <v>0</v>
      </c>
      <c r="FC165" s="367">
        <v>0</v>
      </c>
      <c r="FD165" s="367">
        <v>0</v>
      </c>
      <c r="FE165" s="367">
        <v>0</v>
      </c>
      <c r="FF165" s="367"/>
      <c r="FG165" s="367">
        <f t="shared" si="217"/>
        <v>2</v>
      </c>
      <c r="FH165" s="371">
        <v>43</v>
      </c>
      <c r="FI165" s="371">
        <v>3</v>
      </c>
      <c r="FJ165" s="371">
        <v>7</v>
      </c>
      <c r="FK165" s="371">
        <v>2</v>
      </c>
      <c r="FL165" s="371">
        <v>3</v>
      </c>
      <c r="FM165" s="371">
        <v>13</v>
      </c>
      <c r="FN165" s="371">
        <f t="shared" si="220"/>
        <v>0</v>
      </c>
      <c r="FO165" s="371">
        <f t="shared" si="221"/>
        <v>0</v>
      </c>
      <c r="FP165" s="371">
        <f t="shared" ref="FP165:FU165" si="226">((SUM(AO165,AY165,BI165,BS165,CC165,CM165,CW165,DG165,DQ165))-(FH165))</f>
        <v>0</v>
      </c>
      <c r="FQ165" s="371">
        <f t="shared" si="226"/>
        <v>0</v>
      </c>
      <c r="FR165" s="371">
        <f t="shared" si="226"/>
        <v>0</v>
      </c>
      <c r="FS165" s="371">
        <f t="shared" si="226"/>
        <v>0</v>
      </c>
      <c r="FT165" s="371">
        <f t="shared" si="226"/>
        <v>0</v>
      </c>
      <c r="FU165" s="371">
        <f t="shared" si="226"/>
        <v>0</v>
      </c>
      <c r="FV165" s="371">
        <f t="shared" ref="FV165:GI165" si="227">(EF165-ET165)</f>
        <v>0</v>
      </c>
      <c r="FW165" s="371">
        <f t="shared" si="227"/>
        <v>0</v>
      </c>
      <c r="FX165" s="371">
        <f t="shared" si="227"/>
        <v>0</v>
      </c>
      <c r="FY165" s="371">
        <f t="shared" si="227"/>
        <v>-2</v>
      </c>
      <c r="FZ165" s="371">
        <f t="shared" si="227"/>
        <v>0</v>
      </c>
      <c r="GA165" s="371">
        <f t="shared" si="227"/>
        <v>0</v>
      </c>
      <c r="GB165" s="371">
        <f t="shared" si="227"/>
        <v>0</v>
      </c>
      <c r="GC165" s="371">
        <f t="shared" si="227"/>
        <v>0</v>
      </c>
      <c r="GD165" s="371">
        <f t="shared" si="227"/>
        <v>2</v>
      </c>
      <c r="GE165" s="371">
        <f t="shared" si="227"/>
        <v>0</v>
      </c>
      <c r="GF165" s="371">
        <f t="shared" si="227"/>
        <v>0</v>
      </c>
      <c r="GG165" s="371">
        <f t="shared" si="227"/>
        <v>1</v>
      </c>
      <c r="GH165" s="371">
        <f t="shared" si="227"/>
        <v>0</v>
      </c>
      <c r="GI165" s="371">
        <f t="shared" si="227"/>
        <v>1</v>
      </c>
      <c r="GJ165" s="372" t="s">
        <v>682</v>
      </c>
      <c r="GK165" s="367" t="s">
        <v>695</v>
      </c>
      <c r="GL165" s="376" t="s">
        <v>694</v>
      </c>
      <c r="GM165" s="376" t="s">
        <v>692</v>
      </c>
    </row>
    <row r="166" spans="1:195" x14ac:dyDescent="0.25">
      <c r="A166" s="356">
        <v>40457</v>
      </c>
      <c r="B166" s="356" t="s">
        <v>19</v>
      </c>
      <c r="C166" s="356" t="s">
        <v>131</v>
      </c>
      <c r="D166" s="356" t="s">
        <v>143</v>
      </c>
      <c r="E166" s="357">
        <v>35474</v>
      </c>
      <c r="F166" s="360">
        <v>186</v>
      </c>
      <c r="G166" s="358">
        <v>1</v>
      </c>
      <c r="H166" s="359" t="s">
        <v>394</v>
      </c>
      <c r="I166" s="360">
        <v>0</v>
      </c>
      <c r="J166" s="360">
        <v>1</v>
      </c>
      <c r="K166" s="361">
        <f>6+2/3</f>
        <v>6.666666666666667</v>
      </c>
      <c r="L166" s="360">
        <v>9</v>
      </c>
      <c r="M166" s="360">
        <v>5</v>
      </c>
      <c r="N166" s="360">
        <v>4</v>
      </c>
      <c r="O166" s="360">
        <v>0</v>
      </c>
      <c r="P166" s="360">
        <v>8</v>
      </c>
      <c r="Q166" s="360">
        <v>2</v>
      </c>
      <c r="R166" s="360">
        <v>0</v>
      </c>
      <c r="S166" s="360">
        <v>30</v>
      </c>
      <c r="T166" s="360">
        <v>107</v>
      </c>
      <c r="U166" s="360">
        <v>77</v>
      </c>
      <c r="V166" s="360">
        <v>0</v>
      </c>
      <c r="W166" s="362">
        <v>0</v>
      </c>
      <c r="X166" s="360">
        <v>0</v>
      </c>
      <c r="Y166" s="360">
        <v>0</v>
      </c>
      <c r="Z166" s="360">
        <v>0</v>
      </c>
      <c r="AA166" s="360">
        <v>0</v>
      </c>
      <c r="AB166" s="360">
        <v>0</v>
      </c>
      <c r="AC166" s="361">
        <f>2+1/3</f>
        <v>2.3333333333333335</v>
      </c>
      <c r="AD166" s="360">
        <v>1</v>
      </c>
      <c r="AE166" s="360">
        <v>0</v>
      </c>
      <c r="AF166" s="360">
        <v>0</v>
      </c>
      <c r="AG166" s="360">
        <v>0</v>
      </c>
      <c r="AH166" s="360">
        <v>0</v>
      </c>
      <c r="AI166" s="360">
        <v>0</v>
      </c>
      <c r="AJ166" s="360">
        <v>0</v>
      </c>
      <c r="AK166" s="360">
        <v>7</v>
      </c>
      <c r="AL166" s="360">
        <v>25</v>
      </c>
      <c r="AM166" s="360">
        <v>17</v>
      </c>
      <c r="AN166" s="363" t="s">
        <v>384</v>
      </c>
      <c r="AO166" s="364">
        <v>4</v>
      </c>
      <c r="AP166" s="364">
        <v>0</v>
      </c>
      <c r="AQ166" s="364">
        <v>2</v>
      </c>
      <c r="AR166" s="364">
        <v>0</v>
      </c>
      <c r="AS166" s="364">
        <v>0</v>
      </c>
      <c r="AT166" s="364">
        <v>1</v>
      </c>
      <c r="AU166" s="364">
        <v>0</v>
      </c>
      <c r="AV166" s="364">
        <v>0</v>
      </c>
      <c r="AW166" s="365">
        <v>2</v>
      </c>
      <c r="AX166" s="363" t="s">
        <v>273</v>
      </c>
      <c r="AY166" s="364">
        <v>4</v>
      </c>
      <c r="AZ166" s="364">
        <v>0</v>
      </c>
      <c r="BA166" s="364">
        <v>0</v>
      </c>
      <c r="BB166" s="364">
        <v>0</v>
      </c>
      <c r="BC166" s="364">
        <v>0</v>
      </c>
      <c r="BD166" s="364">
        <v>2</v>
      </c>
      <c r="BE166" s="364">
        <v>0</v>
      </c>
      <c r="BF166" s="364">
        <v>0</v>
      </c>
      <c r="BG166" s="365">
        <v>0</v>
      </c>
      <c r="BH166" s="363" t="s">
        <v>391</v>
      </c>
      <c r="BI166" s="364">
        <v>4</v>
      </c>
      <c r="BJ166" s="364">
        <v>0</v>
      </c>
      <c r="BK166" s="364">
        <v>1</v>
      </c>
      <c r="BL166" s="364">
        <v>0</v>
      </c>
      <c r="BM166" s="364">
        <v>0</v>
      </c>
      <c r="BN166" s="364">
        <v>0</v>
      </c>
      <c r="BO166" s="364">
        <v>0</v>
      </c>
      <c r="BP166" s="364">
        <v>0</v>
      </c>
      <c r="BQ166" s="365">
        <v>1</v>
      </c>
      <c r="BR166" s="363" t="s">
        <v>390</v>
      </c>
      <c r="BS166" s="364">
        <v>4</v>
      </c>
      <c r="BT166" s="364">
        <v>0</v>
      </c>
      <c r="BU166" s="364">
        <v>1</v>
      </c>
      <c r="BV166" s="364">
        <v>0</v>
      </c>
      <c r="BW166" s="364">
        <v>0</v>
      </c>
      <c r="BX166" s="364">
        <v>1</v>
      </c>
      <c r="BY166" s="364">
        <v>0</v>
      </c>
      <c r="BZ166" s="364">
        <v>0</v>
      </c>
      <c r="CA166" s="365">
        <v>1</v>
      </c>
      <c r="CB166" s="363" t="s">
        <v>274</v>
      </c>
      <c r="CC166" s="364">
        <v>3</v>
      </c>
      <c r="CD166" s="364">
        <v>0</v>
      </c>
      <c r="CE166" s="364">
        <v>0</v>
      </c>
      <c r="CF166" s="364">
        <v>0</v>
      </c>
      <c r="CG166" s="364">
        <v>1</v>
      </c>
      <c r="CH166" s="364">
        <v>3</v>
      </c>
      <c r="CI166" s="364">
        <v>0</v>
      </c>
      <c r="CJ166" s="364">
        <v>0</v>
      </c>
      <c r="CK166" s="365">
        <v>0</v>
      </c>
      <c r="CL166" s="363" t="s">
        <v>575</v>
      </c>
      <c r="CM166" s="364">
        <v>3</v>
      </c>
      <c r="CN166" s="364">
        <v>0</v>
      </c>
      <c r="CO166" s="364">
        <v>0</v>
      </c>
      <c r="CP166" s="364">
        <v>0</v>
      </c>
      <c r="CQ166" s="364">
        <v>1</v>
      </c>
      <c r="CR166" s="364">
        <v>2</v>
      </c>
      <c r="CS166" s="364">
        <v>0</v>
      </c>
      <c r="CT166" s="364">
        <v>0</v>
      </c>
      <c r="CU166" s="365">
        <v>0</v>
      </c>
      <c r="CV166" s="363" t="s">
        <v>389</v>
      </c>
      <c r="CW166" s="364">
        <v>4</v>
      </c>
      <c r="CX166" s="364">
        <v>1</v>
      </c>
      <c r="CY166" s="364">
        <v>2</v>
      </c>
      <c r="CZ166" s="364">
        <v>1</v>
      </c>
      <c r="DA166" s="364">
        <v>0</v>
      </c>
      <c r="DB166" s="364">
        <v>0</v>
      </c>
      <c r="DC166" s="364">
        <v>0</v>
      </c>
      <c r="DD166" s="364">
        <v>0</v>
      </c>
      <c r="DE166" s="365">
        <v>6</v>
      </c>
      <c r="DF166" s="363" t="s">
        <v>388</v>
      </c>
      <c r="DG166" s="364">
        <v>4</v>
      </c>
      <c r="DH166" s="364">
        <v>0</v>
      </c>
      <c r="DI166" s="364">
        <v>0</v>
      </c>
      <c r="DJ166" s="364">
        <v>0</v>
      </c>
      <c r="DK166" s="364">
        <v>0</v>
      </c>
      <c r="DL166" s="364">
        <v>2</v>
      </c>
      <c r="DM166" s="364">
        <v>0</v>
      </c>
      <c r="DN166" s="364">
        <v>0</v>
      </c>
      <c r="DO166" s="365">
        <v>0</v>
      </c>
      <c r="DP166" s="363" t="s">
        <v>271</v>
      </c>
      <c r="DQ166" s="364">
        <v>4</v>
      </c>
      <c r="DR166" s="364">
        <v>0</v>
      </c>
      <c r="DS166" s="364">
        <v>0</v>
      </c>
      <c r="DT166" s="364">
        <v>0</v>
      </c>
      <c r="DU166" s="364">
        <v>0</v>
      </c>
      <c r="DV166" s="364">
        <v>2</v>
      </c>
      <c r="DW166" s="364">
        <v>0</v>
      </c>
      <c r="DX166" s="364">
        <v>0</v>
      </c>
      <c r="DY166" s="365">
        <v>0</v>
      </c>
      <c r="DZ166" s="366">
        <f>7+2/3</f>
        <v>7.666666666666667</v>
      </c>
      <c r="EA166" s="367">
        <v>1</v>
      </c>
      <c r="EB166" s="367">
        <v>0</v>
      </c>
      <c r="EC166" s="368">
        <f>1+1/3</f>
        <v>1.3333333333333333</v>
      </c>
      <c r="ED166" s="367">
        <v>0</v>
      </c>
      <c r="EE166" s="369">
        <v>0</v>
      </c>
      <c r="EF166" s="370">
        <v>0</v>
      </c>
      <c r="EG166" s="367">
        <v>0</v>
      </c>
      <c r="EH166" s="367">
        <v>0</v>
      </c>
      <c r="EI166" s="367">
        <v>0</v>
      </c>
      <c r="EJ166" s="367">
        <v>0</v>
      </c>
      <c r="EK166" s="367">
        <v>0</v>
      </c>
      <c r="EL166" s="367">
        <v>1</v>
      </c>
      <c r="EM166" s="367">
        <v>0</v>
      </c>
      <c r="EN166" s="367">
        <v>0</v>
      </c>
      <c r="EO166" s="367"/>
      <c r="EP166" s="367"/>
      <c r="EQ166" s="367"/>
      <c r="ER166" s="367"/>
      <c r="ES166" s="369">
        <f t="shared" si="216"/>
        <v>1</v>
      </c>
      <c r="ET166" s="367">
        <v>0</v>
      </c>
      <c r="EU166" s="367">
        <v>2</v>
      </c>
      <c r="EV166" s="367">
        <v>1</v>
      </c>
      <c r="EW166" s="367">
        <v>1</v>
      </c>
      <c r="EX166" s="367">
        <v>1</v>
      </c>
      <c r="EY166" s="367">
        <v>0</v>
      </c>
      <c r="EZ166" s="367">
        <v>0</v>
      </c>
      <c r="FA166" s="367">
        <v>0</v>
      </c>
      <c r="FB166" s="367">
        <v>0</v>
      </c>
      <c r="FC166" s="367"/>
      <c r="FD166" s="367"/>
      <c r="FE166" s="367"/>
      <c r="FF166" s="367"/>
      <c r="FG166" s="367">
        <f t="shared" si="217"/>
        <v>5</v>
      </c>
      <c r="FH166" s="371">
        <v>34</v>
      </c>
      <c r="FI166" s="371">
        <v>1</v>
      </c>
      <c r="FJ166" s="371">
        <v>6</v>
      </c>
      <c r="FK166" s="371">
        <v>1</v>
      </c>
      <c r="FL166" s="371">
        <v>2</v>
      </c>
      <c r="FM166" s="371">
        <v>13</v>
      </c>
      <c r="FN166" s="371">
        <f t="shared" si="220"/>
        <v>0</v>
      </c>
      <c r="FO166" s="371">
        <f t="shared" si="221"/>
        <v>0</v>
      </c>
      <c r="FP166" s="371">
        <f t="shared" ref="FP166:FU169" si="228">((SUM(AO166,AY166,BI166,BS166,CC166,CM166,CW166,DG166,DQ166))-(FH166))</f>
        <v>0</v>
      </c>
      <c r="FQ166" s="371">
        <f t="shared" si="228"/>
        <v>0</v>
      </c>
      <c r="FR166" s="371">
        <f t="shared" si="228"/>
        <v>0</v>
      </c>
      <c r="FS166" s="371">
        <f t="shared" si="228"/>
        <v>0</v>
      </c>
      <c r="FT166" s="371">
        <f t="shared" si="228"/>
        <v>0</v>
      </c>
      <c r="FU166" s="371">
        <f t="shared" si="228"/>
        <v>0</v>
      </c>
      <c r="FV166" s="371">
        <f t="shared" ref="FV166:GI169" si="229">(EF166-ET166)</f>
        <v>0</v>
      </c>
      <c r="FW166" s="371">
        <f t="shared" si="229"/>
        <v>-2</v>
      </c>
      <c r="FX166" s="371">
        <f t="shared" si="229"/>
        <v>-1</v>
      </c>
      <c r="FY166" s="371">
        <f t="shared" si="229"/>
        <v>-1</v>
      </c>
      <c r="FZ166" s="371">
        <f t="shared" si="229"/>
        <v>-1</v>
      </c>
      <c r="GA166" s="371">
        <f t="shared" si="229"/>
        <v>0</v>
      </c>
      <c r="GB166" s="371">
        <f t="shared" si="229"/>
        <v>1</v>
      </c>
      <c r="GC166" s="371">
        <f t="shared" si="229"/>
        <v>0</v>
      </c>
      <c r="GD166" s="371">
        <f t="shared" si="229"/>
        <v>0</v>
      </c>
      <c r="GE166" s="371">
        <f t="shared" si="229"/>
        <v>0</v>
      </c>
      <c r="GF166" s="371">
        <f t="shared" si="229"/>
        <v>0</v>
      </c>
      <c r="GG166" s="371">
        <f t="shared" si="229"/>
        <v>0</v>
      </c>
      <c r="GH166" s="371">
        <f t="shared" si="229"/>
        <v>0</v>
      </c>
      <c r="GI166" s="371">
        <f t="shared" si="229"/>
        <v>-4</v>
      </c>
      <c r="GJ166" s="372" t="s">
        <v>683</v>
      </c>
      <c r="GK166" s="367" t="s">
        <v>691</v>
      </c>
      <c r="GL166" s="376" t="s">
        <v>691</v>
      </c>
      <c r="GM166" s="376" t="s">
        <v>692</v>
      </c>
    </row>
    <row r="167" spans="1:195" x14ac:dyDescent="0.25">
      <c r="A167" s="356">
        <v>40458</v>
      </c>
      <c r="B167" s="356" t="s">
        <v>19</v>
      </c>
      <c r="C167" s="356" t="s">
        <v>131</v>
      </c>
      <c r="D167" s="356" t="s">
        <v>143</v>
      </c>
      <c r="E167" s="357">
        <v>35535</v>
      </c>
      <c r="F167" s="360">
        <v>190</v>
      </c>
      <c r="G167" s="358">
        <v>2</v>
      </c>
      <c r="H167" s="359" t="s">
        <v>392</v>
      </c>
      <c r="I167" s="360">
        <v>0</v>
      </c>
      <c r="J167" s="360">
        <v>1</v>
      </c>
      <c r="K167" s="361">
        <f>4+1/3</f>
        <v>4.333333333333333</v>
      </c>
      <c r="L167" s="360">
        <v>4</v>
      </c>
      <c r="M167" s="360">
        <v>4</v>
      </c>
      <c r="N167" s="360">
        <v>4</v>
      </c>
      <c r="O167" s="360">
        <v>0</v>
      </c>
      <c r="P167" s="360">
        <v>2</v>
      </c>
      <c r="Q167" s="360">
        <v>1</v>
      </c>
      <c r="R167" s="360">
        <v>2</v>
      </c>
      <c r="S167" s="360">
        <v>19</v>
      </c>
      <c r="T167" s="360">
        <v>68</v>
      </c>
      <c r="U167" s="360">
        <v>38</v>
      </c>
      <c r="V167" s="360">
        <v>2</v>
      </c>
      <c r="W167" s="362">
        <v>2</v>
      </c>
      <c r="X167" s="360">
        <v>0</v>
      </c>
      <c r="Y167" s="360">
        <v>0</v>
      </c>
      <c r="Z167" s="360">
        <v>0</v>
      </c>
      <c r="AA167" s="360">
        <v>0</v>
      </c>
      <c r="AB167" s="360">
        <v>0</v>
      </c>
      <c r="AC167" s="361">
        <f>4+2/3</f>
        <v>4.666666666666667</v>
      </c>
      <c r="AD167" s="360">
        <v>5</v>
      </c>
      <c r="AE167" s="360">
        <v>2</v>
      </c>
      <c r="AF167" s="360">
        <v>2</v>
      </c>
      <c r="AG167" s="360">
        <v>1</v>
      </c>
      <c r="AH167" s="360">
        <v>6</v>
      </c>
      <c r="AI167" s="360">
        <v>2</v>
      </c>
      <c r="AJ167" s="360">
        <v>0</v>
      </c>
      <c r="AK167" s="360">
        <v>18</v>
      </c>
      <c r="AL167" s="360">
        <v>73</v>
      </c>
      <c r="AM167" s="360">
        <v>46</v>
      </c>
      <c r="AN167" s="363" t="s">
        <v>384</v>
      </c>
      <c r="AO167" s="364">
        <v>3</v>
      </c>
      <c r="AP167" s="364">
        <v>0</v>
      </c>
      <c r="AQ167" s="364">
        <v>1</v>
      </c>
      <c r="AR167" s="364">
        <v>0</v>
      </c>
      <c r="AS167" s="364">
        <v>0</v>
      </c>
      <c r="AT167" s="364">
        <v>0</v>
      </c>
      <c r="AU167" s="364">
        <v>1</v>
      </c>
      <c r="AV167" s="364">
        <v>0</v>
      </c>
      <c r="AW167" s="365">
        <v>1</v>
      </c>
      <c r="AX167" s="363" t="s">
        <v>273</v>
      </c>
      <c r="AY167" s="364">
        <v>4</v>
      </c>
      <c r="AZ167" s="364">
        <v>0</v>
      </c>
      <c r="BA167" s="364">
        <v>0</v>
      </c>
      <c r="BB167" s="364">
        <v>0</v>
      </c>
      <c r="BC167" s="364">
        <v>0</v>
      </c>
      <c r="BD167" s="364">
        <v>2</v>
      </c>
      <c r="BE167" s="364">
        <v>0</v>
      </c>
      <c r="BF167" s="364">
        <v>0</v>
      </c>
      <c r="BG167" s="365">
        <v>0</v>
      </c>
      <c r="BH167" s="363" t="s">
        <v>391</v>
      </c>
      <c r="BI167" s="364">
        <v>4</v>
      </c>
      <c r="BJ167" s="364">
        <v>0</v>
      </c>
      <c r="BK167" s="364">
        <v>0</v>
      </c>
      <c r="BL167" s="364">
        <v>0</v>
      </c>
      <c r="BM167" s="364">
        <v>0</v>
      </c>
      <c r="BN167" s="364">
        <v>1</v>
      </c>
      <c r="BO167" s="364">
        <v>0</v>
      </c>
      <c r="BP167" s="364">
        <v>0</v>
      </c>
      <c r="BQ167" s="365">
        <v>0</v>
      </c>
      <c r="BR167" s="363" t="s">
        <v>390</v>
      </c>
      <c r="BS167" s="364">
        <v>4</v>
      </c>
      <c r="BT167" s="364">
        <v>0</v>
      </c>
      <c r="BU167" s="364">
        <v>0</v>
      </c>
      <c r="BV167" s="364">
        <v>0</v>
      </c>
      <c r="BW167" s="364">
        <v>0</v>
      </c>
      <c r="BX167" s="364">
        <v>1</v>
      </c>
      <c r="BY167" s="364">
        <v>0</v>
      </c>
      <c r="BZ167" s="364">
        <v>0</v>
      </c>
      <c r="CA167" s="365">
        <v>0</v>
      </c>
      <c r="CB167" s="363" t="s">
        <v>389</v>
      </c>
      <c r="CC167" s="364">
        <v>3</v>
      </c>
      <c r="CD167" s="364">
        <v>0</v>
      </c>
      <c r="CE167" s="364">
        <v>0</v>
      </c>
      <c r="CF167" s="364">
        <v>0</v>
      </c>
      <c r="CG167" s="364">
        <v>1</v>
      </c>
      <c r="CH167" s="364">
        <v>0</v>
      </c>
      <c r="CI167" s="364">
        <v>0</v>
      </c>
      <c r="CJ167" s="364">
        <v>0</v>
      </c>
      <c r="CK167" s="365">
        <v>0</v>
      </c>
      <c r="CL167" s="363" t="s">
        <v>272</v>
      </c>
      <c r="CM167" s="364">
        <v>4</v>
      </c>
      <c r="CN167" s="364">
        <v>0</v>
      </c>
      <c r="CO167" s="364">
        <v>1</v>
      </c>
      <c r="CP167" s="364">
        <v>0</v>
      </c>
      <c r="CQ167" s="364">
        <v>0</v>
      </c>
      <c r="CR167" s="364">
        <v>1</v>
      </c>
      <c r="CS167" s="364">
        <v>0</v>
      </c>
      <c r="CT167" s="364">
        <v>0</v>
      </c>
      <c r="CU167" s="365">
        <v>2</v>
      </c>
      <c r="CV167" s="363" t="s">
        <v>388</v>
      </c>
      <c r="CW167" s="364">
        <v>3</v>
      </c>
      <c r="CX167" s="364">
        <v>0</v>
      </c>
      <c r="CY167" s="364">
        <v>0</v>
      </c>
      <c r="CZ167" s="364">
        <v>0</v>
      </c>
      <c r="DA167" s="364">
        <v>1</v>
      </c>
      <c r="DB167" s="364">
        <v>2</v>
      </c>
      <c r="DC167" s="364">
        <v>0</v>
      </c>
      <c r="DD167" s="364">
        <v>0</v>
      </c>
      <c r="DE167" s="365">
        <v>0</v>
      </c>
      <c r="DF167" s="363" t="s">
        <v>271</v>
      </c>
      <c r="DG167" s="364">
        <v>3</v>
      </c>
      <c r="DH167" s="364">
        <v>0</v>
      </c>
      <c r="DI167" s="364">
        <v>0</v>
      </c>
      <c r="DJ167" s="364">
        <v>0</v>
      </c>
      <c r="DK167" s="364">
        <v>0</v>
      </c>
      <c r="DL167" s="364">
        <v>2</v>
      </c>
      <c r="DM167" s="364">
        <v>0</v>
      </c>
      <c r="DN167" s="364">
        <v>0</v>
      </c>
      <c r="DO167" s="365">
        <v>0</v>
      </c>
      <c r="DP167" s="363" t="s">
        <v>399</v>
      </c>
      <c r="DQ167" s="364">
        <v>2</v>
      </c>
      <c r="DR167" s="364">
        <v>0</v>
      </c>
      <c r="DS167" s="364">
        <v>0</v>
      </c>
      <c r="DT167" s="364">
        <v>0</v>
      </c>
      <c r="DU167" s="364">
        <v>1</v>
      </c>
      <c r="DV167" s="364">
        <v>1</v>
      </c>
      <c r="DW167" s="364">
        <v>0</v>
      </c>
      <c r="DX167" s="364">
        <v>0</v>
      </c>
      <c r="DY167" s="365">
        <v>0</v>
      </c>
      <c r="DZ167" s="366">
        <f>8+2/3</f>
        <v>8.6666666666666661</v>
      </c>
      <c r="EA167" s="367">
        <v>0</v>
      </c>
      <c r="EB167" s="367">
        <v>0</v>
      </c>
      <c r="EC167" s="368">
        <f>0+1/3</f>
        <v>0.33333333333333331</v>
      </c>
      <c r="ED167" s="367">
        <v>0</v>
      </c>
      <c r="EE167" s="369">
        <v>0</v>
      </c>
      <c r="EF167" s="370">
        <v>0</v>
      </c>
      <c r="EG167" s="367">
        <v>0</v>
      </c>
      <c r="EH167" s="367">
        <v>0</v>
      </c>
      <c r="EI167" s="367">
        <v>0</v>
      </c>
      <c r="EJ167" s="367">
        <v>0</v>
      </c>
      <c r="EK167" s="367">
        <v>0</v>
      </c>
      <c r="EL167" s="367">
        <v>0</v>
      </c>
      <c r="EM167" s="367">
        <v>0</v>
      </c>
      <c r="EN167" s="367">
        <v>0</v>
      </c>
      <c r="EO167" s="367"/>
      <c r="EP167" s="367"/>
      <c r="EQ167" s="367"/>
      <c r="ER167" s="367"/>
      <c r="ES167" s="369">
        <f t="shared" si="216"/>
        <v>0</v>
      </c>
      <c r="ET167" s="367">
        <v>0</v>
      </c>
      <c r="EU167" s="367">
        <v>0</v>
      </c>
      <c r="EV167" s="367">
        <v>1</v>
      </c>
      <c r="EW167" s="367">
        <v>1</v>
      </c>
      <c r="EX167" s="367">
        <v>4</v>
      </c>
      <c r="EY167" s="367">
        <v>0</v>
      </c>
      <c r="EZ167" s="367">
        <v>0</v>
      </c>
      <c r="FA167" s="367">
        <v>0</v>
      </c>
      <c r="FB167" s="367">
        <v>0</v>
      </c>
      <c r="FC167" s="367"/>
      <c r="FD167" s="367"/>
      <c r="FE167" s="367"/>
      <c r="FF167" s="367"/>
      <c r="FG167" s="367">
        <f t="shared" si="217"/>
        <v>6</v>
      </c>
      <c r="FH167" s="371">
        <v>30</v>
      </c>
      <c r="FI167" s="371">
        <v>0</v>
      </c>
      <c r="FJ167" s="371">
        <v>2</v>
      </c>
      <c r="FK167" s="371">
        <v>0</v>
      </c>
      <c r="FL167" s="371">
        <v>3</v>
      </c>
      <c r="FM167" s="371">
        <v>10</v>
      </c>
      <c r="FN167" s="371">
        <f t="shared" si="220"/>
        <v>0</v>
      </c>
      <c r="FO167" s="371">
        <f t="shared" si="221"/>
        <v>0</v>
      </c>
      <c r="FP167" s="371">
        <f t="shared" si="228"/>
        <v>0</v>
      </c>
      <c r="FQ167" s="371">
        <f t="shared" si="228"/>
        <v>0</v>
      </c>
      <c r="FR167" s="371">
        <f t="shared" si="228"/>
        <v>0</v>
      </c>
      <c r="FS167" s="371">
        <f t="shared" si="228"/>
        <v>0</v>
      </c>
      <c r="FT167" s="371">
        <f t="shared" si="228"/>
        <v>0</v>
      </c>
      <c r="FU167" s="371">
        <f t="shared" si="228"/>
        <v>0</v>
      </c>
      <c r="FV167" s="371">
        <f t="shared" si="229"/>
        <v>0</v>
      </c>
      <c r="FW167" s="371">
        <f t="shared" si="229"/>
        <v>0</v>
      </c>
      <c r="FX167" s="371">
        <f t="shared" si="229"/>
        <v>-1</v>
      </c>
      <c r="FY167" s="371">
        <f t="shared" si="229"/>
        <v>-1</v>
      </c>
      <c r="FZ167" s="371">
        <f t="shared" si="229"/>
        <v>-4</v>
      </c>
      <c r="GA167" s="371">
        <f t="shared" si="229"/>
        <v>0</v>
      </c>
      <c r="GB167" s="371">
        <f t="shared" si="229"/>
        <v>0</v>
      </c>
      <c r="GC167" s="371">
        <f t="shared" si="229"/>
        <v>0</v>
      </c>
      <c r="GD167" s="371">
        <f t="shared" si="229"/>
        <v>0</v>
      </c>
      <c r="GE167" s="371">
        <f t="shared" si="229"/>
        <v>0</v>
      </c>
      <c r="GF167" s="371">
        <f t="shared" si="229"/>
        <v>0</v>
      </c>
      <c r="GG167" s="371">
        <f t="shared" si="229"/>
        <v>0</v>
      </c>
      <c r="GH167" s="371">
        <f t="shared" si="229"/>
        <v>0</v>
      </c>
      <c r="GI167" s="371">
        <f t="shared" si="229"/>
        <v>-6</v>
      </c>
      <c r="GJ167" s="372" t="s">
        <v>684</v>
      </c>
      <c r="GK167" s="367" t="s">
        <v>695</v>
      </c>
      <c r="GL167" s="376" t="s">
        <v>691</v>
      </c>
      <c r="GM167" s="376" t="s">
        <v>692</v>
      </c>
    </row>
    <row r="168" spans="1:195" x14ac:dyDescent="0.25">
      <c r="A168" s="356">
        <v>40460</v>
      </c>
      <c r="B168" s="356" t="s">
        <v>133</v>
      </c>
      <c r="C168" s="356" t="s">
        <v>129</v>
      </c>
      <c r="D168" s="356" t="s">
        <v>143</v>
      </c>
      <c r="E168" s="357">
        <v>51746</v>
      </c>
      <c r="F168" s="360">
        <v>218</v>
      </c>
      <c r="G168" s="358">
        <v>3</v>
      </c>
      <c r="H168" s="359" t="s">
        <v>396</v>
      </c>
      <c r="I168" s="360">
        <v>0</v>
      </c>
      <c r="J168" s="360">
        <v>0</v>
      </c>
      <c r="K168" s="361">
        <v>6</v>
      </c>
      <c r="L168" s="360">
        <v>5</v>
      </c>
      <c r="M168" s="360">
        <v>2</v>
      </c>
      <c r="N168" s="360">
        <v>1</v>
      </c>
      <c r="O168" s="360">
        <v>2</v>
      </c>
      <c r="P168" s="360">
        <v>4</v>
      </c>
      <c r="Q168" s="360">
        <v>1</v>
      </c>
      <c r="R168" s="360">
        <v>0</v>
      </c>
      <c r="S168" s="360">
        <v>24</v>
      </c>
      <c r="T168" s="360">
        <v>90</v>
      </c>
      <c r="U168" s="360">
        <v>55</v>
      </c>
      <c r="V168" s="360">
        <v>0</v>
      </c>
      <c r="W168" s="362">
        <v>0</v>
      </c>
      <c r="X168" s="360">
        <v>1</v>
      </c>
      <c r="Y168" s="360">
        <v>0</v>
      </c>
      <c r="Z168" s="360">
        <v>0</v>
      </c>
      <c r="AA168" s="360">
        <v>0</v>
      </c>
      <c r="AB168" s="360">
        <v>0</v>
      </c>
      <c r="AC168" s="361">
        <v>3</v>
      </c>
      <c r="AD168" s="360">
        <v>1</v>
      </c>
      <c r="AE168" s="360">
        <v>1</v>
      </c>
      <c r="AF168" s="360">
        <v>1</v>
      </c>
      <c r="AG168" s="360">
        <v>0</v>
      </c>
      <c r="AH168" s="360">
        <v>2</v>
      </c>
      <c r="AI168" s="360">
        <v>1</v>
      </c>
      <c r="AJ168" s="360">
        <v>0</v>
      </c>
      <c r="AK168" s="360">
        <v>10</v>
      </c>
      <c r="AL168" s="360">
        <v>33</v>
      </c>
      <c r="AM168" s="360">
        <v>25</v>
      </c>
      <c r="AN168" s="363" t="s">
        <v>275</v>
      </c>
      <c r="AO168" s="364">
        <v>4</v>
      </c>
      <c r="AP168" s="364">
        <v>0</v>
      </c>
      <c r="AQ168" s="364">
        <v>1</v>
      </c>
      <c r="AR168" s="364">
        <v>1</v>
      </c>
      <c r="AS168" s="364">
        <v>1</v>
      </c>
      <c r="AT168" s="364">
        <v>2</v>
      </c>
      <c r="AU168" s="364">
        <v>0</v>
      </c>
      <c r="AV168" s="364">
        <v>0</v>
      </c>
      <c r="AW168" s="365">
        <v>1</v>
      </c>
      <c r="AX168" s="363" t="s">
        <v>389</v>
      </c>
      <c r="AY168" s="364">
        <v>4</v>
      </c>
      <c r="AZ168" s="364">
        <v>0</v>
      </c>
      <c r="BA168" s="364">
        <v>1</v>
      </c>
      <c r="BB168" s="364">
        <v>0</v>
      </c>
      <c r="BC168" s="364">
        <v>1</v>
      </c>
      <c r="BD168" s="364">
        <v>1</v>
      </c>
      <c r="BE168" s="364">
        <v>0</v>
      </c>
      <c r="BF168" s="364">
        <v>0</v>
      </c>
      <c r="BG168" s="365">
        <v>2</v>
      </c>
      <c r="BH168" s="363" t="s">
        <v>391</v>
      </c>
      <c r="BI168" s="364">
        <v>5</v>
      </c>
      <c r="BJ168" s="364">
        <v>1</v>
      </c>
      <c r="BK168" s="364">
        <v>2</v>
      </c>
      <c r="BL168" s="364">
        <v>1</v>
      </c>
      <c r="BM168" s="364">
        <v>0</v>
      </c>
      <c r="BN168" s="364">
        <v>2</v>
      </c>
      <c r="BO168" s="364">
        <v>0</v>
      </c>
      <c r="BP168" s="364">
        <v>0</v>
      </c>
      <c r="BQ168" s="365">
        <v>5</v>
      </c>
      <c r="BR168" s="363" t="s">
        <v>390</v>
      </c>
      <c r="BS168" s="364">
        <v>4</v>
      </c>
      <c r="BT168" s="364">
        <v>0</v>
      </c>
      <c r="BU168" s="364">
        <v>0</v>
      </c>
      <c r="BV168" s="364">
        <v>0</v>
      </c>
      <c r="BW168" s="364">
        <v>1</v>
      </c>
      <c r="BX168" s="364">
        <v>1</v>
      </c>
      <c r="BY168" s="364">
        <v>0</v>
      </c>
      <c r="BZ168" s="364">
        <v>0</v>
      </c>
      <c r="CA168" s="365">
        <v>0</v>
      </c>
      <c r="CB168" s="363" t="s">
        <v>387</v>
      </c>
      <c r="CC168" s="364">
        <v>5</v>
      </c>
      <c r="CD168" s="364">
        <v>1</v>
      </c>
      <c r="CE168" s="364">
        <v>2</v>
      </c>
      <c r="CF168" s="364">
        <v>0</v>
      </c>
      <c r="CG168" s="364">
        <v>0</v>
      </c>
      <c r="CH168" s="364">
        <v>1</v>
      </c>
      <c r="CI168" s="364">
        <v>0</v>
      </c>
      <c r="CJ168" s="364">
        <v>0</v>
      </c>
      <c r="CK168" s="365">
        <v>2</v>
      </c>
      <c r="CL168" s="363" t="s">
        <v>332</v>
      </c>
      <c r="CM168" s="364">
        <v>4</v>
      </c>
      <c r="CN168" s="364">
        <v>2</v>
      </c>
      <c r="CO168" s="364">
        <v>2</v>
      </c>
      <c r="CP168" s="364">
        <v>0</v>
      </c>
      <c r="CQ168" s="364">
        <v>1</v>
      </c>
      <c r="CR168" s="364">
        <v>1</v>
      </c>
      <c r="CS168" s="364">
        <v>0</v>
      </c>
      <c r="CT168" s="364">
        <v>0</v>
      </c>
      <c r="CU168" s="365">
        <v>3</v>
      </c>
      <c r="CV168" s="363" t="s">
        <v>274</v>
      </c>
      <c r="CW168" s="364">
        <v>3</v>
      </c>
      <c r="CX168" s="364">
        <v>2</v>
      </c>
      <c r="CY168" s="364">
        <v>2</v>
      </c>
      <c r="CZ168" s="364">
        <v>3</v>
      </c>
      <c r="DA168" s="364">
        <v>2</v>
      </c>
      <c r="DB168" s="364">
        <v>0</v>
      </c>
      <c r="DC168" s="364">
        <v>0</v>
      </c>
      <c r="DD168" s="364">
        <v>0</v>
      </c>
      <c r="DE168" s="365">
        <v>5</v>
      </c>
      <c r="DF168" s="363" t="s">
        <v>273</v>
      </c>
      <c r="DG168" s="364">
        <v>5</v>
      </c>
      <c r="DH168" s="364">
        <v>0</v>
      </c>
      <c r="DI168" s="364">
        <v>1</v>
      </c>
      <c r="DJ168" s="364">
        <v>1</v>
      </c>
      <c r="DK168" s="364">
        <v>0</v>
      </c>
      <c r="DL168" s="364">
        <v>1</v>
      </c>
      <c r="DM168" s="364">
        <v>0</v>
      </c>
      <c r="DN168" s="364">
        <v>0</v>
      </c>
      <c r="DO168" s="365">
        <v>2</v>
      </c>
      <c r="DP168" s="363" t="s">
        <v>384</v>
      </c>
      <c r="DQ168" s="364">
        <v>3</v>
      </c>
      <c r="DR168" s="364">
        <v>0</v>
      </c>
      <c r="DS168" s="364">
        <v>0</v>
      </c>
      <c r="DT168" s="364">
        <v>0</v>
      </c>
      <c r="DU168" s="364">
        <v>1</v>
      </c>
      <c r="DV168" s="364">
        <v>0</v>
      </c>
      <c r="DW168" s="364">
        <v>0</v>
      </c>
      <c r="DX168" s="364">
        <v>0</v>
      </c>
      <c r="DY168" s="365">
        <v>0</v>
      </c>
      <c r="DZ168" s="366">
        <v>2</v>
      </c>
      <c r="EA168" s="367">
        <v>0</v>
      </c>
      <c r="EB168" s="367">
        <v>0</v>
      </c>
      <c r="EC168" s="368">
        <v>7</v>
      </c>
      <c r="ED168" s="367">
        <v>0</v>
      </c>
      <c r="EE168" s="369">
        <v>0</v>
      </c>
      <c r="EF168" s="370">
        <v>0</v>
      </c>
      <c r="EG168" s="367">
        <v>0</v>
      </c>
      <c r="EH168" s="367">
        <v>0</v>
      </c>
      <c r="EI168" s="367">
        <v>0</v>
      </c>
      <c r="EJ168" s="367">
        <v>0</v>
      </c>
      <c r="EK168" s="367">
        <v>1</v>
      </c>
      <c r="EL168" s="367">
        <v>0</v>
      </c>
      <c r="EM168" s="367">
        <v>2</v>
      </c>
      <c r="EN168" s="367">
        <v>3</v>
      </c>
      <c r="EO168" s="367"/>
      <c r="EP168" s="367"/>
      <c r="EQ168" s="367"/>
      <c r="ER168" s="367"/>
      <c r="ES168" s="369">
        <f t="shared" si="216"/>
        <v>6</v>
      </c>
      <c r="ET168" s="367">
        <v>0</v>
      </c>
      <c r="EU168" s="367">
        <v>0</v>
      </c>
      <c r="EV168" s="367">
        <v>1</v>
      </c>
      <c r="EW168" s="367">
        <v>0</v>
      </c>
      <c r="EX168" s="367">
        <v>0</v>
      </c>
      <c r="EY168" s="367">
        <v>0</v>
      </c>
      <c r="EZ168" s="367">
        <v>1</v>
      </c>
      <c r="FA168" s="367">
        <v>0</v>
      </c>
      <c r="FB168" s="367">
        <v>1</v>
      </c>
      <c r="FC168" s="367"/>
      <c r="FD168" s="367"/>
      <c r="FE168" s="367"/>
      <c r="FF168" s="367"/>
      <c r="FG168" s="367">
        <f t="shared" si="217"/>
        <v>3</v>
      </c>
      <c r="FH168" s="371">
        <v>37</v>
      </c>
      <c r="FI168" s="371">
        <v>6</v>
      </c>
      <c r="FJ168" s="371">
        <v>11</v>
      </c>
      <c r="FK168" s="371">
        <v>6</v>
      </c>
      <c r="FL168" s="371">
        <v>7</v>
      </c>
      <c r="FM168" s="371">
        <v>9</v>
      </c>
      <c r="FN168" s="371">
        <f t="shared" si="220"/>
        <v>0</v>
      </c>
      <c r="FO168" s="371">
        <f t="shared" si="221"/>
        <v>0</v>
      </c>
      <c r="FP168" s="371">
        <f t="shared" si="228"/>
        <v>0</v>
      </c>
      <c r="FQ168" s="371">
        <f t="shared" si="228"/>
        <v>0</v>
      </c>
      <c r="FR168" s="371">
        <f t="shared" si="228"/>
        <v>0</v>
      </c>
      <c r="FS168" s="371">
        <f t="shared" si="228"/>
        <v>0</v>
      </c>
      <c r="FT168" s="371">
        <f t="shared" si="228"/>
        <v>0</v>
      </c>
      <c r="FU168" s="371">
        <f t="shared" si="228"/>
        <v>0</v>
      </c>
      <c r="FV168" s="371">
        <f t="shared" si="229"/>
        <v>0</v>
      </c>
      <c r="FW168" s="371">
        <f t="shared" si="229"/>
        <v>0</v>
      </c>
      <c r="FX168" s="371">
        <f t="shared" si="229"/>
        <v>-1</v>
      </c>
      <c r="FY168" s="371">
        <f t="shared" si="229"/>
        <v>0</v>
      </c>
      <c r="FZ168" s="371">
        <f t="shared" si="229"/>
        <v>0</v>
      </c>
      <c r="GA168" s="371">
        <f t="shared" si="229"/>
        <v>1</v>
      </c>
      <c r="GB168" s="371">
        <f t="shared" si="229"/>
        <v>-1</v>
      </c>
      <c r="GC168" s="371">
        <f t="shared" si="229"/>
        <v>2</v>
      </c>
      <c r="GD168" s="371">
        <f t="shared" si="229"/>
        <v>2</v>
      </c>
      <c r="GE168" s="371">
        <f t="shared" si="229"/>
        <v>0</v>
      </c>
      <c r="GF168" s="371">
        <f t="shared" si="229"/>
        <v>0</v>
      </c>
      <c r="GG168" s="371">
        <f t="shared" si="229"/>
        <v>0</v>
      </c>
      <c r="GH168" s="371">
        <f t="shared" si="229"/>
        <v>0</v>
      </c>
      <c r="GI168" s="371">
        <f t="shared" si="229"/>
        <v>3</v>
      </c>
      <c r="GJ168" s="372" t="s">
        <v>685</v>
      </c>
      <c r="GK168" s="367" t="s">
        <v>695</v>
      </c>
      <c r="GL168" s="376" t="s">
        <v>694</v>
      </c>
      <c r="GM168" s="376" t="s">
        <v>692</v>
      </c>
    </row>
    <row r="169" spans="1:195" x14ac:dyDescent="0.25">
      <c r="A169" s="356">
        <v>40461</v>
      </c>
      <c r="B169" s="356" t="s">
        <v>133</v>
      </c>
      <c r="C169" s="356" t="s">
        <v>129</v>
      </c>
      <c r="D169" s="356" t="s">
        <v>143</v>
      </c>
      <c r="E169" s="357">
        <v>49218</v>
      </c>
      <c r="F169" s="360">
        <v>202</v>
      </c>
      <c r="G169" s="358">
        <v>4</v>
      </c>
      <c r="H169" s="359" t="s">
        <v>393</v>
      </c>
      <c r="I169" s="360">
        <v>1</v>
      </c>
      <c r="J169" s="360">
        <v>0</v>
      </c>
      <c r="K169" s="361">
        <v>5</v>
      </c>
      <c r="L169" s="360">
        <v>7</v>
      </c>
      <c r="M169" s="360">
        <v>2</v>
      </c>
      <c r="N169" s="360">
        <v>2</v>
      </c>
      <c r="O169" s="360">
        <v>3</v>
      </c>
      <c r="P169" s="360">
        <v>7</v>
      </c>
      <c r="Q169" s="360">
        <v>1</v>
      </c>
      <c r="R169" s="360">
        <v>0</v>
      </c>
      <c r="S169" s="360">
        <v>24</v>
      </c>
      <c r="T169" s="360">
        <v>94</v>
      </c>
      <c r="U169" s="360">
        <v>57</v>
      </c>
      <c r="V169" s="360">
        <v>1</v>
      </c>
      <c r="W169" s="362">
        <v>1</v>
      </c>
      <c r="X169" s="360">
        <v>0</v>
      </c>
      <c r="Y169" s="360">
        <v>0</v>
      </c>
      <c r="Z169" s="360">
        <v>1</v>
      </c>
      <c r="AA169" s="360">
        <v>1</v>
      </c>
      <c r="AB169" s="360">
        <v>0</v>
      </c>
      <c r="AC169" s="361">
        <v>4</v>
      </c>
      <c r="AD169" s="360">
        <v>1</v>
      </c>
      <c r="AE169" s="360">
        <v>0</v>
      </c>
      <c r="AF169" s="360">
        <v>0</v>
      </c>
      <c r="AG169" s="360">
        <v>0</v>
      </c>
      <c r="AH169" s="360">
        <v>1</v>
      </c>
      <c r="AI169" s="360">
        <v>0</v>
      </c>
      <c r="AJ169" s="360">
        <v>0</v>
      </c>
      <c r="AK169" s="360">
        <v>13</v>
      </c>
      <c r="AL169" s="360">
        <v>50</v>
      </c>
      <c r="AM169" s="360">
        <v>35</v>
      </c>
      <c r="AN169" s="363" t="s">
        <v>275</v>
      </c>
      <c r="AO169" s="364">
        <v>5</v>
      </c>
      <c r="AP169" s="364">
        <v>0</v>
      </c>
      <c r="AQ169" s="364">
        <v>1</v>
      </c>
      <c r="AR169" s="364">
        <v>0</v>
      </c>
      <c r="AS169" s="364">
        <v>0</v>
      </c>
      <c r="AT169" s="364">
        <v>0</v>
      </c>
      <c r="AU169" s="364">
        <v>0</v>
      </c>
      <c r="AV169" s="364">
        <v>0</v>
      </c>
      <c r="AW169" s="365">
        <v>1</v>
      </c>
      <c r="AX169" s="363" t="s">
        <v>389</v>
      </c>
      <c r="AY169" s="364">
        <v>5</v>
      </c>
      <c r="AZ169" s="364">
        <v>1</v>
      </c>
      <c r="BA169" s="364">
        <v>2</v>
      </c>
      <c r="BB169" s="364">
        <v>0</v>
      </c>
      <c r="BC169" s="364">
        <v>0</v>
      </c>
      <c r="BD169" s="364">
        <v>3</v>
      </c>
      <c r="BE169" s="364">
        <v>0</v>
      </c>
      <c r="BF169" s="364">
        <v>0</v>
      </c>
      <c r="BG169" s="365">
        <v>2</v>
      </c>
      <c r="BH169" s="363" t="s">
        <v>391</v>
      </c>
      <c r="BI169" s="364">
        <v>4</v>
      </c>
      <c r="BJ169" s="364">
        <v>0</v>
      </c>
      <c r="BK169" s="364">
        <v>0</v>
      </c>
      <c r="BL169" s="364">
        <v>0</v>
      </c>
      <c r="BM169" s="364">
        <v>0</v>
      </c>
      <c r="BN169" s="364">
        <v>1</v>
      </c>
      <c r="BO169" s="364">
        <v>0</v>
      </c>
      <c r="BP169" s="364">
        <v>0</v>
      </c>
      <c r="BQ169" s="365">
        <v>0</v>
      </c>
      <c r="BR169" s="363" t="s">
        <v>390</v>
      </c>
      <c r="BS169" s="364">
        <v>4</v>
      </c>
      <c r="BT169" s="364">
        <v>2</v>
      </c>
      <c r="BU169" s="364">
        <v>3</v>
      </c>
      <c r="BV169" s="364">
        <v>2</v>
      </c>
      <c r="BW169" s="364">
        <v>0</v>
      </c>
      <c r="BX169" s="364">
        <v>0</v>
      </c>
      <c r="BY169" s="364">
        <v>0</v>
      </c>
      <c r="BZ169" s="364">
        <v>0</v>
      </c>
      <c r="CA169" s="365">
        <v>8</v>
      </c>
      <c r="CB169" s="363" t="s">
        <v>274</v>
      </c>
      <c r="CC169" s="364">
        <v>4</v>
      </c>
      <c r="CD169" s="364">
        <v>2</v>
      </c>
      <c r="CE169" s="364">
        <v>2</v>
      </c>
      <c r="CF169" s="364">
        <v>1</v>
      </c>
      <c r="CG169" s="364">
        <v>0</v>
      </c>
      <c r="CH169" s="364">
        <v>1</v>
      </c>
      <c r="CI169" s="364">
        <v>0</v>
      </c>
      <c r="CJ169" s="364">
        <v>0</v>
      </c>
      <c r="CK169" s="365">
        <v>5</v>
      </c>
      <c r="CL169" s="363" t="s">
        <v>387</v>
      </c>
      <c r="CM169" s="364">
        <v>4</v>
      </c>
      <c r="CN169" s="364">
        <v>0</v>
      </c>
      <c r="CO169" s="364">
        <v>1</v>
      </c>
      <c r="CP169" s="364">
        <v>0</v>
      </c>
      <c r="CQ169" s="364">
        <v>0</v>
      </c>
      <c r="CR169" s="364">
        <v>2</v>
      </c>
      <c r="CS169" s="364">
        <v>0</v>
      </c>
      <c r="CT169" s="364">
        <v>0</v>
      </c>
      <c r="CU169" s="365">
        <v>1</v>
      </c>
      <c r="CV169" s="363" t="s">
        <v>332</v>
      </c>
      <c r="CW169" s="364">
        <v>4</v>
      </c>
      <c r="CX169" s="364">
        <v>0</v>
      </c>
      <c r="CY169" s="364">
        <v>0</v>
      </c>
      <c r="CZ169" s="364">
        <v>0</v>
      </c>
      <c r="DA169" s="364">
        <v>0</v>
      </c>
      <c r="DB169" s="364">
        <v>2</v>
      </c>
      <c r="DC169" s="364">
        <v>0</v>
      </c>
      <c r="DD169" s="364">
        <v>0</v>
      </c>
      <c r="DE169" s="365">
        <v>0</v>
      </c>
      <c r="DF169" s="363" t="s">
        <v>273</v>
      </c>
      <c r="DG169" s="364">
        <v>4</v>
      </c>
      <c r="DH169" s="364">
        <v>0</v>
      </c>
      <c r="DI169" s="364">
        <v>2</v>
      </c>
      <c r="DJ169" s="364">
        <v>1</v>
      </c>
      <c r="DK169" s="364">
        <v>0</v>
      </c>
      <c r="DL169" s="364">
        <v>1</v>
      </c>
      <c r="DM169" s="364">
        <v>0</v>
      </c>
      <c r="DN169" s="364">
        <v>0</v>
      </c>
      <c r="DO169" s="365">
        <v>3</v>
      </c>
      <c r="DP169" s="363" t="s">
        <v>385</v>
      </c>
      <c r="DQ169" s="364">
        <v>4</v>
      </c>
      <c r="DR169" s="364">
        <v>0</v>
      </c>
      <c r="DS169" s="364">
        <v>1</v>
      </c>
      <c r="DT169" s="364">
        <v>0</v>
      </c>
      <c r="DU169" s="364">
        <v>0</v>
      </c>
      <c r="DV169" s="364">
        <v>2</v>
      </c>
      <c r="DW169" s="364">
        <v>0</v>
      </c>
      <c r="DX169" s="364">
        <v>0</v>
      </c>
      <c r="DY169" s="365">
        <v>1</v>
      </c>
      <c r="DZ169" s="366">
        <v>4</v>
      </c>
      <c r="EA169" s="367">
        <v>1</v>
      </c>
      <c r="EB169" s="367">
        <v>0</v>
      </c>
      <c r="EC169" s="368">
        <v>5</v>
      </c>
      <c r="ED169" s="367">
        <v>1</v>
      </c>
      <c r="EE169" s="369">
        <v>0</v>
      </c>
      <c r="EF169" s="370">
        <v>0</v>
      </c>
      <c r="EG169" s="367">
        <v>1</v>
      </c>
      <c r="EH169" s="367">
        <v>0</v>
      </c>
      <c r="EI169" s="367">
        <v>2</v>
      </c>
      <c r="EJ169" s="367">
        <v>2</v>
      </c>
      <c r="EK169" s="367">
        <v>0</v>
      </c>
      <c r="EL169" s="367">
        <v>0</v>
      </c>
      <c r="EM169" s="367">
        <v>0</v>
      </c>
      <c r="EN169" s="367">
        <v>0</v>
      </c>
      <c r="EO169" s="367"/>
      <c r="EP169" s="367"/>
      <c r="EQ169" s="367"/>
      <c r="ER169" s="367"/>
      <c r="ES169" s="369">
        <f t="shared" si="216"/>
        <v>5</v>
      </c>
      <c r="ET169" s="367">
        <v>0</v>
      </c>
      <c r="EU169" s="367">
        <v>0</v>
      </c>
      <c r="EV169" s="367">
        <v>0</v>
      </c>
      <c r="EW169" s="367">
        <v>0</v>
      </c>
      <c r="EX169" s="367">
        <v>0</v>
      </c>
      <c r="EY169" s="367">
        <v>2</v>
      </c>
      <c r="EZ169" s="367">
        <v>0</v>
      </c>
      <c r="FA169" s="367">
        <v>0</v>
      </c>
      <c r="FB169" s="367">
        <v>0</v>
      </c>
      <c r="FC169" s="367"/>
      <c r="FD169" s="367"/>
      <c r="FE169" s="367"/>
      <c r="FF169" s="367"/>
      <c r="FG169" s="367">
        <f t="shared" si="217"/>
        <v>2</v>
      </c>
      <c r="FH169" s="371">
        <v>38</v>
      </c>
      <c r="FI169" s="371">
        <v>5</v>
      </c>
      <c r="FJ169" s="371">
        <v>12</v>
      </c>
      <c r="FK169" s="371">
        <v>4</v>
      </c>
      <c r="FL169" s="371">
        <v>0</v>
      </c>
      <c r="FM169" s="371">
        <v>12</v>
      </c>
      <c r="FN169" s="371">
        <f t="shared" si="220"/>
        <v>0</v>
      </c>
      <c r="FO169" s="371">
        <f t="shared" si="221"/>
        <v>0</v>
      </c>
      <c r="FP169" s="371">
        <f t="shared" si="228"/>
        <v>0</v>
      </c>
      <c r="FQ169" s="371">
        <f t="shared" si="228"/>
        <v>0</v>
      </c>
      <c r="FR169" s="371">
        <f t="shared" si="228"/>
        <v>0</v>
      </c>
      <c r="FS169" s="371">
        <f t="shared" si="228"/>
        <v>0</v>
      </c>
      <c r="FT169" s="371">
        <f t="shared" si="228"/>
        <v>0</v>
      </c>
      <c r="FU169" s="371">
        <f t="shared" si="228"/>
        <v>0</v>
      </c>
      <c r="FV169" s="371">
        <f t="shared" si="229"/>
        <v>0</v>
      </c>
      <c r="FW169" s="371">
        <f t="shared" si="229"/>
        <v>1</v>
      </c>
      <c r="FX169" s="371">
        <f t="shared" si="229"/>
        <v>0</v>
      </c>
      <c r="FY169" s="371">
        <f t="shared" si="229"/>
        <v>2</v>
      </c>
      <c r="FZ169" s="371">
        <f t="shared" si="229"/>
        <v>2</v>
      </c>
      <c r="GA169" s="371">
        <f t="shared" si="229"/>
        <v>-2</v>
      </c>
      <c r="GB169" s="371">
        <f t="shared" si="229"/>
        <v>0</v>
      </c>
      <c r="GC169" s="371">
        <f t="shared" si="229"/>
        <v>0</v>
      </c>
      <c r="GD169" s="371">
        <f t="shared" si="229"/>
        <v>0</v>
      </c>
      <c r="GE169" s="371">
        <f t="shared" si="229"/>
        <v>0</v>
      </c>
      <c r="GF169" s="371">
        <f t="shared" si="229"/>
        <v>0</v>
      </c>
      <c r="GG169" s="371">
        <f t="shared" si="229"/>
        <v>0</v>
      </c>
      <c r="GH169" s="371">
        <f t="shared" si="229"/>
        <v>0</v>
      </c>
      <c r="GI169" s="371">
        <f t="shared" si="229"/>
        <v>3</v>
      </c>
      <c r="GJ169" s="372" t="s">
        <v>686</v>
      </c>
      <c r="GK169" s="367" t="s">
        <v>695</v>
      </c>
      <c r="GL169" s="376" t="s">
        <v>694</v>
      </c>
      <c r="GM169" s="376" t="s">
        <v>692</v>
      </c>
    </row>
    <row r="170" spans="1:195" x14ac:dyDescent="0.25">
      <c r="A170" s="356">
        <v>40463</v>
      </c>
      <c r="B170" s="356" t="s">
        <v>19</v>
      </c>
      <c r="C170" s="356" t="s">
        <v>131</v>
      </c>
      <c r="D170" s="356" t="s">
        <v>143</v>
      </c>
      <c r="E170" s="357">
        <v>41845</v>
      </c>
      <c r="F170" s="360">
        <v>180</v>
      </c>
      <c r="G170" s="358">
        <v>1</v>
      </c>
      <c r="H170" s="359" t="s">
        <v>394</v>
      </c>
      <c r="I170" s="360">
        <v>0</v>
      </c>
      <c r="J170" s="360">
        <v>1</v>
      </c>
      <c r="K170" s="361">
        <v>6</v>
      </c>
      <c r="L170" s="360">
        <v>8</v>
      </c>
      <c r="M170" s="360">
        <v>3</v>
      </c>
      <c r="N170" s="360">
        <v>3</v>
      </c>
      <c r="O170" s="360">
        <v>0</v>
      </c>
      <c r="P170" s="360">
        <v>6</v>
      </c>
      <c r="Q170" s="360">
        <v>0</v>
      </c>
      <c r="R170" s="360">
        <v>0</v>
      </c>
      <c r="S170" s="360">
        <v>25</v>
      </c>
      <c r="T170" s="360">
        <v>104</v>
      </c>
      <c r="U170" s="360">
        <v>68</v>
      </c>
      <c r="V170" s="360">
        <v>0</v>
      </c>
      <c r="W170" s="362">
        <v>0</v>
      </c>
      <c r="X170" s="360">
        <v>0</v>
      </c>
      <c r="Y170" s="360">
        <v>0</v>
      </c>
      <c r="Z170" s="360">
        <v>0</v>
      </c>
      <c r="AA170" s="360">
        <v>0</v>
      </c>
      <c r="AB170" s="360">
        <v>0</v>
      </c>
      <c r="AC170" s="361">
        <v>3</v>
      </c>
      <c r="AD170" s="360">
        <v>3</v>
      </c>
      <c r="AE170" s="360">
        <v>2</v>
      </c>
      <c r="AF170" s="360">
        <v>2</v>
      </c>
      <c r="AG170" s="360">
        <v>0</v>
      </c>
      <c r="AH170" s="360">
        <v>2</v>
      </c>
      <c r="AI170" s="360">
        <v>1</v>
      </c>
      <c r="AJ170" s="360">
        <v>0</v>
      </c>
      <c r="AK170" s="360">
        <v>12</v>
      </c>
      <c r="AL170" s="360">
        <v>35</v>
      </c>
      <c r="AM170" s="360">
        <v>28</v>
      </c>
      <c r="AN170" s="363" t="s">
        <v>384</v>
      </c>
      <c r="AO170" s="364">
        <v>4</v>
      </c>
      <c r="AP170" s="364">
        <v>0</v>
      </c>
      <c r="AQ170" s="364">
        <v>3</v>
      </c>
      <c r="AR170" s="364">
        <v>0</v>
      </c>
      <c r="AS170" s="364">
        <v>0</v>
      </c>
      <c r="AT170" s="364">
        <v>0</v>
      </c>
      <c r="AU170" s="364">
        <v>0</v>
      </c>
      <c r="AV170" s="364">
        <v>0</v>
      </c>
      <c r="AW170" s="365">
        <v>4</v>
      </c>
      <c r="AX170" s="363" t="s">
        <v>389</v>
      </c>
      <c r="AY170" s="364">
        <v>4</v>
      </c>
      <c r="AZ170" s="364">
        <v>0</v>
      </c>
      <c r="BA170" s="364">
        <v>1</v>
      </c>
      <c r="BB170" s="364">
        <v>1</v>
      </c>
      <c r="BC170" s="364">
        <v>0</v>
      </c>
      <c r="BD170" s="364">
        <v>2</v>
      </c>
      <c r="BE170" s="364">
        <v>0</v>
      </c>
      <c r="BF170" s="364">
        <v>0</v>
      </c>
      <c r="BG170" s="365">
        <v>1</v>
      </c>
      <c r="BH170" s="363" t="s">
        <v>391</v>
      </c>
      <c r="BI170" s="364">
        <v>4</v>
      </c>
      <c r="BJ170" s="364">
        <v>0</v>
      </c>
      <c r="BK170" s="364">
        <v>0</v>
      </c>
      <c r="BL170" s="364">
        <v>0</v>
      </c>
      <c r="BM170" s="364">
        <v>0</v>
      </c>
      <c r="BN170" s="364">
        <v>0</v>
      </c>
      <c r="BO170" s="364">
        <v>0</v>
      </c>
      <c r="BP170" s="364">
        <v>0</v>
      </c>
      <c r="BQ170" s="365">
        <v>0</v>
      </c>
      <c r="BR170" s="363" t="s">
        <v>390</v>
      </c>
      <c r="BS170" s="364">
        <v>4</v>
      </c>
      <c r="BT170" s="364">
        <v>0</v>
      </c>
      <c r="BU170" s="364">
        <v>0</v>
      </c>
      <c r="BV170" s="364">
        <v>0</v>
      </c>
      <c r="BW170" s="364">
        <v>0</v>
      </c>
      <c r="BX170" s="364">
        <v>1</v>
      </c>
      <c r="BY170" s="364">
        <v>0</v>
      </c>
      <c r="BZ170" s="364">
        <v>0</v>
      </c>
      <c r="CA170" s="365">
        <v>0</v>
      </c>
      <c r="CB170" s="363" t="s">
        <v>274</v>
      </c>
      <c r="CC170" s="364">
        <v>4</v>
      </c>
      <c r="CD170" s="364">
        <v>0</v>
      </c>
      <c r="CE170" s="364">
        <v>0</v>
      </c>
      <c r="CF170" s="364">
        <v>0</v>
      </c>
      <c r="CG170" s="364">
        <v>0</v>
      </c>
      <c r="CH170" s="364">
        <v>3</v>
      </c>
      <c r="CI170" s="364">
        <v>0</v>
      </c>
      <c r="CJ170" s="364">
        <v>0</v>
      </c>
      <c r="CK170" s="365">
        <v>0</v>
      </c>
      <c r="CL170" s="363" t="s">
        <v>273</v>
      </c>
      <c r="CM170" s="364">
        <v>4</v>
      </c>
      <c r="CN170" s="364">
        <v>0</v>
      </c>
      <c r="CO170" s="364">
        <v>1</v>
      </c>
      <c r="CP170" s="364">
        <v>0</v>
      </c>
      <c r="CQ170" s="364">
        <v>0</v>
      </c>
      <c r="CR170" s="364">
        <v>1</v>
      </c>
      <c r="CS170" s="364">
        <v>0</v>
      </c>
      <c r="CT170" s="364">
        <v>0</v>
      </c>
      <c r="CU170" s="365">
        <v>1</v>
      </c>
      <c r="CV170" s="363" t="s">
        <v>332</v>
      </c>
      <c r="CW170" s="364">
        <v>3</v>
      </c>
      <c r="CX170" s="364">
        <v>0</v>
      </c>
      <c r="CY170" s="364">
        <v>0</v>
      </c>
      <c r="CZ170" s="364">
        <v>0</v>
      </c>
      <c r="DA170" s="364">
        <v>0</v>
      </c>
      <c r="DB170" s="364">
        <v>2</v>
      </c>
      <c r="DC170" s="364">
        <v>0</v>
      </c>
      <c r="DD170" s="364">
        <v>0</v>
      </c>
      <c r="DE170" s="365">
        <v>0</v>
      </c>
      <c r="DF170" s="363" t="s">
        <v>388</v>
      </c>
      <c r="DG170" s="364">
        <v>3</v>
      </c>
      <c r="DH170" s="364">
        <v>0</v>
      </c>
      <c r="DI170" s="364">
        <v>0</v>
      </c>
      <c r="DJ170" s="364">
        <v>0</v>
      </c>
      <c r="DK170" s="364">
        <v>0</v>
      </c>
      <c r="DL170" s="364">
        <v>0</v>
      </c>
      <c r="DM170" s="364">
        <v>0</v>
      </c>
      <c r="DN170" s="364">
        <v>0</v>
      </c>
      <c r="DO170" s="365">
        <v>0</v>
      </c>
      <c r="DP170" s="363" t="s">
        <v>271</v>
      </c>
      <c r="DQ170" s="364">
        <v>3</v>
      </c>
      <c r="DR170" s="364">
        <v>1</v>
      </c>
      <c r="DS170" s="364">
        <v>1</v>
      </c>
      <c r="DT170" s="364">
        <v>0</v>
      </c>
      <c r="DU170" s="364">
        <v>0</v>
      </c>
      <c r="DV170" s="364">
        <v>2</v>
      </c>
      <c r="DW170" s="364">
        <v>0</v>
      </c>
      <c r="DX170" s="364">
        <v>0</v>
      </c>
      <c r="DY170" s="365">
        <v>1</v>
      </c>
      <c r="DZ170" s="366">
        <v>9</v>
      </c>
      <c r="EA170" s="367">
        <v>1</v>
      </c>
      <c r="EB170" s="367">
        <v>0</v>
      </c>
      <c r="EC170" s="368">
        <v>0</v>
      </c>
      <c r="ED170" s="367">
        <v>0</v>
      </c>
      <c r="EE170" s="369">
        <v>0</v>
      </c>
      <c r="EF170" s="370">
        <v>0</v>
      </c>
      <c r="EG170" s="367">
        <v>0</v>
      </c>
      <c r="EH170" s="367">
        <v>1</v>
      </c>
      <c r="EI170" s="367">
        <v>0</v>
      </c>
      <c r="EJ170" s="367">
        <v>0</v>
      </c>
      <c r="EK170" s="367">
        <v>0</v>
      </c>
      <c r="EL170" s="367">
        <v>0</v>
      </c>
      <c r="EM170" s="367">
        <v>0</v>
      </c>
      <c r="EN170" s="367">
        <v>0</v>
      </c>
      <c r="EO170" s="367"/>
      <c r="EP170" s="367"/>
      <c r="EQ170" s="367"/>
      <c r="ER170" s="367"/>
      <c r="ES170" s="369">
        <f>SUM(EF170:ER170)</f>
        <v>1</v>
      </c>
      <c r="ET170" s="367">
        <v>1</v>
      </c>
      <c r="EU170" s="367">
        <v>0</v>
      </c>
      <c r="EV170" s="367">
        <v>0</v>
      </c>
      <c r="EW170" s="367">
        <v>1</v>
      </c>
      <c r="EX170" s="367">
        <v>0</v>
      </c>
      <c r="EY170" s="367">
        <v>1</v>
      </c>
      <c r="EZ170" s="367">
        <v>0</v>
      </c>
      <c r="FA170" s="367">
        <v>0</v>
      </c>
      <c r="FB170" s="367">
        <v>2</v>
      </c>
      <c r="FC170" s="367"/>
      <c r="FD170" s="367"/>
      <c r="FE170" s="367"/>
      <c r="FF170" s="367"/>
      <c r="FG170" s="367">
        <f>SUM(ET170:FF170)</f>
        <v>5</v>
      </c>
      <c r="FH170" s="371">
        <v>33</v>
      </c>
      <c r="FI170" s="371">
        <v>1</v>
      </c>
      <c r="FJ170" s="371">
        <v>6</v>
      </c>
      <c r="FK170" s="371">
        <v>1</v>
      </c>
      <c r="FL170" s="371">
        <v>0</v>
      </c>
      <c r="FM170" s="371">
        <v>11</v>
      </c>
      <c r="FN170" s="371">
        <f>((SUM(M170,AE170))-(FG170))</f>
        <v>0</v>
      </c>
      <c r="FO170" s="371">
        <f>((SUM(AP170,AZ170,BJ170,BT170,CD170,CN170,CX170,DH170,DR170))-(ES170))</f>
        <v>0</v>
      </c>
      <c r="FP170" s="371">
        <f>((SUM(AO170,AY170,BI170,BS170,CC170,CM170,CW170,DG170,DQ170))-(FH170))</f>
        <v>0</v>
      </c>
      <c r="FQ170" s="371">
        <f>((SUM(AP170,AZ170,BJ170,BT170,CD170,CN170,CX170,DH170,DR170))-(FI170))</f>
        <v>0</v>
      </c>
      <c r="FR170" s="371">
        <f>((SUM(AQ170,BA170,BK170,BU170,CE170,CO170,CY170,DI170,DS170))-(FJ170))</f>
        <v>0</v>
      </c>
      <c r="FS170" s="371">
        <f>((SUM(AR170,BB170,BL170,BV170,CF170,CP170,CZ170,DJ170,DT170))-(FK170))</f>
        <v>0</v>
      </c>
      <c r="FT170" s="371">
        <f>((SUM(AS170,BC170,BM170,BW170,CG170,CQ170,DA170,DK170,DU170))-(FL170))</f>
        <v>0</v>
      </c>
      <c r="FU170" s="371">
        <f>((SUM(AT170,BD170,BN170,BX170,CH170,CR170,DB170,DL170,DV170))-(FM170))</f>
        <v>0</v>
      </c>
      <c r="FV170" s="371">
        <f>(EF170-ET170)</f>
        <v>-1</v>
      </c>
      <c r="FW170" s="371">
        <f>(EG170-EU170)</f>
        <v>0</v>
      </c>
      <c r="FX170" s="371">
        <f>(EH170-EV170)</f>
        <v>1</v>
      </c>
      <c r="FY170" s="371">
        <f>(EI170-EW170)</f>
        <v>-1</v>
      </c>
      <c r="FZ170" s="371">
        <f>(EJ170-EX170)</f>
        <v>0</v>
      </c>
      <c r="GA170" s="371">
        <f>(EK170-EY170)</f>
        <v>-1</v>
      </c>
      <c r="GB170" s="371">
        <f>(EL170-EZ170)</f>
        <v>0</v>
      </c>
      <c r="GC170" s="371">
        <f>(EM170-FA170)</f>
        <v>0</v>
      </c>
      <c r="GD170" s="371">
        <f>(EN170-FB170)</f>
        <v>-2</v>
      </c>
      <c r="GE170" s="371">
        <f>(EO170-FC170)</f>
        <v>0</v>
      </c>
      <c r="GF170" s="371">
        <f>(EP170-FD170)</f>
        <v>0</v>
      </c>
      <c r="GG170" s="371">
        <f>(EQ170-FE170)</f>
        <v>0</v>
      </c>
      <c r="GH170" s="371">
        <f>(ER170-FF170)</f>
        <v>0</v>
      </c>
      <c r="GI170" s="371">
        <f>(ES170-FG170)</f>
        <v>-4</v>
      </c>
      <c r="GJ170" s="372" t="s">
        <v>697</v>
      </c>
      <c r="GK170" s="367" t="s">
        <v>695</v>
      </c>
      <c r="GL170" s="376" t="s">
        <v>691</v>
      </c>
      <c r="GM170" s="376" t="s">
        <v>692</v>
      </c>
    </row>
    <row r="171" spans="1:195" x14ac:dyDescent="0.25">
      <c r="A171" s="373">
        <f>SUBTOTAL(103,Table1[Date])</f>
        <v>167</v>
      </c>
      <c r="B171" s="373"/>
      <c r="C171" s="373"/>
      <c r="D171" s="373"/>
      <c r="E171" s="374">
        <f>SUBTOTAL(109,Table1[Att])</f>
        <v>4281270</v>
      </c>
      <c r="F171" s="376">
        <f>SUBTOTAL(101,Table1[Time])</f>
        <v>181.625</v>
      </c>
      <c r="G171" s="374"/>
      <c r="H171" s="375" t="s">
        <v>34</v>
      </c>
      <c r="I171" s="376">
        <f>SUBTOTAL(109,Table1[S-W])</f>
        <v>74</v>
      </c>
      <c r="J171" s="376">
        <f>SUBTOTAL(109,Table1[S-L])</f>
        <v>53</v>
      </c>
      <c r="K171" s="377">
        <f>SUBTOTAL(109,Table1[S-IP])</f>
        <v>1027.666666666667</v>
      </c>
      <c r="L171" s="376">
        <f>SUBTOTAL(109,Table1[S-H])</f>
        <v>997</v>
      </c>
      <c r="M171" s="376">
        <f>SUBTOTAL(109,Table1[S-R])</f>
        <v>485</v>
      </c>
      <c r="N171" s="376">
        <f>SUBTOTAL(109,Table1[S-ER])</f>
        <v>457</v>
      </c>
      <c r="O171" s="376">
        <f>SUBTOTAL(109,Table1[S-BB])</f>
        <v>333</v>
      </c>
      <c r="P171" s="376">
        <f>SUBTOTAL(109,Table1[S-SO])</f>
        <v>824</v>
      </c>
      <c r="Q171" s="376">
        <f>SUBTOTAL(109,Table1[S-HR])</f>
        <v>134</v>
      </c>
      <c r="R171" s="376">
        <f>SUBTOTAL(109,Table1[S-HBP])</f>
        <v>33</v>
      </c>
      <c r="S171" s="376">
        <f>SUBTOTAL(109,Table1[S-BF])</f>
        <v>4358</v>
      </c>
      <c r="T171" s="376">
        <f>SUBTOTAL(109,Table1[S-Pit])</f>
        <v>16515</v>
      </c>
      <c r="U171" s="376">
        <f>SUBTOTAL(109,Table1[S-Str])</f>
        <v>10561</v>
      </c>
      <c r="V171" s="376">
        <f>SUBTOTAL(109,Table1[IRL])</f>
        <v>97</v>
      </c>
      <c r="W171" s="376">
        <f>SUBTOTAL(109,Table1[IRS])</f>
        <v>37</v>
      </c>
      <c r="X171" s="376">
        <f>SUBTOTAL(109,Table1[B-W])</f>
        <v>24</v>
      </c>
      <c r="Y171" s="376">
        <f>SUBTOTAL(109,Table1[B-L])</f>
        <v>16</v>
      </c>
      <c r="Z171" s="376">
        <f>SUBTOTAL(109,Table1[Hld])</f>
        <v>81</v>
      </c>
      <c r="AA171" s="376">
        <f>SUBTOTAL(109,Table1[Sv])</f>
        <v>52</v>
      </c>
      <c r="AB171" s="376">
        <f>SUBTOTAL(109,Table1[BS])</f>
        <v>16</v>
      </c>
      <c r="AC171" s="377">
        <f>SUBTOTAL(109,Table1[B-IP])</f>
        <v>471.00000000000006</v>
      </c>
      <c r="AD171" s="376">
        <f>SUBTOTAL(109,Table1[B-H])</f>
        <v>395</v>
      </c>
      <c r="AE171" s="376">
        <f>SUBTOTAL(109,Table1[B-R])</f>
        <v>185</v>
      </c>
      <c r="AF171" s="376">
        <f>SUBTOTAL(109,Table1[B-ER])</f>
        <v>174</v>
      </c>
      <c r="AG171" s="376">
        <f>SUBTOTAL(109,Table1[B-BB])</f>
        <v>152</v>
      </c>
      <c r="AH171" s="376">
        <f>SUBTOTAL(109,Table1[B-SO])</f>
        <v>393</v>
      </c>
      <c r="AI171" s="376">
        <f>SUBTOTAL(109,Table1[B-HR])</f>
        <v>51</v>
      </c>
      <c r="AJ171" s="376">
        <f>SUBTOTAL(109,Table1[B-HBP])</f>
        <v>16</v>
      </c>
      <c r="AK171" s="376">
        <f>SUBTOTAL(109,Table1[B-BF])</f>
        <v>1924</v>
      </c>
      <c r="AL171" s="376">
        <f>SUBTOTAL(109,Table1[B-Pit])</f>
        <v>7466</v>
      </c>
      <c r="AM171" s="376">
        <f>SUBTOTAL(109,Table1[B-Str])</f>
        <v>4732</v>
      </c>
      <c r="AN171" s="375" t="str">
        <f>INDEX(Table1[Starter1],MODE(MATCH(Table1[Starter1],Table1[Starter1],0)))</f>
        <v>Bartlett, J</v>
      </c>
      <c r="AO171" s="374">
        <f>SUBTOTAL(109,Table1[AB1])</f>
        <v>674</v>
      </c>
      <c r="AP171" s="374">
        <f>SUBTOTAL(109,Table1[R1])</f>
        <v>109</v>
      </c>
      <c r="AQ171" s="374">
        <f>SUBTOTAL(109,Table1[H1])</f>
        <v>171</v>
      </c>
      <c r="AR171" s="374">
        <f>SUBTOTAL(109,Table1[RBI1])</f>
        <v>64</v>
      </c>
      <c r="AS171" s="374">
        <f>SUBTOTAL(109,Table1[BB1])</f>
        <v>100</v>
      </c>
      <c r="AT171" s="374">
        <f>SUBTOTAL(109,Table1[SO1])</f>
        <v>121</v>
      </c>
      <c r="AU171" s="374">
        <f>SUBTOTAL(109,Table1[HBP1])</f>
        <v>6</v>
      </c>
      <c r="AV171" s="374">
        <f>SUBTOTAL(109,Table1[SF1])</f>
        <v>4</v>
      </c>
      <c r="AW171" s="374">
        <f>SUBTOTAL(109,Table1[TB1])</f>
        <v>257</v>
      </c>
      <c r="AX171" s="375" t="str">
        <f>INDEX(Table1[Starter2],MODE(MATCH(Table1[Starter2],Table1[Starter2],0)))</f>
        <v>Crawford, C</v>
      </c>
      <c r="AY171" s="374">
        <f>SUBTOTAL(109,Table1[AB2])</f>
        <v>678</v>
      </c>
      <c r="AZ171" s="374">
        <f>SUBTOTAL(109,Table1[R2])</f>
        <v>124</v>
      </c>
      <c r="BA171" s="374">
        <f>SUBTOTAL(109,Table1[H2])</f>
        <v>178</v>
      </c>
      <c r="BB171" s="374">
        <f>SUBTOTAL(109,Table1[RBI2])</f>
        <v>86</v>
      </c>
      <c r="BC171" s="374">
        <f>SUBTOTAL(109,Table1[BB2])</f>
        <v>69</v>
      </c>
      <c r="BD171" s="374">
        <f>SUBTOTAL(109,Table1[SO2])</f>
        <v>135</v>
      </c>
      <c r="BE171" s="374">
        <f>SUBTOTAL(109,Table1[HBP2])</f>
        <v>5</v>
      </c>
      <c r="BF171" s="374">
        <f>SUBTOTAL(109,Table1[SF2])</f>
        <v>11</v>
      </c>
      <c r="BG171" s="374">
        <f>SUBTOTAL(109,Table1[TB2])</f>
        <v>280</v>
      </c>
      <c r="BH171" s="375" t="str">
        <f>INDEX(Table1[Starter3],MODE(MATCH(Table1[Starter3],Table1[Starter3],0)))</f>
        <v>Longoria, E</v>
      </c>
      <c r="BI171" s="374">
        <f>SUBTOTAL(109,Table1[AB3])</f>
        <v>659</v>
      </c>
      <c r="BJ171" s="374">
        <f>SUBTOTAL(109,Table1[R3])</f>
        <v>92</v>
      </c>
      <c r="BK171" s="374">
        <f>SUBTOTAL(109,Table1[H3])</f>
        <v>187</v>
      </c>
      <c r="BL171" s="374">
        <f>SUBTOTAL(109,Table1[RBI3])</f>
        <v>100</v>
      </c>
      <c r="BM171" s="374">
        <f>SUBTOTAL(109,Table1[BB3])</f>
        <v>77</v>
      </c>
      <c r="BN171" s="374">
        <f>SUBTOTAL(109,Table1[SO3])</f>
        <v>130</v>
      </c>
      <c r="BO171" s="374">
        <f>SUBTOTAL(109,Table1[HBP3])</f>
        <v>7</v>
      </c>
      <c r="BP171" s="374">
        <f>SUBTOTAL(109,Table1[SF3])</f>
        <v>7</v>
      </c>
      <c r="BQ171" s="374">
        <f>SUBTOTAL(109,Table1[TB3])</f>
        <v>303</v>
      </c>
      <c r="BR171" s="375" t="str">
        <f>INDEX(Table1[Starter4],MODE(MATCH(Table1[Starter4],Table1[Starter4],0)))</f>
        <v>Longoria, E</v>
      </c>
      <c r="BS171" s="374">
        <f>SUBTOTAL(109,Table1[AB4])</f>
        <v>633</v>
      </c>
      <c r="BT171" s="374">
        <f>SUBTOTAL(109,Table1[R4])</f>
        <v>87</v>
      </c>
      <c r="BU171" s="374">
        <f>SUBTOTAL(109,Table1[H4])</f>
        <v>164</v>
      </c>
      <c r="BV171" s="374">
        <f>SUBTOTAL(109,Table1[RBI4])</f>
        <v>117</v>
      </c>
      <c r="BW171" s="374">
        <f>SUBTOTAL(109,Table1[BB4])</f>
        <v>82</v>
      </c>
      <c r="BX171" s="374">
        <f>SUBTOTAL(109,Table1[SO4])</f>
        <v>166</v>
      </c>
      <c r="BY171" s="374">
        <f>SUBTOTAL(109,Table1[HBP4])</f>
        <v>8</v>
      </c>
      <c r="BZ171" s="374">
        <f>SUBTOTAL(109,Table1[SF4])</f>
        <v>13</v>
      </c>
      <c r="CA171" s="374">
        <f>SUBTOTAL(109,Table1[TB4])</f>
        <v>287</v>
      </c>
      <c r="CB171" s="375" t="str">
        <f>INDEX(Table1[Starter5],MODE(MATCH(Table1[Starter5],Table1[Starter5],0)))</f>
        <v>Peña, C</v>
      </c>
      <c r="CC171" s="374">
        <f>SUBTOTAL(109,Table1[AB5])</f>
        <v>617</v>
      </c>
      <c r="CD171" s="374">
        <f>SUBTOTAL(109,Table1[R5])</f>
        <v>80</v>
      </c>
      <c r="CE171" s="374">
        <f>SUBTOTAL(109,Table1[H5])</f>
        <v>136</v>
      </c>
      <c r="CF171" s="374">
        <f>SUBTOTAL(109,Table1[RBI5])</f>
        <v>106</v>
      </c>
      <c r="CG171" s="374">
        <f>SUBTOTAL(109,Table1[BB5])</f>
        <v>88</v>
      </c>
      <c r="CH171" s="374">
        <f>SUBTOTAL(109,Table1[SO5])</f>
        <v>158</v>
      </c>
      <c r="CI171" s="374">
        <f>SUBTOTAL(109,Table1[HBP5])</f>
        <v>7</v>
      </c>
      <c r="CJ171" s="374">
        <f>SUBTOTAL(109,Table1[SF5])</f>
        <v>5</v>
      </c>
      <c r="CK171" s="374">
        <f>SUBTOTAL(109,Table1[TB5])</f>
        <v>243</v>
      </c>
      <c r="CL171" s="375" t="str">
        <f>INDEX(Table1[Starter6],MODE(MATCH(Table1[Starter6],Table1[Starter6],0)))</f>
        <v>Upton, B</v>
      </c>
      <c r="CM171" s="374">
        <f>SUBTOTAL(109,Table1[AB6])</f>
        <v>608</v>
      </c>
      <c r="CN171" s="374">
        <f>SUBTOTAL(109,Table1[R6])</f>
        <v>75</v>
      </c>
      <c r="CO171" s="374">
        <f>SUBTOTAL(109,Table1[H6])</f>
        <v>135</v>
      </c>
      <c r="CP171" s="374">
        <f>SUBTOTAL(109,Table1[RBI6])</f>
        <v>75</v>
      </c>
      <c r="CQ171" s="374">
        <f>SUBTOTAL(109,Table1[BB6])</f>
        <v>85</v>
      </c>
      <c r="CR171" s="374">
        <f>SUBTOTAL(109,Table1[SO6])</f>
        <v>169</v>
      </c>
      <c r="CS171" s="374">
        <f>SUBTOTAL(109,Table1[HBP6])</f>
        <v>5</v>
      </c>
      <c r="CT171" s="374">
        <f>SUBTOTAL(109,Table1[SF6])</f>
        <v>5</v>
      </c>
      <c r="CU171" s="374">
        <f>SUBTOTAL(109,Table1[TB6])</f>
        <v>226</v>
      </c>
      <c r="CV171" s="375" t="str">
        <f>INDEX(Table1[Starter7],MODE(MATCH(Table1[Starter7],Table1[Starter7],0)))</f>
        <v>Upton, B</v>
      </c>
      <c r="CW171" s="374">
        <f>SUBTOTAL(109,Table1[AB7])</f>
        <v>588</v>
      </c>
      <c r="CX171" s="374">
        <f>SUBTOTAL(109,Table1[R7])</f>
        <v>81</v>
      </c>
      <c r="CY171" s="374">
        <f>SUBTOTAL(109,Table1[H7])</f>
        <v>132</v>
      </c>
      <c r="CZ171" s="374">
        <f>SUBTOTAL(109,Table1[RBI7])</f>
        <v>77</v>
      </c>
      <c r="DA171" s="374">
        <f>SUBTOTAL(109,Table1[BB7])</f>
        <v>73</v>
      </c>
      <c r="DB171" s="374">
        <f>SUBTOTAL(109,Table1[SO7])</f>
        <v>171</v>
      </c>
      <c r="DC171" s="374">
        <f>SUBTOTAL(109,Table1[HBP7])</f>
        <v>8</v>
      </c>
      <c r="DD171" s="374">
        <f>SUBTOTAL(109,Table1[SF7])</f>
        <v>5</v>
      </c>
      <c r="DE171" s="374">
        <f>SUBTOTAL(109,Table1[TB7])</f>
        <v>228</v>
      </c>
      <c r="DF171" s="375" t="str">
        <f>INDEX(Table1[Starter8],MODE(MATCH(Table1[Starter8],Table1[Starter8],0)))</f>
        <v>Brignac, R</v>
      </c>
      <c r="DG171" s="374">
        <f>SUBTOTAL(109,Table1[AB8])</f>
        <v>582</v>
      </c>
      <c r="DH171" s="374">
        <f>SUBTOTAL(109,Table1[R8])</f>
        <v>86</v>
      </c>
      <c r="DI171" s="374">
        <f>SUBTOTAL(109,Table1[H8])</f>
        <v>143</v>
      </c>
      <c r="DJ171" s="374">
        <f>SUBTOTAL(109,Table1[RBI8])</f>
        <v>77</v>
      </c>
      <c r="DK171" s="374">
        <f>SUBTOTAL(109,Table1[BB8])</f>
        <v>61</v>
      </c>
      <c r="DL171" s="374">
        <f>SUBTOTAL(109,Table1[SO8])</f>
        <v>134</v>
      </c>
      <c r="DM171" s="374">
        <f>SUBTOTAL(109,Table1[HBP8])</f>
        <v>5</v>
      </c>
      <c r="DN171" s="374">
        <f>SUBTOTAL(109,Table1[SF8])</f>
        <v>2</v>
      </c>
      <c r="DO171" s="374">
        <f>SUBTOTAL(109,Table1[TB8])</f>
        <v>223</v>
      </c>
      <c r="DP171" s="375" t="str">
        <f>INDEX(Table1[Starter9],MODE(MATCH(Table1[Starter9],Table1[Starter9],0)))</f>
        <v>Bartlett, J</v>
      </c>
      <c r="DQ171" s="374">
        <f>SUBTOTAL(109,Table1[AB9])</f>
        <v>572</v>
      </c>
      <c r="DR171" s="374">
        <f>SUBTOTAL(109,Table1[R9])</f>
        <v>81</v>
      </c>
      <c r="DS171" s="374">
        <f>SUBTOTAL(109,Table1[H9])</f>
        <v>134</v>
      </c>
      <c r="DT171" s="374">
        <f>SUBTOTAL(109,Table1[RBI9])</f>
        <v>79</v>
      </c>
      <c r="DU171" s="374">
        <f>SUBTOTAL(109,Table1[BB9])</f>
        <v>49</v>
      </c>
      <c r="DV171" s="374">
        <f>SUBTOTAL(109,Table1[SO9])</f>
        <v>163</v>
      </c>
      <c r="DW171" s="374">
        <f>SUBTOTAL(109,Table1[HBP9])</f>
        <v>9</v>
      </c>
      <c r="DX171" s="374">
        <f>SUBTOTAL(109,Table1[SF9])</f>
        <v>5</v>
      </c>
      <c r="DY171" s="374">
        <f>SUBTOTAL(109,Table1[TB9])</f>
        <v>203</v>
      </c>
      <c r="DZ171" s="377">
        <f>SUBTOTAL(109,Table1[IVL])</f>
        <v>488.00000000000017</v>
      </c>
      <c r="EA171" s="376">
        <f>SUBTOTAL(109,Table1[SVL])</f>
        <v>39</v>
      </c>
      <c r="EB171" s="376">
        <f>SUBTOTAL(109,Table1[CVL])</f>
        <v>12</v>
      </c>
      <c r="EC171" s="377">
        <f>SUBTOTAL(109,Table1[IVR])</f>
        <v>996.33333333333371</v>
      </c>
      <c r="ED171" s="376">
        <f>SUBTOTAL(109,Table1[SVR])</f>
        <v>137</v>
      </c>
      <c r="EE171" s="376">
        <f>SUBTOTAL(109,Table1[CVR])</f>
        <v>34</v>
      </c>
      <c r="EF171" s="376">
        <f>SUBTOTAL(109,Table1[RI1])</f>
        <v>81</v>
      </c>
      <c r="EG171" s="376">
        <f>SUBTOTAL(109,Table1[RI2])</f>
        <v>60</v>
      </c>
      <c r="EH171" s="376">
        <f>SUBTOTAL(109,Table1[RI3])</f>
        <v>91</v>
      </c>
      <c r="EI171" s="376">
        <f>SUBTOTAL(109,Table1[RI4])</f>
        <v>89</v>
      </c>
      <c r="EJ171" s="376">
        <f>SUBTOTAL(109,Table1[RI5])</f>
        <v>119</v>
      </c>
      <c r="EK171" s="376">
        <f>SUBTOTAL(109,Table1[RI6])</f>
        <v>105</v>
      </c>
      <c r="EL171" s="376">
        <f>SUBTOTAL(109,Table1[RI7])</f>
        <v>74</v>
      </c>
      <c r="EM171" s="376">
        <f>SUBTOTAL(109,Table1[RI8])</f>
        <v>114</v>
      </c>
      <c r="EN171" s="376">
        <f>SUBTOTAL(109,Table1[RI9])</f>
        <v>65</v>
      </c>
      <c r="EO171" s="376">
        <f>SUBTOTAL(109,Table1[RI10])</f>
        <v>7</v>
      </c>
      <c r="EP171" s="376">
        <f>SUBTOTAL(109,Table1[RI11])</f>
        <v>6</v>
      </c>
      <c r="EQ171" s="376">
        <f>SUBTOTAL(109,Table1[RI12])</f>
        <v>4</v>
      </c>
      <c r="ER171" s="376">
        <f>SUBTOTAL(109,Table1[RI13])</f>
        <v>0</v>
      </c>
      <c r="ES171" s="376">
        <f>SUBTOTAL(109,Table1[RT])</f>
        <v>815</v>
      </c>
      <c r="ET171" s="376">
        <f>SUBTOTAL(109,Table1[OI1])</f>
        <v>90</v>
      </c>
      <c r="EU171" s="376">
        <f>SUBTOTAL(109,Table1[OI2])</f>
        <v>60</v>
      </c>
      <c r="EV171" s="376">
        <f>SUBTOTAL(109,Table1[OI3])</f>
        <v>85</v>
      </c>
      <c r="EW171" s="376">
        <f>SUBTOTAL(109,Table1[OI4])</f>
        <v>78</v>
      </c>
      <c r="EX171" s="376">
        <f>SUBTOTAL(109,Table1[OI5])</f>
        <v>71</v>
      </c>
      <c r="EY171" s="376">
        <f>SUBTOTAL(109,Table1[OI6])</f>
        <v>105</v>
      </c>
      <c r="EZ171" s="376">
        <f>SUBTOTAL(109,Table1[OI7])</f>
        <v>70</v>
      </c>
      <c r="FA171" s="376">
        <f>SUBTOTAL(109,Table1[OI8])</f>
        <v>51</v>
      </c>
      <c r="FB171" s="376">
        <f>SUBTOTAL(109,Table1[OI9])</f>
        <v>49</v>
      </c>
      <c r="FC171" s="376">
        <f>SUBTOTAL(109,Table1[OI10])</f>
        <v>2</v>
      </c>
      <c r="FD171" s="376">
        <f>SUBTOTAL(109,Table1[OI11])</f>
        <v>6</v>
      </c>
      <c r="FE171" s="376">
        <f>SUBTOTAL(109,Table1[OI12])</f>
        <v>1</v>
      </c>
      <c r="FF171" s="376">
        <f>SUBTOTAL(109,Table1[OI13])</f>
        <v>2</v>
      </c>
      <c r="FG171" s="376">
        <f>SUBTOTAL(109,Table1[OT])</f>
        <v>670</v>
      </c>
      <c r="FH171" s="378">
        <f>SUBTOTAL(109,Table1[RTAB])</f>
        <v>5611</v>
      </c>
      <c r="FI171" s="378">
        <f>SUBTOTAL(109,Table1[RTR])</f>
        <v>815</v>
      </c>
      <c r="FJ171" s="378">
        <f>SUBTOTAL(109,Table1[RTH])</f>
        <v>1380</v>
      </c>
      <c r="FK171" s="378">
        <f>SUBTOTAL(109,Table1[RTBI])</f>
        <v>781</v>
      </c>
      <c r="FL171" s="378">
        <f>SUBTOTAL(109,Table1[RTBB])</f>
        <v>684</v>
      </c>
      <c r="FM171" s="378">
        <f>SUBTOTAL(109,Table1[RTSO])</f>
        <v>1347</v>
      </c>
      <c r="FN171" s="378"/>
      <c r="FO171" s="378"/>
      <c r="FP171" s="378"/>
      <c r="FQ171" s="378"/>
      <c r="FR171" s="378"/>
      <c r="FS171" s="378"/>
      <c r="FT171" s="378"/>
      <c r="FU171" s="378"/>
      <c r="FV171" s="378">
        <f>SUBTOTAL(109,Table1[RD1])</f>
        <v>-9</v>
      </c>
      <c r="FW171" s="378">
        <f>SUBTOTAL(109,Table1[RD2])</f>
        <v>0</v>
      </c>
      <c r="FX171" s="378">
        <f>SUBTOTAL(109,Table1[RD3])</f>
        <v>6</v>
      </c>
      <c r="FY171" s="378">
        <f>SUBTOTAL(109,Table1[RD4])</f>
        <v>11</v>
      </c>
      <c r="FZ171" s="378">
        <f>SUBTOTAL(109,Table1[RD5])</f>
        <v>48</v>
      </c>
      <c r="GA171" s="378">
        <f>SUBTOTAL(109,Table1[RD6])</f>
        <v>0</v>
      </c>
      <c r="GB171" s="378">
        <f>SUBTOTAL(109,Table1[RD7])</f>
        <v>4</v>
      </c>
      <c r="GC171" s="378">
        <f>SUBTOTAL(109,Table1[RD8])</f>
        <v>63</v>
      </c>
      <c r="GD171" s="378">
        <f>SUBTOTAL(109,Table1[RD9])</f>
        <v>16</v>
      </c>
      <c r="GE171" s="378">
        <f>SUBTOTAL(109,Table1[RD10])</f>
        <v>5</v>
      </c>
      <c r="GF171" s="378">
        <f>SUBTOTAL(109,Table1[RD11])</f>
        <v>0</v>
      </c>
      <c r="GG171" s="378">
        <f>SUBTOTAL(109,Table1[RD12])</f>
        <v>3</v>
      </c>
      <c r="GH171" s="378">
        <f>SUBTOTAL(109,Table1[RD13])</f>
        <v>-2</v>
      </c>
      <c r="GI171" s="378">
        <f>SUBTOTAL(109,Table1[RDT])</f>
        <v>145</v>
      </c>
      <c r="GJ171" s="379"/>
      <c r="GK171" s="375"/>
      <c r="GL171" s="375"/>
      <c r="GM171" s="411"/>
    </row>
    <row r="172" spans="1:195" x14ac:dyDescent="0.25">
      <c r="A172" s="81" t="s">
        <v>227</v>
      </c>
      <c r="B172" s="53"/>
      <c r="C172" s="53"/>
      <c r="D172" s="53"/>
      <c r="E172" s="4">
        <f>MAX(Table1[Att])</f>
        <v>51746</v>
      </c>
      <c r="F172" s="4">
        <f>MAX(Table1[Time])</f>
        <v>278</v>
      </c>
      <c r="G172" s="54"/>
      <c r="H172" s="80"/>
      <c r="I172" s="80"/>
      <c r="J172" s="80"/>
      <c r="K172" s="5">
        <f>MAX(Table1[S-IP])</f>
        <v>9</v>
      </c>
      <c r="L172" s="6">
        <f>MAX(Table1[S-H])</f>
        <v>12</v>
      </c>
      <c r="M172" s="6">
        <f>MAX(Table1[S-R])</f>
        <v>10</v>
      </c>
      <c r="N172" s="6">
        <f>MAX(Table1[S-ER])</f>
        <v>10</v>
      </c>
      <c r="O172" s="6">
        <f>MAX(Table1[S-BB])</f>
        <v>5</v>
      </c>
      <c r="P172" s="6">
        <f>MAX(Table1[S-SO])</f>
        <v>12</v>
      </c>
      <c r="Q172" s="6">
        <f>MAX(Table1[S-HR])</f>
        <v>6</v>
      </c>
      <c r="R172" s="6">
        <f>MAX(Table1[S-HBP])</f>
        <v>2</v>
      </c>
      <c r="S172" s="6">
        <f>MAX(Table1[S-BF])</f>
        <v>33</v>
      </c>
      <c r="T172" s="6">
        <f>MAX(Table1[S-Pit])</f>
        <v>122</v>
      </c>
      <c r="U172" s="6">
        <f>MAX(Table1[S-Str])</f>
        <v>83</v>
      </c>
      <c r="V172" s="6">
        <f>MAX(Table1[IRL])</f>
        <v>3</v>
      </c>
      <c r="W172" s="6">
        <f>MAX(Table1[IRS])</f>
        <v>2</v>
      </c>
      <c r="X172" s="80"/>
      <c r="Y172" s="80"/>
      <c r="Z172" s="80"/>
      <c r="AA172" s="80"/>
      <c r="AB172" s="80"/>
      <c r="AC172" s="5">
        <f>MAX(Table1[B-IP])</f>
        <v>7.666666666666667</v>
      </c>
      <c r="AD172" s="6">
        <f>MAX(Table1[B-H])</f>
        <v>11</v>
      </c>
      <c r="AE172" s="6">
        <f>MAX(Table1[B-R])</f>
        <v>9</v>
      </c>
      <c r="AF172" s="6">
        <f>MAX(Table1[B-ER])</f>
        <v>9</v>
      </c>
      <c r="AG172" s="6">
        <f>MAX(Table1[B-BB])</f>
        <v>7</v>
      </c>
      <c r="AH172" s="6">
        <f>MAX(Table1[B-SO])</f>
        <v>10</v>
      </c>
      <c r="AI172" s="6">
        <f>MAX(Table1[B-HR])</f>
        <v>3</v>
      </c>
      <c r="AJ172" s="6">
        <f>MAX(Table1[B-HBP])</f>
        <v>2</v>
      </c>
      <c r="AK172" s="6">
        <f>MAX(Table1[B-BF])</f>
        <v>36</v>
      </c>
      <c r="AL172" s="6">
        <f>MAX(Table1[B-Pit])</f>
        <v>131</v>
      </c>
      <c r="AM172" s="6">
        <f>MAX(Table1[B-Str])</f>
        <v>75</v>
      </c>
      <c r="AN172" s="80"/>
      <c r="AO172" s="6">
        <f>MAX(Table1[AB1])</f>
        <v>6</v>
      </c>
      <c r="AP172" s="6">
        <f>MAX(Table1[R1])</f>
        <v>3</v>
      </c>
      <c r="AQ172" s="6">
        <f>MAX(Table1[H1])</f>
        <v>3</v>
      </c>
      <c r="AR172" s="6">
        <f>MAX(Table1[RBI1])</f>
        <v>5</v>
      </c>
      <c r="AS172" s="6">
        <f>MAX(Table1[BB1])</f>
        <v>3</v>
      </c>
      <c r="AT172" s="6">
        <f>MAX(Table1[SO1])</f>
        <v>3</v>
      </c>
      <c r="AU172" s="6">
        <f>MAX(Table1[HBP1])</f>
        <v>1</v>
      </c>
      <c r="AV172" s="6">
        <f>MAX(Table1[SF1])</f>
        <v>1</v>
      </c>
      <c r="AW172" s="6">
        <f>MAX(Table1[TB1])</f>
        <v>7</v>
      </c>
      <c r="AX172" s="80"/>
      <c r="AY172" s="6">
        <f>MAX(Table1[AB2])</f>
        <v>6</v>
      </c>
      <c r="AZ172" s="6">
        <f>MAX(Table1[R2])</f>
        <v>3</v>
      </c>
      <c r="BA172" s="6">
        <f>MAX(Table1[H2])</f>
        <v>4</v>
      </c>
      <c r="BB172" s="6">
        <f>MAX(Table1[RBI2])</f>
        <v>5</v>
      </c>
      <c r="BC172" s="6">
        <f>MAX(Table1[BB2])</f>
        <v>3</v>
      </c>
      <c r="BD172" s="6">
        <f>MAX(Table1[SO2])</f>
        <v>3</v>
      </c>
      <c r="BE172" s="6">
        <f>MAX(Table1[HBP2])</f>
        <v>1</v>
      </c>
      <c r="BF172" s="6">
        <f>MAX(Table1[SF2])</f>
        <v>1</v>
      </c>
      <c r="BG172" s="6">
        <f>MAX(Table1[TB2])</f>
        <v>8</v>
      </c>
      <c r="BH172" s="80"/>
      <c r="BI172" s="6">
        <f>MAX(Table1[AB3])</f>
        <v>6</v>
      </c>
      <c r="BJ172" s="6">
        <f>MAX(Table1[R3])</f>
        <v>3</v>
      </c>
      <c r="BK172" s="6">
        <f>MAX(Table1[H3])</f>
        <v>4</v>
      </c>
      <c r="BL172" s="6">
        <f>MAX(Table1[RBI3])</f>
        <v>4</v>
      </c>
      <c r="BM172" s="6">
        <f>MAX(Table1[BB3])</f>
        <v>3</v>
      </c>
      <c r="BN172" s="6">
        <f>MAX(Table1[SO3])</f>
        <v>3</v>
      </c>
      <c r="BO172" s="6">
        <f>MAX(Table1[HBP3])</f>
        <v>1</v>
      </c>
      <c r="BP172" s="6">
        <f>MAX(Table1[SF3])</f>
        <v>1</v>
      </c>
      <c r="BQ172" s="6">
        <f>MAX(Table1[TB3])</f>
        <v>8</v>
      </c>
      <c r="BR172" s="80"/>
      <c r="BS172" s="6">
        <f>MAX(Table1[AB4])</f>
        <v>6</v>
      </c>
      <c r="BT172" s="6">
        <f>MAX(Table1[R4])</f>
        <v>4</v>
      </c>
      <c r="BU172" s="6">
        <f>MAX(Table1[H4])</f>
        <v>4</v>
      </c>
      <c r="BV172" s="6">
        <f>MAX(Table1[RBI4])</f>
        <v>4</v>
      </c>
      <c r="BW172" s="6">
        <f>MAX(Table1[BB4])</f>
        <v>3</v>
      </c>
      <c r="BX172" s="6">
        <f>MAX(Table1[SO4])</f>
        <v>3</v>
      </c>
      <c r="BY172" s="6">
        <f>MAX(Table1[HBP4])</f>
        <v>1</v>
      </c>
      <c r="BZ172" s="6">
        <f>MAX(Table1[SF4])</f>
        <v>1</v>
      </c>
      <c r="CA172" s="6">
        <f>MAX(Table1[TB4])</f>
        <v>8</v>
      </c>
      <c r="CB172" s="80"/>
      <c r="CC172" s="6">
        <f>MAX(Table1[AB5])</f>
        <v>5</v>
      </c>
      <c r="CD172" s="6">
        <f>MAX(Table1[R5])</f>
        <v>2</v>
      </c>
      <c r="CE172" s="6">
        <f>MAX(Table1[H5])</f>
        <v>3</v>
      </c>
      <c r="CF172" s="6">
        <f>MAX(Table1[RBI5])</f>
        <v>4</v>
      </c>
      <c r="CG172" s="6">
        <f>MAX(Table1[BB5])</f>
        <v>3</v>
      </c>
      <c r="CH172" s="6">
        <f>MAX(Table1[SO5])</f>
        <v>3</v>
      </c>
      <c r="CI172" s="6">
        <f>MAX(Table1[HBP5])</f>
        <v>1</v>
      </c>
      <c r="CJ172" s="6">
        <f>MAX(Table1[SF5])</f>
        <v>1</v>
      </c>
      <c r="CK172" s="6">
        <f>MAX(Table1[TB5])</f>
        <v>8</v>
      </c>
      <c r="CL172" s="80"/>
      <c r="CM172" s="6">
        <f>MAX(Table1[AB6])</f>
        <v>6</v>
      </c>
      <c r="CN172" s="6">
        <f>MAX(Table1[R6])</f>
        <v>2</v>
      </c>
      <c r="CO172" s="6">
        <f>MAX(Table1[H6])</f>
        <v>3</v>
      </c>
      <c r="CP172" s="6">
        <f>MAX(Table1[RBI6])</f>
        <v>4</v>
      </c>
      <c r="CQ172" s="6">
        <f>MAX(Table1[BB6])</f>
        <v>3</v>
      </c>
      <c r="CR172" s="6">
        <f>MAX(Table1[SO6])</f>
        <v>3</v>
      </c>
      <c r="CS172" s="6">
        <f>MAX(Table1[HBP6])</f>
        <v>1</v>
      </c>
      <c r="CT172" s="6">
        <f>MAX(Table1[SF6])</f>
        <v>1</v>
      </c>
      <c r="CU172" s="6">
        <f>MAX(Table1[TB6])</f>
        <v>8</v>
      </c>
      <c r="CV172" s="80"/>
      <c r="CW172" s="6">
        <f>MAX(Table1[AB7])</f>
        <v>5</v>
      </c>
      <c r="CX172" s="6">
        <f>MAX(Table1[R7])</f>
        <v>2</v>
      </c>
      <c r="CY172" s="6">
        <f>MAX(Table1[H7])</f>
        <v>3</v>
      </c>
      <c r="CZ172" s="6">
        <f>MAX(Table1[RBI7])</f>
        <v>5</v>
      </c>
      <c r="DA172" s="6">
        <f>MAX(Table1[BB7])</f>
        <v>4</v>
      </c>
      <c r="DB172" s="6">
        <f>MAX(Table1[SO7])</f>
        <v>4</v>
      </c>
      <c r="DC172" s="6">
        <f>MAX(Table1[HBP7])</f>
        <v>1</v>
      </c>
      <c r="DD172" s="6">
        <f>MAX(Table1[SF7])</f>
        <v>1</v>
      </c>
      <c r="DE172" s="6">
        <f>MAX(Table1[TB7])</f>
        <v>8</v>
      </c>
      <c r="DF172" s="80"/>
      <c r="DG172" s="6">
        <f>MAX(Table1[AB8])</f>
        <v>6</v>
      </c>
      <c r="DH172" s="6">
        <f>MAX(Table1[R8])</f>
        <v>3</v>
      </c>
      <c r="DI172" s="6">
        <f>MAX(Table1[H8])</f>
        <v>3</v>
      </c>
      <c r="DJ172" s="6">
        <f>MAX(Table1[RBI8])</f>
        <v>5</v>
      </c>
      <c r="DK172" s="6">
        <f>MAX(Table1[BB8])</f>
        <v>3</v>
      </c>
      <c r="DL172" s="6">
        <f>MAX(Table1[SO8])</f>
        <v>3</v>
      </c>
      <c r="DM172" s="6">
        <f>MAX(Table1[HBP8])</f>
        <v>1</v>
      </c>
      <c r="DN172" s="6">
        <f>MAX(Table1[SF8])</f>
        <v>1</v>
      </c>
      <c r="DO172" s="6">
        <f>MAX(Table1[TB8])</f>
        <v>8</v>
      </c>
      <c r="DP172" s="80"/>
      <c r="DQ172" s="6">
        <f>MAX(Table1[AB9])</f>
        <v>6</v>
      </c>
      <c r="DR172" s="6">
        <f>MAX(Table1[R9])</f>
        <v>3</v>
      </c>
      <c r="DS172" s="6">
        <f>MAX(Table1[H9])</f>
        <v>3</v>
      </c>
      <c r="DT172" s="6">
        <f>MAX(Table1[RBI9])</f>
        <v>5</v>
      </c>
      <c r="DU172" s="6">
        <f>MAX(Table1[BB9])</f>
        <v>2</v>
      </c>
      <c r="DV172" s="6">
        <f>MAX(Table1[SO9])</f>
        <v>4</v>
      </c>
      <c r="DW172" s="6">
        <f>MAX(Table1[HBP9])</f>
        <v>2</v>
      </c>
      <c r="DX172" s="6">
        <f>MAX(Table1[SF9])</f>
        <v>1</v>
      </c>
      <c r="DY172" s="6">
        <f>MAX(Table1[TB9])</f>
        <v>9</v>
      </c>
      <c r="DZ172" s="5">
        <f>MAX(Table1[IVL])</f>
        <v>9</v>
      </c>
      <c r="EA172" s="6">
        <f>MAX(Table1[SVL])</f>
        <v>3</v>
      </c>
      <c r="EB172" s="6">
        <f>MAX(Table1[CVL])</f>
        <v>2</v>
      </c>
      <c r="EC172" s="5">
        <f>MAX(Table1[IVR])</f>
        <v>12.333333333333334</v>
      </c>
      <c r="ED172" s="6">
        <f>MAX(Table1[SVR])</f>
        <v>6</v>
      </c>
      <c r="EE172" s="6">
        <f>MAX(Table1[CVR])</f>
        <v>4</v>
      </c>
      <c r="EF172" s="6">
        <f>MAX(Table1[RI1])</f>
        <v>6</v>
      </c>
      <c r="EG172" s="6">
        <f>MAX(Table1[RI2])</f>
        <v>5</v>
      </c>
      <c r="EH172" s="6">
        <f>MAX(Table1[RI3])</f>
        <v>7</v>
      </c>
      <c r="EI172" s="6">
        <f>MAX(Table1[RI4])</f>
        <v>6</v>
      </c>
      <c r="EJ172" s="6">
        <f>MAX(Table1[RI5])</f>
        <v>7</v>
      </c>
      <c r="EK172" s="6">
        <f>MAX(Table1[RI6])</f>
        <v>7</v>
      </c>
      <c r="EL172" s="6">
        <f>MAX(Table1[RI7])</f>
        <v>5</v>
      </c>
      <c r="EM172" s="6">
        <f>MAX(Table1[RI8])</f>
        <v>7</v>
      </c>
      <c r="EN172" s="6">
        <f>MAX(Table1[RI9])</f>
        <v>6</v>
      </c>
      <c r="EO172" s="6">
        <f>MAX(Table1[RI10])</f>
        <v>3</v>
      </c>
      <c r="EP172" s="6">
        <f>MAX(Table1[RI11])</f>
        <v>4</v>
      </c>
      <c r="EQ172" s="6">
        <f>MAX(Table1[RI12])</f>
        <v>2</v>
      </c>
      <c r="ER172" s="6">
        <f>MAX(Table1[RI13])</f>
        <v>0</v>
      </c>
      <c r="ES172" s="6">
        <f>MAX(Table1[RT])</f>
        <v>14</v>
      </c>
      <c r="ET172" s="6">
        <f>MAX(Table1[OI1])</f>
        <v>5</v>
      </c>
      <c r="EU172" s="6">
        <f>MAX(Table1[OI2])</f>
        <v>3</v>
      </c>
      <c r="EV172" s="6">
        <f>MAX(Table1[OI3])</f>
        <v>5</v>
      </c>
      <c r="EW172" s="6">
        <f>MAX(Table1[OI4])</f>
        <v>7</v>
      </c>
      <c r="EX172" s="6">
        <f>MAX(Table1[OI5])</f>
        <v>5</v>
      </c>
      <c r="EY172" s="6">
        <f>MAX(Table1[OI6])</f>
        <v>10</v>
      </c>
      <c r="EZ172" s="6">
        <f>MAX(Table1[OI7])</f>
        <v>4</v>
      </c>
      <c r="FA172" s="6">
        <f>MAX(Table1[OI8])</f>
        <v>4</v>
      </c>
      <c r="FB172" s="6">
        <f>MAX(Table1[OI9])</f>
        <v>5</v>
      </c>
      <c r="FC172" s="6">
        <f>MAX(Table1[OI10])</f>
        <v>1</v>
      </c>
      <c r="FD172" s="6">
        <f>MAX(Table1[OI11])</f>
        <v>3</v>
      </c>
      <c r="FE172" s="6">
        <f>MAX(Table1[OI12])</f>
        <v>1</v>
      </c>
      <c r="FF172" s="6">
        <f>MAX(Table1[OI13])</f>
        <v>1</v>
      </c>
      <c r="FG172" s="6">
        <f>MAX(Table1[OT])</f>
        <v>17</v>
      </c>
      <c r="FH172" s="6">
        <f>MAX(Table1[RTAB])</f>
        <v>45</v>
      </c>
      <c r="FI172" s="6">
        <f>MAX(Table1[RTR])</f>
        <v>14</v>
      </c>
      <c r="FJ172" s="6">
        <f>MAX(Table1[RTH])</f>
        <v>15</v>
      </c>
      <c r="FK172" s="6">
        <f>MAX(Table1[RTBI])</f>
        <v>13</v>
      </c>
      <c r="FL172" s="6">
        <f>MAX(Table1[RTBB])</f>
        <v>12</v>
      </c>
      <c r="FM172" s="6">
        <f>MAX(Table1[RTSO])</f>
        <v>17</v>
      </c>
      <c r="FV172" s="6">
        <f>MAX(Table1[RD1])</f>
        <v>5</v>
      </c>
      <c r="FW172" s="6">
        <f>MAX(Table1[RD2])</f>
        <v>5</v>
      </c>
      <c r="FX172" s="6">
        <f>MAX(Table1[RD3])</f>
        <v>7</v>
      </c>
      <c r="FY172" s="6">
        <f>MAX(Table1[RD4])</f>
        <v>5</v>
      </c>
      <c r="FZ172" s="6">
        <f>MAX(Table1[RD5])</f>
        <v>7</v>
      </c>
      <c r="GA172" s="6">
        <f>MAX(Table1[RD6])</f>
        <v>7</v>
      </c>
      <c r="GB172" s="6">
        <f>MAX(Table1[RD7])</f>
        <v>5</v>
      </c>
      <c r="GC172" s="6">
        <f>MAX(Table1[RD8])</f>
        <v>7</v>
      </c>
      <c r="GD172" s="6">
        <f>MAX(Table1[RD9])</f>
        <v>5</v>
      </c>
      <c r="GI172" s="6">
        <f>MAX(Table1[RDT])</f>
        <v>12</v>
      </c>
      <c r="GJ172" s="55" t="s">
        <v>227</v>
      </c>
    </row>
    <row r="173" spans="1:195" x14ac:dyDescent="0.25">
      <c r="A173" s="81" t="s">
        <v>228</v>
      </c>
      <c r="B173" s="53"/>
      <c r="C173" s="53"/>
      <c r="D173" s="53"/>
      <c r="E173" s="4">
        <f>QUARTILE(Table1[Att],3)</f>
        <v>34295.5</v>
      </c>
      <c r="F173" s="4">
        <f>QUARTILE(Table1[Time],3)</f>
        <v>198</v>
      </c>
      <c r="G173" s="54"/>
      <c r="H173" s="80"/>
      <c r="I173" s="80"/>
      <c r="J173" s="80"/>
      <c r="K173" s="5">
        <f>QUARTILE(Table1[S-IP],3)</f>
        <v>7</v>
      </c>
      <c r="L173" s="6">
        <f>QUARTILE(Table1[S-H],3)</f>
        <v>8</v>
      </c>
      <c r="M173" s="6">
        <f>QUARTILE(Table1[S-R],3)</f>
        <v>4</v>
      </c>
      <c r="N173" s="6">
        <f>QUARTILE(Table1[S-ER],3)</f>
        <v>4</v>
      </c>
      <c r="O173" s="6">
        <f>QUARTILE(Table1[S-BB],3)</f>
        <v>3</v>
      </c>
      <c r="P173" s="6">
        <f>QUARTILE(Table1[S-SO],3)</f>
        <v>7</v>
      </c>
      <c r="Q173" s="6">
        <f>QUARTILE(Table1[S-HR],3)</f>
        <v>1</v>
      </c>
      <c r="R173" s="6">
        <f>QUARTILE(Table1[S-HBP],3)</f>
        <v>0</v>
      </c>
      <c r="S173" s="6">
        <f>QUARTILE(Table1[S-BF],3)</f>
        <v>29</v>
      </c>
      <c r="T173" s="6">
        <f>QUARTILE(Table1[S-Pit],3)</f>
        <v>108</v>
      </c>
      <c r="U173" s="6">
        <f>QUARTILE(Table1[S-Str],3)</f>
        <v>71</v>
      </c>
      <c r="V173" s="6">
        <f>QUARTILE(Table1[IRL],3)</f>
        <v>1</v>
      </c>
      <c r="W173" s="6">
        <f>QUARTILE(Table1[IRS],3)</f>
        <v>0</v>
      </c>
      <c r="X173" s="80"/>
      <c r="Y173" s="80"/>
      <c r="Z173" s="80"/>
      <c r="AA173" s="80"/>
      <c r="AB173" s="80"/>
      <c r="AC173" s="5">
        <f>QUARTILE(Table1[B-IP],3)</f>
        <v>3.3333333333333335</v>
      </c>
      <c r="AD173" s="6">
        <f>QUARTILE(Table1[B-H],3)</f>
        <v>3.5</v>
      </c>
      <c r="AE173" s="6">
        <f>QUARTILE(Table1[B-R],3)</f>
        <v>1.5</v>
      </c>
      <c r="AF173" s="6">
        <f>QUARTILE(Table1[B-ER],3)</f>
        <v>1</v>
      </c>
      <c r="AG173" s="6">
        <f>QUARTILE(Table1[B-BB],3)</f>
        <v>1</v>
      </c>
      <c r="AH173" s="6">
        <f>QUARTILE(Table1[B-SO],3)</f>
        <v>3</v>
      </c>
      <c r="AI173" s="6">
        <f>QUARTILE(Table1[B-HR],3)</f>
        <v>1</v>
      </c>
      <c r="AJ173" s="6">
        <f>QUARTILE(Table1[B-HBP],3)</f>
        <v>0</v>
      </c>
      <c r="AK173" s="6">
        <f>QUARTILE(Table1[B-BF],3)</f>
        <v>14</v>
      </c>
      <c r="AL173" s="6">
        <f>QUARTILE(Table1[B-Pit],3)</f>
        <v>58.5</v>
      </c>
      <c r="AM173" s="6">
        <f>QUARTILE(Table1[B-Str],3)</f>
        <v>36</v>
      </c>
      <c r="AN173" s="80"/>
      <c r="AO173" s="6">
        <f>QUARTILE(Table1[AB1],3)</f>
        <v>5</v>
      </c>
      <c r="AP173" s="6">
        <f>QUARTILE(Table1[R1],3)</f>
        <v>1</v>
      </c>
      <c r="AQ173" s="6">
        <f>QUARTILE(Table1[H1],3)</f>
        <v>2</v>
      </c>
      <c r="AR173" s="6">
        <f>QUARTILE(Table1[RBI1],3)</f>
        <v>0.5</v>
      </c>
      <c r="AS173" s="6">
        <f>QUARTILE(Table1[BB1],3)</f>
        <v>1</v>
      </c>
      <c r="AT173" s="6">
        <f>QUARTILE(Table1[SO1],3)</f>
        <v>1</v>
      </c>
      <c r="AU173" s="6">
        <f>QUARTILE(Table1[HBP1],3)</f>
        <v>0</v>
      </c>
      <c r="AV173" s="6">
        <f>QUARTILE(Table1[SF1],3)</f>
        <v>0</v>
      </c>
      <c r="AW173" s="6">
        <f>QUARTILE(Table1[TB1],3)</f>
        <v>2</v>
      </c>
      <c r="AX173" s="80"/>
      <c r="AY173" s="6">
        <f>QUARTILE(Table1[AB2],3)</f>
        <v>5</v>
      </c>
      <c r="AZ173" s="6">
        <f>QUARTILE(Table1[R2],3)</f>
        <v>1</v>
      </c>
      <c r="BA173" s="6">
        <f>QUARTILE(Table1[H2],3)</f>
        <v>2</v>
      </c>
      <c r="BB173" s="6">
        <f>QUARTILE(Table1[RBI2],3)</f>
        <v>1</v>
      </c>
      <c r="BC173" s="6">
        <f>QUARTILE(Table1[BB2],3)</f>
        <v>1</v>
      </c>
      <c r="BD173" s="6">
        <f>QUARTILE(Table1[SO2],3)</f>
        <v>1</v>
      </c>
      <c r="BE173" s="6">
        <f>QUARTILE(Table1[HBP2],3)</f>
        <v>0</v>
      </c>
      <c r="BF173" s="6">
        <f>QUARTILE(Table1[SF2],3)</f>
        <v>0</v>
      </c>
      <c r="BG173" s="6">
        <f>QUARTILE(Table1[TB2],3)</f>
        <v>2</v>
      </c>
      <c r="BH173" s="80"/>
      <c r="BI173" s="6">
        <f>QUARTILE(Table1[AB3],3)</f>
        <v>5</v>
      </c>
      <c r="BJ173" s="6">
        <f>QUARTILE(Table1[R3],3)</f>
        <v>1</v>
      </c>
      <c r="BK173" s="6">
        <f>QUARTILE(Table1[H3],3)</f>
        <v>2</v>
      </c>
      <c r="BL173" s="6">
        <f>QUARTILE(Table1[RBI3],3)</f>
        <v>1</v>
      </c>
      <c r="BM173" s="6">
        <f>QUARTILE(Table1[BB3],3)</f>
        <v>1</v>
      </c>
      <c r="BN173" s="6">
        <f>QUARTILE(Table1[SO3],3)</f>
        <v>1</v>
      </c>
      <c r="BO173" s="6">
        <f>QUARTILE(Table1[HBP3],3)</f>
        <v>0</v>
      </c>
      <c r="BP173" s="6">
        <f>QUARTILE(Table1[SF3],3)</f>
        <v>0</v>
      </c>
      <c r="BQ173" s="6">
        <f>QUARTILE(Table1[TB3],3)</f>
        <v>3</v>
      </c>
      <c r="BR173" s="80"/>
      <c r="BS173" s="6">
        <f>QUARTILE(Table1[AB4],3)</f>
        <v>4</v>
      </c>
      <c r="BT173" s="6">
        <f>QUARTILE(Table1[R4],3)</f>
        <v>1</v>
      </c>
      <c r="BU173" s="6">
        <f>QUARTILE(Table1[H4],3)</f>
        <v>1</v>
      </c>
      <c r="BV173" s="6">
        <f>QUARTILE(Table1[RBI4],3)</f>
        <v>1</v>
      </c>
      <c r="BW173" s="6">
        <f>QUARTILE(Table1[BB4],3)</f>
        <v>1</v>
      </c>
      <c r="BX173" s="6">
        <f>QUARTILE(Table1[SO4],3)</f>
        <v>2</v>
      </c>
      <c r="BY173" s="6">
        <f>QUARTILE(Table1[HBP4],3)</f>
        <v>0</v>
      </c>
      <c r="BZ173" s="6">
        <f>QUARTILE(Table1[SF4],3)</f>
        <v>0</v>
      </c>
      <c r="CA173" s="6">
        <f>QUARTILE(Table1[TB4],3)</f>
        <v>2</v>
      </c>
      <c r="CB173" s="80"/>
      <c r="CC173" s="6">
        <f>QUARTILE(Table1[AB5],3)</f>
        <v>4</v>
      </c>
      <c r="CD173" s="6">
        <f>QUARTILE(Table1[R5],3)</f>
        <v>1</v>
      </c>
      <c r="CE173" s="6">
        <f>QUARTILE(Table1[H5],3)</f>
        <v>1</v>
      </c>
      <c r="CF173" s="6">
        <f>QUARTILE(Table1[RBI5],3)</f>
        <v>1</v>
      </c>
      <c r="CG173" s="6">
        <f>QUARTILE(Table1[BB5],3)</f>
        <v>1</v>
      </c>
      <c r="CH173" s="6">
        <f>QUARTILE(Table1[SO5],3)</f>
        <v>1</v>
      </c>
      <c r="CI173" s="6">
        <f>QUARTILE(Table1[HBP5],3)</f>
        <v>0</v>
      </c>
      <c r="CJ173" s="6">
        <f>QUARTILE(Table1[SF5],3)</f>
        <v>0</v>
      </c>
      <c r="CK173" s="6">
        <f>QUARTILE(Table1[TB5],3)</f>
        <v>2</v>
      </c>
      <c r="CL173" s="80"/>
      <c r="CM173" s="6">
        <f>QUARTILE(Table1[AB6],3)</f>
        <v>4</v>
      </c>
      <c r="CN173" s="6">
        <f>QUARTILE(Table1[R6],3)</f>
        <v>1</v>
      </c>
      <c r="CO173" s="6">
        <f>QUARTILE(Table1[H6],3)</f>
        <v>1</v>
      </c>
      <c r="CP173" s="6">
        <f>QUARTILE(Table1[RBI6],3)</f>
        <v>1</v>
      </c>
      <c r="CQ173" s="6">
        <f>QUARTILE(Table1[BB6],3)</f>
        <v>1</v>
      </c>
      <c r="CR173" s="6">
        <f>QUARTILE(Table1[SO6],3)</f>
        <v>2</v>
      </c>
      <c r="CS173" s="6">
        <f>QUARTILE(Table1[HBP6],3)</f>
        <v>0</v>
      </c>
      <c r="CT173" s="6">
        <f>QUARTILE(Table1[SF6],3)</f>
        <v>0</v>
      </c>
      <c r="CU173" s="6">
        <f>QUARTILE(Table1[TB6],3)</f>
        <v>2</v>
      </c>
      <c r="CV173" s="80"/>
      <c r="CW173" s="6">
        <f>QUARTILE(Table1[AB7],3)</f>
        <v>4</v>
      </c>
      <c r="CX173" s="6">
        <f>QUARTILE(Table1[R7],3)</f>
        <v>1</v>
      </c>
      <c r="CY173" s="6">
        <f>QUARTILE(Table1[H7],3)</f>
        <v>1</v>
      </c>
      <c r="CZ173" s="6">
        <f>QUARTILE(Table1[RBI7],3)</f>
        <v>1</v>
      </c>
      <c r="DA173" s="6">
        <f>QUARTILE(Table1[BB7],3)</f>
        <v>1</v>
      </c>
      <c r="DB173" s="6">
        <f>QUARTILE(Table1[SO7],3)</f>
        <v>2</v>
      </c>
      <c r="DC173" s="6">
        <f>QUARTILE(Table1[HBP7],3)</f>
        <v>0</v>
      </c>
      <c r="DD173" s="6">
        <f>QUARTILE(Table1[SF7],3)</f>
        <v>0</v>
      </c>
      <c r="DE173" s="6">
        <f>QUARTILE(Table1[TB7],3)</f>
        <v>2</v>
      </c>
      <c r="DF173" s="80"/>
      <c r="DG173" s="6">
        <f>QUARTILE(Table1[AB8],3)</f>
        <v>4</v>
      </c>
      <c r="DH173" s="6">
        <f>QUARTILE(Table1[R8],3)</f>
        <v>1</v>
      </c>
      <c r="DI173" s="6">
        <f>QUARTILE(Table1[H8],3)</f>
        <v>1</v>
      </c>
      <c r="DJ173" s="6">
        <f>QUARTILE(Table1[RBI8],3)</f>
        <v>1</v>
      </c>
      <c r="DK173" s="6">
        <f>QUARTILE(Table1[BB8],3)</f>
        <v>1</v>
      </c>
      <c r="DL173" s="6">
        <f>QUARTILE(Table1[SO8],3)</f>
        <v>1</v>
      </c>
      <c r="DM173" s="6">
        <f>QUARTILE(Table1[HBP8],3)</f>
        <v>0</v>
      </c>
      <c r="DN173" s="6">
        <f>QUARTILE(Table1[SF8],3)</f>
        <v>0</v>
      </c>
      <c r="DO173" s="6">
        <f>QUARTILE(Table1[TB8],3)</f>
        <v>2</v>
      </c>
      <c r="DP173" s="80"/>
      <c r="DQ173" s="6">
        <f>QUARTILE(Table1[AB9],3)</f>
        <v>4</v>
      </c>
      <c r="DR173" s="6">
        <f>QUARTILE(Table1[R9],3)</f>
        <v>1</v>
      </c>
      <c r="DS173" s="6">
        <f>QUARTILE(Table1[H9],3)</f>
        <v>1</v>
      </c>
      <c r="DT173" s="6">
        <f>QUARTILE(Table1[RBI9],3)</f>
        <v>1</v>
      </c>
      <c r="DU173" s="6">
        <f>QUARTILE(Table1[BB9],3)</f>
        <v>1</v>
      </c>
      <c r="DV173" s="6">
        <f>QUARTILE(Table1[SO9],3)</f>
        <v>2</v>
      </c>
      <c r="DW173" s="6">
        <f>QUARTILE(Table1[HBP9],3)</f>
        <v>0</v>
      </c>
      <c r="DX173" s="6">
        <f>QUARTILE(Table1[SF9],3)</f>
        <v>0</v>
      </c>
      <c r="DY173" s="6">
        <f>QUARTILE(Table1[TB9],3)</f>
        <v>2</v>
      </c>
      <c r="DZ173" s="5">
        <f>QUARTILE(Table1[IVL],3)</f>
        <v>6</v>
      </c>
      <c r="EA173" s="6">
        <f>QUARTILE(Table1[SVL],3)</f>
        <v>0</v>
      </c>
      <c r="EB173" s="6">
        <f>QUARTILE(Table1[CVL],3)</f>
        <v>0</v>
      </c>
      <c r="EC173" s="5">
        <f>QUARTILE(Table1[IVR],3)</f>
        <v>8.6666666666666661</v>
      </c>
      <c r="ED173" s="6">
        <f>QUARTILE(Table1[SVR],3)</f>
        <v>1</v>
      </c>
      <c r="EE173" s="6">
        <f>QUARTILE(Table1[CVR],3)</f>
        <v>0</v>
      </c>
      <c r="EF173" s="6">
        <f>QUARTILE(Table1[RI1],3)</f>
        <v>1</v>
      </c>
      <c r="EG173" s="6">
        <f>QUARTILE(Table1[RI2],3)</f>
        <v>0</v>
      </c>
      <c r="EH173" s="6">
        <f>QUARTILE(Table1[RI3],3)</f>
        <v>1</v>
      </c>
      <c r="EI173" s="6">
        <f>QUARTILE(Table1[RI4],3)</f>
        <v>1</v>
      </c>
      <c r="EJ173" s="6">
        <f>QUARTILE(Table1[RI5],3)</f>
        <v>1</v>
      </c>
      <c r="EK173" s="6">
        <f>QUARTILE(Table1[RI6],3)</f>
        <v>1</v>
      </c>
      <c r="EL173" s="6">
        <f>QUARTILE(Table1[RI7],3)</f>
        <v>1</v>
      </c>
      <c r="EM173" s="6">
        <f>QUARTILE(Table1[RI8],3)</f>
        <v>1</v>
      </c>
      <c r="EN173" s="6">
        <f>QUARTILE(Table1[RI9],3)</f>
        <v>1</v>
      </c>
      <c r="EO173" s="6">
        <f>QUARTILE(Table1[RI10],3)</f>
        <v>1</v>
      </c>
      <c r="EP173" s="6">
        <f>QUARTILE(Table1[RI11],3)</f>
        <v>1</v>
      </c>
      <c r="EQ173" s="6">
        <f>QUARTILE(Table1[RI12],3)</f>
        <v>1.25</v>
      </c>
      <c r="ER173" s="6">
        <f>QUARTILE(Table1[RI13],3)</f>
        <v>0</v>
      </c>
      <c r="ES173" s="6">
        <f>QUARTILE(Table1[RT],3)</f>
        <v>7</v>
      </c>
      <c r="ET173" s="6">
        <f>QUARTILE(Table1[OI1],3)</f>
        <v>1</v>
      </c>
      <c r="EU173" s="6">
        <f>QUARTILE(Table1[OI2],3)</f>
        <v>0</v>
      </c>
      <c r="EV173" s="6">
        <f>QUARTILE(Table1[OI3],3)</f>
        <v>1</v>
      </c>
      <c r="EW173" s="6">
        <f>QUARTILE(Table1[OI4],3)</f>
        <v>1</v>
      </c>
      <c r="EX173" s="6">
        <f>QUARTILE(Table1[OI5],3)</f>
        <v>1</v>
      </c>
      <c r="EY173" s="6">
        <f>QUARTILE(Table1[OI6],3)</f>
        <v>1</v>
      </c>
      <c r="EZ173" s="6">
        <f>QUARTILE(Table1[OI7],3)</f>
        <v>0.75</v>
      </c>
      <c r="FA173" s="6">
        <f>QUARTILE(Table1[OI8],3)</f>
        <v>0</v>
      </c>
      <c r="FB173" s="6">
        <f>QUARTILE(Table1[OI9],3)</f>
        <v>0</v>
      </c>
      <c r="FC173" s="6">
        <f>QUARTILE(Table1[OI10],3)</f>
        <v>0</v>
      </c>
      <c r="FD173" s="6">
        <f>QUARTILE(Table1[OI11],3)</f>
        <v>1</v>
      </c>
      <c r="FE173" s="6">
        <f>QUARTILE(Table1[OI12],3)</f>
        <v>0.25</v>
      </c>
      <c r="FF173" s="6">
        <f>QUARTILE(Table1[OI13],3)</f>
        <v>1</v>
      </c>
      <c r="FG173" s="6">
        <f>QUARTILE(Table1[OT],3)</f>
        <v>5</v>
      </c>
      <c r="FH173" s="6">
        <f>QUARTILE(Table1[RTAB],3)</f>
        <v>36.5</v>
      </c>
      <c r="FI173" s="6">
        <f>QUARTILE(Table1[RTR],3)</f>
        <v>7</v>
      </c>
      <c r="FJ173" s="6">
        <f>QUARTILE(Table1[RTH],3)</f>
        <v>11</v>
      </c>
      <c r="FK173" s="6">
        <f>QUARTILE(Table1[RTBI],3)</f>
        <v>7</v>
      </c>
      <c r="FL173" s="6">
        <f>QUARTILE(Table1[RTBB],3)</f>
        <v>6</v>
      </c>
      <c r="FM173" s="6">
        <f>QUARTILE(Table1[RTSO],3)</f>
        <v>10</v>
      </c>
      <c r="FV173" s="6">
        <f>QUARTILE(Table1[RD1],3)</f>
        <v>0</v>
      </c>
      <c r="FW173" s="6">
        <f>QUARTILE(Table1[RD2],3)</f>
        <v>0</v>
      </c>
      <c r="FX173" s="6">
        <f>QUARTILE(Table1[RD3],3)</f>
        <v>1</v>
      </c>
      <c r="FY173" s="6">
        <f>QUARTILE(Table1[RD4],3)</f>
        <v>0</v>
      </c>
      <c r="FZ173" s="6">
        <f>QUARTILE(Table1[RD5],3)</f>
        <v>1</v>
      </c>
      <c r="GA173" s="6">
        <f>QUARTILE(Table1[RD6],3)</f>
        <v>0</v>
      </c>
      <c r="GB173" s="6">
        <f>QUARTILE(Table1[RD7],3)</f>
        <v>0</v>
      </c>
      <c r="GC173" s="6">
        <f>QUARTILE(Table1[RD8],3)</f>
        <v>1</v>
      </c>
      <c r="GD173" s="6">
        <f>QUARTILE(Table1[RD9],3)</f>
        <v>0</v>
      </c>
      <c r="GI173" s="6">
        <f>QUARTILE(Table1[RDT],3)</f>
        <v>3</v>
      </c>
      <c r="GJ173" s="55" t="s">
        <v>228</v>
      </c>
    </row>
    <row r="174" spans="1:195" x14ac:dyDescent="0.25">
      <c r="A174" s="81" t="s">
        <v>229</v>
      </c>
      <c r="B174" s="53"/>
      <c r="C174" s="53"/>
      <c r="D174" s="53"/>
      <c r="E174" s="4">
        <f>MEDIAN(Table1[Att])</f>
        <v>23627</v>
      </c>
      <c r="F174" s="4">
        <f>MEDIAN(Table1[Time])</f>
        <v>177.5</v>
      </c>
      <c r="G174" s="54"/>
      <c r="H174" s="80"/>
      <c r="I174" s="80"/>
      <c r="J174" s="80"/>
      <c r="K174" s="5">
        <f>MEDIAN(Table1[S-IP])</f>
        <v>6</v>
      </c>
      <c r="L174" s="6">
        <f>MEDIAN(Table1[S-H])</f>
        <v>6</v>
      </c>
      <c r="M174" s="6">
        <f>MEDIAN(Table1[S-R])</f>
        <v>3</v>
      </c>
      <c r="N174" s="6">
        <f>MEDIAN(Table1[S-ER])</f>
        <v>3</v>
      </c>
      <c r="O174" s="6">
        <f>MEDIAN(Table1[S-BB])</f>
        <v>2</v>
      </c>
      <c r="P174" s="6">
        <f>MEDIAN(Table1[S-SO])</f>
        <v>5</v>
      </c>
      <c r="Q174" s="6">
        <f>MEDIAN(Table1[S-HR])</f>
        <v>1</v>
      </c>
      <c r="R174" s="6">
        <f>MEDIAN(Table1[S-HBP])</f>
        <v>0</v>
      </c>
      <c r="S174" s="6">
        <f>MEDIAN(Table1[S-BF])</f>
        <v>27</v>
      </c>
      <c r="T174" s="6">
        <f>MEDIAN(Table1[S-Pit])</f>
        <v>103</v>
      </c>
      <c r="U174" s="6">
        <f>MEDIAN(Table1[S-Str])</f>
        <v>64</v>
      </c>
      <c r="V174" s="6">
        <f>MEDIAN(Table1[IRL])</f>
        <v>0</v>
      </c>
      <c r="W174" s="6">
        <f>MEDIAN(Table1[IRS])</f>
        <v>0</v>
      </c>
      <c r="X174" s="80"/>
      <c r="Y174" s="80"/>
      <c r="Z174" s="80"/>
      <c r="AA174" s="80"/>
      <c r="AB174" s="80"/>
      <c r="AC174" s="5">
        <f>MEDIAN(Table1[B-IP])</f>
        <v>3</v>
      </c>
      <c r="AD174" s="6">
        <f>MEDIAN(Table1[B-H])</f>
        <v>2</v>
      </c>
      <c r="AE174" s="6">
        <f>MEDIAN(Table1[B-R])</f>
        <v>1</v>
      </c>
      <c r="AF174" s="6">
        <f>MEDIAN(Table1[B-ER])</f>
        <v>0</v>
      </c>
      <c r="AG174" s="6">
        <f>MEDIAN(Table1[B-BB])</f>
        <v>1</v>
      </c>
      <c r="AH174" s="6">
        <f>MEDIAN(Table1[B-SO])</f>
        <v>2</v>
      </c>
      <c r="AI174" s="6">
        <f>MEDIAN(Table1[B-HR])</f>
        <v>0</v>
      </c>
      <c r="AJ174" s="6">
        <f>MEDIAN(Table1[B-HBP])</f>
        <v>0</v>
      </c>
      <c r="AK174" s="6">
        <f>MEDIAN(Table1[B-BF])</f>
        <v>11</v>
      </c>
      <c r="AL174" s="6">
        <f>MEDIAN(Table1[B-Pit])</f>
        <v>40</v>
      </c>
      <c r="AM174" s="6">
        <f>MEDIAN(Table1[B-Str])</f>
        <v>26</v>
      </c>
      <c r="AN174" s="80"/>
      <c r="AO174" s="6">
        <f>MEDIAN(Table1[AB1])</f>
        <v>4</v>
      </c>
      <c r="AP174" s="6">
        <f>MEDIAN(Table1[R1])</f>
        <v>0</v>
      </c>
      <c r="AQ174" s="6">
        <f>MEDIAN(Table1[H1])</f>
        <v>1</v>
      </c>
      <c r="AR174" s="6">
        <f>MEDIAN(Table1[RBI1])</f>
        <v>0</v>
      </c>
      <c r="AS174" s="6">
        <f>MEDIAN(Table1[BB1])</f>
        <v>0</v>
      </c>
      <c r="AT174" s="6">
        <f>MEDIAN(Table1[SO1])</f>
        <v>1</v>
      </c>
      <c r="AU174" s="6">
        <f>MEDIAN(Table1[HBP1])</f>
        <v>0</v>
      </c>
      <c r="AV174" s="6">
        <f>MEDIAN(Table1[SF1])</f>
        <v>0</v>
      </c>
      <c r="AW174" s="6">
        <f>MEDIAN(Table1[TB1])</f>
        <v>1</v>
      </c>
      <c r="AX174" s="80"/>
      <c r="AY174" s="6">
        <f>MEDIAN(Table1[AB2])</f>
        <v>4</v>
      </c>
      <c r="AZ174" s="6">
        <f>MEDIAN(Table1[R2])</f>
        <v>1</v>
      </c>
      <c r="BA174" s="6">
        <f>MEDIAN(Table1[H2])</f>
        <v>1</v>
      </c>
      <c r="BB174" s="6">
        <f>MEDIAN(Table1[RBI2])</f>
        <v>0</v>
      </c>
      <c r="BC174" s="6">
        <f>MEDIAN(Table1[BB2])</f>
        <v>0</v>
      </c>
      <c r="BD174" s="6">
        <f>MEDIAN(Table1[SO2])</f>
        <v>1</v>
      </c>
      <c r="BE174" s="6">
        <f>MEDIAN(Table1[HBP2])</f>
        <v>0</v>
      </c>
      <c r="BF174" s="6">
        <f>MEDIAN(Table1[SF2])</f>
        <v>0</v>
      </c>
      <c r="BG174" s="6">
        <f>MEDIAN(Table1[TB2])</f>
        <v>1</v>
      </c>
      <c r="BH174" s="80"/>
      <c r="BI174" s="6">
        <f>MEDIAN(Table1[AB3])</f>
        <v>4</v>
      </c>
      <c r="BJ174" s="6">
        <f>MEDIAN(Table1[R3])</f>
        <v>0</v>
      </c>
      <c r="BK174" s="6">
        <f>MEDIAN(Table1[H3])</f>
        <v>1</v>
      </c>
      <c r="BL174" s="6">
        <f>MEDIAN(Table1[RBI3])</f>
        <v>0</v>
      </c>
      <c r="BM174" s="6">
        <f>MEDIAN(Table1[BB3])</f>
        <v>0</v>
      </c>
      <c r="BN174" s="6">
        <f>MEDIAN(Table1[SO3])</f>
        <v>1</v>
      </c>
      <c r="BO174" s="6">
        <f>MEDIAN(Table1[HBP3])</f>
        <v>0</v>
      </c>
      <c r="BP174" s="6">
        <f>MEDIAN(Table1[SF3])</f>
        <v>0</v>
      </c>
      <c r="BQ174" s="6">
        <f>MEDIAN(Table1[TB3])</f>
        <v>1</v>
      </c>
      <c r="BR174" s="80"/>
      <c r="BS174" s="6">
        <f>MEDIAN(Table1[AB4])</f>
        <v>4</v>
      </c>
      <c r="BT174" s="6">
        <f>MEDIAN(Table1[R4])</f>
        <v>0</v>
      </c>
      <c r="BU174" s="6">
        <f>MEDIAN(Table1[H4])</f>
        <v>1</v>
      </c>
      <c r="BV174" s="6">
        <f>MEDIAN(Table1[RBI4])</f>
        <v>0</v>
      </c>
      <c r="BW174" s="6">
        <f>MEDIAN(Table1[BB4])</f>
        <v>0</v>
      </c>
      <c r="BX174" s="6">
        <f>MEDIAN(Table1[SO4])</f>
        <v>1</v>
      </c>
      <c r="BY174" s="6">
        <f>MEDIAN(Table1[HBP4])</f>
        <v>0</v>
      </c>
      <c r="BZ174" s="6">
        <f>MEDIAN(Table1[SF4])</f>
        <v>0</v>
      </c>
      <c r="CA174" s="6">
        <f>MEDIAN(Table1[TB4])</f>
        <v>1</v>
      </c>
      <c r="CB174" s="80"/>
      <c r="CC174" s="6">
        <f>MEDIAN(Table1[AB5])</f>
        <v>4</v>
      </c>
      <c r="CD174" s="6">
        <f>MEDIAN(Table1[R5])</f>
        <v>0</v>
      </c>
      <c r="CE174" s="6">
        <f>MEDIAN(Table1[H5])</f>
        <v>1</v>
      </c>
      <c r="CF174" s="6">
        <f>MEDIAN(Table1[RBI5])</f>
        <v>0</v>
      </c>
      <c r="CG174" s="6">
        <f>MEDIAN(Table1[BB5])</f>
        <v>0</v>
      </c>
      <c r="CH174" s="6">
        <f>MEDIAN(Table1[SO5])</f>
        <v>1</v>
      </c>
      <c r="CI174" s="6">
        <f>MEDIAN(Table1[HBP5])</f>
        <v>0</v>
      </c>
      <c r="CJ174" s="6">
        <f>MEDIAN(Table1[SF5])</f>
        <v>0</v>
      </c>
      <c r="CK174" s="6">
        <f>MEDIAN(Table1[TB5])</f>
        <v>1</v>
      </c>
      <c r="CL174" s="80"/>
      <c r="CM174" s="6">
        <f>MEDIAN(Table1[AB6])</f>
        <v>4</v>
      </c>
      <c r="CN174" s="6">
        <f>MEDIAN(Table1[R6])</f>
        <v>0</v>
      </c>
      <c r="CO174" s="6">
        <f>MEDIAN(Table1[H6])</f>
        <v>1</v>
      </c>
      <c r="CP174" s="6">
        <f>MEDIAN(Table1[RBI6])</f>
        <v>0</v>
      </c>
      <c r="CQ174" s="6">
        <f>MEDIAN(Table1[BB6])</f>
        <v>0</v>
      </c>
      <c r="CR174" s="6">
        <f>MEDIAN(Table1[SO6])</f>
        <v>1</v>
      </c>
      <c r="CS174" s="6">
        <f>MEDIAN(Table1[HBP6])</f>
        <v>0</v>
      </c>
      <c r="CT174" s="6">
        <f>MEDIAN(Table1[SF6])</f>
        <v>0</v>
      </c>
      <c r="CU174" s="6">
        <f>MEDIAN(Table1[TB6])</f>
        <v>1</v>
      </c>
      <c r="CV174" s="80"/>
      <c r="CW174" s="6">
        <f>MEDIAN(Table1[AB7])</f>
        <v>4</v>
      </c>
      <c r="CX174" s="6">
        <f>MEDIAN(Table1[R7])</f>
        <v>0</v>
      </c>
      <c r="CY174" s="6">
        <f>MEDIAN(Table1[H7])</f>
        <v>1</v>
      </c>
      <c r="CZ174" s="6">
        <f>MEDIAN(Table1[RBI7])</f>
        <v>0</v>
      </c>
      <c r="DA174" s="6">
        <f>MEDIAN(Table1[BB7])</f>
        <v>0</v>
      </c>
      <c r="DB174" s="6">
        <f>MEDIAN(Table1[SO7])</f>
        <v>1</v>
      </c>
      <c r="DC174" s="6">
        <f>MEDIAN(Table1[HBP7])</f>
        <v>0</v>
      </c>
      <c r="DD174" s="6">
        <f>MEDIAN(Table1[SF7])</f>
        <v>0</v>
      </c>
      <c r="DE174" s="6">
        <f>MEDIAN(Table1[TB7])</f>
        <v>1</v>
      </c>
      <c r="DF174" s="80"/>
      <c r="DG174" s="6">
        <f>MEDIAN(Table1[AB8])</f>
        <v>3</v>
      </c>
      <c r="DH174" s="6">
        <f>MEDIAN(Table1[R8])</f>
        <v>0</v>
      </c>
      <c r="DI174" s="6">
        <f>MEDIAN(Table1[H8])</f>
        <v>1</v>
      </c>
      <c r="DJ174" s="6">
        <f>MEDIAN(Table1[RBI8])</f>
        <v>0</v>
      </c>
      <c r="DK174" s="6">
        <f>MEDIAN(Table1[BB8])</f>
        <v>0</v>
      </c>
      <c r="DL174" s="6">
        <f>MEDIAN(Table1[SO8])</f>
        <v>1</v>
      </c>
      <c r="DM174" s="6">
        <f>MEDIAN(Table1[HBP8])</f>
        <v>0</v>
      </c>
      <c r="DN174" s="6">
        <f>MEDIAN(Table1[SF8])</f>
        <v>0</v>
      </c>
      <c r="DO174" s="6">
        <f>MEDIAN(Table1[TB8])</f>
        <v>1</v>
      </c>
      <c r="DP174" s="80"/>
      <c r="DQ174" s="6">
        <f>MEDIAN(Table1[AB9])</f>
        <v>3</v>
      </c>
      <c r="DR174" s="6">
        <f>MEDIAN(Table1[R9])</f>
        <v>0</v>
      </c>
      <c r="DS174" s="6">
        <f>MEDIAN(Table1[H9])</f>
        <v>1</v>
      </c>
      <c r="DT174" s="6">
        <f>MEDIAN(Table1[RBI9])</f>
        <v>0</v>
      </c>
      <c r="DU174" s="6">
        <f>MEDIAN(Table1[BB9])</f>
        <v>0</v>
      </c>
      <c r="DV174" s="6">
        <f>MEDIAN(Table1[SO9])</f>
        <v>1</v>
      </c>
      <c r="DW174" s="6">
        <f>MEDIAN(Table1[HBP9])</f>
        <v>0</v>
      </c>
      <c r="DX174" s="6">
        <f>MEDIAN(Table1[SF9])</f>
        <v>0</v>
      </c>
      <c r="DY174" s="6">
        <f>MEDIAN(Table1[TB9])</f>
        <v>1</v>
      </c>
      <c r="DZ174" s="5">
        <f>MEDIAN(Table1[IVL])</f>
        <v>1.3333333333333333</v>
      </c>
      <c r="EA174" s="6">
        <f>MEDIAN(Table1[SVL])</f>
        <v>0</v>
      </c>
      <c r="EB174" s="6">
        <f>MEDIAN(Table1[CVL])</f>
        <v>0</v>
      </c>
      <c r="EC174" s="5">
        <f>MEDIAN(Table1[IVR])</f>
        <v>7.333333333333333</v>
      </c>
      <c r="ED174" s="6">
        <f>MEDIAN(Table1[SVR])</f>
        <v>0</v>
      </c>
      <c r="EE174" s="6">
        <f>MEDIAN(Table1[CVR])</f>
        <v>0</v>
      </c>
      <c r="EF174" s="6">
        <f>MEDIAN(Table1[RI1])</f>
        <v>0</v>
      </c>
      <c r="EG174" s="6">
        <f>MEDIAN(Table1[RI2])</f>
        <v>0</v>
      </c>
      <c r="EH174" s="6">
        <f>MEDIAN(Table1[RI3])</f>
        <v>0</v>
      </c>
      <c r="EI174" s="6">
        <f>MEDIAN(Table1[RI4])</f>
        <v>0</v>
      </c>
      <c r="EJ174" s="6">
        <f>MEDIAN(Table1[RI5])</f>
        <v>0</v>
      </c>
      <c r="EK174" s="6">
        <f>MEDIAN(Table1[RI6])</f>
        <v>0</v>
      </c>
      <c r="EL174" s="6">
        <f>MEDIAN(Table1[RI7])</f>
        <v>0</v>
      </c>
      <c r="EM174" s="6">
        <f>MEDIAN(Table1[RI8])</f>
        <v>0</v>
      </c>
      <c r="EN174" s="6">
        <f>MEDIAN(Table1[RI9])</f>
        <v>0</v>
      </c>
      <c r="EO174" s="6">
        <f>MEDIAN(Table1[RI10])</f>
        <v>0</v>
      </c>
      <c r="EP174" s="6">
        <f>MEDIAN(Table1[RI11])</f>
        <v>0</v>
      </c>
      <c r="EQ174" s="6">
        <f>MEDIAN(Table1[RI12])</f>
        <v>1</v>
      </c>
      <c r="ER174" s="6">
        <f>MEDIAN(Table1[RI13])</f>
        <v>0</v>
      </c>
      <c r="ES174" s="6">
        <f>MEDIAN(Table1[RT])</f>
        <v>5</v>
      </c>
      <c r="ET174" s="6">
        <f>MEDIAN(Table1[OI1])</f>
        <v>0</v>
      </c>
      <c r="EU174" s="6">
        <f>MEDIAN(Table1[OI2])</f>
        <v>0</v>
      </c>
      <c r="EV174" s="6">
        <f>MEDIAN(Table1[OI3])</f>
        <v>0</v>
      </c>
      <c r="EW174" s="6">
        <f>MEDIAN(Table1[OI4])</f>
        <v>0</v>
      </c>
      <c r="EX174" s="6">
        <f>MEDIAN(Table1[OI5])</f>
        <v>0</v>
      </c>
      <c r="EY174" s="6">
        <f>MEDIAN(Table1[OI6])</f>
        <v>0</v>
      </c>
      <c r="EZ174" s="6">
        <f>MEDIAN(Table1[OI7])</f>
        <v>0</v>
      </c>
      <c r="FA174" s="6">
        <f>MEDIAN(Table1[OI8])</f>
        <v>0</v>
      </c>
      <c r="FB174" s="6">
        <f>MEDIAN(Table1[OI9])</f>
        <v>0</v>
      </c>
      <c r="FC174" s="6">
        <f>MEDIAN(Table1[OI10])</f>
        <v>0</v>
      </c>
      <c r="FD174" s="6">
        <f>MEDIAN(Table1[OI11])</f>
        <v>0</v>
      </c>
      <c r="FE174" s="6">
        <f>MEDIAN(Table1[OI12])</f>
        <v>0</v>
      </c>
      <c r="FF174" s="6">
        <f>MEDIAN(Table1[OI13])</f>
        <v>1</v>
      </c>
      <c r="FG174" s="6">
        <f>MEDIAN(Table1[OT])</f>
        <v>3</v>
      </c>
      <c r="FH174" s="6">
        <f>MEDIAN(Table1[RTAB])</f>
        <v>34</v>
      </c>
      <c r="FI174" s="6">
        <f>MEDIAN(Table1[RTR])</f>
        <v>5</v>
      </c>
      <c r="FJ174" s="6">
        <f>MEDIAN(Table1[RTH])</f>
        <v>8</v>
      </c>
      <c r="FK174" s="6">
        <f>MEDIAN(Table1[RTBI])</f>
        <v>4</v>
      </c>
      <c r="FL174" s="6">
        <f>MEDIAN(Table1[RTBB])</f>
        <v>4</v>
      </c>
      <c r="FM174" s="6">
        <f>MEDIAN(Table1[RTSO])</f>
        <v>8</v>
      </c>
      <c r="FV174" s="6">
        <f>MEDIAN(Table1[RD1])</f>
        <v>0</v>
      </c>
      <c r="FW174" s="6">
        <f>MEDIAN(Table1[RD2])</f>
        <v>0</v>
      </c>
      <c r="FX174" s="6">
        <f>MEDIAN(Table1[RD3])</f>
        <v>0</v>
      </c>
      <c r="FY174" s="6">
        <f>MEDIAN(Table1[RD4])</f>
        <v>0</v>
      </c>
      <c r="FZ174" s="6">
        <f>MEDIAN(Table1[RD5])</f>
        <v>0</v>
      </c>
      <c r="GA174" s="6">
        <f>MEDIAN(Table1[RD6])</f>
        <v>0</v>
      </c>
      <c r="GB174" s="6">
        <f>MEDIAN(Table1[RD7])</f>
        <v>0</v>
      </c>
      <c r="GC174" s="6">
        <f>MEDIAN(Table1[RD8])</f>
        <v>0</v>
      </c>
      <c r="GD174" s="6">
        <f>MEDIAN(Table1[RD9])</f>
        <v>0</v>
      </c>
      <c r="GI174" s="6">
        <f>MEDIAN(Table1[RDT])</f>
        <v>1</v>
      </c>
      <c r="GJ174" s="55" t="s">
        <v>229</v>
      </c>
    </row>
    <row r="175" spans="1:195" x14ac:dyDescent="0.25">
      <c r="A175" s="81" t="s">
        <v>230</v>
      </c>
      <c r="B175" s="53"/>
      <c r="C175" s="53"/>
      <c r="D175" s="53"/>
      <c r="E175" s="4">
        <f>QUARTILE(Table1[Att],1)</f>
        <v>17265.5</v>
      </c>
      <c r="F175" s="4">
        <f>QUARTILE(Table1[Time],1)</f>
        <v>165.25</v>
      </c>
      <c r="G175" s="54"/>
      <c r="H175" s="80"/>
      <c r="I175" s="80"/>
      <c r="J175" s="80"/>
      <c r="K175" s="5">
        <f>QUARTILE(Table1[S-IP],1)</f>
        <v>5.333333333333333</v>
      </c>
      <c r="L175" s="6">
        <f>QUARTILE(Table1[S-H],1)</f>
        <v>4</v>
      </c>
      <c r="M175" s="6">
        <f>QUARTILE(Table1[S-R],1)</f>
        <v>2</v>
      </c>
      <c r="N175" s="6">
        <f>QUARTILE(Table1[S-ER],1)</f>
        <v>1</v>
      </c>
      <c r="O175" s="6">
        <f>QUARTILE(Table1[S-BB],1)</f>
        <v>1</v>
      </c>
      <c r="P175" s="6">
        <f>QUARTILE(Table1[S-SO],1)</f>
        <v>3</v>
      </c>
      <c r="Q175" s="6">
        <f>QUARTILE(Table1[S-HR],1)</f>
        <v>0</v>
      </c>
      <c r="R175" s="6">
        <f>QUARTILE(Table1[S-HBP],1)</f>
        <v>0</v>
      </c>
      <c r="S175" s="6">
        <f>QUARTILE(Table1[S-BF],1)</f>
        <v>24</v>
      </c>
      <c r="T175" s="6">
        <f>QUARTILE(Table1[S-Pit],1)</f>
        <v>94</v>
      </c>
      <c r="U175" s="6">
        <f>QUARTILE(Table1[S-Str],1)</f>
        <v>58</v>
      </c>
      <c r="V175" s="6">
        <f>QUARTILE(Table1[IRL],1)</f>
        <v>0</v>
      </c>
      <c r="W175" s="6">
        <f>QUARTILE(Table1[IRS],1)</f>
        <v>0</v>
      </c>
      <c r="X175" s="80"/>
      <c r="Y175" s="80"/>
      <c r="Z175" s="80"/>
      <c r="AA175" s="80"/>
      <c r="AB175" s="80"/>
      <c r="AC175" s="5">
        <f>QUARTILE(Table1[B-IP],1)</f>
        <v>2</v>
      </c>
      <c r="AD175" s="6">
        <f>QUARTILE(Table1[B-H],1)</f>
        <v>1</v>
      </c>
      <c r="AE175" s="6">
        <f>QUARTILE(Table1[B-R],1)</f>
        <v>0</v>
      </c>
      <c r="AF175" s="6">
        <f>QUARTILE(Table1[B-ER],1)</f>
        <v>0</v>
      </c>
      <c r="AG175" s="6">
        <f>QUARTILE(Table1[B-BB],1)</f>
        <v>0</v>
      </c>
      <c r="AH175" s="6">
        <f>QUARTILE(Table1[B-SO],1)</f>
        <v>1</v>
      </c>
      <c r="AI175" s="6">
        <f>QUARTILE(Table1[B-HR],1)</f>
        <v>0</v>
      </c>
      <c r="AJ175" s="6">
        <f>QUARTILE(Table1[B-HBP],1)</f>
        <v>0</v>
      </c>
      <c r="AK175" s="6">
        <f>QUARTILE(Table1[B-BF],1)</f>
        <v>7</v>
      </c>
      <c r="AL175" s="6">
        <f>QUARTILE(Table1[B-Pit],1)</f>
        <v>25</v>
      </c>
      <c r="AM175" s="6">
        <f>QUARTILE(Table1[B-Str],1)</f>
        <v>16.5</v>
      </c>
      <c r="AN175" s="80"/>
      <c r="AO175" s="6">
        <f>QUARTILE(Table1[AB1],1)</f>
        <v>4</v>
      </c>
      <c r="AP175" s="6">
        <f>QUARTILE(Table1[R1],1)</f>
        <v>0</v>
      </c>
      <c r="AQ175" s="6">
        <f>QUARTILE(Table1[H1],1)</f>
        <v>0</v>
      </c>
      <c r="AR175" s="6">
        <f>QUARTILE(Table1[RBI1],1)</f>
        <v>0</v>
      </c>
      <c r="AS175" s="6">
        <f>QUARTILE(Table1[BB1],1)</f>
        <v>0</v>
      </c>
      <c r="AT175" s="6">
        <f>QUARTILE(Table1[SO1],1)</f>
        <v>0</v>
      </c>
      <c r="AU175" s="6">
        <f>QUARTILE(Table1[HBP1],1)</f>
        <v>0</v>
      </c>
      <c r="AV175" s="6">
        <f>QUARTILE(Table1[SF1],1)</f>
        <v>0</v>
      </c>
      <c r="AW175" s="6">
        <f>QUARTILE(Table1[TB1],1)</f>
        <v>0</v>
      </c>
      <c r="AX175" s="80"/>
      <c r="AY175" s="6">
        <f>QUARTILE(Table1[AB2],1)</f>
        <v>3.5</v>
      </c>
      <c r="AZ175" s="6">
        <f>QUARTILE(Table1[R2],1)</f>
        <v>0</v>
      </c>
      <c r="BA175" s="6">
        <f>QUARTILE(Table1[H2],1)</f>
        <v>0</v>
      </c>
      <c r="BB175" s="6">
        <f>QUARTILE(Table1[RBI2],1)</f>
        <v>0</v>
      </c>
      <c r="BC175" s="6">
        <f>QUARTILE(Table1[BB2],1)</f>
        <v>0</v>
      </c>
      <c r="BD175" s="6">
        <f>QUARTILE(Table1[SO2],1)</f>
        <v>0</v>
      </c>
      <c r="BE175" s="6">
        <f>QUARTILE(Table1[HBP2],1)</f>
        <v>0</v>
      </c>
      <c r="BF175" s="6">
        <f>QUARTILE(Table1[SF2],1)</f>
        <v>0</v>
      </c>
      <c r="BG175" s="6">
        <f>QUARTILE(Table1[TB2],1)</f>
        <v>0</v>
      </c>
      <c r="BH175" s="80"/>
      <c r="BI175" s="6">
        <f>QUARTILE(Table1[AB3],1)</f>
        <v>3</v>
      </c>
      <c r="BJ175" s="6">
        <f>QUARTILE(Table1[R3],1)</f>
        <v>0</v>
      </c>
      <c r="BK175" s="6">
        <f>QUARTILE(Table1[H3],1)</f>
        <v>0</v>
      </c>
      <c r="BL175" s="6">
        <f>QUARTILE(Table1[RBI3],1)</f>
        <v>0</v>
      </c>
      <c r="BM175" s="6">
        <f>QUARTILE(Table1[BB3],1)</f>
        <v>0</v>
      </c>
      <c r="BN175" s="6">
        <f>QUARTILE(Table1[SO3],1)</f>
        <v>0</v>
      </c>
      <c r="BO175" s="6">
        <f>QUARTILE(Table1[HBP3],1)</f>
        <v>0</v>
      </c>
      <c r="BP175" s="6">
        <f>QUARTILE(Table1[SF3],1)</f>
        <v>0</v>
      </c>
      <c r="BQ175" s="6">
        <f>QUARTILE(Table1[TB3],1)</f>
        <v>0</v>
      </c>
      <c r="BR175" s="80"/>
      <c r="BS175" s="6">
        <f>QUARTILE(Table1[AB4],1)</f>
        <v>3</v>
      </c>
      <c r="BT175" s="6">
        <f>QUARTILE(Table1[R4],1)</f>
        <v>0</v>
      </c>
      <c r="BU175" s="6">
        <f>QUARTILE(Table1[H4],1)</f>
        <v>0</v>
      </c>
      <c r="BV175" s="6">
        <f>QUARTILE(Table1[RBI4],1)</f>
        <v>0</v>
      </c>
      <c r="BW175" s="6">
        <f>QUARTILE(Table1[BB4],1)</f>
        <v>0</v>
      </c>
      <c r="BX175" s="6">
        <f>QUARTILE(Table1[SO4],1)</f>
        <v>0</v>
      </c>
      <c r="BY175" s="6">
        <f>QUARTILE(Table1[HBP4],1)</f>
        <v>0</v>
      </c>
      <c r="BZ175" s="6">
        <f>QUARTILE(Table1[SF4],1)</f>
        <v>0</v>
      </c>
      <c r="CA175" s="6">
        <f>QUARTILE(Table1[TB4],1)</f>
        <v>0</v>
      </c>
      <c r="CB175" s="80"/>
      <c r="CC175" s="6">
        <f>QUARTILE(Table1[AB5],1)</f>
        <v>3</v>
      </c>
      <c r="CD175" s="6">
        <f>QUARTILE(Table1[R5],1)</f>
        <v>0</v>
      </c>
      <c r="CE175" s="6">
        <f>QUARTILE(Table1[H5],1)</f>
        <v>0</v>
      </c>
      <c r="CF175" s="6">
        <f>QUARTILE(Table1[RBI5],1)</f>
        <v>0</v>
      </c>
      <c r="CG175" s="6">
        <f>QUARTILE(Table1[BB5],1)</f>
        <v>0</v>
      </c>
      <c r="CH175" s="6">
        <f>QUARTILE(Table1[SO5],1)</f>
        <v>0</v>
      </c>
      <c r="CI175" s="6">
        <f>QUARTILE(Table1[HBP5],1)</f>
        <v>0</v>
      </c>
      <c r="CJ175" s="6">
        <f>QUARTILE(Table1[SF5],1)</f>
        <v>0</v>
      </c>
      <c r="CK175" s="6">
        <f>QUARTILE(Table1[TB5],1)</f>
        <v>0</v>
      </c>
      <c r="CL175" s="80"/>
      <c r="CM175" s="6">
        <f>QUARTILE(Table1[AB6],1)</f>
        <v>3</v>
      </c>
      <c r="CN175" s="6">
        <f>QUARTILE(Table1[R6],1)</f>
        <v>0</v>
      </c>
      <c r="CO175" s="6">
        <f>QUARTILE(Table1[H6],1)</f>
        <v>0</v>
      </c>
      <c r="CP175" s="6">
        <f>QUARTILE(Table1[RBI6],1)</f>
        <v>0</v>
      </c>
      <c r="CQ175" s="6">
        <f>QUARTILE(Table1[BB6],1)</f>
        <v>0</v>
      </c>
      <c r="CR175" s="6">
        <f>QUARTILE(Table1[SO6],1)</f>
        <v>0</v>
      </c>
      <c r="CS175" s="6">
        <f>QUARTILE(Table1[HBP6],1)</f>
        <v>0</v>
      </c>
      <c r="CT175" s="6">
        <f>QUARTILE(Table1[SF6],1)</f>
        <v>0</v>
      </c>
      <c r="CU175" s="6">
        <f>QUARTILE(Table1[TB6],1)</f>
        <v>0</v>
      </c>
      <c r="CV175" s="80"/>
      <c r="CW175" s="6">
        <f>QUARTILE(Table1[AB7],1)</f>
        <v>3</v>
      </c>
      <c r="CX175" s="6">
        <f>QUARTILE(Table1[R7],1)</f>
        <v>0</v>
      </c>
      <c r="CY175" s="6">
        <f>QUARTILE(Table1[H7],1)</f>
        <v>0</v>
      </c>
      <c r="CZ175" s="6">
        <f>QUARTILE(Table1[RBI7],1)</f>
        <v>0</v>
      </c>
      <c r="DA175" s="6">
        <f>QUARTILE(Table1[BB7],1)</f>
        <v>0</v>
      </c>
      <c r="DB175" s="6">
        <f>QUARTILE(Table1[SO7],1)</f>
        <v>0</v>
      </c>
      <c r="DC175" s="6">
        <f>QUARTILE(Table1[HBP7],1)</f>
        <v>0</v>
      </c>
      <c r="DD175" s="6">
        <f>QUARTILE(Table1[SF7],1)</f>
        <v>0</v>
      </c>
      <c r="DE175" s="6">
        <f>QUARTILE(Table1[TB7],1)</f>
        <v>0</v>
      </c>
      <c r="DF175" s="80"/>
      <c r="DG175" s="6">
        <f>QUARTILE(Table1[AB8],1)</f>
        <v>3</v>
      </c>
      <c r="DH175" s="6">
        <f>QUARTILE(Table1[R8],1)</f>
        <v>0</v>
      </c>
      <c r="DI175" s="6">
        <f>QUARTILE(Table1[H8],1)</f>
        <v>0</v>
      </c>
      <c r="DJ175" s="6">
        <f>QUARTILE(Table1[RBI8],1)</f>
        <v>0</v>
      </c>
      <c r="DK175" s="6">
        <f>QUARTILE(Table1[BB8],1)</f>
        <v>0</v>
      </c>
      <c r="DL175" s="6">
        <f>QUARTILE(Table1[SO8],1)</f>
        <v>0</v>
      </c>
      <c r="DM175" s="6">
        <f>QUARTILE(Table1[HBP8],1)</f>
        <v>0</v>
      </c>
      <c r="DN175" s="6">
        <f>QUARTILE(Table1[SF8],1)</f>
        <v>0</v>
      </c>
      <c r="DO175" s="6">
        <f>QUARTILE(Table1[TB8],1)</f>
        <v>0</v>
      </c>
      <c r="DP175" s="80"/>
      <c r="DQ175" s="6">
        <f>QUARTILE(Table1[AB9],1)</f>
        <v>3</v>
      </c>
      <c r="DR175" s="6">
        <f>QUARTILE(Table1[R9],1)</f>
        <v>0</v>
      </c>
      <c r="DS175" s="6">
        <f>QUARTILE(Table1[H9],1)</f>
        <v>0</v>
      </c>
      <c r="DT175" s="6">
        <f>QUARTILE(Table1[RBI9],1)</f>
        <v>0</v>
      </c>
      <c r="DU175" s="6">
        <f>QUARTILE(Table1[BB9],1)</f>
        <v>0</v>
      </c>
      <c r="DV175" s="6">
        <f>QUARTILE(Table1[SO9],1)</f>
        <v>0</v>
      </c>
      <c r="DW175" s="6">
        <f>QUARTILE(Table1[HBP9],1)</f>
        <v>0</v>
      </c>
      <c r="DX175" s="6">
        <f>QUARTILE(Table1[SF9],1)</f>
        <v>0</v>
      </c>
      <c r="DY175" s="6">
        <f>QUARTILE(Table1[TB9],1)</f>
        <v>0</v>
      </c>
      <c r="DZ175" s="5">
        <f>QUARTILE(Table1[IVL],1)</f>
        <v>0.33333333333333331</v>
      </c>
      <c r="EA175" s="6">
        <f>QUARTILE(Table1[SVL],1)</f>
        <v>0</v>
      </c>
      <c r="EB175" s="6">
        <f>QUARTILE(Table1[CVL],1)</f>
        <v>0</v>
      </c>
      <c r="EC175" s="5">
        <f>QUARTILE(Table1[IVR],1)</f>
        <v>2.6666666666666665</v>
      </c>
      <c r="ED175" s="6">
        <f>QUARTILE(Table1[SVR],1)</f>
        <v>0</v>
      </c>
      <c r="EE175" s="6">
        <f>QUARTILE(Table1[CVR],1)</f>
        <v>0</v>
      </c>
      <c r="EF175" s="6">
        <f>QUARTILE(Table1[RI1],1)</f>
        <v>0</v>
      </c>
      <c r="EG175" s="6">
        <f>QUARTILE(Table1[RI2],1)</f>
        <v>0</v>
      </c>
      <c r="EH175" s="6">
        <f>QUARTILE(Table1[RI3],1)</f>
        <v>0</v>
      </c>
      <c r="EI175" s="6">
        <f>QUARTILE(Table1[RI4],1)</f>
        <v>0</v>
      </c>
      <c r="EJ175" s="6">
        <f>QUARTILE(Table1[RI5],1)</f>
        <v>0</v>
      </c>
      <c r="EK175" s="6">
        <f>QUARTILE(Table1[RI6],1)</f>
        <v>0</v>
      </c>
      <c r="EL175" s="6">
        <f>QUARTILE(Table1[RI7],1)</f>
        <v>0</v>
      </c>
      <c r="EM175" s="6">
        <f>QUARTILE(Table1[RI8],1)</f>
        <v>0</v>
      </c>
      <c r="EN175" s="6">
        <f>QUARTILE(Table1[RI9],1)</f>
        <v>0</v>
      </c>
      <c r="EO175" s="6">
        <f>QUARTILE(Table1[RI10],1)</f>
        <v>0</v>
      </c>
      <c r="EP175" s="6">
        <f>QUARTILE(Table1[RI11],1)</f>
        <v>0</v>
      </c>
      <c r="EQ175" s="6">
        <f>QUARTILE(Table1[RI12],1)</f>
        <v>0.75</v>
      </c>
      <c r="ER175" s="6">
        <f>QUARTILE(Table1[RI13],1)</f>
        <v>0</v>
      </c>
      <c r="ES175" s="6">
        <f>QUARTILE(Table1[RT],1)</f>
        <v>3</v>
      </c>
      <c r="ET175" s="6">
        <f>QUARTILE(Table1[OI1],1)</f>
        <v>0</v>
      </c>
      <c r="EU175" s="6">
        <f>QUARTILE(Table1[OI2],1)</f>
        <v>0</v>
      </c>
      <c r="EV175" s="6">
        <f>QUARTILE(Table1[OI3],1)</f>
        <v>0</v>
      </c>
      <c r="EW175" s="6">
        <f>QUARTILE(Table1[OI4],1)</f>
        <v>0</v>
      </c>
      <c r="EX175" s="6">
        <f>QUARTILE(Table1[OI5],1)</f>
        <v>0</v>
      </c>
      <c r="EY175" s="6">
        <f>QUARTILE(Table1[OI6],1)</f>
        <v>0</v>
      </c>
      <c r="EZ175" s="6">
        <f>QUARTILE(Table1[OI7],1)</f>
        <v>0</v>
      </c>
      <c r="FA175" s="6">
        <f>QUARTILE(Table1[OI8],1)</f>
        <v>0</v>
      </c>
      <c r="FB175" s="6">
        <f>QUARTILE(Table1[OI9],1)</f>
        <v>0</v>
      </c>
      <c r="FC175" s="6">
        <f>QUARTILE(Table1[OI10],1)</f>
        <v>0</v>
      </c>
      <c r="FD175" s="6">
        <f>QUARTILE(Table1[OI11],1)</f>
        <v>0</v>
      </c>
      <c r="FE175" s="6">
        <f>QUARTILE(Table1[OI12],1)</f>
        <v>0</v>
      </c>
      <c r="FF175" s="6">
        <f>QUARTILE(Table1[OI13],1)</f>
        <v>1</v>
      </c>
      <c r="FG175" s="6">
        <f>QUARTILE(Table1[OT],1)</f>
        <v>2</v>
      </c>
      <c r="FH175" s="6">
        <f>QUARTILE(Table1[RTAB],1)</f>
        <v>30</v>
      </c>
      <c r="FI175" s="6">
        <f>QUARTILE(Table1[RTR],1)</f>
        <v>3</v>
      </c>
      <c r="FJ175" s="6">
        <f>QUARTILE(Table1[RTH],1)</f>
        <v>6</v>
      </c>
      <c r="FK175" s="6">
        <f>QUARTILE(Table1[RTBI],1)</f>
        <v>2</v>
      </c>
      <c r="FL175" s="6">
        <f>QUARTILE(Table1[RTBB],1)</f>
        <v>2</v>
      </c>
      <c r="FM175" s="6">
        <f>QUARTILE(Table1[RTSO],1)</f>
        <v>6</v>
      </c>
      <c r="FV175" s="6">
        <f>QUARTILE(Table1[RD1],1)</f>
        <v>-0.5</v>
      </c>
      <c r="FW175" s="6">
        <f>QUARTILE(Table1[RD2],1)</f>
        <v>0</v>
      </c>
      <c r="FX175" s="6">
        <f>QUARTILE(Table1[RD3],1)</f>
        <v>0</v>
      </c>
      <c r="FY175" s="6">
        <f>QUARTILE(Table1[RD4],1)</f>
        <v>0</v>
      </c>
      <c r="FZ175" s="6">
        <f>QUARTILE(Table1[RD5],1)</f>
        <v>0</v>
      </c>
      <c r="GA175" s="6">
        <f>QUARTILE(Table1[RD6],1)</f>
        <v>-1</v>
      </c>
      <c r="GB175" s="6">
        <f>QUARTILE(Table1[RD7],1)</f>
        <v>0</v>
      </c>
      <c r="GC175" s="6">
        <f>QUARTILE(Table1[RD8],1)</f>
        <v>0</v>
      </c>
      <c r="GD175" s="6">
        <f>QUARTILE(Table1[RD9],1)</f>
        <v>0</v>
      </c>
      <c r="GI175" s="6">
        <f>QUARTILE(Table1[RDT],1)</f>
        <v>-1.5</v>
      </c>
      <c r="GJ175" s="55" t="s">
        <v>230</v>
      </c>
    </row>
    <row r="176" spans="1:195" x14ac:dyDescent="0.25">
      <c r="A176" s="81" t="s">
        <v>231</v>
      </c>
      <c r="B176" s="53"/>
      <c r="C176" s="53"/>
      <c r="D176" s="53"/>
      <c r="E176" s="4">
        <f>MIN(Table1[Att])</f>
        <v>9129</v>
      </c>
      <c r="F176" s="4">
        <f>MIN(Table1[Time])</f>
        <v>127</v>
      </c>
      <c r="G176" s="54"/>
      <c r="H176" s="80"/>
      <c r="I176" s="80"/>
      <c r="J176" s="80"/>
      <c r="K176" s="5">
        <f>MIN(Table1[S-IP])</f>
        <v>1.3333333333333333</v>
      </c>
      <c r="L176" s="6">
        <f>MIN(Table1[S-H])</f>
        <v>0</v>
      </c>
      <c r="M176" s="6">
        <f>MIN(Table1[S-R])</f>
        <v>0</v>
      </c>
      <c r="N176" s="6">
        <f>MIN(Table1[S-ER])</f>
        <v>0</v>
      </c>
      <c r="O176" s="6">
        <f>MIN(Table1[S-BB])</f>
        <v>0</v>
      </c>
      <c r="P176" s="6">
        <f>MIN(Table1[S-SO])</f>
        <v>0</v>
      </c>
      <c r="Q176" s="6">
        <f>MIN(Table1[S-HR])</f>
        <v>0</v>
      </c>
      <c r="R176" s="6">
        <f>MIN(Table1[S-HBP])</f>
        <v>0</v>
      </c>
      <c r="S176" s="6">
        <f>MIN(Table1[S-BF])</f>
        <v>4</v>
      </c>
      <c r="T176" s="6">
        <f>MIN(Table1[S-Pit])</f>
        <v>12</v>
      </c>
      <c r="U176" s="6">
        <f>MIN(Table1[S-Str])</f>
        <v>10</v>
      </c>
      <c r="V176" s="6">
        <f>MIN(Table1[IRL])</f>
        <v>0</v>
      </c>
      <c r="W176" s="6">
        <f>MIN(Table1[IRS])</f>
        <v>0</v>
      </c>
      <c r="X176" s="80"/>
      <c r="Y176" s="80"/>
      <c r="Z176" s="80"/>
      <c r="AA176" s="80"/>
      <c r="AB176" s="80"/>
      <c r="AC176" s="5">
        <f>MIN(Table1[B-IP])</f>
        <v>0</v>
      </c>
      <c r="AD176" s="6">
        <f>MIN(Table1[B-H])</f>
        <v>0</v>
      </c>
      <c r="AE176" s="6">
        <f>MIN(Table1[B-R])</f>
        <v>0</v>
      </c>
      <c r="AF176" s="6">
        <f>MIN(Table1[B-ER])</f>
        <v>0</v>
      </c>
      <c r="AG176" s="6">
        <f>MIN(Table1[B-BB])</f>
        <v>0</v>
      </c>
      <c r="AH176" s="6">
        <f>MIN(Table1[B-SO])</f>
        <v>0</v>
      </c>
      <c r="AI176" s="6">
        <f>MIN(Table1[B-HR])</f>
        <v>0</v>
      </c>
      <c r="AJ176" s="6">
        <f>MIN(Table1[B-HBP])</f>
        <v>0</v>
      </c>
      <c r="AK176" s="6">
        <f>MIN(Table1[B-BF])</f>
        <v>0</v>
      </c>
      <c r="AL176" s="6">
        <f>MIN(Table1[B-Pit])</f>
        <v>0</v>
      </c>
      <c r="AM176" s="6">
        <f>MIN(Table1[B-Str])</f>
        <v>0</v>
      </c>
      <c r="AN176" s="80"/>
      <c r="AO176" s="6">
        <f>MIN(Table1[AB1])</f>
        <v>1</v>
      </c>
      <c r="AP176" s="6">
        <f>MIN(Table1[R1])</f>
        <v>0</v>
      </c>
      <c r="AQ176" s="6">
        <f>MIN(Table1[H1])</f>
        <v>0</v>
      </c>
      <c r="AR176" s="6">
        <f>MIN(Table1[RBI1])</f>
        <v>0</v>
      </c>
      <c r="AS176" s="6">
        <f>MIN(Table1[BB1])</f>
        <v>0</v>
      </c>
      <c r="AT176" s="6">
        <f>MIN(Table1[SO1])</f>
        <v>0</v>
      </c>
      <c r="AU176" s="6">
        <f>MIN(Table1[HBP1])</f>
        <v>0</v>
      </c>
      <c r="AV176" s="6">
        <f>MIN(Table1[SF1])</f>
        <v>0</v>
      </c>
      <c r="AW176" s="6">
        <f>MIN(Table1[TB1])</f>
        <v>0</v>
      </c>
      <c r="AX176" s="80"/>
      <c r="AY176" s="6">
        <f>MIN(Table1[AB2])</f>
        <v>1</v>
      </c>
      <c r="AZ176" s="6">
        <f>MIN(Table1[R2])</f>
        <v>0</v>
      </c>
      <c r="BA176" s="6">
        <f>MIN(Table1[H2])</f>
        <v>0</v>
      </c>
      <c r="BB176" s="6">
        <f>MIN(Table1[RBI2])</f>
        <v>0</v>
      </c>
      <c r="BC176" s="6">
        <f>MIN(Table1[BB2])</f>
        <v>0</v>
      </c>
      <c r="BD176" s="6">
        <f>MIN(Table1[SO2])</f>
        <v>0</v>
      </c>
      <c r="BE176" s="6">
        <f>MIN(Table1[HBP2])</f>
        <v>0</v>
      </c>
      <c r="BF176" s="6">
        <f>MIN(Table1[SF2])</f>
        <v>0</v>
      </c>
      <c r="BG176" s="6">
        <f>MIN(Table1[TB2])</f>
        <v>0</v>
      </c>
      <c r="BH176" s="80"/>
      <c r="BI176" s="6">
        <f>MIN(Table1[AB3])</f>
        <v>1</v>
      </c>
      <c r="BJ176" s="6">
        <f>MIN(Table1[R3])</f>
        <v>0</v>
      </c>
      <c r="BK176" s="6">
        <f>MIN(Table1[H3])</f>
        <v>0</v>
      </c>
      <c r="BL176" s="6">
        <f>MIN(Table1[RBI3])</f>
        <v>0</v>
      </c>
      <c r="BM176" s="6">
        <f>MIN(Table1[BB3])</f>
        <v>0</v>
      </c>
      <c r="BN176" s="6">
        <f>MIN(Table1[SO3])</f>
        <v>0</v>
      </c>
      <c r="BO176" s="6">
        <f>MIN(Table1[HBP3])</f>
        <v>0</v>
      </c>
      <c r="BP176" s="6">
        <f>MIN(Table1[SF3])</f>
        <v>0</v>
      </c>
      <c r="BQ176" s="6">
        <f>MIN(Table1[TB3])</f>
        <v>0</v>
      </c>
      <c r="BR176" s="80"/>
      <c r="BS176" s="6">
        <f>MIN(Table1[AB4])</f>
        <v>2</v>
      </c>
      <c r="BT176" s="6">
        <f>MIN(Table1[R4])</f>
        <v>0</v>
      </c>
      <c r="BU176" s="6">
        <f>MIN(Table1[H4])</f>
        <v>0</v>
      </c>
      <c r="BV176" s="6">
        <f>MIN(Table1[RBI4])</f>
        <v>0</v>
      </c>
      <c r="BW176" s="6">
        <f>MIN(Table1[BB4])</f>
        <v>0</v>
      </c>
      <c r="BX176" s="6">
        <f>MIN(Table1[SO4])</f>
        <v>0</v>
      </c>
      <c r="BY176" s="6">
        <f>MIN(Table1[HBP4])</f>
        <v>0</v>
      </c>
      <c r="BZ176" s="6">
        <f>MIN(Table1[SF4])</f>
        <v>0</v>
      </c>
      <c r="CA176" s="6">
        <f>MIN(Table1[TB4])</f>
        <v>0</v>
      </c>
      <c r="CB176" s="80"/>
      <c r="CC176" s="6">
        <f>MIN(Table1[AB5])</f>
        <v>1</v>
      </c>
      <c r="CD176" s="6">
        <f>MIN(Table1[R5])</f>
        <v>0</v>
      </c>
      <c r="CE176" s="6">
        <f>MIN(Table1[H5])</f>
        <v>0</v>
      </c>
      <c r="CF176" s="6">
        <f>MIN(Table1[RBI5])</f>
        <v>0</v>
      </c>
      <c r="CG176" s="6">
        <f>MIN(Table1[BB5])</f>
        <v>0</v>
      </c>
      <c r="CH176" s="6">
        <f>MIN(Table1[SO5])</f>
        <v>0</v>
      </c>
      <c r="CI176" s="6">
        <f>MIN(Table1[HBP5])</f>
        <v>0</v>
      </c>
      <c r="CJ176" s="6">
        <f>MIN(Table1[SF5])</f>
        <v>0</v>
      </c>
      <c r="CK176" s="6">
        <f>MIN(Table1[TB5])</f>
        <v>0</v>
      </c>
      <c r="CL176" s="80"/>
      <c r="CM176" s="6">
        <f>MIN(Table1[AB6])</f>
        <v>1</v>
      </c>
      <c r="CN176" s="6">
        <f>MIN(Table1[R6])</f>
        <v>0</v>
      </c>
      <c r="CO176" s="6">
        <f>MIN(Table1[H6])</f>
        <v>0</v>
      </c>
      <c r="CP176" s="6">
        <f>MIN(Table1[RBI6])</f>
        <v>0</v>
      </c>
      <c r="CQ176" s="6">
        <f>MIN(Table1[BB6])</f>
        <v>0</v>
      </c>
      <c r="CR176" s="6">
        <f>MIN(Table1[SO6])</f>
        <v>0</v>
      </c>
      <c r="CS176" s="6">
        <f>MIN(Table1[HBP6])</f>
        <v>0</v>
      </c>
      <c r="CT176" s="6">
        <f>MIN(Table1[SF6])</f>
        <v>0</v>
      </c>
      <c r="CU176" s="6">
        <f>MIN(Table1[TB6])</f>
        <v>0</v>
      </c>
      <c r="CV176" s="80"/>
      <c r="CW176" s="6">
        <f>MIN(Table1[AB7])</f>
        <v>1</v>
      </c>
      <c r="CX176" s="6">
        <f>MIN(Table1[R7])</f>
        <v>0</v>
      </c>
      <c r="CY176" s="6">
        <f>MIN(Table1[H7])</f>
        <v>0</v>
      </c>
      <c r="CZ176" s="6">
        <f>MIN(Table1[RBI7])</f>
        <v>0</v>
      </c>
      <c r="DA176" s="6">
        <f>MIN(Table1[BB7])</f>
        <v>0</v>
      </c>
      <c r="DB176" s="6">
        <f>MIN(Table1[SO7])</f>
        <v>0</v>
      </c>
      <c r="DC176" s="6">
        <f>MIN(Table1[HBP7])</f>
        <v>0</v>
      </c>
      <c r="DD176" s="6">
        <f>MIN(Table1[SF7])</f>
        <v>0</v>
      </c>
      <c r="DE176" s="6">
        <f>MIN(Table1[TB7])</f>
        <v>0</v>
      </c>
      <c r="DF176" s="80"/>
      <c r="DG176" s="6">
        <f>MIN(Table1[AB8])</f>
        <v>2</v>
      </c>
      <c r="DH176" s="6">
        <f>MIN(Table1[R8])</f>
        <v>0</v>
      </c>
      <c r="DI176" s="6">
        <f>MIN(Table1[H8])</f>
        <v>0</v>
      </c>
      <c r="DJ176" s="6">
        <f>MIN(Table1[RBI8])</f>
        <v>0</v>
      </c>
      <c r="DK176" s="6">
        <f>MIN(Table1[BB8])</f>
        <v>0</v>
      </c>
      <c r="DL176" s="6">
        <f>MIN(Table1[SO8])</f>
        <v>0</v>
      </c>
      <c r="DM176" s="6">
        <f>MIN(Table1[HBP8])</f>
        <v>0</v>
      </c>
      <c r="DN176" s="6">
        <f>MIN(Table1[SF8])</f>
        <v>0</v>
      </c>
      <c r="DO176" s="6">
        <f>MIN(Table1[TB8])</f>
        <v>0</v>
      </c>
      <c r="DP176" s="80"/>
      <c r="DQ176" s="6">
        <f>MIN(Table1[AB9])</f>
        <v>2</v>
      </c>
      <c r="DR176" s="6">
        <f>MIN(Table1[R9])</f>
        <v>0</v>
      </c>
      <c r="DS176" s="6">
        <f>MIN(Table1[H9])</f>
        <v>0</v>
      </c>
      <c r="DT176" s="6">
        <f>MIN(Table1[RBI9])</f>
        <v>0</v>
      </c>
      <c r="DU176" s="6">
        <f>MIN(Table1[BB9])</f>
        <v>0</v>
      </c>
      <c r="DV176" s="6">
        <f>MIN(Table1[SO9])</f>
        <v>0</v>
      </c>
      <c r="DW176" s="6">
        <f>MIN(Table1[HBP9])</f>
        <v>0</v>
      </c>
      <c r="DX176" s="6">
        <f>MIN(Table1[SF9])</f>
        <v>0</v>
      </c>
      <c r="DY176" s="6">
        <f>MIN(Table1[TB9])</f>
        <v>0</v>
      </c>
      <c r="DZ176" s="5">
        <f>MIN(Table1[IVL])</f>
        <v>0</v>
      </c>
      <c r="EA176" s="6">
        <f>MIN(Table1[SVL])</f>
        <v>0</v>
      </c>
      <c r="EB176" s="6">
        <f>MIN(Table1[CVL])</f>
        <v>0</v>
      </c>
      <c r="EC176" s="5">
        <f>MIN(Table1[IVR])</f>
        <v>0</v>
      </c>
      <c r="ED176" s="6">
        <f>MIN(Table1[SVR])</f>
        <v>0</v>
      </c>
      <c r="EE176" s="6">
        <f>MIN(Table1[CVR])</f>
        <v>0</v>
      </c>
      <c r="EF176" s="6">
        <f>MIN(Table1[RI1])</f>
        <v>0</v>
      </c>
      <c r="EG176" s="6">
        <f>MIN(Table1[RI2])</f>
        <v>0</v>
      </c>
      <c r="EH176" s="6">
        <f>MIN(Table1[RI3])</f>
        <v>0</v>
      </c>
      <c r="EI176" s="6">
        <f>MIN(Table1[RI4])</f>
        <v>0</v>
      </c>
      <c r="EJ176" s="6">
        <f>MIN(Table1[RI5])</f>
        <v>0</v>
      </c>
      <c r="EK176" s="6">
        <f>MIN(Table1[RI6])</f>
        <v>0</v>
      </c>
      <c r="EL176" s="6">
        <f>MIN(Table1[RI7])</f>
        <v>0</v>
      </c>
      <c r="EM176" s="6">
        <f>MIN(Table1[RI8])</f>
        <v>0</v>
      </c>
      <c r="EN176" s="6">
        <f>MIN(Table1[RI9])</f>
        <v>0</v>
      </c>
      <c r="EO176" s="6">
        <f>MIN(Table1[RI10])</f>
        <v>0</v>
      </c>
      <c r="EP176" s="6">
        <f>MIN(Table1[RI11])</f>
        <v>0</v>
      </c>
      <c r="EQ176" s="6">
        <f>MIN(Table1[RI12])</f>
        <v>0</v>
      </c>
      <c r="ER176" s="6">
        <f>MIN(Table1[RI13])</f>
        <v>0</v>
      </c>
      <c r="ES176" s="6">
        <f>MIN(Table1[RT])</f>
        <v>0</v>
      </c>
      <c r="ET176" s="6">
        <f>MIN(Table1[OI1])</f>
        <v>0</v>
      </c>
      <c r="EU176" s="6">
        <f>MIN(Table1[OI2])</f>
        <v>0</v>
      </c>
      <c r="EV176" s="6">
        <f>MIN(Table1[OI3])</f>
        <v>0</v>
      </c>
      <c r="EW176" s="6">
        <f>MIN(Table1[OI4])</f>
        <v>0</v>
      </c>
      <c r="EX176" s="6">
        <f>MIN(Table1[OI5])</f>
        <v>0</v>
      </c>
      <c r="EY176" s="6">
        <f>MIN(Table1[OI6])</f>
        <v>0</v>
      </c>
      <c r="EZ176" s="6">
        <f>MIN(Table1[OI7])</f>
        <v>0</v>
      </c>
      <c r="FA176" s="6">
        <f>MIN(Table1[OI8])</f>
        <v>0</v>
      </c>
      <c r="FB176" s="6">
        <f>MIN(Table1[OI9])</f>
        <v>0</v>
      </c>
      <c r="FC176" s="6">
        <f>MIN(Table1[OI10])</f>
        <v>0</v>
      </c>
      <c r="FD176" s="6">
        <f>MIN(Table1[OI11])</f>
        <v>0</v>
      </c>
      <c r="FE176" s="6">
        <f>MIN(Table1[OI12])</f>
        <v>0</v>
      </c>
      <c r="FF176" s="6">
        <f>MIN(Table1[OI13])</f>
        <v>1</v>
      </c>
      <c r="FG176" s="6">
        <f>MIN(Table1[OT])</f>
        <v>0</v>
      </c>
      <c r="FH176" s="6">
        <f>MIN(Table1[RTAB])</f>
        <v>22</v>
      </c>
      <c r="FI176" s="6">
        <f>MIN(Table1[RTR])</f>
        <v>0</v>
      </c>
      <c r="FJ176" s="6">
        <f>MIN(Table1[RTH])</f>
        <v>0</v>
      </c>
      <c r="FK176" s="6">
        <f>MIN(Table1[RTBI])</f>
        <v>0</v>
      </c>
      <c r="FL176" s="6">
        <f>MIN(Table1[RTBB])</f>
        <v>0</v>
      </c>
      <c r="FM176" s="6">
        <f>MIN(Table1[RTSO])</f>
        <v>2</v>
      </c>
      <c r="FV176" s="6">
        <f>MIN(Table1[RD1])</f>
        <v>-5</v>
      </c>
      <c r="FW176" s="6">
        <f>MIN(Table1[RD2])</f>
        <v>-3</v>
      </c>
      <c r="FX176" s="6">
        <f>MIN(Table1[RD3])</f>
        <v>-5</v>
      </c>
      <c r="FY176" s="6">
        <f>MIN(Table1[RD4])</f>
        <v>-7</v>
      </c>
      <c r="FZ176" s="6">
        <f>MIN(Table1[RD5])</f>
        <v>-4</v>
      </c>
      <c r="GA176" s="6">
        <f>MIN(Table1[RD6])</f>
        <v>-10</v>
      </c>
      <c r="GB176" s="6">
        <f>MIN(Table1[RD7])</f>
        <v>-3</v>
      </c>
      <c r="GC176" s="6">
        <f>MIN(Table1[RD8])</f>
        <v>-4</v>
      </c>
      <c r="GD176" s="6">
        <f>MIN(Table1[RD9])</f>
        <v>-4</v>
      </c>
      <c r="GI176" s="6">
        <f>MIN(Table1[RDT])</f>
        <v>-10</v>
      </c>
      <c r="GJ176" s="55" t="s">
        <v>231</v>
      </c>
    </row>
    <row r="177" spans="1:192" x14ac:dyDescent="0.25">
      <c r="A177" s="82" t="s">
        <v>232</v>
      </c>
      <c r="B177" s="83"/>
      <c r="C177" s="83"/>
      <c r="D177" s="83"/>
      <c r="E177" s="39">
        <f>STDEV(Table1[Att])</f>
        <v>10309.439070625594</v>
      </c>
      <c r="F177" s="39">
        <f>STDEV(Table1[Time])</f>
        <v>27.507287435677213</v>
      </c>
      <c r="G177" s="84"/>
      <c r="H177" s="84"/>
      <c r="I177" s="84"/>
      <c r="J177" s="84"/>
      <c r="K177" s="39">
        <f>STDEV(Table1[S-IP])</f>
        <v>1.4126737980501529</v>
      </c>
      <c r="L177" s="39">
        <f>STDEV(Table1[S-H])</f>
        <v>2.3009300102470323</v>
      </c>
      <c r="M177" s="39">
        <f>STDEV(Table1[S-R])</f>
        <v>1.9976900302693938</v>
      </c>
      <c r="N177" s="39">
        <f>STDEV(Table1[S-ER])</f>
        <v>2.0036219998406479</v>
      </c>
      <c r="O177" s="39">
        <f>STDEV(Table1[S-BB])</f>
        <v>1.2917579596664905</v>
      </c>
      <c r="P177" s="39">
        <f>STDEV(Table1[S-SO])</f>
        <v>2.486439668181152</v>
      </c>
      <c r="Q177" s="39">
        <f>STDEV(Table1[S-HR])</f>
        <v>0.94575475665520703</v>
      </c>
      <c r="R177" s="39">
        <f>STDEV(Table1[S-HBP])</f>
        <v>0.4284958415690564</v>
      </c>
      <c r="S177" s="39">
        <f>STDEV(Table1[S-BF])</f>
        <v>4.2044633956058544</v>
      </c>
      <c r="T177" s="39">
        <f>STDEV(Table1[S-Pit])</f>
        <v>15.256454269223639</v>
      </c>
      <c r="U177" s="39">
        <f>STDEV(Table1[S-Str])</f>
        <v>11.011062116152239</v>
      </c>
      <c r="V177" s="39">
        <f>STDEV(Table1[IRL])</f>
        <v>0.8015748153145591</v>
      </c>
      <c r="W177" s="39">
        <f>STDEV(Table1[IRS])</f>
        <v>0.53098224058508026</v>
      </c>
      <c r="X177" s="84"/>
      <c r="Y177" s="84"/>
      <c r="Z177" s="84"/>
      <c r="AA177" s="84"/>
      <c r="AB177" s="84"/>
      <c r="AC177" s="39">
        <f>STDEV(Table1[B-IP])</f>
        <v>1.4761597228738779</v>
      </c>
      <c r="AD177" s="39">
        <f>STDEV(Table1[B-H])</f>
        <v>2.1714446954752358</v>
      </c>
      <c r="AE177" s="39">
        <f>STDEV(Table1[B-R])</f>
        <v>1.5716997939831745</v>
      </c>
      <c r="AF177" s="39">
        <f>STDEV(Table1[B-ER])</f>
        <v>1.5380839802426918</v>
      </c>
      <c r="AG177" s="39">
        <f>STDEV(Table1[B-BB])</f>
        <v>1.181312050351597</v>
      </c>
      <c r="AH177" s="39">
        <f>STDEV(Table1[B-SO])</f>
        <v>1.8500336835467501</v>
      </c>
      <c r="AI177" s="39">
        <f>STDEV(Table1[B-HR])</f>
        <v>0.56730789806632032</v>
      </c>
      <c r="AJ177" s="39">
        <f>STDEV(Table1[B-HBP])</f>
        <v>0.33353768115248261</v>
      </c>
      <c r="AK177" s="39">
        <f>STDEV(Table1[B-BF])</f>
        <v>6.5453361703253865</v>
      </c>
      <c r="AL177" s="39">
        <f>STDEV(Table1[B-Pit])</f>
        <v>25.996364754494827</v>
      </c>
      <c r="AM177" s="39">
        <f>STDEV(Table1[B-Str])</f>
        <v>16.031824817193893</v>
      </c>
      <c r="AN177" s="84"/>
      <c r="AO177" s="39">
        <f>STDEV(Table1[AB1])</f>
        <v>0.84234480225730946</v>
      </c>
      <c r="AP177" s="39">
        <f>STDEV(Table1[R1])</f>
        <v>0.79097426361018408</v>
      </c>
      <c r="AQ177" s="39">
        <f>STDEV(Table1[H1])</f>
        <v>0.87089550787862691</v>
      </c>
      <c r="AR177" s="39">
        <f>STDEV(Table1[RBI1])</f>
        <v>0.78951355273554735</v>
      </c>
      <c r="AS177" s="39">
        <f>STDEV(Table1[BB1])</f>
        <v>0.79197693954136872</v>
      </c>
      <c r="AT177" s="39">
        <f>STDEV(Table1[SO1])</f>
        <v>0.81893753280377279</v>
      </c>
      <c r="AU177" s="39">
        <f>STDEV(Table1[HBP1])</f>
        <v>0.18667075483102338</v>
      </c>
      <c r="AV177" s="39">
        <f>STDEV(Table1[SF1])</f>
        <v>0.1533597946237113</v>
      </c>
      <c r="AW177" s="39">
        <f>STDEV(Table1[TB1])</f>
        <v>1.619714771089926</v>
      </c>
      <c r="AX177" s="84"/>
      <c r="AY177" s="39">
        <f>STDEV(Table1[AB2])</f>
        <v>0.93590107861061944</v>
      </c>
      <c r="AZ177" s="39">
        <f>STDEV(Table1[R2])</f>
        <v>0.79124784669219117</v>
      </c>
      <c r="BA177" s="39">
        <f>STDEV(Table1[H2])</f>
        <v>1.0478763639414754</v>
      </c>
      <c r="BB177" s="39">
        <f>STDEV(Table1[RBI2])</f>
        <v>0.84208782005711891</v>
      </c>
      <c r="BC177" s="39">
        <f>STDEV(Table1[BB2])</f>
        <v>0.64233674483052039</v>
      </c>
      <c r="BD177" s="39">
        <f>STDEV(Table1[SO2])</f>
        <v>0.81354594761071641</v>
      </c>
      <c r="BE177" s="39">
        <f>STDEV(Table1[HBP2])</f>
        <v>0.17093469832527225</v>
      </c>
      <c r="BF177" s="39">
        <f>STDEV(Table1[SF2])</f>
        <v>0.24879770053992514</v>
      </c>
      <c r="BG177" s="39">
        <f>STDEV(Table1[TB2])</f>
        <v>1.8603972275595815</v>
      </c>
      <c r="BH177" s="84"/>
      <c r="BI177" s="39">
        <f>STDEV(Table1[AB3])</f>
        <v>0.84495301808465295</v>
      </c>
      <c r="BJ177" s="39">
        <f>STDEV(Table1[R3])</f>
        <v>0.68247143578277625</v>
      </c>
      <c r="BK177" s="39">
        <f>STDEV(Table1[H3])</f>
        <v>0.96194077924061117</v>
      </c>
      <c r="BL177" s="39">
        <f>STDEV(Table1[RBI3])</f>
        <v>0.83637110745877563</v>
      </c>
      <c r="BM177" s="39">
        <f>STDEV(Table1[BB3])</f>
        <v>0.69202429612975236</v>
      </c>
      <c r="BN177" s="39">
        <f>STDEV(Table1[SO3])</f>
        <v>0.81699712881469222</v>
      </c>
      <c r="BO177" s="39">
        <f>STDEV(Table1[HBP3])</f>
        <v>0.20100031208911973</v>
      </c>
      <c r="BP177" s="39">
        <f>STDEV(Table1[SF3])</f>
        <v>0.20100031208911973</v>
      </c>
      <c r="BQ177" s="39">
        <f>STDEV(Table1[TB3])</f>
        <v>1.8550574131050175</v>
      </c>
      <c r="BR177" s="84"/>
      <c r="BS177" s="39">
        <f>STDEV(Table1[AB4])</f>
        <v>0.8053461078105224</v>
      </c>
      <c r="BT177" s="39">
        <f>STDEV(Table1[R4])</f>
        <v>0.71841796869964436</v>
      </c>
      <c r="BU177" s="39">
        <f>STDEV(Table1[H4])</f>
        <v>0.86060397600793692</v>
      </c>
      <c r="BV177" s="39">
        <f>STDEV(Table1[RBI4])</f>
        <v>0.94112832857263984</v>
      </c>
      <c r="BW177" s="39">
        <f>STDEV(Table1[BB4])</f>
        <v>0.63878898483398072</v>
      </c>
      <c r="BX177" s="39">
        <f>STDEV(Table1[SO4])</f>
        <v>0.83230704184447646</v>
      </c>
      <c r="BY177" s="39">
        <f>STDEV(Table1[HBP4])</f>
        <v>0.21420582471952132</v>
      </c>
      <c r="BZ177" s="39">
        <f>STDEV(Table1[SF4])</f>
        <v>0.26873223059323065</v>
      </c>
      <c r="CA177" s="39">
        <f>STDEV(Table1[TB4])</f>
        <v>1.8944631675786603</v>
      </c>
      <c r="CB177" s="84"/>
      <c r="CC177" s="39">
        <f>STDEV(Table1[AB5])</f>
        <v>0.76609300491016274</v>
      </c>
      <c r="CD177" s="39">
        <f>STDEV(Table1[R5])</f>
        <v>0.63850657225338259</v>
      </c>
      <c r="CE177" s="39">
        <f>STDEV(Table1[H5])</f>
        <v>0.78096908050899161</v>
      </c>
      <c r="CF177" s="39">
        <f>STDEV(Table1[RBI5])</f>
        <v>0.97164176945937319</v>
      </c>
      <c r="CG177" s="39">
        <f>STDEV(Table1[BB5])</f>
        <v>0.68384430040661648</v>
      </c>
      <c r="CH177" s="39">
        <f>STDEV(Table1[SO5])</f>
        <v>0.8377931785347017</v>
      </c>
      <c r="CI177" s="39">
        <f>STDEV(Table1[HBP5])</f>
        <v>0.20100031208911973</v>
      </c>
      <c r="CJ177" s="39">
        <f>STDEV(Table1[SF5])</f>
        <v>0.17093469832527225</v>
      </c>
      <c r="CK177" s="39">
        <f>STDEV(Table1[TB5])</f>
        <v>1.6816034617968281</v>
      </c>
      <c r="CL177" s="84"/>
      <c r="CM177" s="39">
        <f>STDEV(Table1[AB6])</f>
        <v>0.858841731118822</v>
      </c>
      <c r="CN177" s="39">
        <f>STDEV(Table1[R6])</f>
        <v>0.64620003835891771</v>
      </c>
      <c r="CO177" s="39">
        <f>STDEV(Table1[H6])</f>
        <v>0.75994714255415696</v>
      </c>
      <c r="CP177" s="39">
        <f>STDEV(Table1[RBI6])</f>
        <v>0.81150375538056108</v>
      </c>
      <c r="CQ177" s="39">
        <f>STDEV(Table1[BB6])</f>
        <v>0.65737945867466552</v>
      </c>
      <c r="CR177" s="39">
        <f>STDEV(Table1[SO6])</f>
        <v>0.9182751244818288</v>
      </c>
      <c r="CS177" s="39">
        <f>STDEV(Table1[HBP6])</f>
        <v>0.17093469832527225</v>
      </c>
      <c r="CT177" s="39">
        <f>STDEV(Table1[SF6])</f>
        <v>0.17093469832527225</v>
      </c>
      <c r="CU177" s="39">
        <f>STDEV(Table1[TB6])</f>
        <v>1.6283550880898674</v>
      </c>
      <c r="CV177" s="84"/>
      <c r="CW177" s="39">
        <f>STDEV(Table1[AB7])</f>
        <v>0.86315701955155599</v>
      </c>
      <c r="CX177" s="39">
        <f>STDEV(Table1[R7])</f>
        <v>0.63867603478715418</v>
      </c>
      <c r="CY177" s="39">
        <f>STDEV(Table1[H7])</f>
        <v>0.82016994513803465</v>
      </c>
      <c r="CZ177" s="39">
        <f>STDEV(Table1[RBI7])</f>
        <v>0.81955397062745572</v>
      </c>
      <c r="DA177" s="39">
        <f>STDEV(Table1[BB7])</f>
        <v>0.69892266648793921</v>
      </c>
      <c r="DB177" s="39">
        <f>STDEV(Table1[SO7])</f>
        <v>0.88462159773845683</v>
      </c>
      <c r="DC177" s="39">
        <f>STDEV(Table1[HBP7])</f>
        <v>0.21420582471952132</v>
      </c>
      <c r="DD177" s="39">
        <f>STDEV(Table1[SF7])</f>
        <v>0.17093469832527225</v>
      </c>
      <c r="DE177" s="39">
        <f>STDEV(Table1[TB7])</f>
        <v>1.6587093307209653</v>
      </c>
      <c r="DF177" s="84"/>
      <c r="DG177" s="39">
        <f>STDEV(Table1[AB8])</f>
        <v>0.80552525275942111</v>
      </c>
      <c r="DH177" s="39">
        <f>STDEV(Table1[R8])</f>
        <v>0.68421344715436849</v>
      </c>
      <c r="DI177" s="39">
        <f>STDEV(Table1[H8])</f>
        <v>0.78598759226998383</v>
      </c>
      <c r="DJ177" s="39">
        <f>STDEV(Table1[RBI8])</f>
        <v>0.86252992261007078</v>
      </c>
      <c r="DK177" s="39">
        <f>STDEV(Table1[BB8])</f>
        <v>0.58453236831156297</v>
      </c>
      <c r="DL177" s="39">
        <f>STDEV(Table1[SO8])</f>
        <v>0.80838617276290858</v>
      </c>
      <c r="DM177" s="39">
        <f>STDEV(Table1[HBP8])</f>
        <v>0.17093469832527225</v>
      </c>
      <c r="DN177" s="39">
        <f>STDEV(Table1[SF8])</f>
        <v>0.10910500922184507</v>
      </c>
      <c r="DO177" s="39">
        <f>STDEV(Table1[TB8])</f>
        <v>1.5739244881808487</v>
      </c>
      <c r="DP177" s="84"/>
      <c r="DQ177" s="39">
        <f>STDEV(Table1[AB9])</f>
        <v>0.83165668331380083</v>
      </c>
      <c r="DR177" s="39">
        <f>STDEV(Table1[R9])</f>
        <v>0.66637201000994573</v>
      </c>
      <c r="DS177" s="39">
        <f>STDEV(Table1[H9])</f>
        <v>0.83044131799153398</v>
      </c>
      <c r="DT177" s="39">
        <f>STDEV(Table1[RBI9])</f>
        <v>0.86994232780376823</v>
      </c>
      <c r="DU177" s="39">
        <f>STDEV(Table1[BB9])</f>
        <v>0.51847061058682675</v>
      </c>
      <c r="DV177" s="39">
        <f>STDEV(Table1[SO9])</f>
        <v>0.89140538699091587</v>
      </c>
      <c r="DW177" s="39">
        <f>STDEV(Table1[HBP9])</f>
        <v>0.25168073651316397</v>
      </c>
      <c r="DX177" s="39">
        <f>STDEV(Table1[SF9])</f>
        <v>0.17093469832527225</v>
      </c>
      <c r="DY177" s="39">
        <f>STDEV(Table1[TB9])</f>
        <v>1.4893993310114559</v>
      </c>
      <c r="DZ177" s="39">
        <f>STDEV(Table1[IVL])</f>
        <v>3.000880305423026</v>
      </c>
      <c r="EA177" s="39">
        <f>STDEV(Table1[SVL])</f>
        <v>0.53712877664857017</v>
      </c>
      <c r="EB177" s="39">
        <f>STDEV(Table1[CVL])</f>
        <v>0.30197866108783056</v>
      </c>
      <c r="EC177" s="39">
        <f>STDEV(Table1[IVR])</f>
        <v>3.2034190926128963</v>
      </c>
      <c r="ED177" s="39">
        <f>STDEV(Table1[SVR])</f>
        <v>1.1370294695906316</v>
      </c>
      <c r="EE177" s="39">
        <f>STDEV(Table1[CVR])</f>
        <v>0.52110774220328016</v>
      </c>
      <c r="EF177" s="39">
        <f>STDEV(Table1[RI1])</f>
        <v>0.9991338865210081</v>
      </c>
      <c r="EG177" s="39">
        <f>STDEV(Table1[RI2])</f>
        <v>0.86582753010184399</v>
      </c>
      <c r="EH177" s="39">
        <f>STDEV(Table1[RI3])</f>
        <v>1.0338056191319347</v>
      </c>
      <c r="EI177" s="39">
        <f>STDEV(Table1[RI4])</f>
        <v>1.0686351566577221</v>
      </c>
      <c r="EJ177" s="39">
        <f>STDEV(Table1[RI5])</f>
        <v>1.3312816381542163</v>
      </c>
      <c r="EK177" s="39">
        <f>STDEV(Table1[RI6])</f>
        <v>1.209854207905402</v>
      </c>
      <c r="EL177" s="39">
        <f>STDEV(Table1[RI7])</f>
        <v>0.88905520732778276</v>
      </c>
      <c r="EM177" s="39">
        <f>STDEV(Table1[RI8])</f>
        <v>1.3788683180881474</v>
      </c>
      <c r="EN177" s="39">
        <f>STDEV(Table1[RI9])</f>
        <v>1.070397765724783</v>
      </c>
      <c r="EO177" s="39">
        <f>STDEV(Table1[RI10])</f>
        <v>0.83380938783279201</v>
      </c>
      <c r="EP177" s="39">
        <f>STDEV(Table1[RI11])</f>
        <v>1.3228756555322954</v>
      </c>
      <c r="EQ177" s="39">
        <f>STDEV(Table1[RI12])</f>
        <v>0.81649658092772603</v>
      </c>
      <c r="ER177" s="39">
        <f>STDEV(Table1[RI13])</f>
        <v>0</v>
      </c>
      <c r="ES177" s="39">
        <f>STDEV(Table1[RT])</f>
        <v>3.1042186514902603</v>
      </c>
      <c r="ET177" s="39">
        <f>STDEV(Table1[OI1])</f>
        <v>1.0340498402964007</v>
      </c>
      <c r="EU177" s="39">
        <f>STDEV(Table1[OI2])</f>
        <v>0.70473063200735675</v>
      </c>
      <c r="EV177" s="39">
        <f>STDEV(Table1[OI3])</f>
        <v>1.0111919691485534</v>
      </c>
      <c r="EW177" s="39">
        <f>STDEV(Table1[OI4])</f>
        <v>0.99265028686883372</v>
      </c>
      <c r="EX177" s="39">
        <f>STDEV(Table1[OI5])</f>
        <v>0.86014278464964733</v>
      </c>
      <c r="EY177" s="39">
        <f>STDEV(Table1[OI6])</f>
        <v>1.1948232614379228</v>
      </c>
      <c r="EZ177" s="39">
        <f>STDEV(Table1[OI7])</f>
        <v>0.85451360508644836</v>
      </c>
      <c r="FA177" s="39">
        <f>STDEV(Table1[OI8])</f>
        <v>0.75209334245482962</v>
      </c>
      <c r="FB177" s="39">
        <f>STDEV(Table1[OI9])</f>
        <v>0.78344287562854353</v>
      </c>
      <c r="FC177" s="39">
        <f>STDEV(Table1[OI10])</f>
        <v>0.35186577527449842</v>
      </c>
      <c r="FD177" s="39">
        <f>STDEV(Table1[OI11])</f>
        <v>1.1180339887498949</v>
      </c>
      <c r="FE177" s="39">
        <f>STDEV(Table1[OI12])</f>
        <v>0.5</v>
      </c>
      <c r="FF177" s="39">
        <f>STDEV(Table1[OI13])</f>
        <v>0</v>
      </c>
      <c r="FG177" s="39">
        <f>STDEV(Table1[OT])</f>
        <v>3.0019833282410646</v>
      </c>
      <c r="FH177" s="39">
        <f>STDEV(Table1[RTAB])</f>
        <v>4.1566609053907584</v>
      </c>
      <c r="FI177" s="39">
        <f>STDEV(Table1[RTR])</f>
        <v>3.1042186514902603</v>
      </c>
      <c r="FJ177" s="39">
        <f>STDEV(Table1[RTH])</f>
        <v>3.5007806234705892</v>
      </c>
      <c r="FK177" s="39">
        <f>STDEV(Table1[RTBI])</f>
        <v>3.0562388513662562</v>
      </c>
      <c r="FL177" s="39">
        <f>STDEV(Table1[RTBB])</f>
        <v>2.4303144051007353</v>
      </c>
      <c r="FM177" s="39">
        <f>STDEV(Table1[RTSO])</f>
        <v>2.7944388072744024</v>
      </c>
      <c r="FN177" s="85"/>
      <c r="FO177" s="85"/>
      <c r="FP177" s="85"/>
      <c r="FQ177" s="85"/>
      <c r="FR177" s="85"/>
      <c r="FS177" s="85"/>
      <c r="FT177" s="85"/>
      <c r="FU177" s="85"/>
      <c r="FV177" s="39">
        <f>STDEV(Table1[RD1])</f>
        <v>1.4153099410646373</v>
      </c>
      <c r="FW177" s="39">
        <f>STDEV(Table1[RD2])</f>
        <v>1.0528217963833002</v>
      </c>
      <c r="FX177" s="39">
        <f>STDEV(Table1[RD3])</f>
        <v>1.4965511176761113</v>
      </c>
      <c r="FY177" s="39">
        <f>STDEV(Table1[RD4])</f>
        <v>1.4401209978904685</v>
      </c>
      <c r="FZ177" s="39">
        <f>STDEV(Table1[RD5])</f>
        <v>1.5948025386974938</v>
      </c>
      <c r="GA177" s="39">
        <f>STDEV(Table1[RD6])</f>
        <v>1.6826542429164761</v>
      </c>
      <c r="GB177" s="39">
        <f>STDEV(Table1[RD7])</f>
        <v>1.1137264908794013</v>
      </c>
      <c r="GC177" s="39">
        <f>STDEV(Table1[RD8])</f>
        <v>1.4994648301016056</v>
      </c>
      <c r="GD177" s="39">
        <f>STDEV(Table1[RD9])</f>
        <v>1.1471994865135744</v>
      </c>
      <c r="GI177" s="39">
        <f>STDEV(Table1[RDT])</f>
        <v>4.1428569651604228</v>
      </c>
      <c r="GJ177" s="86" t="s">
        <v>232</v>
      </c>
    </row>
    <row r="178" spans="1:192" x14ac:dyDescent="0.25">
      <c r="A178" s="87" t="s">
        <v>265</v>
      </c>
      <c r="B178" s="83"/>
      <c r="C178" s="83"/>
      <c r="D178" s="83"/>
      <c r="E178" s="84">
        <f>(E181+(3*E177))</f>
        <v>56564.664517266006</v>
      </c>
      <c r="F178" s="84">
        <f>(F181+(3*F177))</f>
        <v>264.14686230703165</v>
      </c>
      <c r="G178" s="84"/>
      <c r="H178" s="84"/>
      <c r="I178" s="84"/>
      <c r="J178" s="84"/>
      <c r="K178" s="84">
        <f t="shared" ref="K178:W178" si="230">(K181+(3*K177))</f>
        <v>10.391714008920919</v>
      </c>
      <c r="L178" s="84">
        <f t="shared" si="230"/>
        <v>12.872849910980618</v>
      </c>
      <c r="M178" s="84">
        <f t="shared" si="230"/>
        <v>8.8972617075746498</v>
      </c>
      <c r="N178" s="84">
        <f t="shared" si="230"/>
        <v>8.747392945629727</v>
      </c>
      <c r="O178" s="84">
        <f t="shared" si="230"/>
        <v>5.8692858550473757</v>
      </c>
      <c r="P178" s="84">
        <f t="shared" si="230"/>
        <v>12.393450741070403</v>
      </c>
      <c r="Q178" s="84">
        <f t="shared" si="230"/>
        <v>3.6396594795464594</v>
      </c>
      <c r="R178" s="84">
        <f t="shared" si="230"/>
        <v>1.4830923151263309</v>
      </c>
      <c r="S178" s="84">
        <f t="shared" si="230"/>
        <v>38.709198570051093</v>
      </c>
      <c r="T178" s="84">
        <f t="shared" si="230"/>
        <v>144.66157837653319</v>
      </c>
      <c r="U178" s="84">
        <f t="shared" si="230"/>
        <v>96.272707306540553</v>
      </c>
      <c r="V178" s="84">
        <f t="shared" si="230"/>
        <v>2.9855627692969708</v>
      </c>
      <c r="W178" s="84">
        <f t="shared" si="230"/>
        <v>1.8145036079827859</v>
      </c>
      <c r="X178" s="84"/>
      <c r="Y178" s="84"/>
      <c r="Z178" s="84"/>
      <c r="AA178" s="84"/>
      <c r="AB178" s="84"/>
      <c r="AC178" s="84">
        <f t="shared" ref="AC178:AM178" si="231">(AC181+(3*AC177))</f>
        <v>7.2488384500587593</v>
      </c>
      <c r="AD178" s="84">
        <f t="shared" si="231"/>
        <v>8.8796035475035513</v>
      </c>
      <c r="AE178" s="84">
        <f t="shared" si="231"/>
        <v>5.8228838130872473</v>
      </c>
      <c r="AF178" s="84">
        <f t="shared" si="231"/>
        <v>5.6561681083927464</v>
      </c>
      <c r="AG178" s="84">
        <f t="shared" si="231"/>
        <v>4.4541157917733543</v>
      </c>
      <c r="AH178" s="84">
        <f t="shared" si="231"/>
        <v>7.9033944638139033</v>
      </c>
      <c r="AI178" s="84">
        <f t="shared" si="231"/>
        <v>2.0073129157558469</v>
      </c>
      <c r="AJ178" s="84">
        <f t="shared" si="231"/>
        <v>1.0964214266909809</v>
      </c>
      <c r="AK178" s="84">
        <f t="shared" si="231"/>
        <v>31.156966594808495</v>
      </c>
      <c r="AL178" s="84">
        <f t="shared" si="231"/>
        <v>122.69568108983178</v>
      </c>
      <c r="AM178" s="84">
        <f t="shared" si="231"/>
        <v>76.430803792899042</v>
      </c>
      <c r="AN178" s="84"/>
      <c r="AO178" s="84">
        <f t="shared" ref="AO178:AW178" si="232">(AO181+(3*AO177))</f>
        <v>6.5629625504845031</v>
      </c>
      <c r="AP178" s="84">
        <f t="shared" si="232"/>
        <v>3.0256174016089954</v>
      </c>
      <c r="AQ178" s="84">
        <f t="shared" si="232"/>
        <v>3.6366386194442635</v>
      </c>
      <c r="AR178" s="84">
        <f t="shared" si="232"/>
        <v>2.7517741911407736</v>
      </c>
      <c r="AS178" s="84">
        <f t="shared" si="232"/>
        <v>2.9747332138336868</v>
      </c>
      <c r="AT178" s="84">
        <f t="shared" si="232"/>
        <v>3.1813634966149111</v>
      </c>
      <c r="AU178" s="84">
        <f t="shared" si="232"/>
        <v>0.59594040820564498</v>
      </c>
      <c r="AV178" s="84">
        <f t="shared" si="232"/>
        <v>0.48403147967951715</v>
      </c>
      <c r="AW178" s="84">
        <f t="shared" si="232"/>
        <v>6.398066468958401</v>
      </c>
      <c r="AX178" s="84"/>
      <c r="AY178" s="84">
        <f t="shared" ref="AY178:BG178" si="233">(AY181+(3*AY177))</f>
        <v>6.8675834753528164</v>
      </c>
      <c r="AZ178" s="84">
        <f t="shared" si="233"/>
        <v>3.1162585101364537</v>
      </c>
      <c r="BA178" s="84">
        <f t="shared" si="233"/>
        <v>4.2094973552974801</v>
      </c>
      <c r="BB178" s="84">
        <f t="shared" si="233"/>
        <v>3.0412335200515961</v>
      </c>
      <c r="BC178" s="84">
        <f t="shared" si="233"/>
        <v>2.3401838871861718</v>
      </c>
      <c r="BD178" s="84">
        <f t="shared" si="233"/>
        <v>3.2490210763650831</v>
      </c>
      <c r="BE178" s="84">
        <f t="shared" si="233"/>
        <v>0.54274421473629586</v>
      </c>
      <c r="BF178" s="84">
        <f t="shared" si="233"/>
        <v>0.81226136509282931</v>
      </c>
      <c r="BG178" s="84">
        <f t="shared" si="233"/>
        <v>7.2578383892655705</v>
      </c>
      <c r="BH178" s="84"/>
      <c r="BI178" s="84">
        <f t="shared" ref="BI178:BQ178" si="234">(BI181+(3*BI177))</f>
        <v>6.4809668386850969</v>
      </c>
      <c r="BJ178" s="84">
        <f t="shared" si="234"/>
        <v>2.5983125109411431</v>
      </c>
      <c r="BK178" s="84">
        <f t="shared" si="234"/>
        <v>4.0055828167637504</v>
      </c>
      <c r="BL178" s="84">
        <f t="shared" si="234"/>
        <v>3.1079157175859073</v>
      </c>
      <c r="BM178" s="84">
        <f t="shared" si="234"/>
        <v>2.5371507327006344</v>
      </c>
      <c r="BN178" s="84">
        <f t="shared" si="234"/>
        <v>3.2294345002165321</v>
      </c>
      <c r="BO178" s="84">
        <f t="shared" si="234"/>
        <v>0.64491710393202983</v>
      </c>
      <c r="BP178" s="84">
        <f t="shared" si="234"/>
        <v>0.64491710393202983</v>
      </c>
      <c r="BQ178" s="84">
        <f t="shared" si="234"/>
        <v>7.3795434968000828</v>
      </c>
      <c r="BR178" s="84"/>
      <c r="BS178" s="84">
        <f t="shared" ref="BS178:CA178" si="235">(BS181+(3*BS177))</f>
        <v>6.2064574851082135</v>
      </c>
      <c r="BT178" s="84">
        <f t="shared" si="235"/>
        <v>2.676211989931268</v>
      </c>
      <c r="BU178" s="84">
        <f t="shared" si="235"/>
        <v>3.5638478561675235</v>
      </c>
      <c r="BV178" s="84">
        <f t="shared" si="235"/>
        <v>3.5239837881131293</v>
      </c>
      <c r="BW178" s="84">
        <f t="shared" si="235"/>
        <v>2.4073849185737983</v>
      </c>
      <c r="BX178" s="84">
        <f t="shared" si="235"/>
        <v>3.4909331015813336</v>
      </c>
      <c r="BY178" s="84">
        <f t="shared" si="235"/>
        <v>0.69052166577533047</v>
      </c>
      <c r="BZ178" s="84">
        <f t="shared" si="235"/>
        <v>0.88404100315693745</v>
      </c>
      <c r="CA178" s="84">
        <f t="shared" si="235"/>
        <v>7.4019523769874773</v>
      </c>
      <c r="CB178" s="84"/>
      <c r="CC178" s="84">
        <f t="shared" ref="CC178:CK178" si="236">(CC181+(3*CC177))</f>
        <v>5.9928897931736023</v>
      </c>
      <c r="CD178" s="84">
        <f t="shared" si="236"/>
        <v>2.3945616329278128</v>
      </c>
      <c r="CE178" s="84">
        <f t="shared" si="236"/>
        <v>3.1572784990120049</v>
      </c>
      <c r="CF178" s="84">
        <f t="shared" si="236"/>
        <v>3.5496558473002753</v>
      </c>
      <c r="CG178" s="84">
        <f t="shared" si="236"/>
        <v>2.5784790090042806</v>
      </c>
      <c r="CH178" s="84">
        <f t="shared" si="236"/>
        <v>3.459487320035243</v>
      </c>
      <c r="CI178" s="84">
        <f t="shared" si="236"/>
        <v>0.64491710393202983</v>
      </c>
      <c r="CJ178" s="84">
        <f t="shared" si="236"/>
        <v>0.54274421473629586</v>
      </c>
      <c r="CK178" s="84">
        <f t="shared" si="236"/>
        <v>6.4999002057497659</v>
      </c>
      <c r="CL178" s="84"/>
      <c r="CM178" s="84">
        <f t="shared" ref="CM178:CU178" si="237">(CM181+(3*CM177))</f>
        <v>6.217243756230717</v>
      </c>
      <c r="CN178" s="84">
        <f t="shared" si="237"/>
        <v>2.3877019114839388</v>
      </c>
      <c r="CO178" s="84">
        <f t="shared" si="237"/>
        <v>3.0882246611954054</v>
      </c>
      <c r="CP178" s="84">
        <f t="shared" si="237"/>
        <v>2.8836130625488692</v>
      </c>
      <c r="CQ178" s="84">
        <f t="shared" si="237"/>
        <v>2.4811204119521402</v>
      </c>
      <c r="CR178" s="84">
        <f t="shared" si="237"/>
        <v>3.7668014213496779</v>
      </c>
      <c r="CS178" s="84">
        <f t="shared" si="237"/>
        <v>0.54274421473629586</v>
      </c>
      <c r="CT178" s="84">
        <f t="shared" si="237"/>
        <v>0.54274421473629586</v>
      </c>
      <c r="CU178" s="84">
        <f t="shared" si="237"/>
        <v>6.2383586774432551</v>
      </c>
      <c r="CV178" s="84"/>
      <c r="CW178" s="84">
        <f t="shared" ref="CW178:DE178" si="238">(CW181+(3*CW177))</f>
        <v>6.1104291424870034</v>
      </c>
      <c r="CX178" s="84">
        <f t="shared" si="238"/>
        <v>2.4010580444812231</v>
      </c>
      <c r="CY178" s="84">
        <f t="shared" si="238"/>
        <v>3.2509289970907509</v>
      </c>
      <c r="CZ178" s="84">
        <f t="shared" si="238"/>
        <v>2.9197397561937444</v>
      </c>
      <c r="DA178" s="84">
        <f t="shared" si="238"/>
        <v>2.533893747966812</v>
      </c>
      <c r="DB178" s="84">
        <f t="shared" si="238"/>
        <v>3.6778168890237533</v>
      </c>
      <c r="DC178" s="84">
        <f t="shared" si="238"/>
        <v>0.69052166577533047</v>
      </c>
      <c r="DD178" s="84">
        <f t="shared" si="238"/>
        <v>0.54274421473629586</v>
      </c>
      <c r="DE178" s="84">
        <f t="shared" si="238"/>
        <v>6.3413974532407398</v>
      </c>
      <c r="DF178" s="84"/>
      <c r="DG178" s="84">
        <f t="shared" ref="DG178:DO178" si="239">(DG181+(3*DG177))</f>
        <v>5.9016056983980238</v>
      </c>
      <c r="DH178" s="84">
        <f t="shared" si="239"/>
        <v>2.567610401343345</v>
      </c>
      <c r="DI178" s="84">
        <f t="shared" si="239"/>
        <v>3.2142502019596524</v>
      </c>
      <c r="DJ178" s="84">
        <f t="shared" si="239"/>
        <v>3.0486676121415894</v>
      </c>
      <c r="DK178" s="84">
        <f t="shared" si="239"/>
        <v>2.1188665660125334</v>
      </c>
      <c r="DL178" s="84">
        <f t="shared" si="239"/>
        <v>3.2275537278695641</v>
      </c>
      <c r="DM178" s="84">
        <f t="shared" si="239"/>
        <v>0.54274421473629586</v>
      </c>
      <c r="DN178" s="84">
        <f t="shared" si="239"/>
        <v>0.33929107556972682</v>
      </c>
      <c r="DO178" s="84">
        <f t="shared" si="239"/>
        <v>6.0571028058599117</v>
      </c>
      <c r="DP178" s="84"/>
      <c r="DQ178" s="84">
        <f t="shared" ref="DQ178:FG178" si="240">(DQ181+(3*DQ177))</f>
        <v>5.9201197505402048</v>
      </c>
      <c r="DR178" s="84">
        <f t="shared" si="240"/>
        <v>2.4841459701495978</v>
      </c>
      <c r="DS178" s="84">
        <f t="shared" si="240"/>
        <v>3.2937191635554401</v>
      </c>
      <c r="DT178" s="84">
        <f t="shared" si="240"/>
        <v>3.0828808756268735</v>
      </c>
      <c r="DU178" s="84">
        <f t="shared" si="240"/>
        <v>1.848825005413175</v>
      </c>
      <c r="DV178" s="84">
        <f t="shared" si="240"/>
        <v>3.6502640651643645</v>
      </c>
      <c r="DW178" s="84">
        <f t="shared" si="240"/>
        <v>0.80893442510835423</v>
      </c>
      <c r="DX178" s="84">
        <f t="shared" si="240"/>
        <v>0.54274421473629586</v>
      </c>
      <c r="DY178" s="84">
        <f t="shared" si="240"/>
        <v>5.6837668553098162</v>
      </c>
      <c r="DZ178" s="84">
        <f t="shared" si="240"/>
        <v>11.924796604891833</v>
      </c>
      <c r="EA178" s="84">
        <f t="shared" si="240"/>
        <v>1.844919264077447</v>
      </c>
      <c r="EB178" s="84">
        <f t="shared" si="240"/>
        <v>0.97779227068864139</v>
      </c>
      <c r="EC178" s="84">
        <f t="shared" si="240"/>
        <v>15.576325142110147</v>
      </c>
      <c r="ED178" s="84">
        <f t="shared" si="240"/>
        <v>4.2314476902090208</v>
      </c>
      <c r="EE178" s="84">
        <f t="shared" si="240"/>
        <v>1.766916040981098</v>
      </c>
      <c r="EF178" s="84">
        <f t="shared" si="240"/>
        <v>3.4824315996827848</v>
      </c>
      <c r="EG178" s="84">
        <f t="shared" si="240"/>
        <v>2.9567640274312805</v>
      </c>
      <c r="EH178" s="84">
        <f t="shared" si="240"/>
        <v>3.6463270370365226</v>
      </c>
      <c r="EI178" s="84">
        <f t="shared" si="240"/>
        <v>3.7388396017096936</v>
      </c>
      <c r="EJ178" s="84">
        <f t="shared" si="240"/>
        <v>4.7064197647620496</v>
      </c>
      <c r="EK178" s="84">
        <f t="shared" si="240"/>
        <v>4.258305138686266</v>
      </c>
      <c r="EL178" s="84">
        <f t="shared" si="240"/>
        <v>3.1102793944384381</v>
      </c>
      <c r="EM178" s="84">
        <f t="shared" si="240"/>
        <v>4.8233519422162487</v>
      </c>
      <c r="EN178" s="84">
        <f t="shared" si="240"/>
        <v>3.7353868455614458</v>
      </c>
      <c r="EO178" s="84">
        <f t="shared" si="240"/>
        <v>2.9680948301650427</v>
      </c>
      <c r="EP178" s="84">
        <f t="shared" si="240"/>
        <v>4.6352936332635526</v>
      </c>
      <c r="EQ178" s="84">
        <f t="shared" si="240"/>
        <v>3.4494897427831779</v>
      </c>
      <c r="ER178" s="84">
        <f t="shared" ref="ER178" si="241">(ER181+(3*ER177))</f>
        <v>0</v>
      </c>
      <c r="ES178" s="84">
        <f t="shared" si="240"/>
        <v>14.192895475428866</v>
      </c>
      <c r="ET178" s="84">
        <f t="shared" si="240"/>
        <v>3.6410716765778246</v>
      </c>
      <c r="EU178" s="84">
        <f t="shared" si="240"/>
        <v>2.4734733331478189</v>
      </c>
      <c r="EV178" s="84">
        <f t="shared" si="240"/>
        <v>3.5425579433738035</v>
      </c>
      <c r="EW178" s="84">
        <f t="shared" si="240"/>
        <v>3.445016728869974</v>
      </c>
      <c r="EX178" s="84">
        <f t="shared" si="240"/>
        <v>3.0055780545477444</v>
      </c>
      <c r="EY178" s="84">
        <f t="shared" si="240"/>
        <v>4.2132122992838283</v>
      </c>
      <c r="EZ178" s="84">
        <f t="shared" si="240"/>
        <v>2.9852275622472968</v>
      </c>
      <c r="FA178" s="84">
        <f t="shared" si="240"/>
        <v>2.5635089430271392</v>
      </c>
      <c r="FB178" s="84">
        <f t="shared" si="240"/>
        <v>2.7079928604622729</v>
      </c>
      <c r="FC178" s="84">
        <f t="shared" si="240"/>
        <v>1.1889306591568285</v>
      </c>
      <c r="FD178" s="84">
        <f t="shared" si="240"/>
        <v>4.0207686329163517</v>
      </c>
      <c r="FE178" s="84">
        <f t="shared" si="240"/>
        <v>1.75</v>
      </c>
      <c r="FF178" s="84">
        <f t="shared" ref="FF178" si="242">(FF181+(3*FF177))</f>
        <v>1</v>
      </c>
      <c r="FG178" s="84">
        <f t="shared" si="240"/>
        <v>13.017926032627386</v>
      </c>
      <c r="FH178" s="84">
        <f t="shared" ref="FH178:FM178" si="243">(FH181+(3*FH177))</f>
        <v>46.068785111381857</v>
      </c>
      <c r="FI178" s="84">
        <f t="shared" si="243"/>
        <v>14.192895475428866</v>
      </c>
      <c r="FJ178" s="84">
        <f t="shared" si="243"/>
        <v>18.765814924303982</v>
      </c>
      <c r="FK178" s="84">
        <f t="shared" si="243"/>
        <v>13.845363260685595</v>
      </c>
      <c r="FL178" s="84">
        <f t="shared" si="243"/>
        <v>11.386751598535739</v>
      </c>
      <c r="FM178" s="84">
        <f t="shared" si="243"/>
        <v>16.44918468529626</v>
      </c>
      <c r="FN178" s="85"/>
      <c r="FO178" s="85"/>
      <c r="FP178" s="85"/>
      <c r="FQ178" s="85"/>
      <c r="FR178" s="85"/>
      <c r="FS178" s="85"/>
      <c r="FT178" s="85"/>
      <c r="FU178" s="85"/>
      <c r="FV178" s="84">
        <f t="shared" ref="FV178:GD178" si="244">(FV181+(3*FV177))</f>
        <v>4.192037607625049</v>
      </c>
      <c r="FW178" s="84">
        <f t="shared" si="244"/>
        <v>3.1584653891499004</v>
      </c>
      <c r="FX178" s="84">
        <f t="shared" si="244"/>
        <v>4.5255814967409087</v>
      </c>
      <c r="FY178" s="84">
        <f t="shared" si="244"/>
        <v>4.3862312571444599</v>
      </c>
      <c r="FZ178" s="84">
        <f t="shared" si="244"/>
        <v>5.0718327657930802</v>
      </c>
      <c r="GA178" s="84">
        <f t="shared" si="244"/>
        <v>5.0479627287494289</v>
      </c>
      <c r="GB178" s="84">
        <f t="shared" si="244"/>
        <v>3.3651315684465875</v>
      </c>
      <c r="GC178" s="84">
        <f t="shared" si="244"/>
        <v>4.875639999286852</v>
      </c>
      <c r="GD178" s="84">
        <f t="shared" si="244"/>
        <v>3.537406842774256</v>
      </c>
      <c r="GI178" s="84">
        <f>(GI181+(3*GI177))</f>
        <v>13.29683436853516</v>
      </c>
      <c r="GJ178" s="88" t="s">
        <v>265</v>
      </c>
    </row>
    <row r="179" spans="1:192" x14ac:dyDescent="0.25">
      <c r="A179" s="87" t="s">
        <v>266</v>
      </c>
      <c r="B179" s="83"/>
      <c r="C179" s="83"/>
      <c r="D179" s="83"/>
      <c r="E179" s="84">
        <f>(E181+(2*E177))</f>
        <v>46255.225446640412</v>
      </c>
      <c r="F179" s="84">
        <f>(F181+(2*F177))</f>
        <v>236.63957487135443</v>
      </c>
      <c r="G179" s="84"/>
      <c r="H179" s="84"/>
      <c r="I179" s="84"/>
      <c r="J179" s="84"/>
      <c r="K179" s="84">
        <f t="shared" ref="K179:W179" si="245">(K181+(2*K177))</f>
        <v>8.9790402108707674</v>
      </c>
      <c r="L179" s="84">
        <f t="shared" si="245"/>
        <v>10.571919900733587</v>
      </c>
      <c r="M179" s="84">
        <f t="shared" si="245"/>
        <v>6.8995716773052553</v>
      </c>
      <c r="N179" s="84">
        <f t="shared" si="245"/>
        <v>6.7437709457890804</v>
      </c>
      <c r="O179" s="84">
        <f t="shared" si="245"/>
        <v>4.5775278953808858</v>
      </c>
      <c r="P179" s="84">
        <f t="shared" si="245"/>
        <v>9.9070110728892509</v>
      </c>
      <c r="Q179" s="84">
        <f t="shared" si="245"/>
        <v>2.6939047228912525</v>
      </c>
      <c r="R179" s="84">
        <f t="shared" si="245"/>
        <v>1.0545964735572744</v>
      </c>
      <c r="S179" s="84">
        <f t="shared" si="245"/>
        <v>34.504735174445244</v>
      </c>
      <c r="T179" s="84">
        <f t="shared" si="245"/>
        <v>129.40512410730955</v>
      </c>
      <c r="U179" s="84">
        <f t="shared" si="245"/>
        <v>85.261645190388307</v>
      </c>
      <c r="V179" s="84">
        <f t="shared" si="245"/>
        <v>2.1839879539824114</v>
      </c>
      <c r="W179" s="84">
        <f t="shared" si="245"/>
        <v>1.2835213673977055</v>
      </c>
      <c r="X179" s="84"/>
      <c r="Y179" s="84"/>
      <c r="Z179" s="84"/>
      <c r="AA179" s="84"/>
      <c r="AB179" s="84"/>
      <c r="AC179" s="84">
        <f t="shared" ref="AC179:AM179" si="246">(AC181+(2*AC177))</f>
        <v>5.7726787271848821</v>
      </c>
      <c r="AD179" s="84">
        <f t="shared" si="246"/>
        <v>6.7081588520283155</v>
      </c>
      <c r="AE179" s="84">
        <f t="shared" si="246"/>
        <v>4.2511840191040733</v>
      </c>
      <c r="AF179" s="84">
        <f t="shared" si="246"/>
        <v>4.1180841281500538</v>
      </c>
      <c r="AG179" s="84">
        <f t="shared" si="246"/>
        <v>3.272803741421757</v>
      </c>
      <c r="AH179" s="84">
        <f t="shared" si="246"/>
        <v>6.0533607802671527</v>
      </c>
      <c r="AI179" s="84">
        <f t="shared" si="246"/>
        <v>1.4400050176895269</v>
      </c>
      <c r="AJ179" s="84">
        <f t="shared" si="246"/>
        <v>0.76288374553849814</v>
      </c>
      <c r="AK179" s="84">
        <f t="shared" si="246"/>
        <v>24.61163042448311</v>
      </c>
      <c r="AL179" s="84">
        <f t="shared" si="246"/>
        <v>96.69931633533696</v>
      </c>
      <c r="AM179" s="84">
        <f t="shared" si="246"/>
        <v>60.398978975705148</v>
      </c>
      <c r="AN179" s="84"/>
      <c r="AO179" s="84">
        <f t="shared" ref="AO179:AW179" si="247">(AO181+(2*AO177))</f>
        <v>5.7206177482271929</v>
      </c>
      <c r="AP179" s="84">
        <f t="shared" si="247"/>
        <v>2.2346431379988112</v>
      </c>
      <c r="AQ179" s="84">
        <f t="shared" si="247"/>
        <v>2.7657431115656372</v>
      </c>
      <c r="AR179" s="84">
        <f t="shared" si="247"/>
        <v>1.9622606384052266</v>
      </c>
      <c r="AS179" s="84">
        <f t="shared" si="247"/>
        <v>2.1827562742923181</v>
      </c>
      <c r="AT179" s="84">
        <f t="shared" si="247"/>
        <v>2.3624259638111385</v>
      </c>
      <c r="AU179" s="84">
        <f t="shared" si="247"/>
        <v>0.40926965337462162</v>
      </c>
      <c r="AV179" s="84">
        <f t="shared" si="247"/>
        <v>0.33067168505580585</v>
      </c>
      <c r="AW179" s="84">
        <f t="shared" si="247"/>
        <v>4.7783516978684748</v>
      </c>
      <c r="AX179" s="84"/>
      <c r="AY179" s="84">
        <f t="shared" ref="AY179:BG179" si="248">(AY181+(2*AY177))</f>
        <v>5.9316823967421968</v>
      </c>
      <c r="AZ179" s="84">
        <f t="shared" si="248"/>
        <v>2.3250106634442624</v>
      </c>
      <c r="BA179" s="84">
        <f t="shared" si="248"/>
        <v>3.1616209913560045</v>
      </c>
      <c r="BB179" s="84">
        <f t="shared" si="248"/>
        <v>2.1991456999944772</v>
      </c>
      <c r="BC179" s="84">
        <f t="shared" si="248"/>
        <v>1.6978471423556516</v>
      </c>
      <c r="BD179" s="84">
        <f t="shared" si="248"/>
        <v>2.435475128754367</v>
      </c>
      <c r="BE179" s="84">
        <f t="shared" si="248"/>
        <v>0.37180951641102356</v>
      </c>
      <c r="BF179" s="84">
        <f t="shared" si="248"/>
        <v>0.5634636645529042</v>
      </c>
      <c r="BG179" s="84">
        <f t="shared" si="248"/>
        <v>5.3974411617059896</v>
      </c>
      <c r="BH179" s="84"/>
      <c r="BI179" s="84">
        <f t="shared" ref="BI179:BQ179" si="249">(BI181+(2*BI177))</f>
        <v>5.6360138206004438</v>
      </c>
      <c r="BJ179" s="84">
        <f t="shared" si="249"/>
        <v>1.915841075158367</v>
      </c>
      <c r="BK179" s="84">
        <f t="shared" si="249"/>
        <v>3.0436420375231386</v>
      </c>
      <c r="BL179" s="84">
        <f t="shared" si="249"/>
        <v>2.2715446101271319</v>
      </c>
      <c r="BM179" s="84">
        <f t="shared" si="249"/>
        <v>1.8451264365708819</v>
      </c>
      <c r="BN179" s="84">
        <f t="shared" si="249"/>
        <v>2.4124373714018397</v>
      </c>
      <c r="BO179" s="84">
        <f t="shared" si="249"/>
        <v>0.44391679184291011</v>
      </c>
      <c r="BP179" s="84">
        <f t="shared" si="249"/>
        <v>0.44391679184291011</v>
      </c>
      <c r="BQ179" s="84">
        <f t="shared" si="249"/>
        <v>5.5244860836950647</v>
      </c>
      <c r="BR179" s="84"/>
      <c r="BS179" s="84">
        <f t="shared" ref="BS179:CA179" si="250">(BS181+(2*BS177))</f>
        <v>5.401111377297692</v>
      </c>
      <c r="BT179" s="84">
        <f t="shared" si="250"/>
        <v>1.957794021231624</v>
      </c>
      <c r="BU179" s="84">
        <f t="shared" si="250"/>
        <v>2.7032438801595866</v>
      </c>
      <c r="BV179" s="84">
        <f t="shared" si="250"/>
        <v>2.5828554595404891</v>
      </c>
      <c r="BW179" s="84">
        <f t="shared" si="250"/>
        <v>1.7685959337398178</v>
      </c>
      <c r="BX179" s="84">
        <f t="shared" si="250"/>
        <v>2.6586260597368572</v>
      </c>
      <c r="BY179" s="84">
        <f t="shared" si="250"/>
        <v>0.4763158410558091</v>
      </c>
      <c r="BZ179" s="84">
        <f t="shared" si="250"/>
        <v>0.61530877256370675</v>
      </c>
      <c r="CA179" s="84">
        <f t="shared" si="250"/>
        <v>5.507489209408817</v>
      </c>
      <c r="CB179" s="84"/>
      <c r="CC179" s="84">
        <f t="shared" ref="CC179:CK179" si="251">(CC181+(2*CC177))</f>
        <v>5.2267967882634396</v>
      </c>
      <c r="CD179" s="84">
        <f t="shared" si="251"/>
        <v>1.7560550606744298</v>
      </c>
      <c r="CE179" s="84">
        <f t="shared" si="251"/>
        <v>2.3763094185030131</v>
      </c>
      <c r="CF179" s="84">
        <f t="shared" si="251"/>
        <v>2.5780140778409022</v>
      </c>
      <c r="CG179" s="84">
        <f t="shared" si="251"/>
        <v>1.894634708597664</v>
      </c>
      <c r="CH179" s="84">
        <f t="shared" si="251"/>
        <v>2.6216941415005413</v>
      </c>
      <c r="CI179" s="84">
        <f t="shared" si="251"/>
        <v>0.44391679184291011</v>
      </c>
      <c r="CJ179" s="84">
        <f t="shared" si="251"/>
        <v>0.37180951641102356</v>
      </c>
      <c r="CK179" s="84">
        <f t="shared" si="251"/>
        <v>4.8182967439529376</v>
      </c>
      <c r="CL179" s="84"/>
      <c r="CM179" s="84">
        <f t="shared" ref="CM179:CU179" si="252">(CM181+(2*CM177))</f>
        <v>5.3584020251118956</v>
      </c>
      <c r="CN179" s="84">
        <f t="shared" si="252"/>
        <v>1.7415018731250211</v>
      </c>
      <c r="CO179" s="84">
        <f t="shared" si="252"/>
        <v>2.3282775186412481</v>
      </c>
      <c r="CP179" s="84">
        <f t="shared" si="252"/>
        <v>2.0721093071683079</v>
      </c>
      <c r="CQ179" s="84">
        <f t="shared" si="252"/>
        <v>1.8237409532774747</v>
      </c>
      <c r="CR179" s="84">
        <f t="shared" si="252"/>
        <v>2.8485262968678491</v>
      </c>
      <c r="CS179" s="84">
        <f t="shared" si="252"/>
        <v>0.37180951641102356</v>
      </c>
      <c r="CT179" s="84">
        <f t="shared" si="252"/>
        <v>0.37180951641102356</v>
      </c>
      <c r="CU179" s="84">
        <f t="shared" si="252"/>
        <v>4.6100035893533873</v>
      </c>
      <c r="CV179" s="84"/>
      <c r="CW179" s="84">
        <f t="shared" ref="CW179:DE179" si="253">(CW181+(2*CW177))</f>
        <v>5.2472721229354473</v>
      </c>
      <c r="CX179" s="84">
        <f t="shared" si="253"/>
        <v>1.7623820096940688</v>
      </c>
      <c r="CY179" s="84">
        <f t="shared" si="253"/>
        <v>2.430759051952716</v>
      </c>
      <c r="CZ179" s="84">
        <f t="shared" si="253"/>
        <v>2.1001857855662887</v>
      </c>
      <c r="DA179" s="84">
        <f t="shared" si="253"/>
        <v>1.8349710814788724</v>
      </c>
      <c r="DB179" s="84">
        <f t="shared" si="253"/>
        <v>2.7931952912852971</v>
      </c>
      <c r="DC179" s="84">
        <f t="shared" si="253"/>
        <v>0.4763158410558091</v>
      </c>
      <c r="DD179" s="84">
        <f t="shared" si="253"/>
        <v>0.37180951641102356</v>
      </c>
      <c r="DE179" s="84">
        <f t="shared" si="253"/>
        <v>4.6826881225197745</v>
      </c>
      <c r="DF179" s="84"/>
      <c r="DG179" s="84">
        <f t="shared" ref="DG179:DO179" si="254">(DG181+(2*DG177))</f>
        <v>5.0960804456386031</v>
      </c>
      <c r="DH179" s="84">
        <f t="shared" si="254"/>
        <v>1.8833969541889766</v>
      </c>
      <c r="DI179" s="84">
        <f t="shared" si="254"/>
        <v>2.4282626096896682</v>
      </c>
      <c r="DJ179" s="84">
        <f t="shared" si="254"/>
        <v>2.186137689531519</v>
      </c>
      <c r="DK179" s="84">
        <f t="shared" si="254"/>
        <v>1.5343341977009701</v>
      </c>
      <c r="DL179" s="84">
        <f t="shared" si="254"/>
        <v>2.4191675551066556</v>
      </c>
      <c r="DM179" s="84">
        <f t="shared" si="254"/>
        <v>0.37180951641102356</v>
      </c>
      <c r="DN179" s="84">
        <f t="shared" si="254"/>
        <v>0.23018606634788177</v>
      </c>
      <c r="DO179" s="84">
        <f t="shared" si="254"/>
        <v>4.4831783176790623</v>
      </c>
      <c r="DP179" s="84"/>
      <c r="DQ179" s="84">
        <f t="shared" ref="DQ179:FG179" si="255">(DQ181+(2*DQ177))</f>
        <v>5.088463067226404</v>
      </c>
      <c r="DR179" s="84">
        <f t="shared" si="255"/>
        <v>1.8177739601396519</v>
      </c>
      <c r="DS179" s="84">
        <f t="shared" si="255"/>
        <v>2.4632778455639062</v>
      </c>
      <c r="DT179" s="84">
        <f t="shared" si="255"/>
        <v>2.2129385478231054</v>
      </c>
      <c r="DU179" s="84">
        <f t="shared" si="255"/>
        <v>1.3303543948263481</v>
      </c>
      <c r="DV179" s="84">
        <f t="shared" si="255"/>
        <v>2.7588586781734485</v>
      </c>
      <c r="DW179" s="84">
        <f t="shared" si="255"/>
        <v>0.5572536885951902</v>
      </c>
      <c r="DX179" s="84">
        <f t="shared" si="255"/>
        <v>0.37180951641102356</v>
      </c>
      <c r="DY179" s="84">
        <f t="shared" si="255"/>
        <v>4.1943675242983609</v>
      </c>
      <c r="DZ179" s="84">
        <f t="shared" si="255"/>
        <v>8.9239162994688073</v>
      </c>
      <c r="EA179" s="84">
        <f t="shared" si="255"/>
        <v>1.3077904874288768</v>
      </c>
      <c r="EB179" s="84">
        <f t="shared" si="255"/>
        <v>0.67581360960081083</v>
      </c>
      <c r="EC179" s="84">
        <f t="shared" si="255"/>
        <v>12.372906049497253</v>
      </c>
      <c r="ED179" s="84">
        <f t="shared" si="255"/>
        <v>3.094418220618389</v>
      </c>
      <c r="EE179" s="84">
        <f t="shared" si="255"/>
        <v>1.2458082987778178</v>
      </c>
      <c r="EF179" s="84">
        <f t="shared" si="255"/>
        <v>2.4832977131617766</v>
      </c>
      <c r="EG179" s="84">
        <f t="shared" si="255"/>
        <v>2.0909364973294364</v>
      </c>
      <c r="EH179" s="84">
        <f t="shared" si="255"/>
        <v>2.6125214179045879</v>
      </c>
      <c r="EI179" s="84">
        <f t="shared" si="255"/>
        <v>2.6702044450519713</v>
      </c>
      <c r="EJ179" s="84">
        <f t="shared" si="255"/>
        <v>3.3751381266078337</v>
      </c>
      <c r="EK179" s="84">
        <f t="shared" si="255"/>
        <v>3.0484509307808638</v>
      </c>
      <c r="EL179" s="84">
        <f t="shared" si="255"/>
        <v>2.2212241871106553</v>
      </c>
      <c r="EM179" s="84">
        <f t="shared" si="255"/>
        <v>3.4444836241281021</v>
      </c>
      <c r="EN179" s="84">
        <f t="shared" si="255"/>
        <v>2.6649890798366629</v>
      </c>
      <c r="EO179" s="84">
        <f t="shared" si="255"/>
        <v>2.1342854423322506</v>
      </c>
      <c r="EP179" s="84">
        <f t="shared" si="255"/>
        <v>3.3124179777312572</v>
      </c>
      <c r="EQ179" s="84">
        <f t="shared" si="255"/>
        <v>2.6329931618554521</v>
      </c>
      <c r="ER179" s="84">
        <f t="shared" ref="ER179" si="256">(ER181+(2*ER177))</f>
        <v>0</v>
      </c>
      <c r="ES179" s="84">
        <f t="shared" si="255"/>
        <v>11.088676823938606</v>
      </c>
      <c r="ET179" s="84">
        <f t="shared" si="255"/>
        <v>2.6070218362814241</v>
      </c>
      <c r="EU179" s="84">
        <f t="shared" si="255"/>
        <v>1.7687427011404619</v>
      </c>
      <c r="EV179" s="84">
        <f t="shared" si="255"/>
        <v>2.5313659742252503</v>
      </c>
      <c r="EW179" s="84">
        <f t="shared" si="255"/>
        <v>2.4523664420011406</v>
      </c>
      <c r="EX179" s="84">
        <f t="shared" si="255"/>
        <v>2.1454352698980972</v>
      </c>
      <c r="EY179" s="84">
        <f t="shared" si="255"/>
        <v>3.0183890378459055</v>
      </c>
      <c r="EZ179" s="84">
        <f t="shared" si="255"/>
        <v>2.1307139571608484</v>
      </c>
      <c r="FA179" s="84">
        <f t="shared" si="255"/>
        <v>1.8114156005723099</v>
      </c>
      <c r="FB179" s="84">
        <f t="shared" si="255"/>
        <v>1.9245499848337295</v>
      </c>
      <c r="FC179" s="84">
        <f t="shared" si="255"/>
        <v>0.83706488388233014</v>
      </c>
      <c r="FD179" s="84">
        <f t="shared" si="255"/>
        <v>2.9027346441664563</v>
      </c>
      <c r="FE179" s="84">
        <f t="shared" si="255"/>
        <v>1.25</v>
      </c>
      <c r="FF179" s="84">
        <f t="shared" ref="FF179" si="257">(FF181+(2*FF177))</f>
        <v>1</v>
      </c>
      <c r="FG179" s="84">
        <f t="shared" si="255"/>
        <v>10.015942704386321</v>
      </c>
      <c r="FH179" s="84">
        <f t="shared" ref="FH179:FM179" si="258">(FH181+(2*FH177))</f>
        <v>41.912124205991098</v>
      </c>
      <c r="FI179" s="84">
        <f t="shared" si="258"/>
        <v>11.088676823938606</v>
      </c>
      <c r="FJ179" s="84">
        <f t="shared" si="258"/>
        <v>15.265034300833396</v>
      </c>
      <c r="FK179" s="84">
        <f t="shared" si="258"/>
        <v>10.789124409319339</v>
      </c>
      <c r="FL179" s="84">
        <f t="shared" si="258"/>
        <v>8.9564371934350042</v>
      </c>
      <c r="FM179" s="84">
        <f t="shared" si="258"/>
        <v>13.654745878021858</v>
      </c>
      <c r="FN179" s="85"/>
      <c r="FO179" s="85"/>
      <c r="FP179" s="85"/>
      <c r="FQ179" s="85"/>
      <c r="FR179" s="85"/>
      <c r="FS179" s="85"/>
      <c r="FT179" s="85"/>
      <c r="FU179" s="85"/>
      <c r="FV179" s="84">
        <f t="shared" ref="FV179:GD179" si="259">(FV181+(2*FV177))</f>
        <v>2.7767276665604124</v>
      </c>
      <c r="FW179" s="84">
        <f t="shared" si="259"/>
        <v>2.1056435927666004</v>
      </c>
      <c r="FX179" s="84">
        <f t="shared" si="259"/>
        <v>3.0290303790647974</v>
      </c>
      <c r="FY179" s="84">
        <f t="shared" si="259"/>
        <v>2.9461102592539912</v>
      </c>
      <c r="FZ179" s="84">
        <f t="shared" si="259"/>
        <v>3.4770302270955864</v>
      </c>
      <c r="GA179" s="84">
        <f t="shared" si="259"/>
        <v>3.3653084858329523</v>
      </c>
      <c r="GB179" s="84">
        <f t="shared" si="259"/>
        <v>2.2514050775671861</v>
      </c>
      <c r="GC179" s="84">
        <f t="shared" si="259"/>
        <v>3.3761751691852471</v>
      </c>
      <c r="GD179" s="84">
        <f t="shared" si="259"/>
        <v>2.3902073562606816</v>
      </c>
      <c r="GI179" s="84">
        <f>(GI181+(2*GI177))</f>
        <v>9.1539774033747374</v>
      </c>
      <c r="GJ179" s="88" t="s">
        <v>266</v>
      </c>
    </row>
    <row r="180" spans="1:192" x14ac:dyDescent="0.25">
      <c r="A180" s="87" t="s">
        <v>267</v>
      </c>
      <c r="B180" s="83"/>
      <c r="C180" s="83"/>
      <c r="D180" s="83"/>
      <c r="E180" s="84">
        <f>(E181+E177)</f>
        <v>35945.786376014818</v>
      </c>
      <c r="F180" s="84">
        <f>(F181+F177)</f>
        <v>209.1322874356772</v>
      </c>
      <c r="G180" s="84"/>
      <c r="H180" s="84"/>
      <c r="I180" s="84"/>
      <c r="J180" s="84"/>
      <c r="K180" s="84">
        <f t="shared" ref="K180:W180" si="260">(K181+K177)</f>
        <v>7.5663664128206136</v>
      </c>
      <c r="L180" s="84">
        <f t="shared" si="260"/>
        <v>8.270989890486554</v>
      </c>
      <c r="M180" s="84">
        <f t="shared" si="260"/>
        <v>4.9018816470358608</v>
      </c>
      <c r="N180" s="84">
        <f t="shared" si="260"/>
        <v>4.7401489459484321</v>
      </c>
      <c r="O180" s="84">
        <f t="shared" si="260"/>
        <v>3.285769935714395</v>
      </c>
      <c r="P180" s="84">
        <f t="shared" si="260"/>
        <v>7.420571404708098</v>
      </c>
      <c r="Q180" s="84">
        <f t="shared" si="260"/>
        <v>1.7481499662360453</v>
      </c>
      <c r="R180" s="84">
        <f t="shared" si="260"/>
        <v>0.62610063198821808</v>
      </c>
      <c r="S180" s="84">
        <f t="shared" si="260"/>
        <v>30.300271778839388</v>
      </c>
      <c r="T180" s="84">
        <f t="shared" si="260"/>
        <v>114.14866983808591</v>
      </c>
      <c r="U180" s="84">
        <f t="shared" si="260"/>
        <v>74.250583074236062</v>
      </c>
      <c r="V180" s="84">
        <f t="shared" si="260"/>
        <v>1.3824131386678524</v>
      </c>
      <c r="W180" s="84">
        <f t="shared" si="260"/>
        <v>0.75253912681262514</v>
      </c>
      <c r="X180" s="84"/>
      <c r="Y180" s="84"/>
      <c r="Z180" s="84"/>
      <c r="AA180" s="84"/>
      <c r="AB180" s="84"/>
      <c r="AC180" s="84">
        <f t="shared" ref="AC180:AM180" si="261">(AC181+AC177)</f>
        <v>4.296519004311004</v>
      </c>
      <c r="AD180" s="84">
        <f t="shared" si="261"/>
        <v>4.5367141565530797</v>
      </c>
      <c r="AE180" s="84">
        <f t="shared" si="261"/>
        <v>2.6794842251208992</v>
      </c>
      <c r="AF180" s="84">
        <f t="shared" si="261"/>
        <v>2.5800001479073624</v>
      </c>
      <c r="AG180" s="84">
        <f t="shared" si="261"/>
        <v>2.0914916910701598</v>
      </c>
      <c r="AH180" s="84">
        <f t="shared" si="261"/>
        <v>4.2033270967204022</v>
      </c>
      <c r="AI180" s="84">
        <f t="shared" si="261"/>
        <v>0.87269711962320651</v>
      </c>
      <c r="AJ180" s="84">
        <f t="shared" si="261"/>
        <v>0.42934606438601552</v>
      </c>
      <c r="AK180" s="84">
        <f t="shared" si="261"/>
        <v>18.066294254157722</v>
      </c>
      <c r="AL180" s="84">
        <f t="shared" si="261"/>
        <v>70.702951580842125</v>
      </c>
      <c r="AM180" s="84">
        <f t="shared" si="261"/>
        <v>44.367154158511255</v>
      </c>
      <c r="AN180" s="84"/>
      <c r="AO180" s="84">
        <f t="shared" ref="AO180:AW180" si="262">(AO181+AO177)</f>
        <v>4.8782729459698837</v>
      </c>
      <c r="AP180" s="84">
        <f t="shared" si="262"/>
        <v>1.4436688743886272</v>
      </c>
      <c r="AQ180" s="84">
        <f t="shared" si="262"/>
        <v>1.8948476036870101</v>
      </c>
      <c r="AR180" s="84">
        <f t="shared" si="262"/>
        <v>1.1727470856696791</v>
      </c>
      <c r="AS180" s="84">
        <f t="shared" si="262"/>
        <v>1.3907793347509494</v>
      </c>
      <c r="AT180" s="84">
        <f t="shared" si="262"/>
        <v>1.5434884310073658</v>
      </c>
      <c r="AU180" s="84">
        <f t="shared" si="262"/>
        <v>0.22259889854359824</v>
      </c>
      <c r="AV180" s="84">
        <f t="shared" si="262"/>
        <v>0.17731189043209453</v>
      </c>
      <c r="AW180" s="84">
        <f t="shared" si="262"/>
        <v>3.1586369267785486</v>
      </c>
      <c r="AX180" s="84"/>
      <c r="AY180" s="84">
        <f t="shared" ref="AY180:BG180" si="263">(AY181+AY177)</f>
        <v>4.995781318131578</v>
      </c>
      <c r="AZ180" s="84">
        <f t="shared" si="263"/>
        <v>1.5337628167520714</v>
      </c>
      <c r="BA180" s="84">
        <f t="shared" si="263"/>
        <v>2.1137446274145293</v>
      </c>
      <c r="BB180" s="84">
        <f t="shared" si="263"/>
        <v>1.3570578799373583</v>
      </c>
      <c r="BC180" s="84">
        <f t="shared" si="263"/>
        <v>1.0555103975251312</v>
      </c>
      <c r="BD180" s="84">
        <f t="shared" si="263"/>
        <v>1.6219291811436505</v>
      </c>
      <c r="BE180" s="84">
        <f t="shared" si="263"/>
        <v>0.20087481808575131</v>
      </c>
      <c r="BF180" s="84">
        <f t="shared" si="263"/>
        <v>0.31466596401297903</v>
      </c>
      <c r="BG180" s="84">
        <f t="shared" si="263"/>
        <v>3.5370439341464079</v>
      </c>
      <c r="BH180" s="84"/>
      <c r="BI180" s="84">
        <f t="shared" ref="BI180:BQ180" si="264">(BI181+BI177)</f>
        <v>4.7910608025157906</v>
      </c>
      <c r="BJ180" s="84">
        <f t="shared" si="264"/>
        <v>1.2333696393755906</v>
      </c>
      <c r="BK180" s="84">
        <f t="shared" si="264"/>
        <v>2.0817012582825276</v>
      </c>
      <c r="BL180" s="84">
        <f t="shared" si="264"/>
        <v>1.4351735026683565</v>
      </c>
      <c r="BM180" s="84">
        <f t="shared" si="264"/>
        <v>1.1531021404411297</v>
      </c>
      <c r="BN180" s="84">
        <f t="shared" si="264"/>
        <v>1.5954402425871472</v>
      </c>
      <c r="BO180" s="84">
        <f t="shared" si="264"/>
        <v>0.24291647975379038</v>
      </c>
      <c r="BP180" s="84">
        <f t="shared" si="264"/>
        <v>0.24291647975379038</v>
      </c>
      <c r="BQ180" s="84">
        <f t="shared" si="264"/>
        <v>3.6694286705900474</v>
      </c>
      <c r="BR180" s="84"/>
      <c r="BS180" s="84">
        <f t="shared" ref="BS180:CA180" si="265">(BS181+BS177)</f>
        <v>4.5957652694871687</v>
      </c>
      <c r="BT180" s="84">
        <f t="shared" si="265"/>
        <v>1.2393760525319797</v>
      </c>
      <c r="BU180" s="84">
        <f t="shared" si="265"/>
        <v>1.8426399041516495</v>
      </c>
      <c r="BV180" s="84">
        <f t="shared" si="265"/>
        <v>1.6417271309678494</v>
      </c>
      <c r="BW180" s="84">
        <f t="shared" si="265"/>
        <v>1.1298069489058369</v>
      </c>
      <c r="BX180" s="84">
        <f t="shared" si="265"/>
        <v>1.8263190178923807</v>
      </c>
      <c r="BY180" s="84">
        <f t="shared" si="265"/>
        <v>0.26211001633628778</v>
      </c>
      <c r="BZ180" s="84">
        <f t="shared" si="265"/>
        <v>0.34657654197047616</v>
      </c>
      <c r="CA180" s="84">
        <f t="shared" si="265"/>
        <v>3.6130260418301572</v>
      </c>
      <c r="CB180" s="84"/>
      <c r="CC180" s="84">
        <f t="shared" ref="CC180:CK180" si="266">(CC181+CC177)</f>
        <v>4.460703783353277</v>
      </c>
      <c r="CD180" s="84">
        <f t="shared" si="266"/>
        <v>1.1175484884210474</v>
      </c>
      <c r="CE180" s="84">
        <f t="shared" si="266"/>
        <v>1.5953403379940214</v>
      </c>
      <c r="CF180" s="84">
        <f t="shared" si="266"/>
        <v>1.6063723083815289</v>
      </c>
      <c r="CG180" s="84">
        <f t="shared" si="266"/>
        <v>1.2107904081910477</v>
      </c>
      <c r="CH180" s="84">
        <f t="shared" si="266"/>
        <v>1.7839009629658396</v>
      </c>
      <c r="CI180" s="84">
        <f t="shared" si="266"/>
        <v>0.24291647975379038</v>
      </c>
      <c r="CJ180" s="84">
        <f t="shared" si="266"/>
        <v>0.20087481808575131</v>
      </c>
      <c r="CK180" s="84">
        <f t="shared" si="266"/>
        <v>3.1366932821561093</v>
      </c>
      <c r="CL180" s="84"/>
      <c r="CM180" s="84">
        <f t="shared" ref="CM180:CU180" si="267">(CM181+CM177)</f>
        <v>4.4995602939930732</v>
      </c>
      <c r="CN180" s="84">
        <f t="shared" si="267"/>
        <v>1.0953018347661034</v>
      </c>
      <c r="CO180" s="84">
        <f t="shared" si="267"/>
        <v>1.5683303760870912</v>
      </c>
      <c r="CP180" s="84">
        <f t="shared" si="267"/>
        <v>1.2606055517877466</v>
      </c>
      <c r="CQ180" s="84">
        <f t="shared" si="267"/>
        <v>1.1663614946028091</v>
      </c>
      <c r="CR180" s="84">
        <f t="shared" si="267"/>
        <v>1.9302511723860205</v>
      </c>
      <c r="CS180" s="84">
        <f t="shared" si="267"/>
        <v>0.20087481808575131</v>
      </c>
      <c r="CT180" s="84">
        <f t="shared" si="267"/>
        <v>0.20087481808575131</v>
      </c>
      <c r="CU180" s="84">
        <f t="shared" si="267"/>
        <v>2.9816485012635203</v>
      </c>
      <c r="CV180" s="84"/>
      <c r="CW180" s="84">
        <f t="shared" ref="CW180:DE180" si="268">(CW181+CW177)</f>
        <v>4.3841151033838912</v>
      </c>
      <c r="CX180" s="84">
        <f t="shared" si="268"/>
        <v>1.1237059749069147</v>
      </c>
      <c r="CY180" s="84">
        <f t="shared" si="268"/>
        <v>1.6105891068146814</v>
      </c>
      <c r="CZ180" s="84">
        <f t="shared" si="268"/>
        <v>1.2806318149388329</v>
      </c>
      <c r="DA180" s="84">
        <f t="shared" si="268"/>
        <v>1.1360484149909333</v>
      </c>
      <c r="DB180" s="84">
        <f t="shared" si="268"/>
        <v>1.90857369354684</v>
      </c>
      <c r="DC180" s="84">
        <f t="shared" si="268"/>
        <v>0.26211001633628778</v>
      </c>
      <c r="DD180" s="84">
        <f t="shared" si="268"/>
        <v>0.20087481808575131</v>
      </c>
      <c r="DE180" s="84">
        <f t="shared" si="268"/>
        <v>3.0239787917988097</v>
      </c>
      <c r="DF180" s="84"/>
      <c r="DG180" s="84">
        <f t="shared" ref="DG180:DO180" si="269">(DG181+DG177)</f>
        <v>4.2905551928791814</v>
      </c>
      <c r="DH180" s="84">
        <f t="shared" si="269"/>
        <v>1.199183507034608</v>
      </c>
      <c r="DI180" s="84">
        <f t="shared" si="269"/>
        <v>1.6422750174196845</v>
      </c>
      <c r="DJ180" s="84">
        <f t="shared" si="269"/>
        <v>1.3236077669214481</v>
      </c>
      <c r="DK180" s="84">
        <f t="shared" si="269"/>
        <v>0.94980182938940727</v>
      </c>
      <c r="DL180" s="84">
        <f t="shared" si="269"/>
        <v>1.6107813823437469</v>
      </c>
      <c r="DM180" s="84">
        <f t="shared" si="269"/>
        <v>0.20087481808575131</v>
      </c>
      <c r="DN180" s="84">
        <f t="shared" si="269"/>
        <v>0.12108105712603669</v>
      </c>
      <c r="DO180" s="84">
        <f t="shared" si="269"/>
        <v>2.9092538294982138</v>
      </c>
      <c r="DP180" s="84"/>
      <c r="DQ180" s="84">
        <f t="shared" ref="DQ180:FG180" si="270">(DQ181+DQ177)</f>
        <v>4.2568063839126031</v>
      </c>
      <c r="DR180" s="84">
        <f t="shared" si="270"/>
        <v>1.1514019501297061</v>
      </c>
      <c r="DS180" s="84">
        <f t="shared" si="270"/>
        <v>1.6328365275723722</v>
      </c>
      <c r="DT180" s="84">
        <f t="shared" si="270"/>
        <v>1.3429962200193371</v>
      </c>
      <c r="DU180" s="84">
        <f t="shared" si="270"/>
        <v>0.81188378423952134</v>
      </c>
      <c r="DV180" s="84">
        <f t="shared" si="270"/>
        <v>1.8674532911825326</v>
      </c>
      <c r="DW180" s="84">
        <f t="shared" si="270"/>
        <v>0.30557295208202623</v>
      </c>
      <c r="DX180" s="84">
        <f t="shared" si="270"/>
        <v>0.20087481808575131</v>
      </c>
      <c r="DY180" s="84">
        <f t="shared" si="270"/>
        <v>2.7049681932869047</v>
      </c>
      <c r="DZ180" s="84">
        <f t="shared" si="270"/>
        <v>5.9230359940457813</v>
      </c>
      <c r="EA180" s="84">
        <f t="shared" si="270"/>
        <v>0.77066171078030665</v>
      </c>
      <c r="EB180" s="84">
        <f t="shared" si="270"/>
        <v>0.37383494851298027</v>
      </c>
      <c r="EC180" s="84">
        <f t="shared" si="270"/>
        <v>9.1694869568843558</v>
      </c>
      <c r="ED180" s="84">
        <f t="shared" si="270"/>
        <v>1.9573887510277572</v>
      </c>
      <c r="EE180" s="84">
        <f t="shared" si="270"/>
        <v>0.72470055657453769</v>
      </c>
      <c r="EF180" s="84">
        <f t="shared" si="270"/>
        <v>1.4841638266407686</v>
      </c>
      <c r="EG180" s="84">
        <f t="shared" si="270"/>
        <v>1.2251089672275925</v>
      </c>
      <c r="EH180" s="84">
        <f t="shared" si="270"/>
        <v>1.5787157987726532</v>
      </c>
      <c r="EI180" s="84">
        <f t="shared" si="270"/>
        <v>1.6015692883942489</v>
      </c>
      <c r="EJ180" s="84">
        <f t="shared" si="270"/>
        <v>2.0438564884536174</v>
      </c>
      <c r="EK180" s="84">
        <f t="shared" si="270"/>
        <v>1.8385967228754618</v>
      </c>
      <c r="EL180" s="84">
        <f t="shared" si="270"/>
        <v>1.3321689797828726</v>
      </c>
      <c r="EM180" s="84">
        <f t="shared" si="270"/>
        <v>2.0656153060399545</v>
      </c>
      <c r="EN180" s="84">
        <f t="shared" si="270"/>
        <v>1.5945913141118797</v>
      </c>
      <c r="EO180" s="84">
        <f t="shared" si="270"/>
        <v>1.3004760544994587</v>
      </c>
      <c r="EP180" s="84">
        <f t="shared" si="270"/>
        <v>1.9895423221989619</v>
      </c>
      <c r="EQ180" s="84">
        <f t="shared" si="270"/>
        <v>1.816496580927726</v>
      </c>
      <c r="ER180" s="84">
        <f t="shared" ref="ER180" si="271">(ER181+ER177)</f>
        <v>0</v>
      </c>
      <c r="ES180" s="84">
        <f t="shared" si="270"/>
        <v>7.9844581724483445</v>
      </c>
      <c r="ET180" s="84">
        <f t="shared" si="270"/>
        <v>1.5729719959850235</v>
      </c>
      <c r="EU180" s="84">
        <f t="shared" si="270"/>
        <v>1.0640120691331052</v>
      </c>
      <c r="EV180" s="84">
        <f t="shared" si="270"/>
        <v>1.5201740050766972</v>
      </c>
      <c r="EW180" s="84">
        <f t="shared" si="270"/>
        <v>1.4597161551323068</v>
      </c>
      <c r="EX180" s="84">
        <f t="shared" si="270"/>
        <v>1.2852924852484497</v>
      </c>
      <c r="EY180" s="84">
        <f t="shared" si="270"/>
        <v>1.8235657764079827</v>
      </c>
      <c r="EZ180" s="84">
        <f t="shared" si="270"/>
        <v>1.2762003520744001</v>
      </c>
      <c r="FA180" s="84">
        <f t="shared" si="270"/>
        <v>1.0593222581174802</v>
      </c>
      <c r="FB180" s="84">
        <f t="shared" si="270"/>
        <v>1.1411071092051859</v>
      </c>
      <c r="FC180" s="84">
        <f t="shared" si="270"/>
        <v>0.48519910860783177</v>
      </c>
      <c r="FD180" s="84">
        <f t="shared" si="270"/>
        <v>1.7847006554165614</v>
      </c>
      <c r="FE180" s="84">
        <f t="shared" si="270"/>
        <v>0.75</v>
      </c>
      <c r="FF180" s="84">
        <f t="shared" ref="FF180" si="272">(FF181+FF177)</f>
        <v>1</v>
      </c>
      <c r="FG180" s="84">
        <f t="shared" si="270"/>
        <v>7.0139593761452561</v>
      </c>
      <c r="FH180" s="84">
        <f t="shared" ref="FH180:FM180" si="273">(FH181+FH177)</f>
        <v>37.75546330060034</v>
      </c>
      <c r="FI180" s="84">
        <f t="shared" si="273"/>
        <v>7.9844581724483445</v>
      </c>
      <c r="FJ180" s="84">
        <f t="shared" si="273"/>
        <v>11.764253677362806</v>
      </c>
      <c r="FK180" s="84">
        <f t="shared" si="273"/>
        <v>7.7328855579530824</v>
      </c>
      <c r="FL180" s="84">
        <f t="shared" si="273"/>
        <v>6.5261227883342681</v>
      </c>
      <c r="FM180" s="84">
        <f t="shared" si="273"/>
        <v>10.860307070747456</v>
      </c>
      <c r="FN180" s="85"/>
      <c r="FO180" s="85"/>
      <c r="FP180" s="85"/>
      <c r="FQ180" s="85"/>
      <c r="FR180" s="85"/>
      <c r="FS180" s="85"/>
      <c r="FT180" s="85"/>
      <c r="FU180" s="85"/>
      <c r="FV180" s="84">
        <f t="shared" ref="FV180:GD180" si="274">(FV181+FV177)</f>
        <v>1.3614177254957749</v>
      </c>
      <c r="FW180" s="84">
        <f t="shared" si="274"/>
        <v>1.0528217963833002</v>
      </c>
      <c r="FX180" s="84">
        <f t="shared" si="274"/>
        <v>1.5324792613886862</v>
      </c>
      <c r="FY180" s="84">
        <f t="shared" si="274"/>
        <v>1.5059892613635224</v>
      </c>
      <c r="FZ180" s="84">
        <f t="shared" si="274"/>
        <v>1.8822276883980926</v>
      </c>
      <c r="GA180" s="84">
        <f t="shared" si="274"/>
        <v>1.6826542429164761</v>
      </c>
      <c r="GB180" s="84">
        <f t="shared" si="274"/>
        <v>1.1376785866877845</v>
      </c>
      <c r="GC180" s="84">
        <f t="shared" si="274"/>
        <v>1.8767103390836415</v>
      </c>
      <c r="GD180" s="84">
        <f t="shared" si="274"/>
        <v>1.2430078697471074</v>
      </c>
      <c r="GI180" s="84">
        <f>(GI181+GI177)</f>
        <v>5.0111204382143146</v>
      </c>
      <c r="GJ180" s="88" t="s">
        <v>267</v>
      </c>
    </row>
    <row r="181" spans="1:192" x14ac:dyDescent="0.25">
      <c r="A181" s="82" t="s">
        <v>233</v>
      </c>
      <c r="B181" s="83"/>
      <c r="C181" s="83"/>
      <c r="D181" s="83"/>
      <c r="E181" s="39">
        <f>AVERAGE(Table1[Att])</f>
        <v>25636.347305389223</v>
      </c>
      <c r="F181" s="39">
        <f>AVERAGE(Table1[Time])</f>
        <v>181.625</v>
      </c>
      <c r="G181" s="84"/>
      <c r="H181" s="84"/>
      <c r="I181" s="84"/>
      <c r="J181" s="84"/>
      <c r="K181" s="39">
        <f>AVERAGE(Table1[S-IP])</f>
        <v>6.1536926147704607</v>
      </c>
      <c r="L181" s="39">
        <f>AVERAGE(Table1[S-H])</f>
        <v>5.9700598802395213</v>
      </c>
      <c r="M181" s="39">
        <f>AVERAGE(Table1[S-R])</f>
        <v>2.9041916167664672</v>
      </c>
      <c r="N181" s="39">
        <f>AVERAGE(Table1[S-ER])</f>
        <v>2.7365269461077846</v>
      </c>
      <c r="O181" s="39">
        <f>AVERAGE(Table1[S-BB])</f>
        <v>1.9940119760479043</v>
      </c>
      <c r="P181" s="39">
        <f>AVERAGE(Table1[S-SO])</f>
        <v>4.9341317365269459</v>
      </c>
      <c r="Q181" s="39">
        <f>AVERAGE(Table1[S-HR])</f>
        <v>0.80239520958083832</v>
      </c>
      <c r="R181" s="39">
        <f>AVERAGE(Table1[S-HBP])</f>
        <v>0.19760479041916168</v>
      </c>
      <c r="S181" s="39">
        <f>AVERAGE(Table1[S-BF])</f>
        <v>26.095808383233532</v>
      </c>
      <c r="T181" s="39">
        <f>AVERAGE(Table1[S-Pit])</f>
        <v>98.892215568862269</v>
      </c>
      <c r="U181" s="39">
        <f>AVERAGE(Table1[S-Str])</f>
        <v>63.23952095808383</v>
      </c>
      <c r="V181" s="39">
        <f>AVERAGE(Table1[IRL])</f>
        <v>0.58083832335329344</v>
      </c>
      <c r="W181" s="39">
        <f>AVERAGE(Table1[IRS])</f>
        <v>0.22155688622754491</v>
      </c>
      <c r="X181" s="84"/>
      <c r="Y181" s="84"/>
      <c r="Z181" s="84"/>
      <c r="AA181" s="84"/>
      <c r="AB181" s="84"/>
      <c r="AC181" s="39">
        <f>AVERAGE(Table1[B-IP])</f>
        <v>2.8203592814371259</v>
      </c>
      <c r="AD181" s="39">
        <f>AVERAGE(Table1[B-H])</f>
        <v>2.3652694610778444</v>
      </c>
      <c r="AE181" s="39">
        <f>AVERAGE(Table1[B-R])</f>
        <v>1.1077844311377245</v>
      </c>
      <c r="AF181" s="39">
        <f>AVERAGE(Table1[B-ER])</f>
        <v>1.0419161676646707</v>
      </c>
      <c r="AG181" s="39">
        <f>AVERAGE(Table1[B-BB])</f>
        <v>0.91017964071856283</v>
      </c>
      <c r="AH181" s="39">
        <f>AVERAGE(Table1[B-SO])</f>
        <v>2.3532934131736525</v>
      </c>
      <c r="AI181" s="39">
        <f>AVERAGE(Table1[B-HR])</f>
        <v>0.30538922155688625</v>
      </c>
      <c r="AJ181" s="39">
        <f>AVERAGE(Table1[B-HBP])</f>
        <v>9.580838323353294E-2</v>
      </c>
      <c r="AK181" s="39">
        <f>AVERAGE(Table1[B-BF])</f>
        <v>11.520958083832335</v>
      </c>
      <c r="AL181" s="39">
        <f>AVERAGE(Table1[B-Pit])</f>
        <v>44.706586826347305</v>
      </c>
      <c r="AM181" s="39">
        <f>AVERAGE(Table1[B-Str])</f>
        <v>28.335329341317365</v>
      </c>
      <c r="AN181" s="84"/>
      <c r="AO181" s="39">
        <f>AVERAGE(Table1[AB1])</f>
        <v>4.0359281437125745</v>
      </c>
      <c r="AP181" s="39">
        <f>AVERAGE(Table1[R1])</f>
        <v>0.65269461077844315</v>
      </c>
      <c r="AQ181" s="39">
        <f>AVERAGE(Table1[H1])</f>
        <v>1.0239520958083832</v>
      </c>
      <c r="AR181" s="39">
        <f>AVERAGE(Table1[RBI1])</f>
        <v>0.38323353293413176</v>
      </c>
      <c r="AS181" s="39">
        <f>AVERAGE(Table1[BB1])</f>
        <v>0.59880239520958078</v>
      </c>
      <c r="AT181" s="39">
        <f>AVERAGE(Table1[SO1])</f>
        <v>0.72455089820359286</v>
      </c>
      <c r="AU181" s="39">
        <f>AVERAGE(Table1[HBP1])</f>
        <v>3.5928143712574849E-2</v>
      </c>
      <c r="AV181" s="39">
        <f>AVERAGE(Table1[SF1])</f>
        <v>2.3952095808383235E-2</v>
      </c>
      <c r="AW181" s="39">
        <f>AVERAGE(Table1[TB1])</f>
        <v>1.5389221556886228</v>
      </c>
      <c r="AX181" s="84"/>
      <c r="AY181" s="39">
        <f>AVERAGE(Table1[AB2])</f>
        <v>4.0598802395209583</v>
      </c>
      <c r="AZ181" s="39">
        <f>AVERAGE(Table1[R2])</f>
        <v>0.74251497005988021</v>
      </c>
      <c r="BA181" s="39">
        <f>AVERAGE(Table1[H2])</f>
        <v>1.0658682634730539</v>
      </c>
      <c r="BB181" s="39">
        <f>AVERAGE(Table1[RBI2])</f>
        <v>0.51497005988023947</v>
      </c>
      <c r="BC181" s="39">
        <f>AVERAGE(Table1[BB2])</f>
        <v>0.41317365269461076</v>
      </c>
      <c r="BD181" s="39">
        <f>AVERAGE(Table1[SO2])</f>
        <v>0.80838323353293418</v>
      </c>
      <c r="BE181" s="39">
        <f>AVERAGE(Table1[HBP2])</f>
        <v>2.9940119760479042E-2</v>
      </c>
      <c r="BF181" s="39">
        <f>AVERAGE(Table1[SF2])</f>
        <v>6.5868263473053898E-2</v>
      </c>
      <c r="BG181" s="39">
        <f>AVERAGE(Table1[TB2])</f>
        <v>1.6766467065868262</v>
      </c>
      <c r="BH181" s="84"/>
      <c r="BI181" s="39">
        <f>AVERAGE(Table1[AB3])</f>
        <v>3.9461077844311379</v>
      </c>
      <c r="BJ181" s="39">
        <f>AVERAGE(Table1[R3])</f>
        <v>0.55089820359281438</v>
      </c>
      <c r="BK181" s="39">
        <f>AVERAGE(Table1[H3])</f>
        <v>1.1197604790419162</v>
      </c>
      <c r="BL181" s="39">
        <f>AVERAGE(Table1[RBI3])</f>
        <v>0.59880239520958078</v>
      </c>
      <c r="BM181" s="39">
        <f>AVERAGE(Table1[BB3])</f>
        <v>0.46107784431137727</v>
      </c>
      <c r="BN181" s="39">
        <f>AVERAGE(Table1[SO3])</f>
        <v>0.77844311377245512</v>
      </c>
      <c r="BO181" s="39">
        <f>AVERAGE(Table1[HBP3])</f>
        <v>4.1916167664670656E-2</v>
      </c>
      <c r="BP181" s="39">
        <f>AVERAGE(Table1[SF3])</f>
        <v>4.1916167664670656E-2</v>
      </c>
      <c r="BQ181" s="39">
        <f>AVERAGE(Table1[TB3])</f>
        <v>1.8143712574850299</v>
      </c>
      <c r="BR181" s="84"/>
      <c r="BS181" s="39">
        <f>AVERAGE(Table1[AB4])</f>
        <v>3.7904191616766467</v>
      </c>
      <c r="BT181" s="39">
        <f>AVERAGE(Table1[R4])</f>
        <v>0.52095808383233533</v>
      </c>
      <c r="BU181" s="39">
        <f>AVERAGE(Table1[H4])</f>
        <v>0.98203592814371254</v>
      </c>
      <c r="BV181" s="39">
        <f>AVERAGE(Table1[RBI4])</f>
        <v>0.70059880239520955</v>
      </c>
      <c r="BW181" s="39">
        <f>AVERAGE(Table1[BB4])</f>
        <v>0.49101796407185627</v>
      </c>
      <c r="BX181" s="39">
        <f>AVERAGE(Table1[SO4])</f>
        <v>0.99401197604790414</v>
      </c>
      <c r="BY181" s="39">
        <f>AVERAGE(Table1[HBP4])</f>
        <v>4.790419161676647E-2</v>
      </c>
      <c r="BZ181" s="39">
        <f>AVERAGE(Table1[SF4])</f>
        <v>7.7844311377245512E-2</v>
      </c>
      <c r="CA181" s="39">
        <f>AVERAGE(Table1[TB4])</f>
        <v>1.7185628742514969</v>
      </c>
      <c r="CB181" s="84"/>
      <c r="CC181" s="39">
        <f>AVERAGE(Table1[AB5])</f>
        <v>3.6946107784431139</v>
      </c>
      <c r="CD181" s="39">
        <f>AVERAGE(Table1[R5])</f>
        <v>0.47904191616766467</v>
      </c>
      <c r="CE181" s="39">
        <f>AVERAGE(Table1[H5])</f>
        <v>0.81437125748502992</v>
      </c>
      <c r="CF181" s="39">
        <f>AVERAGE(Table1[RBI5])</f>
        <v>0.6347305389221557</v>
      </c>
      <c r="CG181" s="39">
        <f>AVERAGE(Table1[BB5])</f>
        <v>0.52694610778443118</v>
      </c>
      <c r="CH181" s="39">
        <f>AVERAGE(Table1[SO5])</f>
        <v>0.94610778443113774</v>
      </c>
      <c r="CI181" s="39">
        <f>AVERAGE(Table1[HBP5])</f>
        <v>4.1916167664670656E-2</v>
      </c>
      <c r="CJ181" s="39">
        <f>AVERAGE(Table1[SF5])</f>
        <v>2.9940119760479042E-2</v>
      </c>
      <c r="CK181" s="39">
        <f>AVERAGE(Table1[TB5])</f>
        <v>1.4550898203592815</v>
      </c>
      <c r="CL181" s="84"/>
      <c r="CM181" s="39">
        <f>AVERAGE(Table1[AB6])</f>
        <v>3.6407185628742513</v>
      </c>
      <c r="CN181" s="39">
        <f>AVERAGE(Table1[R6])</f>
        <v>0.44910179640718562</v>
      </c>
      <c r="CO181" s="39">
        <f>AVERAGE(Table1[H6])</f>
        <v>0.80838323353293418</v>
      </c>
      <c r="CP181" s="39">
        <f>AVERAGE(Table1[RBI6])</f>
        <v>0.44910179640718562</v>
      </c>
      <c r="CQ181" s="39">
        <f>AVERAGE(Table1[BB6])</f>
        <v>0.50898203592814373</v>
      </c>
      <c r="CR181" s="39">
        <f>AVERAGE(Table1[SO6])</f>
        <v>1.0119760479041917</v>
      </c>
      <c r="CS181" s="39">
        <f>AVERAGE(Table1[HBP6])</f>
        <v>2.9940119760479042E-2</v>
      </c>
      <c r="CT181" s="39">
        <f>AVERAGE(Table1[SF6])</f>
        <v>2.9940119760479042E-2</v>
      </c>
      <c r="CU181" s="39">
        <f>AVERAGE(Table1[TB6])</f>
        <v>1.3532934131736527</v>
      </c>
      <c r="CV181" s="84"/>
      <c r="CW181" s="39">
        <f>AVERAGE(Table1[AB7])</f>
        <v>3.5209580838323356</v>
      </c>
      <c r="CX181" s="39">
        <f>AVERAGE(Table1[R7])</f>
        <v>0.48502994011976047</v>
      </c>
      <c r="CY181" s="39">
        <f>AVERAGE(Table1[H7])</f>
        <v>0.79041916167664672</v>
      </c>
      <c r="CZ181" s="39">
        <f>AVERAGE(Table1[RBI7])</f>
        <v>0.46107784431137727</v>
      </c>
      <c r="DA181" s="39">
        <f>AVERAGE(Table1[BB7])</f>
        <v>0.43712574850299402</v>
      </c>
      <c r="DB181" s="39">
        <f>AVERAGE(Table1[SO7])</f>
        <v>1.0239520958083832</v>
      </c>
      <c r="DC181" s="39">
        <f>AVERAGE(Table1[HBP7])</f>
        <v>4.790419161676647E-2</v>
      </c>
      <c r="DD181" s="39">
        <f>AVERAGE(Table1[SF7])</f>
        <v>2.9940119760479042E-2</v>
      </c>
      <c r="DE181" s="39">
        <f>AVERAGE(Table1[TB7])</f>
        <v>1.3652694610778444</v>
      </c>
      <c r="DF181" s="84"/>
      <c r="DG181" s="39">
        <f>AVERAGE(Table1[AB8])</f>
        <v>3.4850299401197606</v>
      </c>
      <c r="DH181" s="39">
        <f>AVERAGE(Table1[R8])</f>
        <v>0.51497005988023947</v>
      </c>
      <c r="DI181" s="39">
        <f>AVERAGE(Table1[H8])</f>
        <v>0.85628742514970058</v>
      </c>
      <c r="DJ181" s="39">
        <f>AVERAGE(Table1[RBI8])</f>
        <v>0.46107784431137727</v>
      </c>
      <c r="DK181" s="39">
        <f>AVERAGE(Table1[BB8])</f>
        <v>0.3652694610778443</v>
      </c>
      <c r="DL181" s="39">
        <f>AVERAGE(Table1[SO8])</f>
        <v>0.80239520958083832</v>
      </c>
      <c r="DM181" s="39">
        <f>AVERAGE(Table1[HBP8])</f>
        <v>2.9940119760479042E-2</v>
      </c>
      <c r="DN181" s="39">
        <f>AVERAGE(Table1[SF8])</f>
        <v>1.1976047904191617E-2</v>
      </c>
      <c r="DO181" s="39">
        <f>AVERAGE(Table1[TB8])</f>
        <v>1.3353293413173652</v>
      </c>
      <c r="DP181" s="84"/>
      <c r="DQ181" s="39">
        <f>AVERAGE(Table1[AB9])</f>
        <v>3.4251497005988023</v>
      </c>
      <c r="DR181" s="39">
        <f>AVERAGE(Table1[R9])</f>
        <v>0.48502994011976047</v>
      </c>
      <c r="DS181" s="39">
        <f>AVERAGE(Table1[H9])</f>
        <v>0.80239520958083832</v>
      </c>
      <c r="DT181" s="39">
        <f>AVERAGE(Table1[RBI9])</f>
        <v>0.47305389221556887</v>
      </c>
      <c r="DU181" s="39">
        <f>AVERAGE(Table1[BB9])</f>
        <v>0.29341317365269459</v>
      </c>
      <c r="DV181" s="39">
        <f>AVERAGE(Table1[SO9])</f>
        <v>0.9760479041916168</v>
      </c>
      <c r="DW181" s="39">
        <f>AVERAGE(Table1[HBP9])</f>
        <v>5.3892215568862277E-2</v>
      </c>
      <c r="DX181" s="39">
        <f>AVERAGE(Table1[SF9])</f>
        <v>2.9940119760479042E-2</v>
      </c>
      <c r="DY181" s="39">
        <f>AVERAGE(Table1[TB9])</f>
        <v>1.215568862275449</v>
      </c>
      <c r="DZ181" s="39">
        <f>AVERAGE(Table1[IVL])</f>
        <v>2.9221556886227553</v>
      </c>
      <c r="EA181" s="39">
        <f>AVERAGE(Table1[SVL])</f>
        <v>0.23353293413173654</v>
      </c>
      <c r="EB181" s="39">
        <f>AVERAGE(Table1[CVL])</f>
        <v>7.1856287425149698E-2</v>
      </c>
      <c r="EC181" s="39">
        <f>AVERAGE(Table1[IVR])</f>
        <v>5.9660678642714595</v>
      </c>
      <c r="ED181" s="39">
        <f>AVERAGE(Table1[SVR])</f>
        <v>0.82035928143712578</v>
      </c>
      <c r="EE181" s="39">
        <f>AVERAGE(Table1[CVR])</f>
        <v>0.20359281437125748</v>
      </c>
      <c r="EF181" s="39">
        <f>AVERAGE(Table1[RI1])</f>
        <v>0.48502994011976047</v>
      </c>
      <c r="EG181" s="39">
        <f>AVERAGE(Table1[RI2])</f>
        <v>0.3592814371257485</v>
      </c>
      <c r="EH181" s="39">
        <f>AVERAGE(Table1[RI3])</f>
        <v>0.54491017964071853</v>
      </c>
      <c r="EI181" s="39">
        <f>AVERAGE(Table1[RI4])</f>
        <v>0.53293413173652693</v>
      </c>
      <c r="EJ181" s="39">
        <f>AVERAGE(Table1[RI5])</f>
        <v>0.71257485029940115</v>
      </c>
      <c r="EK181" s="39">
        <f>AVERAGE(Table1[RI6])</f>
        <v>0.62874251497005984</v>
      </c>
      <c r="EL181" s="39">
        <f>AVERAGE(Table1[RI7])</f>
        <v>0.44311377245508982</v>
      </c>
      <c r="EM181" s="39">
        <f>AVERAGE(Table1[RI8])</f>
        <v>0.68674698795180722</v>
      </c>
      <c r="EN181" s="39">
        <f>AVERAGE(Table1[RI9])</f>
        <v>0.52419354838709675</v>
      </c>
      <c r="EO181" s="39">
        <f>AVERAGE(Table1[RI10])</f>
        <v>0.46666666666666667</v>
      </c>
      <c r="EP181" s="39">
        <f>AVERAGE(Table1[RI11])</f>
        <v>0.66666666666666663</v>
      </c>
      <c r="EQ181" s="39">
        <f>AVERAGE(Table1[RI12])</f>
        <v>1</v>
      </c>
      <c r="ER181" s="39">
        <f>AVERAGE(Table1[RI13])</f>
        <v>0</v>
      </c>
      <c r="ES181" s="39">
        <f>AVERAGE(Table1[RT])</f>
        <v>4.8802395209580842</v>
      </c>
      <c r="ET181" s="39">
        <f>AVERAGE(Table1[OI1])</f>
        <v>0.53892215568862278</v>
      </c>
      <c r="EU181" s="39">
        <f>AVERAGE(Table1[OI2])</f>
        <v>0.3592814371257485</v>
      </c>
      <c r="EV181" s="39">
        <f>AVERAGE(Table1[OI3])</f>
        <v>0.50898203592814373</v>
      </c>
      <c r="EW181" s="39">
        <f>AVERAGE(Table1[OI4])</f>
        <v>0.46706586826347307</v>
      </c>
      <c r="EX181" s="39">
        <f>AVERAGE(Table1[OI5])</f>
        <v>0.42514970059880242</v>
      </c>
      <c r="EY181" s="39">
        <f>AVERAGE(Table1[OI6])</f>
        <v>0.62874251497005984</v>
      </c>
      <c r="EZ181" s="39">
        <f>AVERAGE(Table1[OI7])</f>
        <v>0.42168674698795183</v>
      </c>
      <c r="FA181" s="39">
        <f>AVERAGE(Table1[OI8])</f>
        <v>0.30722891566265059</v>
      </c>
      <c r="FB181" s="39">
        <f>AVERAGE(Table1[OI9])</f>
        <v>0.35766423357664234</v>
      </c>
      <c r="FC181" s="39">
        <f>AVERAGE(Table1[OI10])</f>
        <v>0.13333333333333333</v>
      </c>
      <c r="FD181" s="39">
        <f>AVERAGE(Table1[OI11])</f>
        <v>0.66666666666666663</v>
      </c>
      <c r="FE181" s="39">
        <f>AVERAGE(Table1[OI12])</f>
        <v>0.25</v>
      </c>
      <c r="FF181" s="39">
        <f>AVERAGE(Table1[OI13])</f>
        <v>1</v>
      </c>
      <c r="FG181" s="39">
        <f>AVERAGE(Table1[OT])</f>
        <v>4.0119760479041915</v>
      </c>
      <c r="FH181" s="39">
        <f>AVERAGE(Table1[RTAB])</f>
        <v>33.598802395209582</v>
      </c>
      <c r="FI181" s="39">
        <f>AVERAGE(Table1[RTR])</f>
        <v>4.8802395209580842</v>
      </c>
      <c r="FJ181" s="39">
        <f>AVERAGE(Table1[RTH])</f>
        <v>8.2634730538922163</v>
      </c>
      <c r="FK181" s="39">
        <f>AVERAGE(Table1[RTBI])</f>
        <v>4.6766467065868262</v>
      </c>
      <c r="FL181" s="39">
        <f>AVERAGE(Table1[RTBB])</f>
        <v>4.0958083832335328</v>
      </c>
      <c r="FM181" s="39">
        <f>AVERAGE(Table1[RTSO])</f>
        <v>8.0658682634730532</v>
      </c>
      <c r="FN181" s="85"/>
      <c r="FO181" s="85"/>
      <c r="FP181" s="85"/>
      <c r="FQ181" s="85"/>
      <c r="FR181" s="85"/>
      <c r="FS181" s="85"/>
      <c r="FT181" s="85"/>
      <c r="FU181" s="85"/>
      <c r="FV181" s="39">
        <f>AVERAGE(Table1[RD1])</f>
        <v>-5.3892215568862277E-2</v>
      </c>
      <c r="FW181" s="39">
        <f>AVERAGE(Table1[RD2])</f>
        <v>0</v>
      </c>
      <c r="FX181" s="39">
        <f>AVERAGE(Table1[RD3])</f>
        <v>3.5928143712574849E-2</v>
      </c>
      <c r="FY181" s="39">
        <f>AVERAGE(Table1[RD4])</f>
        <v>6.5868263473053898E-2</v>
      </c>
      <c r="FZ181" s="39">
        <f>AVERAGE(Table1[RD5])</f>
        <v>0.28742514970059879</v>
      </c>
      <c r="GA181" s="39">
        <f>AVERAGE(Table1[RD6])</f>
        <v>0</v>
      </c>
      <c r="GB181" s="39">
        <f>AVERAGE(Table1[RD7])</f>
        <v>2.3952095808383235E-2</v>
      </c>
      <c r="GC181" s="39">
        <f>AVERAGE(Table1[RD8])</f>
        <v>0.3772455089820359</v>
      </c>
      <c r="GD181" s="39">
        <f>AVERAGE(Table1[RD9])</f>
        <v>9.580838323353294E-2</v>
      </c>
      <c r="GI181" s="39">
        <f>AVERAGE(Table1[RDT])</f>
        <v>0.86826347305389218</v>
      </c>
      <c r="GJ181" s="86" t="s">
        <v>233</v>
      </c>
    </row>
    <row r="182" spans="1:192" x14ac:dyDescent="0.25">
      <c r="A182" s="87" t="s">
        <v>268</v>
      </c>
      <c r="B182" s="83"/>
      <c r="C182" s="83"/>
      <c r="D182" s="83"/>
      <c r="E182" s="84">
        <f>(E181-E177)</f>
        <v>15326.908234763629</v>
      </c>
      <c r="F182" s="84">
        <f>(F181-F177)</f>
        <v>154.1177125643228</v>
      </c>
      <c r="G182" s="84"/>
      <c r="H182" s="84"/>
      <c r="I182" s="84"/>
      <c r="J182" s="84"/>
      <c r="K182" s="84">
        <f t="shared" ref="K182:W182" si="275">(K181-K177)</f>
        <v>4.7410188167203078</v>
      </c>
      <c r="L182" s="84">
        <f t="shared" si="275"/>
        <v>3.669129869992489</v>
      </c>
      <c r="M182" s="84">
        <f t="shared" si="275"/>
        <v>0.90650158649707335</v>
      </c>
      <c r="N182" s="84">
        <f t="shared" si="275"/>
        <v>0.73290494626713665</v>
      </c>
      <c r="O182" s="84">
        <f t="shared" si="275"/>
        <v>0.70225401638141371</v>
      </c>
      <c r="P182" s="84">
        <f t="shared" si="275"/>
        <v>2.4476920683457939</v>
      </c>
      <c r="Q182" s="84">
        <f t="shared" si="275"/>
        <v>-0.14335954707436871</v>
      </c>
      <c r="R182" s="84">
        <f t="shared" si="275"/>
        <v>-0.23089105114989472</v>
      </c>
      <c r="S182" s="84">
        <f t="shared" si="275"/>
        <v>21.891344987627676</v>
      </c>
      <c r="T182" s="84">
        <f t="shared" si="275"/>
        <v>83.635761299638631</v>
      </c>
      <c r="U182" s="84">
        <f t="shared" si="275"/>
        <v>52.228458841931591</v>
      </c>
      <c r="V182" s="84">
        <f t="shared" si="275"/>
        <v>-0.22073649196126566</v>
      </c>
      <c r="W182" s="84">
        <f t="shared" si="275"/>
        <v>-0.30942535435753538</v>
      </c>
      <c r="X182" s="84"/>
      <c r="Y182" s="84"/>
      <c r="Z182" s="84"/>
      <c r="AA182" s="84"/>
      <c r="AB182" s="84"/>
      <c r="AC182" s="84">
        <f t="shared" ref="AC182:AM182" si="276">(AC181-AC177)</f>
        <v>1.344199558563248</v>
      </c>
      <c r="AD182" s="84">
        <f t="shared" si="276"/>
        <v>0.19382476560260864</v>
      </c>
      <c r="AE182" s="84">
        <f t="shared" si="276"/>
        <v>-0.46391536284544999</v>
      </c>
      <c r="AF182" s="84">
        <f t="shared" si="276"/>
        <v>-0.49616781257802112</v>
      </c>
      <c r="AG182" s="84">
        <f t="shared" si="276"/>
        <v>-0.2711324096330342</v>
      </c>
      <c r="AH182" s="84">
        <f t="shared" si="276"/>
        <v>0.50325972962690235</v>
      </c>
      <c r="AI182" s="84">
        <f t="shared" si="276"/>
        <v>-0.26191867650943407</v>
      </c>
      <c r="AJ182" s="84">
        <f t="shared" si="276"/>
        <v>-0.23772929791894967</v>
      </c>
      <c r="AK182" s="84">
        <f t="shared" si="276"/>
        <v>4.9756219135069486</v>
      </c>
      <c r="AL182" s="84">
        <f t="shared" si="276"/>
        <v>18.710222071852478</v>
      </c>
      <c r="AM182" s="84">
        <f t="shared" si="276"/>
        <v>12.303504524123472</v>
      </c>
      <c r="AN182" s="84"/>
      <c r="AO182" s="84">
        <f t="shared" ref="AO182:AW182" si="277">(AO181-AO177)</f>
        <v>3.1935833414552652</v>
      </c>
      <c r="AP182" s="84">
        <f t="shared" si="277"/>
        <v>-0.13827965283174093</v>
      </c>
      <c r="AQ182" s="84">
        <f t="shared" si="277"/>
        <v>0.15305658792975629</v>
      </c>
      <c r="AR182" s="84">
        <f t="shared" si="277"/>
        <v>-0.40628001980141559</v>
      </c>
      <c r="AS182" s="84">
        <f t="shared" si="277"/>
        <v>-0.19317454433178793</v>
      </c>
      <c r="AT182" s="84">
        <f t="shared" si="277"/>
        <v>-9.4386634600179931E-2</v>
      </c>
      <c r="AU182" s="84">
        <f t="shared" si="277"/>
        <v>-0.15074261111844853</v>
      </c>
      <c r="AV182" s="84">
        <f t="shared" si="277"/>
        <v>-0.12940769881532807</v>
      </c>
      <c r="AW182" s="84">
        <f t="shared" si="277"/>
        <v>-8.0792615401303225E-2</v>
      </c>
      <c r="AX182" s="84"/>
      <c r="AY182" s="84">
        <f t="shared" ref="AY182:BG182" si="278">(AY181-AY177)</f>
        <v>3.1239791609103387</v>
      </c>
      <c r="AZ182" s="84">
        <f t="shared" si="278"/>
        <v>-4.8732876632310962E-2</v>
      </c>
      <c r="BA182" s="84">
        <f t="shared" si="278"/>
        <v>1.7991899531578426E-2</v>
      </c>
      <c r="BB182" s="84">
        <f t="shared" si="278"/>
        <v>-0.32711776017687944</v>
      </c>
      <c r="BC182" s="84">
        <f t="shared" si="278"/>
        <v>-0.22916309213590963</v>
      </c>
      <c r="BD182" s="84">
        <f t="shared" si="278"/>
        <v>-5.1627140777822378E-3</v>
      </c>
      <c r="BE182" s="84">
        <f t="shared" si="278"/>
        <v>-0.14099457856479319</v>
      </c>
      <c r="BF182" s="84">
        <f t="shared" si="278"/>
        <v>-0.18292943706687126</v>
      </c>
      <c r="BG182" s="84">
        <f t="shared" si="278"/>
        <v>-0.18375052097275524</v>
      </c>
      <c r="BH182" s="84"/>
      <c r="BI182" s="84">
        <f t="shared" ref="BI182:BQ182" si="279">(BI181-BI177)</f>
        <v>3.1011547663464851</v>
      </c>
      <c r="BJ182" s="84">
        <f t="shared" si="279"/>
        <v>-0.13157323218996186</v>
      </c>
      <c r="BK182" s="84">
        <f t="shared" si="279"/>
        <v>0.15781969980130506</v>
      </c>
      <c r="BL182" s="84">
        <f t="shared" si="279"/>
        <v>-0.23756871224919485</v>
      </c>
      <c r="BM182" s="84">
        <f t="shared" si="279"/>
        <v>-0.23094645181837509</v>
      </c>
      <c r="BN182" s="84">
        <f t="shared" si="279"/>
        <v>-3.85540150422371E-2</v>
      </c>
      <c r="BO182" s="84">
        <f t="shared" si="279"/>
        <v>-0.15908414442444907</v>
      </c>
      <c r="BP182" s="84">
        <f t="shared" si="279"/>
        <v>-0.15908414442444907</v>
      </c>
      <c r="BQ182" s="84">
        <f t="shared" si="279"/>
        <v>-4.0686155619987563E-2</v>
      </c>
      <c r="BR182" s="84"/>
      <c r="BS182" s="84">
        <f t="shared" ref="BS182:CA182" si="280">(BS181-BS177)</f>
        <v>2.9850730538661243</v>
      </c>
      <c r="BT182" s="84">
        <f t="shared" si="280"/>
        <v>-0.19745988486730903</v>
      </c>
      <c r="BU182" s="84">
        <f t="shared" si="280"/>
        <v>0.12143195213577562</v>
      </c>
      <c r="BV182" s="84">
        <f t="shared" si="280"/>
        <v>-0.24052952617743029</v>
      </c>
      <c r="BW182" s="84">
        <f t="shared" si="280"/>
        <v>-0.14777102076212445</v>
      </c>
      <c r="BX182" s="84">
        <f t="shared" si="280"/>
        <v>0.16170493420342769</v>
      </c>
      <c r="BY182" s="84">
        <f t="shared" si="280"/>
        <v>-0.16630163310275486</v>
      </c>
      <c r="BZ182" s="84">
        <f t="shared" si="280"/>
        <v>-0.19088791921598514</v>
      </c>
      <c r="CA182" s="84">
        <f t="shared" si="280"/>
        <v>-0.17590029332716339</v>
      </c>
      <c r="CB182" s="84"/>
      <c r="CC182" s="84">
        <f t="shared" ref="CC182:CK182" si="281">(CC181-CC177)</f>
        <v>2.9285177735329513</v>
      </c>
      <c r="CD182" s="84">
        <f t="shared" si="281"/>
        <v>-0.15946465608571792</v>
      </c>
      <c r="CE182" s="84">
        <f t="shared" si="281"/>
        <v>3.3402176976038311E-2</v>
      </c>
      <c r="CF182" s="84">
        <f t="shared" si="281"/>
        <v>-0.3369112305372175</v>
      </c>
      <c r="CG182" s="84">
        <f t="shared" si="281"/>
        <v>-0.1568981926221853</v>
      </c>
      <c r="CH182" s="84">
        <f t="shared" si="281"/>
        <v>0.10831460589643604</v>
      </c>
      <c r="CI182" s="84">
        <f t="shared" si="281"/>
        <v>-0.15908414442444907</v>
      </c>
      <c r="CJ182" s="84">
        <f t="shared" si="281"/>
        <v>-0.14099457856479319</v>
      </c>
      <c r="CK182" s="84">
        <f t="shared" si="281"/>
        <v>-0.2265136414375466</v>
      </c>
      <c r="CL182" s="84"/>
      <c r="CM182" s="84">
        <f t="shared" ref="CM182:CU182" si="282">(CM181-CM177)</f>
        <v>2.7818768317554294</v>
      </c>
      <c r="CN182" s="84">
        <f t="shared" si="282"/>
        <v>-0.19709824195173209</v>
      </c>
      <c r="CO182" s="84">
        <f t="shared" si="282"/>
        <v>4.8436090978777213E-2</v>
      </c>
      <c r="CP182" s="84">
        <f t="shared" si="282"/>
        <v>-0.36240195897337546</v>
      </c>
      <c r="CQ182" s="84">
        <f t="shared" si="282"/>
        <v>-0.14839742274652179</v>
      </c>
      <c r="CR182" s="84">
        <f t="shared" si="282"/>
        <v>9.3700923422362914E-2</v>
      </c>
      <c r="CS182" s="84">
        <f t="shared" si="282"/>
        <v>-0.14099457856479319</v>
      </c>
      <c r="CT182" s="84">
        <f t="shared" si="282"/>
        <v>-0.14099457856479319</v>
      </c>
      <c r="CU182" s="84">
        <f t="shared" si="282"/>
        <v>-0.27506167491621469</v>
      </c>
      <c r="CV182" s="84"/>
      <c r="CW182" s="84">
        <f t="shared" ref="CW182:DE182" si="283">(CW181-CW177)</f>
        <v>2.6578010642807794</v>
      </c>
      <c r="CX182" s="84">
        <f t="shared" si="283"/>
        <v>-0.15364609466739371</v>
      </c>
      <c r="CY182" s="84">
        <f t="shared" si="283"/>
        <v>-2.9750783461387931E-2</v>
      </c>
      <c r="CZ182" s="84">
        <f t="shared" si="283"/>
        <v>-0.35847612631607845</v>
      </c>
      <c r="DA182" s="84">
        <f t="shared" si="283"/>
        <v>-0.2617969179849452</v>
      </c>
      <c r="DB182" s="84">
        <f t="shared" si="283"/>
        <v>0.13933049806992637</v>
      </c>
      <c r="DC182" s="84">
        <f t="shared" si="283"/>
        <v>-0.16630163310275486</v>
      </c>
      <c r="DD182" s="84">
        <f t="shared" si="283"/>
        <v>-0.14099457856479319</v>
      </c>
      <c r="DE182" s="84">
        <f t="shared" si="283"/>
        <v>-0.29343986964312085</v>
      </c>
      <c r="DF182" s="84"/>
      <c r="DG182" s="84">
        <f t="shared" ref="DG182:DO182" si="284">(DG181-DG177)</f>
        <v>2.6795046873603394</v>
      </c>
      <c r="DH182" s="84">
        <f t="shared" si="284"/>
        <v>-0.16924338727412902</v>
      </c>
      <c r="DI182" s="84">
        <f t="shared" si="284"/>
        <v>7.029983287971675E-2</v>
      </c>
      <c r="DJ182" s="84">
        <f t="shared" si="284"/>
        <v>-0.4014520782986935</v>
      </c>
      <c r="DK182" s="84">
        <f t="shared" si="284"/>
        <v>-0.21926290723371866</v>
      </c>
      <c r="DL182" s="84">
        <f t="shared" si="284"/>
        <v>-5.9909631820702636E-3</v>
      </c>
      <c r="DM182" s="84">
        <f t="shared" si="284"/>
        <v>-0.14099457856479319</v>
      </c>
      <c r="DN182" s="84">
        <f t="shared" si="284"/>
        <v>-9.7128961317653459E-2</v>
      </c>
      <c r="DO182" s="84">
        <f t="shared" si="284"/>
        <v>-0.23859514686348349</v>
      </c>
      <c r="DP182" s="84"/>
      <c r="DQ182" s="84">
        <f t="shared" ref="DQ182:FG182" si="285">(DQ181-DQ177)</f>
        <v>2.5934930172850015</v>
      </c>
      <c r="DR182" s="84">
        <f t="shared" si="285"/>
        <v>-0.18134206989018525</v>
      </c>
      <c r="DS182" s="84">
        <f t="shared" si="285"/>
        <v>-2.8046108410695658E-2</v>
      </c>
      <c r="DT182" s="84">
        <f t="shared" si="285"/>
        <v>-0.39688843558819936</v>
      </c>
      <c r="DU182" s="84">
        <f t="shared" si="285"/>
        <v>-0.22505743693413216</v>
      </c>
      <c r="DV182" s="84">
        <f t="shared" si="285"/>
        <v>8.4642517200700929E-2</v>
      </c>
      <c r="DW182" s="84">
        <f t="shared" si="285"/>
        <v>-0.19778852094430169</v>
      </c>
      <c r="DX182" s="84">
        <f t="shared" si="285"/>
        <v>-0.14099457856479319</v>
      </c>
      <c r="DY182" s="84">
        <f t="shared" si="285"/>
        <v>-0.27383046873600692</v>
      </c>
      <c r="DZ182" s="84">
        <f t="shared" si="285"/>
        <v>-7.8724616800270653E-2</v>
      </c>
      <c r="EA182" s="84">
        <f t="shared" si="285"/>
        <v>-0.30359584251683364</v>
      </c>
      <c r="EB182" s="84">
        <f t="shared" si="285"/>
        <v>-0.23012237366268085</v>
      </c>
      <c r="EC182" s="84">
        <f t="shared" si="285"/>
        <v>2.7626487716585633</v>
      </c>
      <c r="ED182" s="84">
        <f t="shared" si="285"/>
        <v>-0.31667018815350578</v>
      </c>
      <c r="EE182" s="84">
        <f t="shared" si="285"/>
        <v>-0.31751492783202268</v>
      </c>
      <c r="EF182" s="84">
        <f t="shared" si="285"/>
        <v>-0.51410394640124757</v>
      </c>
      <c r="EG182" s="84">
        <f t="shared" si="285"/>
        <v>-0.50654609297609543</v>
      </c>
      <c r="EH182" s="84">
        <f t="shared" si="285"/>
        <v>-0.48889543949121617</v>
      </c>
      <c r="EI182" s="84">
        <f t="shared" si="285"/>
        <v>-0.5357010249211952</v>
      </c>
      <c r="EJ182" s="84">
        <f t="shared" si="285"/>
        <v>-0.61870678785481514</v>
      </c>
      <c r="EK182" s="84">
        <f t="shared" si="285"/>
        <v>-0.58111169293534215</v>
      </c>
      <c r="EL182" s="84">
        <f t="shared" si="285"/>
        <v>-0.44594143487269294</v>
      </c>
      <c r="EM182" s="84">
        <f t="shared" si="285"/>
        <v>-0.69212133013634014</v>
      </c>
      <c r="EN182" s="84">
        <f t="shared" si="285"/>
        <v>-0.5462042173376862</v>
      </c>
      <c r="EO182" s="84">
        <f t="shared" si="285"/>
        <v>-0.36714272116612534</v>
      </c>
      <c r="EP182" s="84">
        <f t="shared" si="285"/>
        <v>-0.65620898886562873</v>
      </c>
      <c r="EQ182" s="84">
        <f t="shared" si="285"/>
        <v>0.18350341907227397</v>
      </c>
      <c r="ER182" s="84">
        <f t="shared" ref="ER182" si="286">(ER181-ER177)</f>
        <v>0</v>
      </c>
      <c r="ES182" s="84">
        <f t="shared" si="285"/>
        <v>1.7760208694678239</v>
      </c>
      <c r="ET182" s="84">
        <f t="shared" si="285"/>
        <v>-0.4951276846077779</v>
      </c>
      <c r="EU182" s="84">
        <f t="shared" si="285"/>
        <v>-0.34544919488160825</v>
      </c>
      <c r="EV182" s="84">
        <f t="shared" si="285"/>
        <v>-0.50220993322040963</v>
      </c>
      <c r="EW182" s="84">
        <f t="shared" si="285"/>
        <v>-0.52558441860536065</v>
      </c>
      <c r="EX182" s="84">
        <f t="shared" si="285"/>
        <v>-0.43499308405084491</v>
      </c>
      <c r="EY182" s="84">
        <f t="shared" si="285"/>
        <v>-0.56608074646786299</v>
      </c>
      <c r="EZ182" s="84">
        <f t="shared" si="285"/>
        <v>-0.43282685809849653</v>
      </c>
      <c r="FA182" s="84">
        <f t="shared" si="285"/>
        <v>-0.44486442679217902</v>
      </c>
      <c r="FB182" s="84">
        <f t="shared" si="285"/>
        <v>-0.42577864205190119</v>
      </c>
      <c r="FC182" s="84">
        <f t="shared" si="285"/>
        <v>-0.21853244194116508</v>
      </c>
      <c r="FD182" s="84">
        <f t="shared" si="285"/>
        <v>-0.45136732208322827</v>
      </c>
      <c r="FE182" s="84">
        <f t="shared" si="285"/>
        <v>-0.25</v>
      </c>
      <c r="FF182" s="84">
        <f t="shared" ref="FF182" si="287">(FF181-FF177)</f>
        <v>1</v>
      </c>
      <c r="FG182" s="84">
        <f t="shared" si="285"/>
        <v>1.0099927196631269</v>
      </c>
      <c r="FH182" s="84">
        <f t="shared" ref="FH182:FM182" si="288">(FH181-FH177)</f>
        <v>29.442141489818823</v>
      </c>
      <c r="FI182" s="84">
        <f t="shared" si="288"/>
        <v>1.7760208694678239</v>
      </c>
      <c r="FJ182" s="84">
        <f t="shared" si="288"/>
        <v>4.7626924304216267</v>
      </c>
      <c r="FK182" s="84">
        <f t="shared" si="288"/>
        <v>1.6204078552205701</v>
      </c>
      <c r="FL182" s="84">
        <f t="shared" si="288"/>
        <v>1.6654939781327975</v>
      </c>
      <c r="FM182" s="84">
        <f t="shared" si="288"/>
        <v>5.2714294561986508</v>
      </c>
      <c r="FN182" s="85"/>
      <c r="FO182" s="85"/>
      <c r="FP182" s="85"/>
      <c r="FQ182" s="85"/>
      <c r="FR182" s="85"/>
      <c r="FS182" s="85"/>
      <c r="FT182" s="85"/>
      <c r="FU182" s="85"/>
      <c r="FV182" s="84">
        <f t="shared" ref="FV182:GD182" si="289">(FV181-FV177)</f>
        <v>-1.4692021566334996</v>
      </c>
      <c r="FW182" s="84">
        <f t="shared" si="289"/>
        <v>-1.0528217963833002</v>
      </c>
      <c r="FX182" s="84">
        <f t="shared" si="289"/>
        <v>-1.4606229739635364</v>
      </c>
      <c r="FY182" s="84">
        <f t="shared" si="289"/>
        <v>-1.3742527344174147</v>
      </c>
      <c r="FZ182" s="84">
        <f t="shared" si="289"/>
        <v>-1.3073773889968949</v>
      </c>
      <c r="GA182" s="84">
        <f t="shared" si="289"/>
        <v>-1.6826542429164761</v>
      </c>
      <c r="GB182" s="84">
        <f t="shared" si="289"/>
        <v>-1.0897743950710181</v>
      </c>
      <c r="GC182" s="84">
        <f t="shared" si="289"/>
        <v>-1.1222193211195697</v>
      </c>
      <c r="GD182" s="84">
        <f t="shared" si="289"/>
        <v>-1.0513911032800414</v>
      </c>
      <c r="GI182" s="84">
        <f>(GI181-GI177)</f>
        <v>-3.2745934921065305</v>
      </c>
      <c r="GJ182" s="88" t="s">
        <v>268</v>
      </c>
    </row>
    <row r="183" spans="1:192" x14ac:dyDescent="0.25">
      <c r="A183" s="87" t="s">
        <v>269</v>
      </c>
      <c r="B183" s="83"/>
      <c r="C183" s="83"/>
      <c r="D183" s="83"/>
      <c r="E183" s="84">
        <f>(E181-(2*E177))</f>
        <v>5017.4691641380341</v>
      </c>
      <c r="F183" s="84">
        <f>(F181-(2*F177))</f>
        <v>126.61042512864557</v>
      </c>
      <c r="G183" s="84"/>
      <c r="H183" s="84"/>
      <c r="I183" s="84"/>
      <c r="J183" s="84"/>
      <c r="K183" s="84">
        <f t="shared" ref="K183:W183" si="290">(K181-(2*K177))</f>
        <v>3.3283450186701549</v>
      </c>
      <c r="L183" s="84">
        <f t="shared" si="290"/>
        <v>1.3681998597454568</v>
      </c>
      <c r="M183" s="84">
        <f t="shared" si="290"/>
        <v>-1.0911884437723205</v>
      </c>
      <c r="N183" s="84">
        <f t="shared" si="290"/>
        <v>-1.2707170535735113</v>
      </c>
      <c r="O183" s="84">
        <f t="shared" si="290"/>
        <v>-0.58950394328507683</v>
      </c>
      <c r="P183" s="84">
        <f t="shared" si="290"/>
        <v>-3.8747599835358137E-2</v>
      </c>
      <c r="Q183" s="84">
        <f t="shared" si="290"/>
        <v>-1.0891143037295756</v>
      </c>
      <c r="R183" s="84">
        <f t="shared" si="290"/>
        <v>-0.65938689271895112</v>
      </c>
      <c r="S183" s="84">
        <f t="shared" si="290"/>
        <v>17.686881592021823</v>
      </c>
      <c r="T183" s="84">
        <f t="shared" si="290"/>
        <v>68.379307030414992</v>
      </c>
      <c r="U183" s="84">
        <f t="shared" si="290"/>
        <v>41.217396725779352</v>
      </c>
      <c r="V183" s="84">
        <f t="shared" si="290"/>
        <v>-1.0223113072758248</v>
      </c>
      <c r="W183" s="84">
        <f t="shared" si="290"/>
        <v>-0.84040759494261563</v>
      </c>
      <c r="X183" s="84"/>
      <c r="Y183" s="84"/>
      <c r="Z183" s="84"/>
      <c r="AA183" s="84"/>
      <c r="AB183" s="84"/>
      <c r="AC183" s="84">
        <f t="shared" ref="AC183:AM183" si="291">(AC181-(2*AC177))</f>
        <v>-0.13196016431062985</v>
      </c>
      <c r="AD183" s="84">
        <f t="shared" si="291"/>
        <v>-1.9776199298726271</v>
      </c>
      <c r="AE183" s="84">
        <f t="shared" si="291"/>
        <v>-2.0356151568286247</v>
      </c>
      <c r="AF183" s="84">
        <f t="shared" si="291"/>
        <v>-2.0342517928207129</v>
      </c>
      <c r="AG183" s="84">
        <f t="shared" si="291"/>
        <v>-1.4524444599846311</v>
      </c>
      <c r="AH183" s="84">
        <f t="shared" si="291"/>
        <v>-1.3467739539198478</v>
      </c>
      <c r="AI183" s="84">
        <f t="shared" si="291"/>
        <v>-0.82922657457575433</v>
      </c>
      <c r="AJ183" s="84">
        <f t="shared" si="291"/>
        <v>-0.57126697907143231</v>
      </c>
      <c r="AK183" s="84">
        <f t="shared" si="291"/>
        <v>-1.5697142568184379</v>
      </c>
      <c r="AL183" s="84">
        <f t="shared" si="291"/>
        <v>-7.2861426826423497</v>
      </c>
      <c r="AM183" s="84">
        <f t="shared" si="291"/>
        <v>-3.7283202930704213</v>
      </c>
      <c r="AN183" s="84"/>
      <c r="AO183" s="84">
        <f t="shared" ref="AO183:AW183" si="292">(AO181-(2*AO177))</f>
        <v>2.3512385391979556</v>
      </c>
      <c r="AP183" s="84">
        <f t="shared" si="292"/>
        <v>-0.92925391644192501</v>
      </c>
      <c r="AQ183" s="84">
        <f t="shared" si="292"/>
        <v>-0.71783891994887061</v>
      </c>
      <c r="AR183" s="84">
        <f t="shared" si="292"/>
        <v>-1.1957935725369628</v>
      </c>
      <c r="AS183" s="84">
        <f t="shared" si="292"/>
        <v>-0.98515148387315665</v>
      </c>
      <c r="AT183" s="84">
        <f t="shared" si="292"/>
        <v>-0.91332416740395272</v>
      </c>
      <c r="AU183" s="84">
        <f t="shared" si="292"/>
        <v>-0.33741336594947191</v>
      </c>
      <c r="AV183" s="84">
        <f t="shared" si="292"/>
        <v>-0.28276749343903934</v>
      </c>
      <c r="AW183" s="84">
        <f t="shared" si="292"/>
        <v>-1.7005073864912292</v>
      </c>
      <c r="AX183" s="84"/>
      <c r="AY183" s="84">
        <f t="shared" ref="AY183:BG183" si="293">(AY181-(2*AY177))</f>
        <v>2.1880780822997195</v>
      </c>
      <c r="AZ183" s="84">
        <f t="shared" si="293"/>
        <v>-0.83998072332450213</v>
      </c>
      <c r="BA183" s="84">
        <f t="shared" si="293"/>
        <v>-1.029884464409897</v>
      </c>
      <c r="BB183" s="84">
        <f t="shared" si="293"/>
        <v>-1.1692055802339985</v>
      </c>
      <c r="BC183" s="84">
        <f t="shared" si="293"/>
        <v>-0.87149983696642996</v>
      </c>
      <c r="BD183" s="84">
        <f t="shared" si="293"/>
        <v>-0.81870866168849865</v>
      </c>
      <c r="BE183" s="84">
        <f t="shared" si="293"/>
        <v>-0.31192927689006544</v>
      </c>
      <c r="BF183" s="84">
        <f t="shared" si="293"/>
        <v>-0.43172713760679637</v>
      </c>
      <c r="BG183" s="84">
        <f t="shared" si="293"/>
        <v>-2.0441477485323367</v>
      </c>
      <c r="BH183" s="84"/>
      <c r="BI183" s="84">
        <f t="shared" ref="BI183:BQ183" si="294">(BI181-(2*BI177))</f>
        <v>2.256201748261832</v>
      </c>
      <c r="BJ183" s="84">
        <f t="shared" si="294"/>
        <v>-0.81404466797273811</v>
      </c>
      <c r="BK183" s="84">
        <f t="shared" si="294"/>
        <v>-0.80412107943930611</v>
      </c>
      <c r="BL183" s="84">
        <f t="shared" si="294"/>
        <v>-1.0739398197079706</v>
      </c>
      <c r="BM183" s="84">
        <f t="shared" si="294"/>
        <v>-0.9229707479481275</v>
      </c>
      <c r="BN183" s="84">
        <f t="shared" si="294"/>
        <v>-0.85555114385692932</v>
      </c>
      <c r="BO183" s="84">
        <f t="shared" si="294"/>
        <v>-0.3600844565135688</v>
      </c>
      <c r="BP183" s="84">
        <f t="shared" si="294"/>
        <v>-0.3600844565135688</v>
      </c>
      <c r="BQ183" s="84">
        <f t="shared" si="294"/>
        <v>-1.895743568725005</v>
      </c>
      <c r="BR183" s="84"/>
      <c r="BS183" s="84">
        <f t="shared" ref="BS183:CA183" si="295">(BS181-(2*BS177))</f>
        <v>2.1797269460556019</v>
      </c>
      <c r="BT183" s="84">
        <f t="shared" si="295"/>
        <v>-0.91587785356695339</v>
      </c>
      <c r="BU183" s="84">
        <f t="shared" si="295"/>
        <v>-0.7391720238721613</v>
      </c>
      <c r="BV183" s="84">
        <f t="shared" si="295"/>
        <v>-1.1816578547500702</v>
      </c>
      <c r="BW183" s="84">
        <f t="shared" si="295"/>
        <v>-0.78656000559610517</v>
      </c>
      <c r="BX183" s="84">
        <f t="shared" si="295"/>
        <v>-0.67060210764104877</v>
      </c>
      <c r="BY183" s="84">
        <f t="shared" si="295"/>
        <v>-0.38050745782227618</v>
      </c>
      <c r="BZ183" s="84">
        <f t="shared" si="295"/>
        <v>-0.45962014980921578</v>
      </c>
      <c r="CA183" s="84">
        <f t="shared" si="295"/>
        <v>-2.0703634609058237</v>
      </c>
      <c r="CB183" s="84"/>
      <c r="CC183" s="84">
        <f t="shared" ref="CC183:CK183" si="296">(CC181-(2*CC177))</f>
        <v>2.1624247686227882</v>
      </c>
      <c r="CD183" s="84">
        <f t="shared" si="296"/>
        <v>-0.7979712283391005</v>
      </c>
      <c r="CE183" s="84">
        <f t="shared" si="296"/>
        <v>-0.7475669035329533</v>
      </c>
      <c r="CF183" s="84">
        <f t="shared" si="296"/>
        <v>-1.3085529999965906</v>
      </c>
      <c r="CG183" s="84">
        <f t="shared" si="296"/>
        <v>-0.84074249302880177</v>
      </c>
      <c r="CH183" s="84">
        <f t="shared" si="296"/>
        <v>-0.72947857263826565</v>
      </c>
      <c r="CI183" s="84">
        <f t="shared" si="296"/>
        <v>-0.3600844565135688</v>
      </c>
      <c r="CJ183" s="84">
        <f t="shared" si="296"/>
        <v>-0.31192927689006544</v>
      </c>
      <c r="CK183" s="84">
        <f t="shared" si="296"/>
        <v>-1.9081171032343747</v>
      </c>
      <c r="CL183" s="84"/>
      <c r="CM183" s="84">
        <f t="shared" ref="CM183:CU183" si="297">(CM181-(2*CM177))</f>
        <v>1.9230351006366073</v>
      </c>
      <c r="CN183" s="84">
        <f t="shared" si="297"/>
        <v>-0.84329828031064979</v>
      </c>
      <c r="CO183" s="84">
        <f t="shared" si="297"/>
        <v>-0.71151105157537975</v>
      </c>
      <c r="CP183" s="84">
        <f t="shared" si="297"/>
        <v>-1.1739057143539364</v>
      </c>
      <c r="CQ183" s="84">
        <f t="shared" si="297"/>
        <v>-0.80577688142118731</v>
      </c>
      <c r="CR183" s="84">
        <f t="shared" si="297"/>
        <v>-0.82457420105946588</v>
      </c>
      <c r="CS183" s="84">
        <f t="shared" si="297"/>
        <v>-0.31192927689006544</v>
      </c>
      <c r="CT183" s="84">
        <f t="shared" si="297"/>
        <v>-0.31192927689006544</v>
      </c>
      <c r="CU183" s="84">
        <f t="shared" si="297"/>
        <v>-1.9034167630060821</v>
      </c>
      <c r="CV183" s="84"/>
      <c r="CW183" s="84">
        <f t="shared" ref="CW183:DE183" si="298">(CW181-(2*CW177))</f>
        <v>1.7946440447292236</v>
      </c>
      <c r="CX183" s="84">
        <f t="shared" si="298"/>
        <v>-0.79232212945454794</v>
      </c>
      <c r="CY183" s="84">
        <f t="shared" si="298"/>
        <v>-0.84992072859942258</v>
      </c>
      <c r="CZ183" s="84">
        <f t="shared" si="298"/>
        <v>-1.1780300969435342</v>
      </c>
      <c r="DA183" s="84">
        <f t="shared" si="298"/>
        <v>-0.96071958447288441</v>
      </c>
      <c r="DB183" s="84">
        <f t="shared" si="298"/>
        <v>-0.74529109966853047</v>
      </c>
      <c r="DC183" s="84">
        <f t="shared" si="298"/>
        <v>-0.38050745782227618</v>
      </c>
      <c r="DD183" s="84">
        <f t="shared" si="298"/>
        <v>-0.31192927689006544</v>
      </c>
      <c r="DE183" s="84">
        <f t="shared" si="298"/>
        <v>-1.9521492003640861</v>
      </c>
      <c r="DF183" s="84"/>
      <c r="DG183" s="84">
        <f t="shared" ref="DG183:DO183" si="299">(DG181-(2*DG177))</f>
        <v>1.8739794346009184</v>
      </c>
      <c r="DH183" s="84">
        <f t="shared" si="299"/>
        <v>-0.85345683442849751</v>
      </c>
      <c r="DI183" s="84">
        <f t="shared" si="299"/>
        <v>-0.71568775939026708</v>
      </c>
      <c r="DJ183" s="84">
        <f t="shared" si="299"/>
        <v>-1.2639820009087643</v>
      </c>
      <c r="DK183" s="84">
        <f t="shared" si="299"/>
        <v>-0.80379527554528163</v>
      </c>
      <c r="DL183" s="84">
        <f t="shared" si="299"/>
        <v>-0.81437713594497885</v>
      </c>
      <c r="DM183" s="84">
        <f t="shared" si="299"/>
        <v>-0.31192927689006544</v>
      </c>
      <c r="DN183" s="84">
        <f t="shared" si="299"/>
        <v>-0.20623397053949852</v>
      </c>
      <c r="DO183" s="84">
        <f t="shared" si="299"/>
        <v>-1.8125196350443322</v>
      </c>
      <c r="DP183" s="84"/>
      <c r="DQ183" s="84">
        <f t="shared" ref="DQ183:FG183" si="300">(DQ181-(2*DQ177))</f>
        <v>1.7618363339712007</v>
      </c>
      <c r="DR183" s="84">
        <f t="shared" si="300"/>
        <v>-0.84771407990013103</v>
      </c>
      <c r="DS183" s="84">
        <f t="shared" si="300"/>
        <v>-0.85848742640222964</v>
      </c>
      <c r="DT183" s="84">
        <f t="shared" si="300"/>
        <v>-1.2668307633919675</v>
      </c>
      <c r="DU183" s="84">
        <f t="shared" si="300"/>
        <v>-0.74352804752095891</v>
      </c>
      <c r="DV183" s="84">
        <f t="shared" si="300"/>
        <v>-0.80676286979021494</v>
      </c>
      <c r="DW183" s="84">
        <f t="shared" si="300"/>
        <v>-0.44946925745746569</v>
      </c>
      <c r="DX183" s="84">
        <f t="shared" si="300"/>
        <v>-0.31192927689006544</v>
      </c>
      <c r="DY183" s="84">
        <f t="shared" si="300"/>
        <v>-1.7632297997474629</v>
      </c>
      <c r="DZ183" s="84">
        <f t="shared" si="300"/>
        <v>-3.0796049222232966</v>
      </c>
      <c r="EA183" s="84">
        <f t="shared" si="300"/>
        <v>-0.84072461916540386</v>
      </c>
      <c r="EB183" s="84">
        <f t="shared" si="300"/>
        <v>-0.5321010347505114</v>
      </c>
      <c r="EC183" s="84">
        <f t="shared" si="300"/>
        <v>-0.44077032095433299</v>
      </c>
      <c r="ED183" s="84">
        <f t="shared" si="300"/>
        <v>-1.4536996577441372</v>
      </c>
      <c r="EE183" s="84">
        <f t="shared" si="300"/>
        <v>-0.83862267003530278</v>
      </c>
      <c r="EF183" s="84">
        <f t="shared" si="300"/>
        <v>-1.5132378329222558</v>
      </c>
      <c r="EG183" s="84">
        <f t="shared" si="300"/>
        <v>-1.3723736230779395</v>
      </c>
      <c r="EH183" s="84">
        <f t="shared" si="300"/>
        <v>-1.5227010586231509</v>
      </c>
      <c r="EI183" s="84">
        <f t="shared" si="300"/>
        <v>-1.6043361815789172</v>
      </c>
      <c r="EJ183" s="84">
        <f t="shared" si="300"/>
        <v>-1.9499884260090314</v>
      </c>
      <c r="EK183" s="84">
        <f t="shared" si="300"/>
        <v>-1.7909659008407441</v>
      </c>
      <c r="EL183" s="84">
        <f t="shared" si="300"/>
        <v>-1.3349966422004758</v>
      </c>
      <c r="EM183" s="84">
        <f t="shared" si="300"/>
        <v>-2.0709896482244874</v>
      </c>
      <c r="EN183" s="84">
        <f t="shared" si="300"/>
        <v>-1.6166019830624692</v>
      </c>
      <c r="EO183" s="84">
        <f t="shared" si="300"/>
        <v>-1.2009521089989175</v>
      </c>
      <c r="EP183" s="84">
        <f t="shared" si="300"/>
        <v>-1.9790846443979242</v>
      </c>
      <c r="EQ183" s="84">
        <f t="shared" si="300"/>
        <v>-0.63299316185545207</v>
      </c>
      <c r="ER183" s="84">
        <f t="shared" ref="ER183" si="301">(ER181-(2*ER177))</f>
        <v>0</v>
      </c>
      <c r="ES183" s="84">
        <f t="shared" si="300"/>
        <v>-1.3281977820224364</v>
      </c>
      <c r="ET183" s="84">
        <f t="shared" si="300"/>
        <v>-1.5291775249041786</v>
      </c>
      <c r="EU183" s="84">
        <f t="shared" si="300"/>
        <v>-1.0501798268889651</v>
      </c>
      <c r="EV183" s="84">
        <f t="shared" si="300"/>
        <v>-1.5134019023689631</v>
      </c>
      <c r="EW183" s="84">
        <f t="shared" si="300"/>
        <v>-1.5182347054741943</v>
      </c>
      <c r="EX183" s="84">
        <f t="shared" si="300"/>
        <v>-1.2951358687004921</v>
      </c>
      <c r="EY183" s="84">
        <f t="shared" si="300"/>
        <v>-1.7609040079057858</v>
      </c>
      <c r="EZ183" s="84">
        <f t="shared" si="300"/>
        <v>-1.287340463184945</v>
      </c>
      <c r="FA183" s="84">
        <f t="shared" si="300"/>
        <v>-1.1969577692470086</v>
      </c>
      <c r="FB183" s="84">
        <f t="shared" si="300"/>
        <v>-1.2092215176804446</v>
      </c>
      <c r="FC183" s="84">
        <f t="shared" si="300"/>
        <v>-0.57039821721566353</v>
      </c>
      <c r="FD183" s="84">
        <f t="shared" si="300"/>
        <v>-1.5694013108331233</v>
      </c>
      <c r="FE183" s="84">
        <f t="shared" si="300"/>
        <v>-0.75</v>
      </c>
      <c r="FF183" s="84">
        <f t="shared" ref="FF183" si="302">(FF181-(2*FF177))</f>
        <v>1</v>
      </c>
      <c r="FG183" s="84">
        <f t="shared" si="300"/>
        <v>-1.9919906085779377</v>
      </c>
      <c r="FH183" s="84">
        <f t="shared" ref="FH183:FM183" si="303">(FH181-(2*FH177))</f>
        <v>25.285480584428065</v>
      </c>
      <c r="FI183" s="84">
        <f t="shared" si="303"/>
        <v>-1.3281977820224364</v>
      </c>
      <c r="FJ183" s="84">
        <f t="shared" si="303"/>
        <v>1.261911806951038</v>
      </c>
      <c r="FK183" s="84">
        <f t="shared" si="303"/>
        <v>-1.4358309961456861</v>
      </c>
      <c r="FL183" s="84">
        <f t="shared" si="303"/>
        <v>-0.76482042696793773</v>
      </c>
      <c r="FM183" s="84">
        <f t="shared" si="303"/>
        <v>2.4769906489242484</v>
      </c>
      <c r="FN183" s="85"/>
      <c r="FO183" s="85"/>
      <c r="FP183" s="85"/>
      <c r="FQ183" s="85"/>
      <c r="FR183" s="85"/>
      <c r="FS183" s="85"/>
      <c r="FT183" s="85"/>
      <c r="FU183" s="85"/>
      <c r="FV183" s="84">
        <f t="shared" ref="FV183:GD183" si="304">(FV181-(2*FV177))</f>
        <v>-2.8845120976981367</v>
      </c>
      <c r="FW183" s="84">
        <f t="shared" si="304"/>
        <v>-2.1056435927666004</v>
      </c>
      <c r="FX183" s="84">
        <f t="shared" si="304"/>
        <v>-2.9571740916396476</v>
      </c>
      <c r="FY183" s="84">
        <f t="shared" si="304"/>
        <v>-2.814373732307883</v>
      </c>
      <c r="FZ183" s="84">
        <f t="shared" si="304"/>
        <v>-2.9021799276943887</v>
      </c>
      <c r="GA183" s="84">
        <f t="shared" si="304"/>
        <v>-3.3653084858329523</v>
      </c>
      <c r="GB183" s="84">
        <f t="shared" si="304"/>
        <v>-2.2035008859504193</v>
      </c>
      <c r="GC183" s="84">
        <f t="shared" si="304"/>
        <v>-2.6216841512211753</v>
      </c>
      <c r="GD183" s="84">
        <f t="shared" si="304"/>
        <v>-2.198590589793616</v>
      </c>
      <c r="GI183" s="84">
        <f>(GI181-(2*GI177))</f>
        <v>-7.4174504572669537</v>
      </c>
      <c r="GJ183" s="88" t="s">
        <v>269</v>
      </c>
    </row>
    <row r="184" spans="1:192" x14ac:dyDescent="0.25">
      <c r="A184" s="87" t="s">
        <v>270</v>
      </c>
      <c r="B184" s="83"/>
      <c r="C184" s="83"/>
      <c r="D184" s="83"/>
      <c r="E184" s="84">
        <f>(E181-(3*E177))</f>
        <v>-5291.9699064875604</v>
      </c>
      <c r="F184" s="84">
        <f>(F181-(3*F177))</f>
        <v>99.10313769296836</v>
      </c>
      <c r="G184" s="84"/>
      <c r="H184" s="84"/>
      <c r="I184" s="84"/>
      <c r="J184" s="84"/>
      <c r="K184" s="84">
        <f t="shared" ref="K184:W184" si="305">(K181-(3*K177))</f>
        <v>1.9156712206200019</v>
      </c>
      <c r="L184" s="84">
        <f t="shared" si="305"/>
        <v>-0.93273015050157504</v>
      </c>
      <c r="M184" s="84">
        <f t="shared" si="305"/>
        <v>-3.0888784740417146</v>
      </c>
      <c r="N184" s="84">
        <f t="shared" si="305"/>
        <v>-3.2743390534141588</v>
      </c>
      <c r="O184" s="84">
        <f t="shared" si="305"/>
        <v>-1.8812619029515671</v>
      </c>
      <c r="P184" s="84">
        <f t="shared" si="305"/>
        <v>-2.5251872680165102</v>
      </c>
      <c r="Q184" s="84">
        <f t="shared" si="305"/>
        <v>-2.034869060384783</v>
      </c>
      <c r="R184" s="84">
        <f t="shared" si="305"/>
        <v>-1.0878827342880073</v>
      </c>
      <c r="S184" s="84">
        <f t="shared" si="305"/>
        <v>13.482418196415969</v>
      </c>
      <c r="T184" s="84">
        <f t="shared" si="305"/>
        <v>53.122852761191353</v>
      </c>
      <c r="U184" s="84">
        <f t="shared" si="305"/>
        <v>30.206334609627113</v>
      </c>
      <c r="V184" s="84">
        <f t="shared" si="305"/>
        <v>-1.823886122590384</v>
      </c>
      <c r="W184" s="84">
        <f t="shared" si="305"/>
        <v>-1.3713898355276959</v>
      </c>
      <c r="X184" s="84"/>
      <c r="Y184" s="84"/>
      <c r="Z184" s="84"/>
      <c r="AA184" s="84"/>
      <c r="AB184" s="84"/>
      <c r="AC184" s="84">
        <f t="shared" ref="AC184:AM184" si="306">(AC181-(3*AC177))</f>
        <v>-1.6081198871845075</v>
      </c>
      <c r="AD184" s="84">
        <f t="shared" si="306"/>
        <v>-4.1490646253478634</v>
      </c>
      <c r="AE184" s="84">
        <f t="shared" si="306"/>
        <v>-3.6073149508117988</v>
      </c>
      <c r="AF184" s="84">
        <f t="shared" si="306"/>
        <v>-3.5723357730634047</v>
      </c>
      <c r="AG184" s="84">
        <f t="shared" si="306"/>
        <v>-2.6337565103362284</v>
      </c>
      <c r="AH184" s="84">
        <f t="shared" si="306"/>
        <v>-3.1968076374665984</v>
      </c>
      <c r="AI184" s="84">
        <f t="shared" si="306"/>
        <v>-1.3965344726420745</v>
      </c>
      <c r="AJ184" s="84">
        <f t="shared" si="306"/>
        <v>-0.90480466022391492</v>
      </c>
      <c r="AK184" s="84">
        <f t="shared" si="306"/>
        <v>-8.1150504271438262</v>
      </c>
      <c r="AL184" s="84">
        <f t="shared" si="306"/>
        <v>-33.28250743713717</v>
      </c>
      <c r="AM184" s="84">
        <f t="shared" si="306"/>
        <v>-19.760145110264315</v>
      </c>
      <c r="AN184" s="84"/>
      <c r="AO184" s="84">
        <f t="shared" ref="AO184:AW184" si="307">(AO181-(3*AO177))</f>
        <v>1.5088937369406459</v>
      </c>
      <c r="AP184" s="84">
        <f t="shared" si="307"/>
        <v>-1.7202281800521089</v>
      </c>
      <c r="AQ184" s="84">
        <f t="shared" si="307"/>
        <v>-1.5887344278274973</v>
      </c>
      <c r="AR184" s="84">
        <f t="shared" si="307"/>
        <v>-1.9853071252725103</v>
      </c>
      <c r="AS184" s="84">
        <f t="shared" si="307"/>
        <v>-1.7771284234145255</v>
      </c>
      <c r="AT184" s="84">
        <f t="shared" si="307"/>
        <v>-1.7322617002077256</v>
      </c>
      <c r="AU184" s="84">
        <f t="shared" si="307"/>
        <v>-0.52408412078049538</v>
      </c>
      <c r="AV184" s="84">
        <f t="shared" si="307"/>
        <v>-0.43612728806275064</v>
      </c>
      <c r="AW184" s="84">
        <f t="shared" si="307"/>
        <v>-3.320222157581155</v>
      </c>
      <c r="AX184" s="84"/>
      <c r="AY184" s="84">
        <f t="shared" ref="AY184:BG184" si="308">(AY181-(3*AY177))</f>
        <v>1.2521770036891002</v>
      </c>
      <c r="AZ184" s="84">
        <f t="shared" si="308"/>
        <v>-1.6312285700166931</v>
      </c>
      <c r="BA184" s="84">
        <f t="shared" si="308"/>
        <v>-2.077760828351372</v>
      </c>
      <c r="BB184" s="84">
        <f t="shared" si="308"/>
        <v>-2.0112934002911174</v>
      </c>
      <c r="BC184" s="84">
        <f t="shared" si="308"/>
        <v>-1.5138365817969504</v>
      </c>
      <c r="BD184" s="84">
        <f t="shared" si="308"/>
        <v>-1.632254609299215</v>
      </c>
      <c r="BE184" s="84">
        <f t="shared" si="308"/>
        <v>-0.48286397521533775</v>
      </c>
      <c r="BF184" s="84">
        <f t="shared" si="308"/>
        <v>-0.6805248381467216</v>
      </c>
      <c r="BG184" s="84">
        <f t="shared" si="308"/>
        <v>-3.904544976091918</v>
      </c>
      <c r="BH184" s="84"/>
      <c r="BI184" s="84">
        <f t="shared" ref="BI184:BQ184" si="309">(BI181-(3*BI177))</f>
        <v>1.4112487301771792</v>
      </c>
      <c r="BJ184" s="84">
        <f t="shared" si="309"/>
        <v>-1.4965161037555146</v>
      </c>
      <c r="BK184" s="84">
        <f t="shared" si="309"/>
        <v>-1.7660618586799175</v>
      </c>
      <c r="BL184" s="84">
        <f t="shared" si="309"/>
        <v>-1.910310927166746</v>
      </c>
      <c r="BM184" s="84">
        <f t="shared" si="309"/>
        <v>-1.61499504407788</v>
      </c>
      <c r="BN184" s="84">
        <f t="shared" si="309"/>
        <v>-1.6725482726716216</v>
      </c>
      <c r="BO184" s="84">
        <f t="shared" si="309"/>
        <v>-0.56108476860268852</v>
      </c>
      <c r="BP184" s="84">
        <f t="shared" si="309"/>
        <v>-0.56108476860268852</v>
      </c>
      <c r="BQ184" s="84">
        <f t="shared" si="309"/>
        <v>-3.7508009818300225</v>
      </c>
      <c r="BR184" s="84"/>
      <c r="BS184" s="84">
        <f t="shared" ref="BS184:CA184" si="310">(BS181-(3*BS177))</f>
        <v>1.3743808382450795</v>
      </c>
      <c r="BT184" s="84">
        <f t="shared" si="310"/>
        <v>-1.6342958222665975</v>
      </c>
      <c r="BU184" s="84">
        <f t="shared" si="310"/>
        <v>-1.5997759998800982</v>
      </c>
      <c r="BV184" s="84">
        <f t="shared" si="310"/>
        <v>-2.12278618332271</v>
      </c>
      <c r="BW184" s="84">
        <f t="shared" si="310"/>
        <v>-1.425348990430086</v>
      </c>
      <c r="BX184" s="84">
        <f t="shared" si="310"/>
        <v>-1.5029091494855251</v>
      </c>
      <c r="BY184" s="84">
        <f t="shared" si="310"/>
        <v>-0.59471328254179745</v>
      </c>
      <c r="BZ184" s="84">
        <f t="shared" si="310"/>
        <v>-0.72835238040244632</v>
      </c>
      <c r="CA184" s="84">
        <f t="shared" si="310"/>
        <v>-3.964826628484484</v>
      </c>
      <c r="CB184" s="84"/>
      <c r="CC184" s="84">
        <f t="shared" ref="CC184:CK184" si="311">(CC181-(3*CC177))</f>
        <v>1.3963317637126256</v>
      </c>
      <c r="CD184" s="84">
        <f t="shared" si="311"/>
        <v>-1.4364778005924832</v>
      </c>
      <c r="CE184" s="84">
        <f t="shared" si="311"/>
        <v>-1.5285359840419448</v>
      </c>
      <c r="CF184" s="84">
        <f t="shared" si="311"/>
        <v>-2.2801947694559641</v>
      </c>
      <c r="CG184" s="84">
        <f t="shared" si="311"/>
        <v>-1.524586793435418</v>
      </c>
      <c r="CH184" s="84">
        <f t="shared" si="311"/>
        <v>-1.5672717511729672</v>
      </c>
      <c r="CI184" s="84">
        <f t="shared" si="311"/>
        <v>-0.56108476860268852</v>
      </c>
      <c r="CJ184" s="84">
        <f t="shared" si="311"/>
        <v>-0.48286397521533775</v>
      </c>
      <c r="CK184" s="84">
        <f t="shared" si="311"/>
        <v>-3.5897205650312025</v>
      </c>
      <c r="CL184" s="84"/>
      <c r="CM184" s="84">
        <f t="shared" ref="CM184:CU184" si="312">(CM181-(3*CM177))</f>
        <v>1.0641933695177852</v>
      </c>
      <c r="CN184" s="84">
        <f t="shared" si="312"/>
        <v>-1.4894983186695674</v>
      </c>
      <c r="CO184" s="84">
        <f t="shared" si="312"/>
        <v>-1.4714581941295368</v>
      </c>
      <c r="CP184" s="84">
        <f t="shared" si="312"/>
        <v>-1.9854094697344977</v>
      </c>
      <c r="CQ184" s="84">
        <f t="shared" si="312"/>
        <v>-1.4631563400958529</v>
      </c>
      <c r="CR184" s="84">
        <f t="shared" si="312"/>
        <v>-1.7428493255412947</v>
      </c>
      <c r="CS184" s="84">
        <f t="shared" si="312"/>
        <v>-0.48286397521533775</v>
      </c>
      <c r="CT184" s="84">
        <f t="shared" si="312"/>
        <v>-0.48286397521533775</v>
      </c>
      <c r="CU184" s="84">
        <f t="shared" si="312"/>
        <v>-3.5317718510959502</v>
      </c>
      <c r="CV184" s="84"/>
      <c r="CW184" s="84">
        <f t="shared" ref="CW184:DE184" si="313">(CW181-(3*CW177))</f>
        <v>0.93148702517766768</v>
      </c>
      <c r="CX184" s="84">
        <f t="shared" si="313"/>
        <v>-1.430998164241702</v>
      </c>
      <c r="CY184" s="84">
        <f t="shared" si="313"/>
        <v>-1.6700906737374575</v>
      </c>
      <c r="CZ184" s="84">
        <f t="shared" si="313"/>
        <v>-1.9975840675709899</v>
      </c>
      <c r="DA184" s="84">
        <f t="shared" si="313"/>
        <v>-1.6596422509608237</v>
      </c>
      <c r="DB184" s="84">
        <f t="shared" si="313"/>
        <v>-1.6299126974069871</v>
      </c>
      <c r="DC184" s="84">
        <f t="shared" si="313"/>
        <v>-0.59471328254179745</v>
      </c>
      <c r="DD184" s="84">
        <f t="shared" si="313"/>
        <v>-0.48286397521533775</v>
      </c>
      <c r="DE184" s="84">
        <f t="shared" si="313"/>
        <v>-3.6108585310850514</v>
      </c>
      <c r="DF184" s="84"/>
      <c r="DG184" s="84">
        <f t="shared" ref="DG184:DO184" si="314">(DG181-(3*DG177))</f>
        <v>1.0684541818414974</v>
      </c>
      <c r="DH184" s="84">
        <f t="shared" si="314"/>
        <v>-1.5376702815828662</v>
      </c>
      <c r="DI184" s="84">
        <f t="shared" si="314"/>
        <v>-1.501675351660251</v>
      </c>
      <c r="DJ184" s="84">
        <f t="shared" si="314"/>
        <v>-2.126511923518835</v>
      </c>
      <c r="DK184" s="84">
        <f t="shared" si="314"/>
        <v>-1.3883276438568446</v>
      </c>
      <c r="DL184" s="84">
        <f t="shared" si="314"/>
        <v>-1.6227633087078877</v>
      </c>
      <c r="DM184" s="84">
        <f t="shared" si="314"/>
        <v>-0.48286397521533775</v>
      </c>
      <c r="DN184" s="84">
        <f t="shared" si="314"/>
        <v>-0.31533897976134362</v>
      </c>
      <c r="DO184" s="84">
        <f t="shared" si="314"/>
        <v>-3.3864441232251812</v>
      </c>
      <c r="DP184" s="84"/>
      <c r="DQ184" s="84">
        <f t="shared" ref="DQ184:FG184" si="315">(DQ181-(3*DQ177))</f>
        <v>0.93017965065739983</v>
      </c>
      <c r="DR184" s="84">
        <f t="shared" si="315"/>
        <v>-1.5140860899100768</v>
      </c>
      <c r="DS184" s="84">
        <f t="shared" si="315"/>
        <v>-1.6889287443937637</v>
      </c>
      <c r="DT184" s="84">
        <f t="shared" si="315"/>
        <v>-2.1367730911957361</v>
      </c>
      <c r="DU184" s="84">
        <f t="shared" si="315"/>
        <v>-1.2619986581077858</v>
      </c>
      <c r="DV184" s="84">
        <f t="shared" si="315"/>
        <v>-1.6981682567811307</v>
      </c>
      <c r="DW184" s="84">
        <f t="shared" si="315"/>
        <v>-0.70114999397062971</v>
      </c>
      <c r="DX184" s="84">
        <f t="shared" si="315"/>
        <v>-0.48286397521533775</v>
      </c>
      <c r="DY184" s="84">
        <f t="shared" si="315"/>
        <v>-3.2526291307589186</v>
      </c>
      <c r="DZ184" s="84">
        <f t="shared" si="315"/>
        <v>-6.0804852276463226</v>
      </c>
      <c r="EA184" s="84">
        <f t="shared" si="315"/>
        <v>-1.377853395813974</v>
      </c>
      <c r="EB184" s="84">
        <f t="shared" si="315"/>
        <v>-0.83407969583834196</v>
      </c>
      <c r="EC184" s="84">
        <f t="shared" si="315"/>
        <v>-3.6441894135672284</v>
      </c>
      <c r="ED184" s="84">
        <f t="shared" si="315"/>
        <v>-2.590729127334769</v>
      </c>
      <c r="EE184" s="84">
        <f t="shared" si="315"/>
        <v>-1.3597304122385829</v>
      </c>
      <c r="EF184" s="84">
        <f t="shared" si="315"/>
        <v>-2.5123717194432635</v>
      </c>
      <c r="EG184" s="84">
        <f t="shared" si="315"/>
        <v>-2.2382011531797832</v>
      </c>
      <c r="EH184" s="84">
        <f t="shared" si="315"/>
        <v>-2.5565066777550856</v>
      </c>
      <c r="EI184" s="84">
        <f t="shared" si="315"/>
        <v>-2.6729713382366396</v>
      </c>
      <c r="EJ184" s="84">
        <f t="shared" si="315"/>
        <v>-3.2812700641632477</v>
      </c>
      <c r="EK184" s="84">
        <f t="shared" si="315"/>
        <v>-3.0008201087461459</v>
      </c>
      <c r="EL184" s="84">
        <f t="shared" si="315"/>
        <v>-2.2240518495282582</v>
      </c>
      <c r="EM184" s="84">
        <f t="shared" si="315"/>
        <v>-3.4498579663126345</v>
      </c>
      <c r="EN184" s="84">
        <f t="shared" si="315"/>
        <v>-2.6869997487872519</v>
      </c>
      <c r="EO184" s="84">
        <f t="shared" si="315"/>
        <v>-2.0347614968317091</v>
      </c>
      <c r="EP184" s="84">
        <f t="shared" si="315"/>
        <v>-3.3019602999302196</v>
      </c>
      <c r="EQ184" s="84">
        <f t="shared" si="315"/>
        <v>-1.4494897427831779</v>
      </c>
      <c r="ER184" s="84">
        <f t="shared" ref="ER184" si="316">(ER181-(3*ER177))</f>
        <v>0</v>
      </c>
      <c r="ES184" s="84">
        <f t="shared" si="315"/>
        <v>-4.4324164335126968</v>
      </c>
      <c r="ET184" s="84">
        <f t="shared" si="315"/>
        <v>-2.563227365200579</v>
      </c>
      <c r="EU184" s="84">
        <f t="shared" si="315"/>
        <v>-1.7549104588963218</v>
      </c>
      <c r="EV184" s="84">
        <f t="shared" si="315"/>
        <v>-2.5245938715175162</v>
      </c>
      <c r="EW184" s="84">
        <f t="shared" si="315"/>
        <v>-2.5108849923430281</v>
      </c>
      <c r="EX184" s="84">
        <f t="shared" si="315"/>
        <v>-2.1552786533501398</v>
      </c>
      <c r="EY184" s="84">
        <f t="shared" si="315"/>
        <v>-2.9557272693437087</v>
      </c>
      <c r="EZ184" s="84">
        <f t="shared" si="315"/>
        <v>-2.1418540682713934</v>
      </c>
      <c r="FA184" s="84">
        <f t="shared" si="315"/>
        <v>-1.9490511117018381</v>
      </c>
      <c r="FB184" s="84">
        <f t="shared" si="315"/>
        <v>-1.9926643933089885</v>
      </c>
      <c r="FC184" s="84">
        <f t="shared" si="315"/>
        <v>-0.92226399249016189</v>
      </c>
      <c r="FD184" s="84">
        <f t="shared" si="315"/>
        <v>-2.6874352995830182</v>
      </c>
      <c r="FE184" s="84">
        <f t="shared" si="315"/>
        <v>-1.25</v>
      </c>
      <c r="FF184" s="84">
        <f t="shared" ref="FF184" si="317">(FF181-(3*FF177))</f>
        <v>1</v>
      </c>
      <c r="FG184" s="84">
        <f t="shared" si="315"/>
        <v>-4.9939739368190033</v>
      </c>
      <c r="FH184" s="84">
        <f t="shared" ref="FH184:FM184" si="318">(FH181-(3*FH177))</f>
        <v>21.128819679037306</v>
      </c>
      <c r="FI184" s="84">
        <f t="shared" si="318"/>
        <v>-4.4324164335126968</v>
      </c>
      <c r="FJ184" s="84">
        <f t="shared" si="318"/>
        <v>-2.2388688165195507</v>
      </c>
      <c r="FK184" s="84">
        <f t="shared" si="318"/>
        <v>-4.4920698475119423</v>
      </c>
      <c r="FL184" s="84">
        <f t="shared" si="318"/>
        <v>-3.195134832068673</v>
      </c>
      <c r="FM184" s="84">
        <f t="shared" si="318"/>
        <v>-0.31744815835015316</v>
      </c>
      <c r="FN184" s="85"/>
      <c r="FO184" s="85"/>
      <c r="FP184" s="85"/>
      <c r="FQ184" s="85"/>
      <c r="FR184" s="85"/>
      <c r="FS184" s="85"/>
      <c r="FT184" s="85"/>
      <c r="FU184" s="85"/>
      <c r="FV184" s="84">
        <f t="shared" ref="FV184:GD184" si="319">(FV181-(3*FV177))</f>
        <v>-4.2998220387627741</v>
      </c>
      <c r="FW184" s="84">
        <f t="shared" si="319"/>
        <v>-3.1584653891499004</v>
      </c>
      <c r="FX184" s="84">
        <f t="shared" si="319"/>
        <v>-4.4537252093157598</v>
      </c>
      <c r="FY184" s="84">
        <f t="shared" si="319"/>
        <v>-4.2544947301983518</v>
      </c>
      <c r="FZ184" s="84">
        <f t="shared" si="319"/>
        <v>-4.4969824663918834</v>
      </c>
      <c r="GA184" s="84">
        <f t="shared" si="319"/>
        <v>-5.0479627287494289</v>
      </c>
      <c r="GB184" s="84">
        <f t="shared" si="319"/>
        <v>-3.3172273768298206</v>
      </c>
      <c r="GC184" s="84">
        <f t="shared" si="319"/>
        <v>-4.1211489813227811</v>
      </c>
      <c r="GD184" s="84">
        <f t="shared" si="319"/>
        <v>-3.3457900763071904</v>
      </c>
      <c r="GI184" s="84">
        <f>(GI181-(3*GI177))</f>
        <v>-11.560307422427377</v>
      </c>
      <c r="GJ184" s="88" t="s">
        <v>270</v>
      </c>
    </row>
  </sheetData>
  <mergeCells count="22">
    <mergeCell ref="FN1:FU2"/>
    <mergeCell ref="ET2:FG2"/>
    <mergeCell ref="DP2:DY2"/>
    <mergeCell ref="DF2:DO2"/>
    <mergeCell ref="CV2:DE2"/>
    <mergeCell ref="FH1:FM2"/>
    <mergeCell ref="GK1:GM2"/>
    <mergeCell ref="CL2:CU2"/>
    <mergeCell ref="CB2:CK2"/>
    <mergeCell ref="FV1:GG2"/>
    <mergeCell ref="X2:AM2"/>
    <mergeCell ref="EF1:FG1"/>
    <mergeCell ref="G1:AM1"/>
    <mergeCell ref="AN1:DY1"/>
    <mergeCell ref="DZ1:EE2"/>
    <mergeCell ref="V2:W2"/>
    <mergeCell ref="G2:U2"/>
    <mergeCell ref="BR2:CA2"/>
    <mergeCell ref="BH2:BQ2"/>
    <mergeCell ref="AX2:BG2"/>
    <mergeCell ref="AN2:AW2"/>
    <mergeCell ref="EF2:ES2"/>
  </mergeCells>
  <conditionalFormatting sqref="FN4:FU171">
    <cfRule type="cellIs" dxfId="203" priority="4" operator="notEqual">
      <formula>0</formula>
    </cfRule>
  </conditionalFormatting>
  <pageMargins left="0.7" right="0.7" top="0.75" bottom="0.75" header="0.3" footer="0.3"/>
  <pageSetup orientation="portrait" r:id="rId1"/>
  <ignoredErrors>
    <ignoredError sqref="K54" formula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160"/>
  <sheetViews>
    <sheetView workbookViewId="0">
      <pane xSplit="1" ySplit="3" topLeftCell="B131" activePane="bottomRight" state="frozen"/>
      <selection pane="topRight" activeCell="B1" sqref="B1"/>
      <selection pane="bottomLeft" activeCell="A3" sqref="A3"/>
      <selection pane="bottomRight" activeCell="A146" sqref="A146"/>
    </sheetView>
  </sheetViews>
  <sheetFormatPr defaultRowHeight="15" x14ac:dyDescent="0.25"/>
  <cols>
    <col min="1" max="1" width="9.7109375" style="48" bestFit="1" customWidth="1"/>
    <col min="2" max="2" width="6.140625" style="48" bestFit="1" customWidth="1"/>
    <col min="3" max="3" width="6.42578125" style="48" bestFit="1" customWidth="1"/>
    <col min="4" max="4" width="12.85546875" style="48" bestFit="1" customWidth="1"/>
    <col min="5" max="5" width="9.28515625" style="49" bestFit="1" customWidth="1"/>
    <col min="6" max="6" width="5.42578125" style="49" bestFit="1" customWidth="1"/>
    <col min="7" max="7" width="14.85546875" style="52" bestFit="1" customWidth="1"/>
    <col min="8" max="8" width="7" style="52" bestFit="1" customWidth="1"/>
    <col min="9" max="9" width="5.85546875" style="52" bestFit="1" customWidth="1"/>
    <col min="10" max="10" width="6.7109375" style="52" bestFit="1" customWidth="1"/>
    <col min="11" max="11" width="6.28515625" style="52" bestFit="1" customWidth="1"/>
    <col min="12" max="12" width="6.140625" style="52" bestFit="1" customWidth="1"/>
    <col min="13" max="13" width="7.140625" style="52" bestFit="1" customWidth="1"/>
    <col min="14" max="14" width="7.28515625" style="52" bestFit="1" customWidth="1"/>
    <col min="15" max="16" width="7.42578125" style="52" bestFit="1" customWidth="1"/>
    <col min="17" max="17" width="8.5703125" style="52" bestFit="1" customWidth="1"/>
    <col min="18" max="18" width="7.140625" style="52" bestFit="1" customWidth="1"/>
    <col min="19" max="20" width="7.42578125" style="52" bestFit="1" customWidth="1"/>
    <col min="21" max="22" width="6" style="52" bestFit="1" customWidth="1"/>
    <col min="23" max="23" width="7.140625" style="52" bestFit="1" customWidth="1"/>
    <col min="24" max="24" width="6" style="52" bestFit="1" customWidth="1"/>
    <col min="25" max="25" width="6.28515625" style="52" bestFit="1" customWidth="1"/>
    <col min="26" max="26" width="5.28515625" style="52" bestFit="1" customWidth="1"/>
    <col min="27" max="27" width="5.42578125" style="52" bestFit="1" customWidth="1"/>
    <col min="28" max="28" width="6.85546875" style="52" bestFit="1" customWidth="1"/>
    <col min="29" max="29" width="6.42578125" style="52" bestFit="1" customWidth="1"/>
    <col min="30" max="30" width="6.28515625" style="52" bestFit="1" customWidth="1"/>
    <col min="31" max="31" width="7.28515625" style="52" bestFit="1" customWidth="1"/>
    <col min="32" max="32" width="7.42578125" style="52" bestFit="1" customWidth="1"/>
    <col min="33" max="34" width="7.5703125" style="52" bestFit="1" customWidth="1"/>
    <col min="35" max="35" width="8.7109375" style="52" bestFit="1" customWidth="1"/>
    <col min="36" max="36" width="7.28515625" style="52" bestFit="1" customWidth="1"/>
    <col min="37" max="38" width="7.5703125" style="52" bestFit="1" customWidth="1"/>
    <col min="39" max="39" width="12" style="52" bestFit="1" customWidth="1"/>
    <col min="40" max="40" width="6.7109375" style="52" bestFit="1" customWidth="1"/>
    <col min="41" max="42" width="6" style="52" bestFit="1" customWidth="1"/>
    <col min="43" max="43" width="7.140625" style="52" bestFit="1" customWidth="1"/>
    <col min="44" max="44" width="6.5703125" style="52" bestFit="1" customWidth="1"/>
    <col min="45" max="45" width="6.7109375" style="52" bestFit="1" customWidth="1"/>
    <col min="46" max="46" width="7.85546875" style="52" bestFit="1" customWidth="1"/>
    <col min="47" max="47" width="6.28515625" style="52" bestFit="1" customWidth="1"/>
    <col min="48" max="48" width="6.42578125" style="52" bestFit="1" customWidth="1"/>
    <col min="49" max="49" width="12" style="52" bestFit="1" customWidth="1"/>
    <col min="50" max="50" width="6.7109375" style="52" bestFit="1" customWidth="1"/>
    <col min="51" max="52" width="6" style="52" bestFit="1" customWidth="1"/>
    <col min="53" max="53" width="7.140625" style="52" bestFit="1" customWidth="1"/>
    <col min="54" max="54" width="6.5703125" style="52" bestFit="1" customWidth="1"/>
    <col min="55" max="55" width="6.7109375" style="52" bestFit="1" customWidth="1"/>
    <col min="56" max="56" width="7.85546875" style="52" bestFit="1" customWidth="1"/>
    <col min="57" max="57" width="6.28515625" style="52" bestFit="1" customWidth="1"/>
    <col min="58" max="58" width="6.42578125" style="52" bestFit="1" customWidth="1"/>
    <col min="59" max="59" width="11.7109375" style="52" bestFit="1" customWidth="1"/>
    <col min="60" max="60" width="6.7109375" style="52" bestFit="1" customWidth="1"/>
    <col min="61" max="62" width="6" style="52" bestFit="1" customWidth="1"/>
    <col min="63" max="63" width="7.140625" style="52" bestFit="1" customWidth="1"/>
    <col min="64" max="64" width="6.5703125" style="52" bestFit="1" customWidth="1"/>
    <col min="65" max="65" width="6.7109375" style="52" bestFit="1" customWidth="1"/>
    <col min="66" max="66" width="7.85546875" style="52" bestFit="1" customWidth="1"/>
    <col min="67" max="67" width="6.28515625" style="52" bestFit="1" customWidth="1"/>
    <col min="68" max="68" width="6.42578125" style="52" bestFit="1" customWidth="1"/>
    <col min="69" max="69" width="11.7109375" style="52" bestFit="1" customWidth="1"/>
    <col min="70" max="70" width="6.7109375" style="52" bestFit="1" customWidth="1"/>
    <col min="71" max="72" width="6" style="52" bestFit="1" customWidth="1"/>
    <col min="73" max="73" width="7.140625" style="52" bestFit="1" customWidth="1"/>
    <col min="74" max="74" width="6.5703125" style="52" bestFit="1" customWidth="1"/>
    <col min="75" max="75" width="6.7109375" style="52" bestFit="1" customWidth="1"/>
    <col min="76" max="76" width="7.85546875" style="52" bestFit="1" customWidth="1"/>
    <col min="77" max="77" width="6.28515625" style="52" bestFit="1" customWidth="1"/>
    <col min="78" max="78" width="6.42578125" style="52" bestFit="1" customWidth="1"/>
    <col min="79" max="79" width="11.7109375" style="52" bestFit="1" customWidth="1"/>
    <col min="80" max="80" width="6.7109375" style="52" bestFit="1" customWidth="1"/>
    <col min="81" max="82" width="6" style="52" bestFit="1" customWidth="1"/>
    <col min="83" max="83" width="7.140625" style="52" bestFit="1" customWidth="1"/>
    <col min="84" max="84" width="6.5703125" style="52" bestFit="1" customWidth="1"/>
    <col min="85" max="85" width="6.7109375" style="52" bestFit="1" customWidth="1"/>
    <col min="86" max="86" width="7.85546875" style="52" bestFit="1" customWidth="1"/>
    <col min="87" max="87" width="6.28515625" style="52" bestFit="1" customWidth="1"/>
    <col min="88" max="88" width="6.42578125" style="52" bestFit="1" customWidth="1"/>
    <col min="89" max="89" width="12" style="52" bestFit="1" customWidth="1"/>
    <col min="90" max="90" width="6.7109375" style="52" bestFit="1" customWidth="1"/>
    <col min="91" max="92" width="6" style="52" bestFit="1" customWidth="1"/>
    <col min="93" max="93" width="7.140625" style="52" bestFit="1" customWidth="1"/>
    <col min="94" max="94" width="6.5703125" style="52" bestFit="1" customWidth="1"/>
    <col min="95" max="95" width="6.7109375" style="52" bestFit="1" customWidth="1"/>
    <col min="96" max="96" width="7.85546875" style="52" bestFit="1" customWidth="1"/>
    <col min="97" max="97" width="6.28515625" style="52" bestFit="1" customWidth="1"/>
    <col min="98" max="98" width="6.42578125" style="52" bestFit="1" customWidth="1"/>
    <col min="99" max="99" width="12" style="52" bestFit="1" customWidth="1"/>
    <col min="100" max="100" width="6.7109375" style="52" bestFit="1" customWidth="1"/>
    <col min="101" max="102" width="6" style="52" bestFit="1" customWidth="1"/>
    <col min="103" max="103" width="7.140625" style="52" bestFit="1" customWidth="1"/>
    <col min="104" max="104" width="6.5703125" style="52" bestFit="1" customWidth="1"/>
    <col min="105" max="105" width="6.7109375" style="52" bestFit="1" customWidth="1"/>
    <col min="106" max="106" width="7.85546875" style="52" bestFit="1" customWidth="1"/>
    <col min="107" max="107" width="6.28515625" style="52" bestFit="1" customWidth="1"/>
    <col min="108" max="108" width="6.42578125" style="52" bestFit="1" customWidth="1"/>
    <col min="109" max="109" width="12" style="52" bestFit="1" customWidth="1"/>
    <col min="110" max="110" width="6.7109375" style="52" bestFit="1" customWidth="1"/>
    <col min="111" max="112" width="6" style="52" bestFit="1" customWidth="1"/>
    <col min="113" max="113" width="7.140625" style="52" bestFit="1" customWidth="1"/>
    <col min="114" max="114" width="6.5703125" style="52" bestFit="1" customWidth="1"/>
    <col min="115" max="115" width="6.7109375" style="52" bestFit="1" customWidth="1"/>
    <col min="116" max="116" width="7.85546875" style="52" bestFit="1" customWidth="1"/>
    <col min="117" max="117" width="6.28515625" style="52" bestFit="1" customWidth="1"/>
    <col min="118" max="118" width="6.42578125" style="52" bestFit="1" customWidth="1"/>
    <col min="119" max="119" width="12" style="52" bestFit="1" customWidth="1"/>
    <col min="120" max="120" width="6.7109375" style="52" bestFit="1" customWidth="1"/>
    <col min="121" max="122" width="6" style="52" bestFit="1" customWidth="1"/>
    <col min="123" max="123" width="7.140625" style="52" bestFit="1" customWidth="1"/>
    <col min="124" max="124" width="6.5703125" style="52" bestFit="1" customWidth="1"/>
    <col min="125" max="125" width="6.7109375" style="52" bestFit="1" customWidth="1"/>
    <col min="126" max="126" width="7.85546875" style="52" bestFit="1" customWidth="1"/>
    <col min="127" max="127" width="6.28515625" style="52" bestFit="1" customWidth="1"/>
    <col min="128" max="128" width="6.42578125" style="52" bestFit="1" customWidth="1"/>
    <col min="129" max="129" width="6" style="52" bestFit="1" customWidth="1"/>
    <col min="130" max="130" width="6.42578125" style="52" bestFit="1" customWidth="1"/>
    <col min="131" max="131" width="6.5703125" style="52" bestFit="1" customWidth="1"/>
    <col min="132" max="132" width="6.28515625" style="52" bestFit="1" customWidth="1"/>
    <col min="133" max="133" width="6.7109375" style="52" bestFit="1" customWidth="1"/>
    <col min="134" max="134" width="6.85546875" style="52" bestFit="1" customWidth="1"/>
    <col min="135" max="143" width="6" style="52" bestFit="1" customWidth="1"/>
    <col min="144" max="146" width="7" style="52" bestFit="1" customWidth="1"/>
    <col min="147" max="156" width="6.28515625" style="52" bestFit="1" customWidth="1"/>
    <col min="157" max="159" width="7.28515625" style="52" bestFit="1" customWidth="1"/>
    <col min="160" max="160" width="6.28515625" style="52" bestFit="1" customWidth="1"/>
    <col min="161" max="162" width="11.85546875" style="52" bestFit="1" customWidth="1"/>
    <col min="163" max="163" width="44.7109375" style="51" bestFit="1" customWidth="1"/>
    <col min="164" max="16384" width="9.140625" style="52"/>
  </cols>
  <sheetData>
    <row r="1" spans="1:163" x14ac:dyDescent="0.25">
      <c r="F1" s="442" t="s">
        <v>125</v>
      </c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  <c r="AM1" s="442" t="s">
        <v>185</v>
      </c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43"/>
      <c r="BZ1" s="443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43"/>
      <c r="CP1" s="443"/>
      <c r="CQ1" s="443"/>
      <c r="CR1" s="443"/>
      <c r="CS1" s="443"/>
      <c r="CT1" s="443"/>
      <c r="CU1" s="443"/>
      <c r="CV1" s="443"/>
      <c r="CW1" s="443"/>
      <c r="CX1" s="443"/>
      <c r="CY1" s="443"/>
      <c r="CZ1" s="443"/>
      <c r="DA1" s="443"/>
      <c r="DB1" s="443"/>
      <c r="DC1" s="443"/>
      <c r="DD1" s="443"/>
      <c r="DE1" s="443"/>
      <c r="DF1" s="443"/>
      <c r="DG1" s="443"/>
      <c r="DH1" s="443"/>
      <c r="DI1" s="443"/>
      <c r="DJ1" s="443"/>
      <c r="DK1" s="443"/>
      <c r="DL1" s="443"/>
      <c r="DM1" s="443"/>
      <c r="DN1" s="443"/>
      <c r="DO1" s="443"/>
      <c r="DP1" s="443"/>
      <c r="DQ1" s="443"/>
      <c r="DR1" s="443"/>
      <c r="DS1" s="443"/>
      <c r="DT1" s="443"/>
      <c r="DU1" s="443"/>
      <c r="DV1" s="443"/>
      <c r="DW1" s="443"/>
      <c r="DX1" s="444"/>
      <c r="DY1" s="445" t="s">
        <v>184</v>
      </c>
      <c r="DZ1" s="446"/>
      <c r="EA1" s="446"/>
      <c r="EB1" s="446"/>
      <c r="EC1" s="446"/>
      <c r="ED1" s="447"/>
      <c r="EE1" s="441" t="s">
        <v>178</v>
      </c>
      <c r="EF1" s="441"/>
      <c r="EG1" s="441"/>
      <c r="EH1" s="441"/>
      <c r="EI1" s="441"/>
      <c r="EJ1" s="441"/>
      <c r="EK1" s="441"/>
      <c r="EL1" s="441"/>
      <c r="EM1" s="441"/>
      <c r="EN1" s="441"/>
      <c r="EO1" s="441"/>
      <c r="EP1" s="441"/>
      <c r="EQ1" s="441"/>
      <c r="ER1" s="441"/>
      <c r="ES1" s="441"/>
      <c r="ET1" s="441"/>
      <c r="EU1" s="441"/>
      <c r="EV1" s="441"/>
      <c r="EW1" s="441"/>
      <c r="EX1" s="441"/>
      <c r="EY1" s="441"/>
      <c r="EZ1" s="441"/>
      <c r="FA1" s="441"/>
      <c r="FB1" s="441"/>
      <c r="FC1" s="441"/>
      <c r="FD1" s="441"/>
      <c r="FE1" s="438" t="s">
        <v>247</v>
      </c>
      <c r="FF1" s="438"/>
    </row>
    <row r="2" spans="1:163" x14ac:dyDescent="0.25">
      <c r="A2" s="53"/>
      <c r="B2" s="53"/>
      <c r="C2" s="53"/>
      <c r="D2" s="53"/>
      <c r="E2" s="54"/>
      <c r="F2" s="450" t="s">
        <v>0</v>
      </c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48" t="s">
        <v>186</v>
      </c>
      <c r="V2" s="449"/>
      <c r="W2" s="440" t="s">
        <v>1</v>
      </c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52">
        <v>1</v>
      </c>
      <c r="AN2" s="439"/>
      <c r="AO2" s="439"/>
      <c r="AP2" s="439"/>
      <c r="AQ2" s="439"/>
      <c r="AR2" s="439"/>
      <c r="AS2" s="439"/>
      <c r="AT2" s="439"/>
      <c r="AU2" s="439"/>
      <c r="AV2" s="439"/>
      <c r="AW2" s="439">
        <v>2</v>
      </c>
      <c r="AX2" s="439"/>
      <c r="AY2" s="439"/>
      <c r="AZ2" s="439"/>
      <c r="BA2" s="439"/>
      <c r="BB2" s="439"/>
      <c r="BC2" s="439"/>
      <c r="BD2" s="439"/>
      <c r="BE2" s="439"/>
      <c r="BF2" s="439"/>
      <c r="BG2" s="439">
        <v>3</v>
      </c>
      <c r="BH2" s="439"/>
      <c r="BI2" s="439"/>
      <c r="BJ2" s="439"/>
      <c r="BK2" s="439"/>
      <c r="BL2" s="439"/>
      <c r="BM2" s="439"/>
      <c r="BN2" s="439"/>
      <c r="BO2" s="439"/>
      <c r="BP2" s="439"/>
      <c r="BQ2" s="439">
        <v>4</v>
      </c>
      <c r="BR2" s="439"/>
      <c r="BS2" s="439"/>
      <c r="BT2" s="439"/>
      <c r="BU2" s="439"/>
      <c r="BV2" s="439"/>
      <c r="BW2" s="439"/>
      <c r="BX2" s="439"/>
      <c r="BY2" s="439"/>
      <c r="BZ2" s="439"/>
      <c r="CA2" s="439">
        <v>5</v>
      </c>
      <c r="CB2" s="439"/>
      <c r="CC2" s="439"/>
      <c r="CD2" s="439"/>
      <c r="CE2" s="439"/>
      <c r="CF2" s="439"/>
      <c r="CG2" s="439"/>
      <c r="CH2" s="439"/>
      <c r="CI2" s="439"/>
      <c r="CJ2" s="439"/>
      <c r="CK2" s="439">
        <v>6</v>
      </c>
      <c r="CL2" s="439"/>
      <c r="CM2" s="439"/>
      <c r="CN2" s="439"/>
      <c r="CO2" s="439"/>
      <c r="CP2" s="439"/>
      <c r="CQ2" s="439"/>
      <c r="CR2" s="439"/>
      <c r="CS2" s="439"/>
      <c r="CT2" s="439"/>
      <c r="CU2" s="439">
        <v>7</v>
      </c>
      <c r="CV2" s="439"/>
      <c r="CW2" s="439"/>
      <c r="CX2" s="439"/>
      <c r="CY2" s="439"/>
      <c r="CZ2" s="439"/>
      <c r="DA2" s="439"/>
      <c r="DB2" s="439"/>
      <c r="DC2" s="439"/>
      <c r="DD2" s="439"/>
      <c r="DE2" s="439">
        <v>8</v>
      </c>
      <c r="DF2" s="439"/>
      <c r="DG2" s="439"/>
      <c r="DH2" s="439"/>
      <c r="DI2" s="439"/>
      <c r="DJ2" s="439"/>
      <c r="DK2" s="439"/>
      <c r="DL2" s="439"/>
      <c r="DM2" s="439"/>
      <c r="DN2" s="439"/>
      <c r="DO2" s="439">
        <v>9</v>
      </c>
      <c r="DP2" s="439"/>
      <c r="DQ2" s="439"/>
      <c r="DR2" s="439"/>
      <c r="DS2" s="439"/>
      <c r="DT2" s="439"/>
      <c r="DU2" s="439"/>
      <c r="DV2" s="439"/>
      <c r="DW2" s="439"/>
      <c r="DX2" s="453"/>
      <c r="DY2" s="445"/>
      <c r="DZ2" s="446"/>
      <c r="EA2" s="446"/>
      <c r="EB2" s="446"/>
      <c r="EC2" s="446"/>
      <c r="ED2" s="447"/>
      <c r="EE2" s="441" t="s">
        <v>361</v>
      </c>
      <c r="EF2" s="441"/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 t="s">
        <v>180</v>
      </c>
      <c r="ES2" s="441"/>
      <c r="ET2" s="441"/>
      <c r="EU2" s="441"/>
      <c r="EV2" s="441"/>
      <c r="EW2" s="441"/>
      <c r="EX2" s="441"/>
      <c r="EY2" s="441"/>
      <c r="EZ2" s="441"/>
      <c r="FA2" s="441"/>
      <c r="FB2" s="441"/>
      <c r="FC2" s="441"/>
      <c r="FD2" s="441"/>
      <c r="FE2" s="438"/>
      <c r="FF2" s="438"/>
    </row>
    <row r="3" spans="1:163" s="51" customFormat="1" x14ac:dyDescent="0.25">
      <c r="A3" s="55" t="s">
        <v>3</v>
      </c>
      <c r="B3" s="55" t="s">
        <v>126</v>
      </c>
      <c r="C3" s="55" t="s">
        <v>127</v>
      </c>
      <c r="D3" s="55" t="s">
        <v>128</v>
      </c>
      <c r="E3" s="56" t="s">
        <v>151</v>
      </c>
      <c r="F3" s="56" t="s">
        <v>181</v>
      </c>
      <c r="G3" s="36" t="s">
        <v>2</v>
      </c>
      <c r="H3" s="37" t="s">
        <v>4</v>
      </c>
      <c r="I3" s="37" t="s">
        <v>5</v>
      </c>
      <c r="J3" s="35" t="s">
        <v>6</v>
      </c>
      <c r="K3" s="36" t="s">
        <v>7</v>
      </c>
      <c r="L3" s="36" t="s">
        <v>8</v>
      </c>
      <c r="M3" s="36" t="s">
        <v>9</v>
      </c>
      <c r="N3" s="36" t="s">
        <v>10</v>
      </c>
      <c r="O3" s="36" t="s">
        <v>11</v>
      </c>
      <c r="P3" s="36" t="s">
        <v>12</v>
      </c>
      <c r="Q3" s="36" t="s">
        <v>13</v>
      </c>
      <c r="R3" s="36" t="s">
        <v>14</v>
      </c>
      <c r="S3" s="36" t="s">
        <v>15</v>
      </c>
      <c r="T3" s="36" t="s">
        <v>16</v>
      </c>
      <c r="U3" s="37" t="s">
        <v>32</v>
      </c>
      <c r="V3" s="37" t="s">
        <v>33</v>
      </c>
      <c r="W3" s="36" t="s">
        <v>17</v>
      </c>
      <c r="X3" s="36" t="s">
        <v>18</v>
      </c>
      <c r="Y3" s="36" t="s">
        <v>182</v>
      </c>
      <c r="Z3" s="36" t="s">
        <v>183</v>
      </c>
      <c r="AA3" s="36" t="s">
        <v>20</v>
      </c>
      <c r="AB3" s="35" t="s">
        <v>21</v>
      </c>
      <c r="AC3" s="37" t="s">
        <v>22</v>
      </c>
      <c r="AD3" s="37" t="s">
        <v>23</v>
      </c>
      <c r="AE3" s="37" t="s">
        <v>24</v>
      </c>
      <c r="AF3" s="37" t="s">
        <v>25</v>
      </c>
      <c r="AG3" s="37" t="s">
        <v>26</v>
      </c>
      <c r="AH3" s="37" t="s">
        <v>27</v>
      </c>
      <c r="AI3" s="37" t="s">
        <v>28</v>
      </c>
      <c r="AJ3" s="37" t="s">
        <v>29</v>
      </c>
      <c r="AK3" s="37" t="s">
        <v>30</v>
      </c>
      <c r="AL3" s="37" t="s">
        <v>31</v>
      </c>
      <c r="AM3" s="37" t="s">
        <v>35</v>
      </c>
      <c r="AN3" s="37" t="s">
        <v>36</v>
      </c>
      <c r="AO3" s="37" t="s">
        <v>37</v>
      </c>
      <c r="AP3" s="37" t="s">
        <v>38</v>
      </c>
      <c r="AQ3" s="37" t="s">
        <v>39</v>
      </c>
      <c r="AR3" s="37" t="s">
        <v>40</v>
      </c>
      <c r="AS3" s="37" t="s">
        <v>41</v>
      </c>
      <c r="AT3" s="37" t="s">
        <v>42</v>
      </c>
      <c r="AU3" s="37" t="s">
        <v>43</v>
      </c>
      <c r="AV3" s="37" t="s">
        <v>44</v>
      </c>
      <c r="AW3" s="37" t="s">
        <v>45</v>
      </c>
      <c r="AX3" s="37" t="s">
        <v>46</v>
      </c>
      <c r="AY3" s="37" t="s">
        <v>47</v>
      </c>
      <c r="AZ3" s="57" t="s">
        <v>48</v>
      </c>
      <c r="BA3" s="57" t="s">
        <v>49</v>
      </c>
      <c r="BB3" s="57" t="s">
        <v>50</v>
      </c>
      <c r="BC3" s="57" t="s">
        <v>51</v>
      </c>
      <c r="BD3" s="57" t="s">
        <v>52</v>
      </c>
      <c r="BE3" s="57" t="s">
        <v>53</v>
      </c>
      <c r="BF3" s="57" t="s">
        <v>54</v>
      </c>
      <c r="BG3" s="57" t="s">
        <v>55</v>
      </c>
      <c r="BH3" s="57" t="s">
        <v>56</v>
      </c>
      <c r="BI3" s="57" t="s">
        <v>57</v>
      </c>
      <c r="BJ3" s="57" t="s">
        <v>58</v>
      </c>
      <c r="BK3" s="57" t="s">
        <v>59</v>
      </c>
      <c r="BL3" s="57" t="s">
        <v>60</v>
      </c>
      <c r="BM3" s="57" t="s">
        <v>61</v>
      </c>
      <c r="BN3" s="57" t="s">
        <v>62</v>
      </c>
      <c r="BO3" s="57" t="s">
        <v>63</v>
      </c>
      <c r="BP3" s="57" t="s">
        <v>64</v>
      </c>
      <c r="BQ3" s="57" t="s">
        <v>65</v>
      </c>
      <c r="BR3" s="57" t="s">
        <v>66</v>
      </c>
      <c r="BS3" s="57" t="s">
        <v>67</v>
      </c>
      <c r="BT3" s="57" t="s">
        <v>68</v>
      </c>
      <c r="BU3" s="57" t="s">
        <v>69</v>
      </c>
      <c r="BV3" s="57" t="s">
        <v>70</v>
      </c>
      <c r="BW3" s="57" t="s">
        <v>71</v>
      </c>
      <c r="BX3" s="57" t="s">
        <v>72</v>
      </c>
      <c r="BY3" s="57" t="s">
        <v>73</v>
      </c>
      <c r="BZ3" s="57" t="s">
        <v>74</v>
      </c>
      <c r="CA3" s="57" t="s">
        <v>75</v>
      </c>
      <c r="CB3" s="57" t="s">
        <v>76</v>
      </c>
      <c r="CC3" s="57" t="s">
        <v>77</v>
      </c>
      <c r="CD3" s="57" t="s">
        <v>78</v>
      </c>
      <c r="CE3" s="57" t="s">
        <v>79</v>
      </c>
      <c r="CF3" s="57" t="s">
        <v>80</v>
      </c>
      <c r="CG3" s="57" t="s">
        <v>81</v>
      </c>
      <c r="CH3" s="57" t="s">
        <v>82</v>
      </c>
      <c r="CI3" s="57" t="s">
        <v>83</v>
      </c>
      <c r="CJ3" s="57" t="s">
        <v>84</v>
      </c>
      <c r="CK3" s="57" t="s">
        <v>85</v>
      </c>
      <c r="CL3" s="57" t="s">
        <v>86</v>
      </c>
      <c r="CM3" s="57" t="s">
        <v>87</v>
      </c>
      <c r="CN3" s="57" t="s">
        <v>88</v>
      </c>
      <c r="CO3" s="57" t="s">
        <v>89</v>
      </c>
      <c r="CP3" s="57" t="s">
        <v>90</v>
      </c>
      <c r="CQ3" s="57" t="s">
        <v>91</v>
      </c>
      <c r="CR3" s="57" t="s">
        <v>92</v>
      </c>
      <c r="CS3" s="57" t="s">
        <v>93</v>
      </c>
      <c r="CT3" s="57" t="s">
        <v>94</v>
      </c>
      <c r="CU3" s="57" t="s">
        <v>95</v>
      </c>
      <c r="CV3" s="57" t="s">
        <v>96</v>
      </c>
      <c r="CW3" s="57" t="s">
        <v>97</v>
      </c>
      <c r="CX3" s="57" t="s">
        <v>98</v>
      </c>
      <c r="CY3" s="57" t="s">
        <v>99</v>
      </c>
      <c r="CZ3" s="57" t="s">
        <v>100</v>
      </c>
      <c r="DA3" s="57" t="s">
        <v>101</v>
      </c>
      <c r="DB3" s="57" t="s">
        <v>102</v>
      </c>
      <c r="DC3" s="57" t="s">
        <v>103</v>
      </c>
      <c r="DD3" s="57" t="s">
        <v>104</v>
      </c>
      <c r="DE3" s="57" t="s">
        <v>105</v>
      </c>
      <c r="DF3" s="57" t="s">
        <v>106</v>
      </c>
      <c r="DG3" s="57" t="s">
        <v>107</v>
      </c>
      <c r="DH3" s="57" t="s">
        <v>108</v>
      </c>
      <c r="DI3" s="57" t="s">
        <v>109</v>
      </c>
      <c r="DJ3" s="57" t="s">
        <v>110</v>
      </c>
      <c r="DK3" s="57" t="s">
        <v>111</v>
      </c>
      <c r="DL3" s="57" t="s">
        <v>112</v>
      </c>
      <c r="DM3" s="57" t="s">
        <v>113</v>
      </c>
      <c r="DN3" s="57" t="s">
        <v>114</v>
      </c>
      <c r="DO3" s="57" t="s">
        <v>115</v>
      </c>
      <c r="DP3" s="57" t="s">
        <v>116</v>
      </c>
      <c r="DQ3" s="57" t="s">
        <v>117</v>
      </c>
      <c r="DR3" s="57" t="s">
        <v>118</v>
      </c>
      <c r="DS3" s="57" t="s">
        <v>119</v>
      </c>
      <c r="DT3" s="57" t="s">
        <v>120</v>
      </c>
      <c r="DU3" s="57" t="s">
        <v>121</v>
      </c>
      <c r="DV3" s="57" t="s">
        <v>122</v>
      </c>
      <c r="DW3" s="57" t="s">
        <v>123</v>
      </c>
      <c r="DX3" s="57" t="s">
        <v>124</v>
      </c>
      <c r="DY3" s="57" t="s">
        <v>145</v>
      </c>
      <c r="DZ3" s="57" t="s">
        <v>148</v>
      </c>
      <c r="EA3" s="57" t="s">
        <v>149</v>
      </c>
      <c r="EB3" s="57" t="s">
        <v>146</v>
      </c>
      <c r="EC3" s="57" t="s">
        <v>147</v>
      </c>
      <c r="ED3" s="57" t="s">
        <v>150</v>
      </c>
      <c r="EE3" s="57" t="s">
        <v>152</v>
      </c>
      <c r="EF3" s="57" t="s">
        <v>153</v>
      </c>
      <c r="EG3" s="57" t="s">
        <v>154</v>
      </c>
      <c r="EH3" s="57" t="s">
        <v>155</v>
      </c>
      <c r="EI3" s="57" t="s">
        <v>156</v>
      </c>
      <c r="EJ3" s="57" t="s">
        <v>157</v>
      </c>
      <c r="EK3" s="57" t="s">
        <v>158</v>
      </c>
      <c r="EL3" s="57" t="s">
        <v>159</v>
      </c>
      <c r="EM3" s="57" t="s">
        <v>160</v>
      </c>
      <c r="EN3" s="57" t="s">
        <v>161</v>
      </c>
      <c r="EO3" s="57" t="s">
        <v>162</v>
      </c>
      <c r="EP3" s="57" t="s">
        <v>163</v>
      </c>
      <c r="EQ3" s="57" t="s">
        <v>164</v>
      </c>
      <c r="ER3" s="57" t="s">
        <v>165</v>
      </c>
      <c r="ES3" s="57" t="s">
        <v>166</v>
      </c>
      <c r="ET3" s="57" t="s">
        <v>167</v>
      </c>
      <c r="EU3" s="57" t="s">
        <v>168</v>
      </c>
      <c r="EV3" s="57" t="s">
        <v>169</v>
      </c>
      <c r="EW3" s="57" t="s">
        <v>170</v>
      </c>
      <c r="EX3" s="57" t="s">
        <v>171</v>
      </c>
      <c r="EY3" s="57" t="s">
        <v>172</v>
      </c>
      <c r="EZ3" s="57" t="s">
        <v>173</v>
      </c>
      <c r="FA3" s="57" t="s">
        <v>174</v>
      </c>
      <c r="FB3" s="57" t="s">
        <v>175</v>
      </c>
      <c r="FC3" s="57" t="s">
        <v>176</v>
      </c>
      <c r="FD3" s="57" t="s">
        <v>177</v>
      </c>
      <c r="FE3" s="57" t="s">
        <v>245</v>
      </c>
      <c r="FF3" s="57" t="s">
        <v>246</v>
      </c>
      <c r="FG3" s="57" t="s">
        <v>248</v>
      </c>
    </row>
    <row r="4" spans="1:163" x14ac:dyDescent="0.25">
      <c r="A4" s="53">
        <v>40276</v>
      </c>
      <c r="B4" s="53" t="s">
        <v>133</v>
      </c>
      <c r="C4" s="53" t="s">
        <v>129</v>
      </c>
      <c r="D4" s="53" t="s">
        <v>359</v>
      </c>
      <c r="E4" s="54">
        <v>10056</v>
      </c>
      <c r="F4" s="58">
        <v>1</v>
      </c>
      <c r="G4" s="59" t="s">
        <v>397</v>
      </c>
      <c r="H4" s="6">
        <v>1</v>
      </c>
      <c r="I4" s="6">
        <v>0</v>
      </c>
      <c r="J4" s="60">
        <v>5</v>
      </c>
      <c r="K4" s="6">
        <v>4</v>
      </c>
      <c r="L4" s="6">
        <v>2</v>
      </c>
      <c r="M4" s="6">
        <v>1</v>
      </c>
      <c r="N4" s="6">
        <v>1</v>
      </c>
      <c r="O4" s="6">
        <v>6</v>
      </c>
      <c r="P4" s="6">
        <v>0</v>
      </c>
      <c r="Q4" s="6">
        <v>1</v>
      </c>
      <c r="R4" s="6">
        <v>21</v>
      </c>
      <c r="S4" s="6">
        <v>85</v>
      </c>
      <c r="T4" s="6">
        <v>51</v>
      </c>
      <c r="U4" s="6">
        <v>0</v>
      </c>
      <c r="V4" s="61">
        <v>0</v>
      </c>
      <c r="W4" s="62">
        <v>0</v>
      </c>
      <c r="X4" s="62">
        <v>0</v>
      </c>
      <c r="Y4" s="62">
        <v>2</v>
      </c>
      <c r="Z4" s="62">
        <v>1</v>
      </c>
      <c r="AA4" s="62">
        <v>0</v>
      </c>
      <c r="AB4" s="63">
        <v>4</v>
      </c>
      <c r="AC4" s="62">
        <v>2</v>
      </c>
      <c r="AD4" s="62">
        <v>1</v>
      </c>
      <c r="AE4" s="62">
        <v>1</v>
      </c>
      <c r="AF4" s="62">
        <v>3</v>
      </c>
      <c r="AG4" s="62">
        <v>8</v>
      </c>
      <c r="AH4" s="62">
        <v>0</v>
      </c>
      <c r="AI4" s="62">
        <v>0</v>
      </c>
      <c r="AJ4" s="62">
        <v>17</v>
      </c>
      <c r="AK4" s="62">
        <v>68</v>
      </c>
      <c r="AL4" s="62">
        <v>47</v>
      </c>
      <c r="AM4" s="1" t="s">
        <v>330</v>
      </c>
      <c r="AN4" s="78">
        <v>5</v>
      </c>
      <c r="AO4" s="78">
        <v>0</v>
      </c>
      <c r="AP4" s="78">
        <v>1</v>
      </c>
      <c r="AQ4" s="78">
        <v>0</v>
      </c>
      <c r="AR4" s="78">
        <v>0</v>
      </c>
      <c r="AS4" s="78">
        <v>1</v>
      </c>
      <c r="AT4" s="78">
        <v>0</v>
      </c>
      <c r="AU4" s="78">
        <v>0</v>
      </c>
      <c r="AV4" s="76">
        <v>1</v>
      </c>
      <c r="AW4" s="1" t="s">
        <v>400</v>
      </c>
      <c r="AX4" s="78">
        <v>5</v>
      </c>
      <c r="AY4" s="78">
        <v>1</v>
      </c>
      <c r="AZ4" s="78">
        <v>2</v>
      </c>
      <c r="BA4" s="78">
        <v>0</v>
      </c>
      <c r="BB4" s="78">
        <v>0</v>
      </c>
      <c r="BC4" s="78">
        <v>2</v>
      </c>
      <c r="BD4" s="78">
        <v>0</v>
      </c>
      <c r="BE4" s="78">
        <v>0</v>
      </c>
      <c r="BF4" s="76">
        <v>3</v>
      </c>
      <c r="BG4" s="1" t="s">
        <v>387</v>
      </c>
      <c r="BH4" s="78">
        <v>3</v>
      </c>
      <c r="BI4" s="78">
        <v>1</v>
      </c>
      <c r="BJ4" s="78">
        <v>0</v>
      </c>
      <c r="BK4" s="78">
        <v>0</v>
      </c>
      <c r="BL4" s="78">
        <v>2</v>
      </c>
      <c r="BM4" s="78">
        <v>1</v>
      </c>
      <c r="BN4" s="78">
        <v>0</v>
      </c>
      <c r="BO4" s="78">
        <v>0</v>
      </c>
      <c r="BP4" s="76">
        <v>0</v>
      </c>
      <c r="BQ4" s="1" t="s">
        <v>404</v>
      </c>
      <c r="BR4" s="78">
        <v>4</v>
      </c>
      <c r="BS4" s="78">
        <v>1</v>
      </c>
      <c r="BT4" s="78">
        <v>2</v>
      </c>
      <c r="BU4" s="78">
        <v>0</v>
      </c>
      <c r="BV4" s="78">
        <v>1</v>
      </c>
      <c r="BW4" s="78">
        <v>0</v>
      </c>
      <c r="BX4" s="78">
        <v>0</v>
      </c>
      <c r="BY4" s="78">
        <v>0</v>
      </c>
      <c r="BZ4" s="76">
        <v>2</v>
      </c>
      <c r="CA4" s="1" t="s">
        <v>332</v>
      </c>
      <c r="CB4" s="78">
        <v>5</v>
      </c>
      <c r="CC4" s="78">
        <v>0</v>
      </c>
      <c r="CD4" s="78">
        <v>0</v>
      </c>
      <c r="CE4" s="78">
        <v>0</v>
      </c>
      <c r="CF4" s="78">
        <v>0</v>
      </c>
      <c r="CG4" s="78">
        <v>3</v>
      </c>
      <c r="CH4" s="78">
        <v>0</v>
      </c>
      <c r="CI4" s="78">
        <v>0</v>
      </c>
      <c r="CJ4" s="76">
        <v>0</v>
      </c>
      <c r="CK4" s="1" t="s">
        <v>403</v>
      </c>
      <c r="CL4" s="78">
        <v>4</v>
      </c>
      <c r="CM4" s="78">
        <v>1</v>
      </c>
      <c r="CN4" s="78">
        <v>2</v>
      </c>
      <c r="CO4" s="78">
        <v>2</v>
      </c>
      <c r="CP4" s="78">
        <v>0</v>
      </c>
      <c r="CQ4" s="78">
        <v>0</v>
      </c>
      <c r="CR4" s="78">
        <v>0</v>
      </c>
      <c r="CS4" s="78">
        <v>0</v>
      </c>
      <c r="CT4" s="76">
        <v>3</v>
      </c>
      <c r="CU4" s="1" t="s">
        <v>405</v>
      </c>
      <c r="CV4" s="78">
        <v>3</v>
      </c>
      <c r="CW4" s="78">
        <v>1</v>
      </c>
      <c r="CX4" s="78">
        <v>1</v>
      </c>
      <c r="CY4" s="78">
        <v>0</v>
      </c>
      <c r="CZ4" s="78">
        <v>1</v>
      </c>
      <c r="DA4" s="78">
        <v>1</v>
      </c>
      <c r="DB4" s="78">
        <v>0</v>
      </c>
      <c r="DC4" s="78">
        <v>0</v>
      </c>
      <c r="DD4" s="76">
        <v>2</v>
      </c>
      <c r="DE4" s="1" t="s">
        <v>275</v>
      </c>
      <c r="DF4" s="78">
        <v>3</v>
      </c>
      <c r="DG4" s="78">
        <v>0</v>
      </c>
      <c r="DH4" s="78">
        <v>1</v>
      </c>
      <c r="DI4" s="78">
        <v>2</v>
      </c>
      <c r="DJ4" s="78">
        <v>0</v>
      </c>
      <c r="DK4" s="78">
        <v>1</v>
      </c>
      <c r="DL4" s="78">
        <v>0</v>
      </c>
      <c r="DM4" s="78">
        <v>1</v>
      </c>
      <c r="DN4" s="76">
        <v>1</v>
      </c>
      <c r="DO4" s="1" t="s">
        <v>345</v>
      </c>
      <c r="DP4" s="78">
        <v>4</v>
      </c>
      <c r="DQ4" s="78">
        <v>0</v>
      </c>
      <c r="DR4" s="78">
        <v>0</v>
      </c>
      <c r="DS4" s="78">
        <v>1</v>
      </c>
      <c r="DT4" s="78">
        <v>0</v>
      </c>
      <c r="DU4" s="78">
        <v>3</v>
      </c>
      <c r="DV4" s="78">
        <v>0</v>
      </c>
      <c r="DW4" s="78">
        <v>0</v>
      </c>
      <c r="DX4" s="76">
        <v>0</v>
      </c>
      <c r="DY4" s="77">
        <v>0</v>
      </c>
      <c r="DZ4" s="43">
        <v>0</v>
      </c>
      <c r="EA4" s="43">
        <v>0</v>
      </c>
      <c r="EB4" s="45">
        <v>9</v>
      </c>
      <c r="EC4" s="43">
        <v>0</v>
      </c>
      <c r="ED4" s="44">
        <v>1</v>
      </c>
      <c r="EE4" s="71">
        <v>0</v>
      </c>
      <c r="EF4" s="43">
        <v>2</v>
      </c>
      <c r="EG4" s="43">
        <v>0</v>
      </c>
      <c r="EH4" s="43">
        <v>0</v>
      </c>
      <c r="EI4" s="43">
        <v>3</v>
      </c>
      <c r="EJ4" s="43">
        <v>0</v>
      </c>
      <c r="EK4" s="43">
        <v>0</v>
      </c>
      <c r="EL4" s="43">
        <v>0</v>
      </c>
      <c r="EM4" s="43">
        <v>0</v>
      </c>
      <c r="EN4" s="43"/>
      <c r="EO4" s="43"/>
      <c r="EP4" s="43"/>
      <c r="EQ4" s="44">
        <f t="shared" ref="EQ4:EQ35" si="0">SUM(EE4:EP4)</f>
        <v>5</v>
      </c>
      <c r="ER4" s="43">
        <v>0</v>
      </c>
      <c r="ES4" s="43">
        <v>0</v>
      </c>
      <c r="ET4" s="43">
        <v>1</v>
      </c>
      <c r="EU4" s="43">
        <v>0</v>
      </c>
      <c r="EV4" s="43">
        <v>1</v>
      </c>
      <c r="EW4" s="43">
        <v>0</v>
      </c>
      <c r="EX4" s="43">
        <v>0</v>
      </c>
      <c r="EY4" s="43">
        <v>0</v>
      </c>
      <c r="EZ4" s="43">
        <v>1</v>
      </c>
      <c r="FA4" s="43"/>
      <c r="FB4" s="43"/>
      <c r="FC4" s="43"/>
      <c r="FD4" s="43">
        <f t="shared" ref="FD4:FD35" si="1">SUM(ER4:FC4)</f>
        <v>3</v>
      </c>
      <c r="FE4" s="73">
        <f t="shared" ref="FE4:FE35" si="2">((SUM(L4,AD4))-(FD4))</f>
        <v>0</v>
      </c>
      <c r="FF4" s="73">
        <f t="shared" ref="FF4:FF35" si="3">((SUM(AO4,AY4,BI4,BS4,CC4,CM4,CW4,DG4,DQ4))-(EQ4))</f>
        <v>0</v>
      </c>
      <c r="FG4" s="38"/>
    </row>
    <row r="5" spans="1:163" x14ac:dyDescent="0.25">
      <c r="A5" s="53">
        <v>40277</v>
      </c>
      <c r="B5" s="53" t="s">
        <v>133</v>
      </c>
      <c r="C5" s="53" t="s">
        <v>131</v>
      </c>
      <c r="D5" s="53" t="s">
        <v>359</v>
      </c>
      <c r="E5" s="54">
        <v>3555</v>
      </c>
      <c r="F5" s="58">
        <v>2</v>
      </c>
      <c r="G5" s="59" t="s">
        <v>337</v>
      </c>
      <c r="H5" s="6">
        <v>0</v>
      </c>
      <c r="I5" s="6">
        <v>0</v>
      </c>
      <c r="J5" s="60">
        <f>4+2/3</f>
        <v>4.666666666666667</v>
      </c>
      <c r="K5" s="6">
        <v>4</v>
      </c>
      <c r="L5" s="6">
        <v>3</v>
      </c>
      <c r="M5" s="6">
        <v>3</v>
      </c>
      <c r="N5" s="6">
        <v>3</v>
      </c>
      <c r="O5" s="6">
        <v>2</v>
      </c>
      <c r="P5" s="6">
        <v>0</v>
      </c>
      <c r="Q5" s="6">
        <v>0</v>
      </c>
      <c r="R5" s="6">
        <v>21</v>
      </c>
      <c r="S5" s="6">
        <v>79</v>
      </c>
      <c r="T5" s="6">
        <v>45</v>
      </c>
      <c r="U5" s="6">
        <v>3</v>
      </c>
      <c r="V5" s="61">
        <v>1</v>
      </c>
      <c r="W5" s="62">
        <v>0</v>
      </c>
      <c r="X5" s="62">
        <v>1</v>
      </c>
      <c r="Y5" s="62">
        <v>0</v>
      </c>
      <c r="Z5" s="62">
        <v>0</v>
      </c>
      <c r="AA5" s="62">
        <v>0</v>
      </c>
      <c r="AB5" s="63">
        <f>3+1/3</f>
        <v>3.3333333333333335</v>
      </c>
      <c r="AC5" s="62">
        <v>3</v>
      </c>
      <c r="AD5" s="62">
        <v>3</v>
      </c>
      <c r="AE5" s="62">
        <v>3</v>
      </c>
      <c r="AF5" s="62">
        <v>3</v>
      </c>
      <c r="AG5" s="62">
        <v>3</v>
      </c>
      <c r="AH5" s="62">
        <v>0</v>
      </c>
      <c r="AI5" s="62">
        <v>1</v>
      </c>
      <c r="AJ5" s="62">
        <v>17</v>
      </c>
      <c r="AK5" s="62">
        <v>67</v>
      </c>
      <c r="AL5" s="62">
        <v>38</v>
      </c>
      <c r="AM5" s="1" t="s">
        <v>345</v>
      </c>
      <c r="AN5" s="78">
        <v>5</v>
      </c>
      <c r="AO5" s="78">
        <v>0</v>
      </c>
      <c r="AP5" s="78">
        <v>1</v>
      </c>
      <c r="AQ5" s="78">
        <v>0</v>
      </c>
      <c r="AR5" s="78">
        <v>0</v>
      </c>
      <c r="AS5" s="78">
        <v>1</v>
      </c>
      <c r="AT5" s="78">
        <v>0</v>
      </c>
      <c r="AU5" s="78">
        <v>0</v>
      </c>
      <c r="AV5" s="76">
        <v>2</v>
      </c>
      <c r="AW5" s="1" t="s">
        <v>402</v>
      </c>
      <c r="AX5" s="78">
        <v>5</v>
      </c>
      <c r="AY5" s="78">
        <v>1</v>
      </c>
      <c r="AZ5" s="78">
        <v>2</v>
      </c>
      <c r="BA5" s="78">
        <v>0</v>
      </c>
      <c r="BB5" s="78">
        <v>0</v>
      </c>
      <c r="BC5" s="78">
        <v>1</v>
      </c>
      <c r="BD5" s="78">
        <v>0</v>
      </c>
      <c r="BE5" s="78">
        <v>0</v>
      </c>
      <c r="BF5" s="76">
        <v>3</v>
      </c>
      <c r="BG5" s="1" t="s">
        <v>387</v>
      </c>
      <c r="BH5" s="78">
        <v>5</v>
      </c>
      <c r="BI5" s="78">
        <v>1</v>
      </c>
      <c r="BJ5" s="78">
        <v>1</v>
      </c>
      <c r="BK5" s="78">
        <v>1</v>
      </c>
      <c r="BL5" s="78">
        <v>0</v>
      </c>
      <c r="BM5" s="78">
        <v>3</v>
      </c>
      <c r="BN5" s="78">
        <v>0</v>
      </c>
      <c r="BO5" s="78">
        <v>0</v>
      </c>
      <c r="BP5" s="76">
        <v>1</v>
      </c>
      <c r="BQ5" s="1" t="s">
        <v>400</v>
      </c>
      <c r="BR5" s="78">
        <v>2</v>
      </c>
      <c r="BS5" s="78">
        <v>0</v>
      </c>
      <c r="BT5" s="78">
        <v>0</v>
      </c>
      <c r="BU5" s="78">
        <v>0</v>
      </c>
      <c r="BV5" s="78">
        <v>3</v>
      </c>
      <c r="BW5" s="78">
        <v>2</v>
      </c>
      <c r="BX5" s="78">
        <v>0</v>
      </c>
      <c r="BY5" s="78">
        <v>0</v>
      </c>
      <c r="BZ5" s="76">
        <v>0</v>
      </c>
      <c r="CA5" s="1" t="s">
        <v>332</v>
      </c>
      <c r="CB5" s="78">
        <v>4</v>
      </c>
      <c r="CC5" s="78">
        <v>1</v>
      </c>
      <c r="CD5" s="78">
        <v>3</v>
      </c>
      <c r="CE5" s="78">
        <v>2</v>
      </c>
      <c r="CF5" s="78">
        <v>0</v>
      </c>
      <c r="CG5" s="78">
        <v>0</v>
      </c>
      <c r="CH5" s="78">
        <v>0</v>
      </c>
      <c r="CI5" s="78">
        <v>0</v>
      </c>
      <c r="CJ5" s="76">
        <v>6</v>
      </c>
      <c r="CK5" s="1" t="s">
        <v>403</v>
      </c>
      <c r="CL5" s="78">
        <v>3</v>
      </c>
      <c r="CM5" s="78">
        <v>1</v>
      </c>
      <c r="CN5" s="78">
        <v>0</v>
      </c>
      <c r="CO5" s="78">
        <v>0</v>
      </c>
      <c r="CP5" s="78">
        <v>1</v>
      </c>
      <c r="CQ5" s="78">
        <v>0</v>
      </c>
      <c r="CR5" s="78">
        <v>0</v>
      </c>
      <c r="CS5" s="78">
        <v>0</v>
      </c>
      <c r="CT5" s="76">
        <v>0</v>
      </c>
      <c r="CU5" s="1" t="s">
        <v>344</v>
      </c>
      <c r="CV5" s="78">
        <v>3</v>
      </c>
      <c r="CW5" s="78">
        <v>0</v>
      </c>
      <c r="CX5" s="78">
        <v>2</v>
      </c>
      <c r="CY5" s="78">
        <v>1</v>
      </c>
      <c r="CZ5" s="78">
        <v>1</v>
      </c>
      <c r="DA5" s="78">
        <v>0</v>
      </c>
      <c r="DB5" s="78">
        <v>0</v>
      </c>
      <c r="DC5" s="78">
        <v>0</v>
      </c>
      <c r="DD5" s="76">
        <v>4</v>
      </c>
      <c r="DE5" s="1" t="s">
        <v>331</v>
      </c>
      <c r="DF5" s="78">
        <v>3</v>
      </c>
      <c r="DG5" s="78">
        <v>0</v>
      </c>
      <c r="DH5" s="78">
        <v>0</v>
      </c>
      <c r="DI5" s="78">
        <v>0</v>
      </c>
      <c r="DJ5" s="78">
        <v>1</v>
      </c>
      <c r="DK5" s="78">
        <v>0</v>
      </c>
      <c r="DL5" s="78">
        <v>0</v>
      </c>
      <c r="DM5" s="78">
        <v>0</v>
      </c>
      <c r="DN5" s="76">
        <v>0</v>
      </c>
      <c r="DO5" s="1" t="s">
        <v>336</v>
      </c>
      <c r="DP5" s="78">
        <v>3</v>
      </c>
      <c r="DQ5" s="78">
        <v>0</v>
      </c>
      <c r="DR5" s="78">
        <v>0</v>
      </c>
      <c r="DS5" s="78">
        <v>0</v>
      </c>
      <c r="DT5" s="78">
        <v>1</v>
      </c>
      <c r="DU5" s="78">
        <v>1</v>
      </c>
      <c r="DV5" s="78">
        <v>0</v>
      </c>
      <c r="DW5" s="78">
        <v>0</v>
      </c>
      <c r="DX5" s="76">
        <v>0</v>
      </c>
      <c r="DY5" s="77">
        <v>1</v>
      </c>
      <c r="DZ5" s="43">
        <v>0</v>
      </c>
      <c r="EA5" s="43">
        <v>0</v>
      </c>
      <c r="EB5" s="45">
        <v>8</v>
      </c>
      <c r="EC5" s="43">
        <v>2</v>
      </c>
      <c r="ED5" s="44">
        <v>1</v>
      </c>
      <c r="EE5" s="71">
        <v>0</v>
      </c>
      <c r="EF5" s="43">
        <v>0</v>
      </c>
      <c r="EG5" s="43">
        <v>0</v>
      </c>
      <c r="EH5" s="43">
        <v>0</v>
      </c>
      <c r="EI5" s="43">
        <v>0</v>
      </c>
      <c r="EJ5" s="43">
        <v>2</v>
      </c>
      <c r="EK5" s="43">
        <v>2</v>
      </c>
      <c r="EL5" s="43">
        <v>0</v>
      </c>
      <c r="EM5" s="43">
        <v>0</v>
      </c>
      <c r="EN5" s="43"/>
      <c r="EO5" s="43"/>
      <c r="EP5" s="43"/>
      <c r="EQ5" s="44">
        <f t="shared" si="0"/>
        <v>4</v>
      </c>
      <c r="ER5" s="43">
        <v>0</v>
      </c>
      <c r="ES5" s="43">
        <v>0</v>
      </c>
      <c r="ET5" s="43">
        <v>0</v>
      </c>
      <c r="EU5" s="43">
        <v>1</v>
      </c>
      <c r="EV5" s="43">
        <v>2</v>
      </c>
      <c r="EW5" s="43">
        <v>0</v>
      </c>
      <c r="EX5" s="43">
        <v>2</v>
      </c>
      <c r="EY5" s="43">
        <v>1</v>
      </c>
      <c r="EZ5" s="43"/>
      <c r="FA5" s="43"/>
      <c r="FB5" s="43"/>
      <c r="FC5" s="43"/>
      <c r="FD5" s="43">
        <f t="shared" si="1"/>
        <v>6</v>
      </c>
      <c r="FE5" s="73">
        <f t="shared" si="2"/>
        <v>0</v>
      </c>
      <c r="FF5" s="73">
        <f t="shared" si="3"/>
        <v>0</v>
      </c>
      <c r="FG5" s="38"/>
    </row>
    <row r="6" spans="1:163" x14ac:dyDescent="0.25">
      <c r="A6" s="53">
        <v>40278</v>
      </c>
      <c r="B6" s="53" t="s">
        <v>133</v>
      </c>
      <c r="C6" s="53" t="s">
        <v>131</v>
      </c>
      <c r="D6" s="53" t="s">
        <v>359</v>
      </c>
      <c r="E6" s="54">
        <v>5268</v>
      </c>
      <c r="F6" s="58">
        <v>3</v>
      </c>
      <c r="G6" s="59" t="s">
        <v>356</v>
      </c>
      <c r="H6" s="6">
        <v>0</v>
      </c>
      <c r="I6" s="6">
        <v>1</v>
      </c>
      <c r="J6" s="60">
        <v>6</v>
      </c>
      <c r="K6" s="6">
        <v>8</v>
      </c>
      <c r="L6" s="6">
        <v>6</v>
      </c>
      <c r="M6" s="6">
        <v>6</v>
      </c>
      <c r="N6" s="6">
        <v>1</v>
      </c>
      <c r="O6" s="6">
        <v>3</v>
      </c>
      <c r="P6" s="6">
        <v>0</v>
      </c>
      <c r="Q6" s="6">
        <v>0</v>
      </c>
      <c r="R6" s="6">
        <v>27</v>
      </c>
      <c r="S6" s="6">
        <v>82</v>
      </c>
      <c r="T6" s="6">
        <v>52</v>
      </c>
      <c r="U6" s="6">
        <v>0</v>
      </c>
      <c r="V6" s="61">
        <v>0</v>
      </c>
      <c r="W6" s="62">
        <v>0</v>
      </c>
      <c r="X6" s="62">
        <v>0</v>
      </c>
      <c r="Y6" s="62">
        <v>0</v>
      </c>
      <c r="Z6" s="62">
        <v>0</v>
      </c>
      <c r="AA6" s="62">
        <v>0</v>
      </c>
      <c r="AB6" s="63">
        <v>2</v>
      </c>
      <c r="AC6" s="62">
        <v>6</v>
      </c>
      <c r="AD6" s="62">
        <v>6</v>
      </c>
      <c r="AE6" s="62">
        <v>6</v>
      </c>
      <c r="AF6" s="62">
        <v>2</v>
      </c>
      <c r="AG6" s="62">
        <v>3</v>
      </c>
      <c r="AH6" s="62">
        <v>0</v>
      </c>
      <c r="AI6" s="62">
        <v>0</v>
      </c>
      <c r="AJ6" s="62">
        <v>13</v>
      </c>
      <c r="AK6" s="62">
        <v>53</v>
      </c>
      <c r="AL6" s="62">
        <v>28</v>
      </c>
      <c r="AM6" s="1" t="s">
        <v>330</v>
      </c>
      <c r="AN6" s="78">
        <v>5</v>
      </c>
      <c r="AO6" s="78">
        <v>1</v>
      </c>
      <c r="AP6" s="78">
        <v>2</v>
      </c>
      <c r="AQ6" s="78">
        <v>0</v>
      </c>
      <c r="AR6" s="78">
        <v>0</v>
      </c>
      <c r="AS6" s="78">
        <v>1</v>
      </c>
      <c r="AT6" s="78">
        <v>0</v>
      </c>
      <c r="AU6" s="78">
        <v>0</v>
      </c>
      <c r="AV6" s="76">
        <v>4</v>
      </c>
      <c r="AW6" s="1" t="s">
        <v>402</v>
      </c>
      <c r="AX6" s="78">
        <v>3</v>
      </c>
      <c r="AY6" s="78">
        <v>0</v>
      </c>
      <c r="AZ6" s="78">
        <v>0</v>
      </c>
      <c r="BA6" s="78">
        <v>1</v>
      </c>
      <c r="BB6" s="78">
        <v>1</v>
      </c>
      <c r="BC6" s="78">
        <v>2</v>
      </c>
      <c r="BD6" s="78">
        <v>0</v>
      </c>
      <c r="BE6" s="78">
        <v>1</v>
      </c>
      <c r="BF6" s="76">
        <v>0</v>
      </c>
      <c r="BG6" s="1" t="s">
        <v>387</v>
      </c>
      <c r="BH6" s="78">
        <v>2</v>
      </c>
      <c r="BI6" s="78">
        <v>0</v>
      </c>
      <c r="BJ6" s="78">
        <v>0</v>
      </c>
      <c r="BK6" s="78">
        <v>0</v>
      </c>
      <c r="BL6" s="78">
        <v>1</v>
      </c>
      <c r="BM6" s="78">
        <v>1</v>
      </c>
      <c r="BN6" s="78">
        <v>1</v>
      </c>
      <c r="BO6" s="78">
        <v>0</v>
      </c>
      <c r="BP6" s="76">
        <v>0</v>
      </c>
      <c r="BQ6" s="1" t="s">
        <v>344</v>
      </c>
      <c r="BR6" s="78">
        <v>3</v>
      </c>
      <c r="BS6" s="78">
        <v>0</v>
      </c>
      <c r="BT6" s="78">
        <v>1</v>
      </c>
      <c r="BU6" s="78">
        <v>0</v>
      </c>
      <c r="BV6" s="78">
        <v>1</v>
      </c>
      <c r="BW6" s="78">
        <v>0</v>
      </c>
      <c r="BX6" s="78">
        <v>0</v>
      </c>
      <c r="BY6" s="78">
        <v>0</v>
      </c>
      <c r="BZ6" s="76">
        <v>1</v>
      </c>
      <c r="CA6" s="1" t="s">
        <v>332</v>
      </c>
      <c r="CB6" s="78">
        <v>4</v>
      </c>
      <c r="CC6" s="78">
        <v>0</v>
      </c>
      <c r="CD6" s="78">
        <v>0</v>
      </c>
      <c r="CE6" s="78">
        <v>0</v>
      </c>
      <c r="CF6" s="78">
        <v>0</v>
      </c>
      <c r="CG6" s="78">
        <v>2</v>
      </c>
      <c r="CH6" s="78">
        <v>0</v>
      </c>
      <c r="CI6" s="78">
        <v>0</v>
      </c>
      <c r="CJ6" s="76">
        <v>0</v>
      </c>
      <c r="CK6" s="1" t="s">
        <v>405</v>
      </c>
      <c r="CL6" s="78">
        <v>4</v>
      </c>
      <c r="CM6" s="78">
        <v>1</v>
      </c>
      <c r="CN6" s="78">
        <v>2</v>
      </c>
      <c r="CO6" s="78">
        <v>1</v>
      </c>
      <c r="CP6" s="78">
        <v>0</v>
      </c>
      <c r="CQ6" s="78">
        <v>1</v>
      </c>
      <c r="CR6" s="78">
        <v>0</v>
      </c>
      <c r="CS6" s="78">
        <v>0</v>
      </c>
      <c r="CT6" s="76">
        <v>5</v>
      </c>
      <c r="CU6" s="1" t="s">
        <v>331</v>
      </c>
      <c r="CV6" s="78">
        <v>4</v>
      </c>
      <c r="CW6" s="78">
        <v>0</v>
      </c>
      <c r="CX6" s="78">
        <v>0</v>
      </c>
      <c r="CY6" s="78">
        <v>0</v>
      </c>
      <c r="CZ6" s="78">
        <v>0</v>
      </c>
      <c r="DA6" s="78">
        <v>0</v>
      </c>
      <c r="DB6" s="78">
        <v>0</v>
      </c>
      <c r="DC6" s="78">
        <v>0</v>
      </c>
      <c r="DD6" s="76">
        <v>0</v>
      </c>
      <c r="DE6" s="1" t="s">
        <v>275</v>
      </c>
      <c r="DF6" s="78">
        <v>4</v>
      </c>
      <c r="DG6" s="78">
        <v>0</v>
      </c>
      <c r="DH6" s="78">
        <v>2</v>
      </c>
      <c r="DI6" s="78">
        <v>0</v>
      </c>
      <c r="DJ6" s="78">
        <v>0</v>
      </c>
      <c r="DK6" s="78">
        <v>0</v>
      </c>
      <c r="DL6" s="78">
        <v>0</v>
      </c>
      <c r="DM6" s="78">
        <v>0</v>
      </c>
      <c r="DN6" s="76">
        <v>3</v>
      </c>
      <c r="DO6" s="1" t="s">
        <v>345</v>
      </c>
      <c r="DP6" s="78">
        <v>4</v>
      </c>
      <c r="DQ6" s="78">
        <v>1</v>
      </c>
      <c r="DR6" s="78">
        <v>0</v>
      </c>
      <c r="DS6" s="78">
        <v>0</v>
      </c>
      <c r="DT6" s="78">
        <v>0</v>
      </c>
      <c r="DU6" s="78">
        <v>2</v>
      </c>
      <c r="DV6" s="78">
        <v>0</v>
      </c>
      <c r="DW6" s="78">
        <v>0</v>
      </c>
      <c r="DX6" s="76">
        <v>0</v>
      </c>
      <c r="DY6" s="77">
        <f>3+2/3</f>
        <v>3.6666666666666665</v>
      </c>
      <c r="DZ6" s="43">
        <v>0</v>
      </c>
      <c r="EA6" s="43">
        <v>0</v>
      </c>
      <c r="EB6" s="45">
        <f>5+1/3</f>
        <v>5.333333333333333</v>
      </c>
      <c r="EC6" s="43">
        <v>3</v>
      </c>
      <c r="ED6" s="44">
        <v>0</v>
      </c>
      <c r="EE6" s="71">
        <v>0</v>
      </c>
      <c r="EF6" s="43">
        <v>0</v>
      </c>
      <c r="EG6" s="43">
        <v>0</v>
      </c>
      <c r="EH6" s="43">
        <v>1</v>
      </c>
      <c r="EI6" s="43">
        <v>1</v>
      </c>
      <c r="EJ6" s="43">
        <v>0</v>
      </c>
      <c r="EK6" s="43">
        <v>1</v>
      </c>
      <c r="EL6" s="43">
        <v>0</v>
      </c>
      <c r="EM6" s="43">
        <v>0</v>
      </c>
      <c r="EN6" s="43"/>
      <c r="EO6" s="43"/>
      <c r="EP6" s="43"/>
      <c r="EQ6" s="44">
        <f t="shared" si="0"/>
        <v>3</v>
      </c>
      <c r="ER6" s="43">
        <v>0</v>
      </c>
      <c r="ES6" s="43">
        <v>0</v>
      </c>
      <c r="ET6" s="43">
        <v>5</v>
      </c>
      <c r="EU6" s="43">
        <v>0</v>
      </c>
      <c r="EV6" s="43">
        <v>0</v>
      </c>
      <c r="EW6" s="43">
        <v>1</v>
      </c>
      <c r="EX6" s="43">
        <v>2</v>
      </c>
      <c r="EY6" s="43">
        <v>4</v>
      </c>
      <c r="EZ6" s="43"/>
      <c r="FA6" s="43"/>
      <c r="FB6" s="43"/>
      <c r="FC6" s="43"/>
      <c r="FD6" s="43">
        <f t="shared" si="1"/>
        <v>12</v>
      </c>
      <c r="FE6" s="73">
        <f t="shared" si="2"/>
        <v>0</v>
      </c>
      <c r="FF6" s="73">
        <f t="shared" si="3"/>
        <v>0</v>
      </c>
      <c r="FG6" s="38"/>
    </row>
    <row r="7" spans="1:163" x14ac:dyDescent="0.25">
      <c r="A7" s="53">
        <v>40279</v>
      </c>
      <c r="B7" s="53" t="s">
        <v>133</v>
      </c>
      <c r="C7" s="53" t="s">
        <v>129</v>
      </c>
      <c r="D7" s="53" t="s">
        <v>359</v>
      </c>
      <c r="E7" s="54">
        <v>4320</v>
      </c>
      <c r="F7" s="58">
        <v>4</v>
      </c>
      <c r="G7" s="59" t="s">
        <v>326</v>
      </c>
      <c r="H7" s="6">
        <v>1</v>
      </c>
      <c r="I7" s="6">
        <v>0</v>
      </c>
      <c r="J7" s="60">
        <f>5+2/3</f>
        <v>5.666666666666667</v>
      </c>
      <c r="K7" s="6">
        <v>4</v>
      </c>
      <c r="L7" s="6">
        <v>1</v>
      </c>
      <c r="M7" s="6">
        <v>1</v>
      </c>
      <c r="N7" s="6">
        <v>1</v>
      </c>
      <c r="O7" s="6">
        <v>2</v>
      </c>
      <c r="P7" s="6">
        <v>1</v>
      </c>
      <c r="Q7" s="6">
        <v>0</v>
      </c>
      <c r="R7" s="6">
        <v>22</v>
      </c>
      <c r="S7" s="6">
        <v>90</v>
      </c>
      <c r="T7" s="6">
        <v>59</v>
      </c>
      <c r="U7" s="6">
        <v>1</v>
      </c>
      <c r="V7" s="61">
        <v>0</v>
      </c>
      <c r="W7" s="62">
        <v>0</v>
      </c>
      <c r="X7" s="62">
        <v>0</v>
      </c>
      <c r="Y7" s="62">
        <v>2</v>
      </c>
      <c r="Z7" s="62">
        <v>1</v>
      </c>
      <c r="AA7" s="62">
        <v>0</v>
      </c>
      <c r="AB7" s="63">
        <f>3+1/3</f>
        <v>3.3333333333333335</v>
      </c>
      <c r="AC7" s="62">
        <v>3</v>
      </c>
      <c r="AD7" s="62">
        <v>1</v>
      </c>
      <c r="AE7" s="62">
        <v>1</v>
      </c>
      <c r="AF7" s="62">
        <v>1</v>
      </c>
      <c r="AG7" s="62">
        <v>4</v>
      </c>
      <c r="AH7" s="62">
        <v>0</v>
      </c>
      <c r="AI7" s="62">
        <v>0</v>
      </c>
      <c r="AJ7" s="62">
        <v>14</v>
      </c>
      <c r="AK7" s="62">
        <v>59</v>
      </c>
      <c r="AL7" s="62">
        <v>37</v>
      </c>
      <c r="AM7" s="1" t="s">
        <v>330</v>
      </c>
      <c r="AN7" s="78">
        <v>4</v>
      </c>
      <c r="AO7" s="78">
        <v>0</v>
      </c>
      <c r="AP7" s="78">
        <v>0</v>
      </c>
      <c r="AQ7" s="78">
        <v>0</v>
      </c>
      <c r="AR7" s="78">
        <v>0</v>
      </c>
      <c r="AS7" s="78">
        <v>0</v>
      </c>
      <c r="AT7" s="78">
        <v>0</v>
      </c>
      <c r="AU7" s="78">
        <v>0</v>
      </c>
      <c r="AV7" s="76">
        <v>0</v>
      </c>
      <c r="AW7" s="1" t="s">
        <v>402</v>
      </c>
      <c r="AX7" s="78">
        <v>4</v>
      </c>
      <c r="AY7" s="78">
        <v>0</v>
      </c>
      <c r="AZ7" s="78">
        <v>1</v>
      </c>
      <c r="BA7" s="78">
        <v>0</v>
      </c>
      <c r="BB7" s="78">
        <v>0</v>
      </c>
      <c r="BC7" s="78">
        <v>1</v>
      </c>
      <c r="BD7" s="78">
        <v>0</v>
      </c>
      <c r="BE7" s="78">
        <v>0</v>
      </c>
      <c r="BF7" s="76">
        <v>1</v>
      </c>
      <c r="BG7" s="1" t="s">
        <v>400</v>
      </c>
      <c r="BH7" s="78">
        <v>3</v>
      </c>
      <c r="BI7" s="78">
        <v>1</v>
      </c>
      <c r="BJ7" s="78">
        <v>0</v>
      </c>
      <c r="BK7" s="78">
        <v>0</v>
      </c>
      <c r="BL7" s="78">
        <v>1</v>
      </c>
      <c r="BM7" s="78">
        <v>1</v>
      </c>
      <c r="BN7" s="78">
        <v>0</v>
      </c>
      <c r="BO7" s="78">
        <v>0</v>
      </c>
      <c r="BP7" s="76">
        <v>0</v>
      </c>
      <c r="BQ7" s="1" t="s">
        <v>344</v>
      </c>
      <c r="BR7" s="78">
        <v>2</v>
      </c>
      <c r="BS7" s="78">
        <v>2</v>
      </c>
      <c r="BT7" s="78">
        <v>0</v>
      </c>
      <c r="BU7" s="78">
        <v>0</v>
      </c>
      <c r="BV7" s="78">
        <v>2</v>
      </c>
      <c r="BW7" s="78">
        <v>0</v>
      </c>
      <c r="BX7" s="78">
        <v>0</v>
      </c>
      <c r="BY7" s="78">
        <v>0</v>
      </c>
      <c r="BZ7" s="76">
        <v>0</v>
      </c>
      <c r="CA7" s="1" t="s">
        <v>403</v>
      </c>
      <c r="CB7" s="78">
        <v>4</v>
      </c>
      <c r="CC7" s="78">
        <v>0</v>
      </c>
      <c r="CD7" s="78">
        <v>2</v>
      </c>
      <c r="CE7" s="78">
        <v>1</v>
      </c>
      <c r="CF7" s="78">
        <v>0</v>
      </c>
      <c r="CG7" s="78">
        <v>0</v>
      </c>
      <c r="CH7" s="78">
        <v>0</v>
      </c>
      <c r="CI7" s="78">
        <v>0</v>
      </c>
      <c r="CJ7" s="76">
        <v>4</v>
      </c>
      <c r="CK7" s="1" t="s">
        <v>405</v>
      </c>
      <c r="CL7" s="78">
        <v>3</v>
      </c>
      <c r="CM7" s="78">
        <v>0</v>
      </c>
      <c r="CN7" s="78">
        <v>0</v>
      </c>
      <c r="CO7" s="78">
        <v>0</v>
      </c>
      <c r="CP7" s="78">
        <v>1</v>
      </c>
      <c r="CQ7" s="78">
        <v>1</v>
      </c>
      <c r="CR7" s="78">
        <v>0</v>
      </c>
      <c r="CS7" s="78">
        <v>0</v>
      </c>
      <c r="CT7" s="76">
        <v>0</v>
      </c>
      <c r="CU7" s="1" t="s">
        <v>331</v>
      </c>
      <c r="CV7" s="78">
        <v>2</v>
      </c>
      <c r="CW7" s="78">
        <v>0</v>
      </c>
      <c r="CX7" s="78">
        <v>1</v>
      </c>
      <c r="CY7" s="78">
        <v>2</v>
      </c>
      <c r="CZ7" s="78">
        <v>0</v>
      </c>
      <c r="DA7" s="78">
        <v>0</v>
      </c>
      <c r="DB7" s="78">
        <v>0</v>
      </c>
      <c r="DC7" s="78">
        <v>2</v>
      </c>
      <c r="DD7" s="76">
        <v>3</v>
      </c>
      <c r="DE7" s="1" t="s">
        <v>336</v>
      </c>
      <c r="DF7" s="78">
        <v>4</v>
      </c>
      <c r="DG7" s="78">
        <v>0</v>
      </c>
      <c r="DH7" s="78">
        <v>0</v>
      </c>
      <c r="DI7" s="78">
        <v>0</v>
      </c>
      <c r="DJ7" s="78">
        <v>0</v>
      </c>
      <c r="DK7" s="78">
        <v>2</v>
      </c>
      <c r="DL7" s="78">
        <v>0</v>
      </c>
      <c r="DM7" s="78">
        <v>0</v>
      </c>
      <c r="DN7" s="76">
        <v>0</v>
      </c>
      <c r="DO7" s="1" t="s">
        <v>345</v>
      </c>
      <c r="DP7" s="78">
        <v>4</v>
      </c>
      <c r="DQ7" s="78">
        <v>0</v>
      </c>
      <c r="DR7" s="78">
        <v>0</v>
      </c>
      <c r="DS7" s="78">
        <v>0</v>
      </c>
      <c r="DT7" s="78">
        <v>0</v>
      </c>
      <c r="DU7" s="78">
        <v>1</v>
      </c>
      <c r="DV7" s="78">
        <v>0</v>
      </c>
      <c r="DW7" s="78">
        <v>0</v>
      </c>
      <c r="DX7" s="76">
        <v>0</v>
      </c>
      <c r="DY7" s="77">
        <f>5+1/3</f>
        <v>5.333333333333333</v>
      </c>
      <c r="DZ7" s="43">
        <v>0</v>
      </c>
      <c r="EA7" s="43">
        <v>0</v>
      </c>
      <c r="EB7" s="45">
        <f>3+2/3</f>
        <v>3.6666666666666665</v>
      </c>
      <c r="EC7" s="43">
        <v>0</v>
      </c>
      <c r="ED7" s="44">
        <v>0</v>
      </c>
      <c r="EE7" s="71">
        <v>0</v>
      </c>
      <c r="EF7" s="43">
        <v>1</v>
      </c>
      <c r="EG7" s="43">
        <v>0</v>
      </c>
      <c r="EH7" s="43">
        <v>0</v>
      </c>
      <c r="EI7" s="43">
        <v>0</v>
      </c>
      <c r="EJ7" s="43">
        <v>2</v>
      </c>
      <c r="EK7" s="43">
        <v>0</v>
      </c>
      <c r="EL7" s="43">
        <v>0</v>
      </c>
      <c r="EM7" s="43">
        <v>0</v>
      </c>
      <c r="EN7" s="43"/>
      <c r="EO7" s="43"/>
      <c r="EP7" s="43"/>
      <c r="EQ7" s="44">
        <f t="shared" si="0"/>
        <v>3</v>
      </c>
      <c r="ER7" s="43">
        <v>0</v>
      </c>
      <c r="ES7" s="43">
        <v>0</v>
      </c>
      <c r="ET7" s="43">
        <v>0</v>
      </c>
      <c r="EU7" s="43">
        <v>1</v>
      </c>
      <c r="EV7" s="43">
        <v>0</v>
      </c>
      <c r="EW7" s="43">
        <v>0</v>
      </c>
      <c r="EX7" s="43">
        <v>0</v>
      </c>
      <c r="EY7" s="43">
        <v>0</v>
      </c>
      <c r="EZ7" s="43">
        <v>1</v>
      </c>
      <c r="FA7" s="43"/>
      <c r="FB7" s="43"/>
      <c r="FC7" s="43"/>
      <c r="FD7" s="43">
        <f t="shared" si="1"/>
        <v>2</v>
      </c>
      <c r="FE7" s="73">
        <f t="shared" si="2"/>
        <v>0</v>
      </c>
      <c r="FF7" s="73">
        <f t="shared" si="3"/>
        <v>0</v>
      </c>
      <c r="FG7" s="38"/>
    </row>
    <row r="8" spans="1:163" x14ac:dyDescent="0.25">
      <c r="A8" s="53">
        <v>40280</v>
      </c>
      <c r="B8" s="53" t="s">
        <v>133</v>
      </c>
      <c r="C8" s="53" t="s">
        <v>129</v>
      </c>
      <c r="D8" s="53" t="s">
        <v>333</v>
      </c>
      <c r="E8" s="54">
        <v>2346</v>
      </c>
      <c r="F8" s="58">
        <v>5</v>
      </c>
      <c r="G8" s="59" t="s">
        <v>339</v>
      </c>
      <c r="H8" s="6">
        <v>0</v>
      </c>
      <c r="I8" s="6">
        <v>0</v>
      </c>
      <c r="J8" s="60">
        <v>5</v>
      </c>
      <c r="K8" s="6">
        <v>4</v>
      </c>
      <c r="L8" s="6">
        <v>2</v>
      </c>
      <c r="M8" s="6">
        <v>2</v>
      </c>
      <c r="N8" s="6">
        <v>4</v>
      </c>
      <c r="O8" s="6">
        <v>3</v>
      </c>
      <c r="P8" s="6">
        <v>0</v>
      </c>
      <c r="Q8" s="6">
        <v>0</v>
      </c>
      <c r="R8" s="6">
        <v>23</v>
      </c>
      <c r="S8" s="6">
        <v>85</v>
      </c>
      <c r="T8" s="6">
        <v>46</v>
      </c>
      <c r="U8" s="6">
        <v>0</v>
      </c>
      <c r="V8" s="61">
        <v>0</v>
      </c>
      <c r="W8" s="62">
        <v>1</v>
      </c>
      <c r="X8" s="62">
        <v>0</v>
      </c>
      <c r="Y8" s="62">
        <v>1</v>
      </c>
      <c r="Z8" s="62">
        <v>1</v>
      </c>
      <c r="AA8" s="62">
        <v>0</v>
      </c>
      <c r="AB8" s="63">
        <v>4</v>
      </c>
      <c r="AC8" s="62">
        <v>4</v>
      </c>
      <c r="AD8" s="62">
        <v>0</v>
      </c>
      <c r="AE8" s="62">
        <v>0</v>
      </c>
      <c r="AF8" s="62">
        <v>0</v>
      </c>
      <c r="AG8" s="62">
        <v>2</v>
      </c>
      <c r="AH8" s="62">
        <v>0</v>
      </c>
      <c r="AI8" s="62">
        <v>0</v>
      </c>
      <c r="AJ8" s="62">
        <v>15</v>
      </c>
      <c r="AK8" s="62">
        <v>40</v>
      </c>
      <c r="AL8" s="62">
        <v>28</v>
      </c>
      <c r="AM8" s="1" t="s">
        <v>330</v>
      </c>
      <c r="AN8" s="78">
        <v>3</v>
      </c>
      <c r="AO8" s="78">
        <v>0</v>
      </c>
      <c r="AP8" s="78">
        <v>1</v>
      </c>
      <c r="AQ8" s="78">
        <v>1</v>
      </c>
      <c r="AR8" s="78">
        <v>1</v>
      </c>
      <c r="AS8" s="78">
        <v>0</v>
      </c>
      <c r="AT8" s="78">
        <v>0</v>
      </c>
      <c r="AU8" s="78">
        <v>1</v>
      </c>
      <c r="AV8" s="76">
        <v>1</v>
      </c>
      <c r="AW8" s="1" t="s">
        <v>400</v>
      </c>
      <c r="AX8" s="78">
        <v>4</v>
      </c>
      <c r="AY8" s="78">
        <v>0</v>
      </c>
      <c r="AZ8" s="78">
        <v>0</v>
      </c>
      <c r="BA8" s="78">
        <v>0</v>
      </c>
      <c r="BB8" s="78">
        <v>1</v>
      </c>
      <c r="BC8" s="78">
        <v>2</v>
      </c>
      <c r="BD8" s="78">
        <v>0</v>
      </c>
      <c r="BE8" s="78">
        <v>0</v>
      </c>
      <c r="BF8" s="76">
        <v>0</v>
      </c>
      <c r="BG8" s="1" t="s">
        <v>387</v>
      </c>
      <c r="BH8" s="78">
        <v>4</v>
      </c>
      <c r="BI8" s="78">
        <v>1</v>
      </c>
      <c r="BJ8" s="78">
        <v>1</v>
      </c>
      <c r="BK8" s="78">
        <v>0</v>
      </c>
      <c r="BL8" s="78">
        <v>1</v>
      </c>
      <c r="BM8" s="78">
        <v>2</v>
      </c>
      <c r="BN8" s="78">
        <v>0</v>
      </c>
      <c r="BO8" s="78">
        <v>0</v>
      </c>
      <c r="BP8" s="76">
        <v>2</v>
      </c>
      <c r="BQ8" s="1" t="s">
        <v>403</v>
      </c>
      <c r="BR8" s="78">
        <v>5</v>
      </c>
      <c r="BS8" s="78">
        <v>0</v>
      </c>
      <c r="BT8" s="78">
        <v>2</v>
      </c>
      <c r="BU8" s="78">
        <v>2</v>
      </c>
      <c r="BV8" s="78">
        <v>0</v>
      </c>
      <c r="BW8" s="78">
        <v>1</v>
      </c>
      <c r="BX8" s="78">
        <v>0</v>
      </c>
      <c r="BY8" s="78">
        <v>0</v>
      </c>
      <c r="BZ8" s="76">
        <v>3</v>
      </c>
      <c r="CA8" s="1" t="s">
        <v>332</v>
      </c>
      <c r="CB8" s="78">
        <v>4</v>
      </c>
      <c r="CC8" s="78">
        <v>0</v>
      </c>
      <c r="CD8" s="78">
        <v>0</v>
      </c>
      <c r="CE8" s="78">
        <v>0</v>
      </c>
      <c r="CF8" s="78">
        <v>0</v>
      </c>
      <c r="CG8" s="78">
        <v>1</v>
      </c>
      <c r="CH8" s="78">
        <v>0</v>
      </c>
      <c r="CI8" s="78">
        <v>0</v>
      </c>
      <c r="CJ8" s="76">
        <v>0</v>
      </c>
      <c r="CK8" s="1" t="s">
        <v>344</v>
      </c>
      <c r="CL8" s="78">
        <v>4</v>
      </c>
      <c r="CM8" s="78">
        <v>0</v>
      </c>
      <c r="CN8" s="78">
        <v>0</v>
      </c>
      <c r="CO8" s="78">
        <v>0</v>
      </c>
      <c r="CP8" s="78">
        <v>0</v>
      </c>
      <c r="CQ8" s="78">
        <v>2</v>
      </c>
      <c r="CR8" s="78">
        <v>0</v>
      </c>
      <c r="CS8" s="78">
        <v>0</v>
      </c>
      <c r="CT8" s="76">
        <v>0</v>
      </c>
      <c r="CU8" s="1" t="s">
        <v>275</v>
      </c>
      <c r="CV8" s="78">
        <v>4</v>
      </c>
      <c r="CW8" s="78">
        <v>1</v>
      </c>
      <c r="CX8" s="78">
        <v>1</v>
      </c>
      <c r="CY8" s="78">
        <v>0</v>
      </c>
      <c r="CZ8" s="78">
        <v>0</v>
      </c>
      <c r="DA8" s="78">
        <v>1</v>
      </c>
      <c r="DB8" s="78">
        <v>0</v>
      </c>
      <c r="DC8" s="78">
        <v>0</v>
      </c>
      <c r="DD8" s="76">
        <v>1</v>
      </c>
      <c r="DE8" s="1" t="s">
        <v>331</v>
      </c>
      <c r="DF8" s="78">
        <v>4</v>
      </c>
      <c r="DG8" s="78">
        <v>1</v>
      </c>
      <c r="DH8" s="78">
        <v>3</v>
      </c>
      <c r="DI8" s="78">
        <v>0</v>
      </c>
      <c r="DJ8" s="78">
        <v>0</v>
      </c>
      <c r="DK8" s="78">
        <v>0</v>
      </c>
      <c r="DL8" s="78">
        <v>0</v>
      </c>
      <c r="DM8" s="78">
        <v>0</v>
      </c>
      <c r="DN8" s="76">
        <v>3</v>
      </c>
      <c r="DO8" s="1" t="s">
        <v>402</v>
      </c>
      <c r="DP8" s="78">
        <v>3</v>
      </c>
      <c r="DQ8" s="78">
        <v>1</v>
      </c>
      <c r="DR8" s="78">
        <v>1</v>
      </c>
      <c r="DS8" s="78">
        <v>0</v>
      </c>
      <c r="DT8" s="78">
        <v>1</v>
      </c>
      <c r="DU8" s="78">
        <v>2</v>
      </c>
      <c r="DV8" s="78">
        <v>0</v>
      </c>
      <c r="DW8" s="78">
        <v>0</v>
      </c>
      <c r="DX8" s="76">
        <v>1</v>
      </c>
      <c r="DY8" s="77">
        <v>6</v>
      </c>
      <c r="DZ8" s="43">
        <v>0</v>
      </c>
      <c r="EA8" s="43">
        <v>0</v>
      </c>
      <c r="EB8" s="45">
        <v>3</v>
      </c>
      <c r="EC8" s="43">
        <v>0</v>
      </c>
      <c r="ED8" s="44">
        <v>0</v>
      </c>
      <c r="EE8" s="71">
        <v>0</v>
      </c>
      <c r="EF8" s="43">
        <v>0</v>
      </c>
      <c r="EG8" s="43">
        <v>0</v>
      </c>
      <c r="EH8" s="43">
        <v>0</v>
      </c>
      <c r="EI8" s="43">
        <v>0</v>
      </c>
      <c r="EJ8" s="43">
        <v>0</v>
      </c>
      <c r="EK8" s="43">
        <v>4</v>
      </c>
      <c r="EL8" s="43">
        <v>0</v>
      </c>
      <c r="EM8" s="43">
        <v>0</v>
      </c>
      <c r="EN8" s="43"/>
      <c r="EO8" s="43"/>
      <c r="EP8" s="43"/>
      <c r="EQ8" s="44">
        <f t="shared" si="0"/>
        <v>4</v>
      </c>
      <c r="ER8" s="43">
        <v>0</v>
      </c>
      <c r="ES8" s="43">
        <v>1</v>
      </c>
      <c r="ET8" s="43">
        <v>1</v>
      </c>
      <c r="EU8" s="43">
        <v>0</v>
      </c>
      <c r="EV8" s="43">
        <v>0</v>
      </c>
      <c r="EW8" s="43">
        <v>0</v>
      </c>
      <c r="EX8" s="43">
        <v>0</v>
      </c>
      <c r="EY8" s="43">
        <v>0</v>
      </c>
      <c r="EZ8" s="43">
        <v>0</v>
      </c>
      <c r="FA8" s="43"/>
      <c r="FB8" s="43"/>
      <c r="FC8" s="43"/>
      <c r="FD8" s="43">
        <f t="shared" si="1"/>
        <v>2</v>
      </c>
      <c r="FE8" s="73">
        <f t="shared" si="2"/>
        <v>0</v>
      </c>
      <c r="FF8" s="73">
        <f t="shared" si="3"/>
        <v>0</v>
      </c>
      <c r="FG8" s="38"/>
    </row>
    <row r="9" spans="1:163" x14ac:dyDescent="0.25">
      <c r="A9" s="53">
        <v>40281</v>
      </c>
      <c r="B9" s="53" t="s">
        <v>133</v>
      </c>
      <c r="C9" s="53" t="s">
        <v>129</v>
      </c>
      <c r="D9" s="53" t="s">
        <v>333</v>
      </c>
      <c r="E9" s="54">
        <v>2472</v>
      </c>
      <c r="F9" s="58">
        <v>1</v>
      </c>
      <c r="G9" s="59" t="s">
        <v>397</v>
      </c>
      <c r="H9" s="6">
        <v>1</v>
      </c>
      <c r="I9" s="6">
        <v>0</v>
      </c>
      <c r="J9" s="60">
        <f>6+1/3</f>
        <v>6.333333333333333</v>
      </c>
      <c r="K9" s="6">
        <v>4</v>
      </c>
      <c r="L9" s="6">
        <v>1</v>
      </c>
      <c r="M9" s="6">
        <v>1</v>
      </c>
      <c r="N9" s="6">
        <v>1</v>
      </c>
      <c r="O9" s="6">
        <v>7</v>
      </c>
      <c r="P9" s="6">
        <v>0</v>
      </c>
      <c r="Q9" s="6">
        <v>0</v>
      </c>
      <c r="R9" s="6">
        <v>25</v>
      </c>
      <c r="S9" s="6">
        <v>87</v>
      </c>
      <c r="T9" s="6">
        <v>61</v>
      </c>
      <c r="U9" s="6">
        <v>3</v>
      </c>
      <c r="V9" s="61">
        <v>0</v>
      </c>
      <c r="W9" s="62">
        <v>0</v>
      </c>
      <c r="X9" s="62">
        <v>0</v>
      </c>
      <c r="Y9" s="62">
        <v>1</v>
      </c>
      <c r="Z9" s="62">
        <v>1</v>
      </c>
      <c r="AA9" s="62">
        <v>0</v>
      </c>
      <c r="AB9" s="63">
        <f>2+2/3</f>
        <v>2.6666666666666665</v>
      </c>
      <c r="AC9" s="62">
        <v>3</v>
      </c>
      <c r="AD9" s="62">
        <v>0</v>
      </c>
      <c r="AE9" s="62">
        <v>0</v>
      </c>
      <c r="AF9" s="62">
        <v>2</v>
      </c>
      <c r="AG9" s="62">
        <v>1</v>
      </c>
      <c r="AH9" s="62">
        <v>0</v>
      </c>
      <c r="AI9" s="62">
        <v>0</v>
      </c>
      <c r="AJ9" s="62">
        <v>12</v>
      </c>
      <c r="AK9" s="62">
        <v>47</v>
      </c>
      <c r="AL9" s="62">
        <v>29</v>
      </c>
      <c r="AM9" s="1" t="s">
        <v>330</v>
      </c>
      <c r="AN9" s="78">
        <v>4</v>
      </c>
      <c r="AO9" s="78">
        <v>0</v>
      </c>
      <c r="AP9" s="78">
        <v>1</v>
      </c>
      <c r="AQ9" s="78">
        <v>1</v>
      </c>
      <c r="AR9" s="78">
        <v>0</v>
      </c>
      <c r="AS9" s="78">
        <v>0</v>
      </c>
      <c r="AT9" s="78">
        <v>0</v>
      </c>
      <c r="AU9" s="78">
        <v>0</v>
      </c>
      <c r="AV9" s="76">
        <v>2</v>
      </c>
      <c r="AW9" s="1" t="s">
        <v>400</v>
      </c>
      <c r="AX9" s="78">
        <v>4</v>
      </c>
      <c r="AY9" s="78">
        <v>0</v>
      </c>
      <c r="AZ9" s="78">
        <v>0</v>
      </c>
      <c r="BA9" s="78">
        <v>0</v>
      </c>
      <c r="BB9" s="78">
        <v>0</v>
      </c>
      <c r="BC9" s="78">
        <v>0</v>
      </c>
      <c r="BD9" s="78">
        <v>0</v>
      </c>
      <c r="BE9" s="78">
        <v>0</v>
      </c>
      <c r="BF9" s="76">
        <v>0</v>
      </c>
      <c r="BG9" s="1" t="s">
        <v>387</v>
      </c>
      <c r="BH9" s="78">
        <v>4</v>
      </c>
      <c r="BI9" s="78">
        <v>0</v>
      </c>
      <c r="BJ9" s="78">
        <v>0</v>
      </c>
      <c r="BK9" s="78">
        <v>0</v>
      </c>
      <c r="BL9" s="78">
        <v>0</v>
      </c>
      <c r="BM9" s="78">
        <v>1</v>
      </c>
      <c r="BN9" s="78">
        <v>0</v>
      </c>
      <c r="BO9" s="78">
        <v>0</v>
      </c>
      <c r="BP9" s="76">
        <v>0</v>
      </c>
      <c r="BQ9" s="1" t="s">
        <v>403</v>
      </c>
      <c r="BR9" s="78">
        <v>4</v>
      </c>
      <c r="BS9" s="78">
        <v>0</v>
      </c>
      <c r="BT9" s="78">
        <v>1</v>
      </c>
      <c r="BU9" s="78">
        <v>0</v>
      </c>
      <c r="BV9" s="78">
        <v>0</v>
      </c>
      <c r="BW9" s="78">
        <v>0</v>
      </c>
      <c r="BX9" s="78">
        <v>0</v>
      </c>
      <c r="BY9" s="78">
        <v>0</v>
      </c>
      <c r="BZ9" s="76">
        <v>1</v>
      </c>
      <c r="CA9" s="1" t="s">
        <v>332</v>
      </c>
      <c r="CB9" s="78">
        <v>4</v>
      </c>
      <c r="CC9" s="78">
        <v>1</v>
      </c>
      <c r="CD9" s="78">
        <v>2</v>
      </c>
      <c r="CE9" s="78">
        <v>1</v>
      </c>
      <c r="CF9" s="78">
        <v>0</v>
      </c>
      <c r="CG9" s="78">
        <v>0</v>
      </c>
      <c r="CH9" s="78">
        <v>0</v>
      </c>
      <c r="CI9" s="78">
        <v>0</v>
      </c>
      <c r="CJ9" s="76">
        <v>5</v>
      </c>
      <c r="CK9" s="1" t="s">
        <v>405</v>
      </c>
      <c r="CL9" s="78">
        <v>3</v>
      </c>
      <c r="CM9" s="78">
        <v>0</v>
      </c>
      <c r="CN9" s="78">
        <v>0</v>
      </c>
      <c r="CO9" s="78">
        <v>0</v>
      </c>
      <c r="CP9" s="78">
        <v>1</v>
      </c>
      <c r="CQ9" s="78">
        <v>1</v>
      </c>
      <c r="CR9" s="78">
        <v>0</v>
      </c>
      <c r="CS9" s="78">
        <v>0</v>
      </c>
      <c r="CT9" s="76">
        <v>0</v>
      </c>
      <c r="CU9" s="1" t="s">
        <v>336</v>
      </c>
      <c r="CV9" s="78">
        <v>4</v>
      </c>
      <c r="CW9" s="78">
        <v>0</v>
      </c>
      <c r="CX9" s="78">
        <v>0</v>
      </c>
      <c r="CY9" s="78">
        <v>0</v>
      </c>
      <c r="CZ9" s="78">
        <v>0</v>
      </c>
      <c r="DA9" s="78">
        <v>0</v>
      </c>
      <c r="DB9" s="78">
        <v>0</v>
      </c>
      <c r="DC9" s="78">
        <v>0</v>
      </c>
      <c r="DD9" s="76">
        <v>0</v>
      </c>
      <c r="DE9" s="1" t="s">
        <v>345</v>
      </c>
      <c r="DF9" s="78">
        <v>3</v>
      </c>
      <c r="DG9" s="78">
        <v>1</v>
      </c>
      <c r="DH9" s="78">
        <v>0</v>
      </c>
      <c r="DI9" s="78">
        <v>0</v>
      </c>
      <c r="DJ9" s="78">
        <v>1</v>
      </c>
      <c r="DK9" s="78">
        <v>2</v>
      </c>
      <c r="DL9" s="78">
        <v>0</v>
      </c>
      <c r="DM9" s="78">
        <v>0</v>
      </c>
      <c r="DN9" s="76">
        <v>0</v>
      </c>
      <c r="DO9" s="1" t="s">
        <v>402</v>
      </c>
      <c r="DP9" s="78">
        <v>3</v>
      </c>
      <c r="DQ9" s="78">
        <v>1</v>
      </c>
      <c r="DR9" s="78">
        <v>2</v>
      </c>
      <c r="DS9" s="78">
        <v>0</v>
      </c>
      <c r="DT9" s="78">
        <v>0</v>
      </c>
      <c r="DU9" s="78">
        <v>0</v>
      </c>
      <c r="DV9" s="78">
        <v>0</v>
      </c>
      <c r="DW9" s="78">
        <v>0</v>
      </c>
      <c r="DX9" s="76">
        <v>2</v>
      </c>
      <c r="DY9" s="77">
        <f>1+1/3</f>
        <v>1.3333333333333333</v>
      </c>
      <c r="DZ9" s="43">
        <v>0</v>
      </c>
      <c r="EA9" s="43">
        <v>0</v>
      </c>
      <c r="EB9" s="45">
        <f>7+2/3</f>
        <v>7.666666666666667</v>
      </c>
      <c r="EC9" s="43">
        <v>1</v>
      </c>
      <c r="ED9" s="44">
        <v>0</v>
      </c>
      <c r="EE9" s="71">
        <v>0</v>
      </c>
      <c r="EF9" s="43">
        <v>0</v>
      </c>
      <c r="EG9" s="43">
        <v>1</v>
      </c>
      <c r="EH9" s="43">
        <v>0</v>
      </c>
      <c r="EI9" s="43">
        <v>0</v>
      </c>
      <c r="EJ9" s="43">
        <v>1</v>
      </c>
      <c r="EK9" s="43">
        <v>1</v>
      </c>
      <c r="EL9" s="43">
        <v>0</v>
      </c>
      <c r="EM9" s="43">
        <v>0</v>
      </c>
      <c r="EN9" s="43"/>
      <c r="EO9" s="43"/>
      <c r="EP9" s="43"/>
      <c r="EQ9" s="44">
        <f t="shared" si="0"/>
        <v>3</v>
      </c>
      <c r="ER9" s="43">
        <v>0</v>
      </c>
      <c r="ES9" s="43">
        <v>0</v>
      </c>
      <c r="ET9" s="43">
        <v>0</v>
      </c>
      <c r="EU9" s="43">
        <v>0</v>
      </c>
      <c r="EV9" s="43">
        <v>0</v>
      </c>
      <c r="EW9" s="43">
        <v>0</v>
      </c>
      <c r="EX9" s="43">
        <v>1</v>
      </c>
      <c r="EY9" s="43">
        <v>0</v>
      </c>
      <c r="EZ9" s="43">
        <v>0</v>
      </c>
      <c r="FA9" s="43"/>
      <c r="FB9" s="43"/>
      <c r="FC9" s="43"/>
      <c r="FD9" s="43">
        <f t="shared" si="1"/>
        <v>1</v>
      </c>
      <c r="FE9" s="73">
        <f t="shared" si="2"/>
        <v>0</v>
      </c>
      <c r="FF9" s="73">
        <f t="shared" si="3"/>
        <v>0</v>
      </c>
      <c r="FG9" s="38"/>
    </row>
    <row r="10" spans="1:163" x14ac:dyDescent="0.25">
      <c r="A10" s="53">
        <v>40282</v>
      </c>
      <c r="B10" s="53" t="s">
        <v>133</v>
      </c>
      <c r="C10" s="53" t="s">
        <v>129</v>
      </c>
      <c r="D10" s="53" t="s">
        <v>333</v>
      </c>
      <c r="E10" s="54">
        <v>2811</v>
      </c>
      <c r="F10" s="58">
        <v>2</v>
      </c>
      <c r="G10" s="59" t="s">
        <v>337</v>
      </c>
      <c r="H10" s="6">
        <v>0</v>
      </c>
      <c r="I10" s="6">
        <v>0</v>
      </c>
      <c r="J10" s="60">
        <f>7+2/3</f>
        <v>7.666666666666667</v>
      </c>
      <c r="K10" s="6">
        <v>4</v>
      </c>
      <c r="L10" s="6">
        <v>1</v>
      </c>
      <c r="M10" s="6">
        <v>1</v>
      </c>
      <c r="N10" s="6">
        <v>1</v>
      </c>
      <c r="O10" s="6">
        <v>4</v>
      </c>
      <c r="P10" s="6">
        <v>1</v>
      </c>
      <c r="Q10" s="6">
        <v>0</v>
      </c>
      <c r="R10" s="6">
        <v>28</v>
      </c>
      <c r="S10" s="6">
        <v>96</v>
      </c>
      <c r="T10" s="6">
        <v>67</v>
      </c>
      <c r="U10" s="6">
        <v>0</v>
      </c>
      <c r="V10" s="61">
        <v>0</v>
      </c>
      <c r="W10" s="62">
        <v>1</v>
      </c>
      <c r="X10" s="62">
        <v>0</v>
      </c>
      <c r="Y10" s="62">
        <v>0</v>
      </c>
      <c r="Z10" s="62">
        <v>1</v>
      </c>
      <c r="AA10" s="62">
        <v>0</v>
      </c>
      <c r="AB10" s="63">
        <f>2+1/3</f>
        <v>2.3333333333333335</v>
      </c>
      <c r="AC10" s="62">
        <v>1</v>
      </c>
      <c r="AD10" s="62">
        <v>0</v>
      </c>
      <c r="AE10" s="62">
        <v>0</v>
      </c>
      <c r="AF10" s="62">
        <v>0</v>
      </c>
      <c r="AG10" s="62">
        <v>3</v>
      </c>
      <c r="AH10" s="62">
        <v>0</v>
      </c>
      <c r="AI10" s="62">
        <v>0</v>
      </c>
      <c r="AJ10" s="62">
        <v>9</v>
      </c>
      <c r="AK10" s="62">
        <v>32</v>
      </c>
      <c r="AL10" s="62">
        <v>23</v>
      </c>
      <c r="AM10" s="1" t="s">
        <v>330</v>
      </c>
      <c r="AN10" s="78">
        <v>5</v>
      </c>
      <c r="AO10" s="78">
        <v>1</v>
      </c>
      <c r="AP10" s="78">
        <v>2</v>
      </c>
      <c r="AQ10" s="78">
        <v>0</v>
      </c>
      <c r="AR10" s="78">
        <v>0</v>
      </c>
      <c r="AS10" s="78">
        <v>1</v>
      </c>
      <c r="AT10" s="78">
        <v>0</v>
      </c>
      <c r="AU10" s="78">
        <v>0</v>
      </c>
      <c r="AV10" s="76">
        <v>2</v>
      </c>
      <c r="AW10" s="1" t="s">
        <v>402</v>
      </c>
      <c r="AX10" s="78">
        <v>5</v>
      </c>
      <c r="AY10" s="78">
        <v>0</v>
      </c>
      <c r="AZ10" s="78">
        <v>0</v>
      </c>
      <c r="BA10" s="78">
        <v>0</v>
      </c>
      <c r="BB10" s="78">
        <v>0</v>
      </c>
      <c r="BC10" s="78">
        <v>3</v>
      </c>
      <c r="BD10" s="78">
        <v>0</v>
      </c>
      <c r="BE10" s="78">
        <v>0</v>
      </c>
      <c r="BF10" s="76">
        <v>0</v>
      </c>
      <c r="BG10" s="1" t="s">
        <v>400</v>
      </c>
      <c r="BH10" s="78">
        <v>5</v>
      </c>
      <c r="BI10" s="78">
        <v>0</v>
      </c>
      <c r="BJ10" s="78">
        <v>2</v>
      </c>
      <c r="BK10" s="78">
        <v>2</v>
      </c>
      <c r="BL10" s="78">
        <v>0</v>
      </c>
      <c r="BM10" s="78">
        <v>2</v>
      </c>
      <c r="BN10" s="78">
        <v>0</v>
      </c>
      <c r="BO10" s="78">
        <v>0</v>
      </c>
      <c r="BP10" s="76">
        <v>3</v>
      </c>
      <c r="BQ10" s="1" t="s">
        <v>332</v>
      </c>
      <c r="BR10" s="78">
        <v>4</v>
      </c>
      <c r="BS10" s="78">
        <v>1</v>
      </c>
      <c r="BT10" s="78">
        <v>1</v>
      </c>
      <c r="BU10" s="78">
        <v>0</v>
      </c>
      <c r="BV10" s="78">
        <v>1</v>
      </c>
      <c r="BW10" s="78">
        <v>1</v>
      </c>
      <c r="BX10" s="78">
        <v>0</v>
      </c>
      <c r="BY10" s="78">
        <v>0</v>
      </c>
      <c r="BZ10" s="76">
        <v>2</v>
      </c>
      <c r="CA10" s="1" t="s">
        <v>344</v>
      </c>
      <c r="CB10" s="78">
        <v>5</v>
      </c>
      <c r="CC10" s="78">
        <v>0</v>
      </c>
      <c r="CD10" s="78">
        <v>1</v>
      </c>
      <c r="CE10" s="78">
        <v>0</v>
      </c>
      <c r="CF10" s="78">
        <v>0</v>
      </c>
      <c r="CG10" s="78">
        <v>2</v>
      </c>
      <c r="CH10" s="78">
        <v>0</v>
      </c>
      <c r="CI10" s="78">
        <v>0</v>
      </c>
      <c r="CJ10" s="76">
        <v>1</v>
      </c>
      <c r="CK10" s="1" t="s">
        <v>405</v>
      </c>
      <c r="CL10" s="78">
        <v>3</v>
      </c>
      <c r="CM10" s="78">
        <v>0</v>
      </c>
      <c r="CN10" s="78">
        <v>1</v>
      </c>
      <c r="CO10" s="78">
        <v>1</v>
      </c>
      <c r="CP10" s="78">
        <v>1</v>
      </c>
      <c r="CQ10" s="78">
        <v>1</v>
      </c>
      <c r="CR10" s="78">
        <v>0</v>
      </c>
      <c r="CS10" s="78">
        <v>0</v>
      </c>
      <c r="CT10" s="76">
        <v>2</v>
      </c>
      <c r="CU10" s="1" t="s">
        <v>331</v>
      </c>
      <c r="CV10" s="78">
        <v>4</v>
      </c>
      <c r="CW10" s="78">
        <v>0</v>
      </c>
      <c r="CX10" s="78">
        <v>2</v>
      </c>
      <c r="CY10" s="78">
        <v>0</v>
      </c>
      <c r="CZ10" s="78">
        <v>0</v>
      </c>
      <c r="DA10" s="78">
        <v>1</v>
      </c>
      <c r="DB10" s="78">
        <v>0</v>
      </c>
      <c r="DC10" s="78">
        <v>0</v>
      </c>
      <c r="DD10" s="76">
        <v>2</v>
      </c>
      <c r="DE10" s="1" t="s">
        <v>345</v>
      </c>
      <c r="DF10" s="78">
        <v>4</v>
      </c>
      <c r="DG10" s="78">
        <v>0</v>
      </c>
      <c r="DH10" s="78">
        <v>0</v>
      </c>
      <c r="DI10" s="78">
        <v>0</v>
      </c>
      <c r="DJ10" s="78">
        <v>0</v>
      </c>
      <c r="DK10" s="78">
        <v>3</v>
      </c>
      <c r="DL10" s="78">
        <v>0</v>
      </c>
      <c r="DM10" s="78">
        <v>0</v>
      </c>
      <c r="DN10" s="76">
        <v>0</v>
      </c>
      <c r="DO10" s="1" t="s">
        <v>360</v>
      </c>
      <c r="DP10" s="78">
        <v>4</v>
      </c>
      <c r="DQ10" s="78">
        <v>1</v>
      </c>
      <c r="DR10" s="78">
        <v>1</v>
      </c>
      <c r="DS10" s="78">
        <v>0</v>
      </c>
      <c r="DT10" s="78">
        <v>0</v>
      </c>
      <c r="DU10" s="78">
        <v>1</v>
      </c>
      <c r="DV10" s="78">
        <v>0</v>
      </c>
      <c r="DW10" s="78">
        <v>0</v>
      </c>
      <c r="DX10" s="76">
        <v>1</v>
      </c>
      <c r="DY10" s="77">
        <v>1</v>
      </c>
      <c r="DZ10" s="43">
        <v>0</v>
      </c>
      <c r="EA10" s="43">
        <v>0</v>
      </c>
      <c r="EB10" s="45">
        <v>9</v>
      </c>
      <c r="EC10" s="43">
        <v>1</v>
      </c>
      <c r="ED10" s="44">
        <v>0</v>
      </c>
      <c r="EE10" s="71">
        <v>0</v>
      </c>
      <c r="EF10" s="43">
        <v>0</v>
      </c>
      <c r="EG10" s="43">
        <v>0</v>
      </c>
      <c r="EH10" s="43">
        <v>0</v>
      </c>
      <c r="EI10" s="43">
        <v>0</v>
      </c>
      <c r="EJ10" s="43">
        <v>0</v>
      </c>
      <c r="EK10" s="43">
        <v>1</v>
      </c>
      <c r="EL10" s="43">
        <v>0</v>
      </c>
      <c r="EM10" s="43">
        <v>0</v>
      </c>
      <c r="EN10" s="43">
        <v>2</v>
      </c>
      <c r="EO10" s="43"/>
      <c r="EP10" s="43"/>
      <c r="EQ10" s="44">
        <f t="shared" si="0"/>
        <v>3</v>
      </c>
      <c r="ER10" s="43">
        <v>0</v>
      </c>
      <c r="ES10" s="43">
        <v>0</v>
      </c>
      <c r="ET10" s="43">
        <v>0</v>
      </c>
      <c r="EU10" s="43">
        <v>0</v>
      </c>
      <c r="EV10" s="43">
        <v>0</v>
      </c>
      <c r="EW10" s="43">
        <v>0</v>
      </c>
      <c r="EX10" s="43">
        <v>0</v>
      </c>
      <c r="EY10" s="43">
        <v>1</v>
      </c>
      <c r="EZ10" s="43">
        <v>0</v>
      </c>
      <c r="FA10" s="43">
        <v>0</v>
      </c>
      <c r="FB10" s="43"/>
      <c r="FC10" s="43"/>
      <c r="FD10" s="43">
        <f t="shared" si="1"/>
        <v>1</v>
      </c>
      <c r="FE10" s="73">
        <f t="shared" si="2"/>
        <v>0</v>
      </c>
      <c r="FF10" s="73">
        <f t="shared" si="3"/>
        <v>0</v>
      </c>
      <c r="FG10" s="38"/>
    </row>
    <row r="11" spans="1:163" x14ac:dyDescent="0.25">
      <c r="A11" s="53">
        <v>40283</v>
      </c>
      <c r="B11" s="53" t="s">
        <v>19</v>
      </c>
      <c r="C11" s="53" t="s">
        <v>131</v>
      </c>
      <c r="D11" s="53" t="s">
        <v>359</v>
      </c>
      <c r="E11" s="54">
        <v>9080</v>
      </c>
      <c r="F11" s="58">
        <v>3</v>
      </c>
      <c r="G11" s="59" t="s">
        <v>356</v>
      </c>
      <c r="H11" s="6">
        <v>0</v>
      </c>
      <c r="I11" s="6">
        <v>1</v>
      </c>
      <c r="J11" s="60">
        <v>0</v>
      </c>
      <c r="K11" s="6">
        <v>0</v>
      </c>
      <c r="L11" s="6">
        <v>2</v>
      </c>
      <c r="M11" s="6">
        <v>2</v>
      </c>
      <c r="N11" s="6">
        <v>2</v>
      </c>
      <c r="O11" s="6">
        <v>0</v>
      </c>
      <c r="P11" s="6">
        <v>0</v>
      </c>
      <c r="Q11" s="6">
        <v>0</v>
      </c>
      <c r="R11" s="6">
        <v>2</v>
      </c>
      <c r="S11" s="6">
        <v>8</v>
      </c>
      <c r="T11" s="6">
        <v>0</v>
      </c>
      <c r="U11" s="6">
        <v>2</v>
      </c>
      <c r="V11" s="61">
        <v>2</v>
      </c>
      <c r="W11" s="62">
        <v>0</v>
      </c>
      <c r="X11" s="62">
        <v>0</v>
      </c>
      <c r="Y11" s="62">
        <v>0</v>
      </c>
      <c r="Z11" s="62">
        <v>0</v>
      </c>
      <c r="AA11" s="62">
        <v>0</v>
      </c>
      <c r="AB11" s="63">
        <v>9</v>
      </c>
      <c r="AC11" s="62">
        <v>9</v>
      </c>
      <c r="AD11" s="62">
        <v>4</v>
      </c>
      <c r="AE11" s="62">
        <v>3</v>
      </c>
      <c r="AF11" s="62">
        <v>4</v>
      </c>
      <c r="AG11" s="62">
        <v>6</v>
      </c>
      <c r="AH11" s="62">
        <v>0</v>
      </c>
      <c r="AI11" s="62">
        <v>0</v>
      </c>
      <c r="AJ11" s="62">
        <v>38</v>
      </c>
      <c r="AK11" s="62">
        <v>144</v>
      </c>
      <c r="AL11" s="62">
        <v>86</v>
      </c>
      <c r="AM11" s="1" t="s">
        <v>345</v>
      </c>
      <c r="AN11" s="78">
        <v>4</v>
      </c>
      <c r="AO11" s="78">
        <v>2</v>
      </c>
      <c r="AP11" s="78">
        <v>2</v>
      </c>
      <c r="AQ11" s="78">
        <v>0</v>
      </c>
      <c r="AR11" s="78">
        <v>1</v>
      </c>
      <c r="AS11" s="78">
        <v>1</v>
      </c>
      <c r="AT11" s="78">
        <v>0</v>
      </c>
      <c r="AU11" s="78">
        <v>0</v>
      </c>
      <c r="AV11" s="76">
        <v>2</v>
      </c>
      <c r="AW11" s="1" t="s">
        <v>402</v>
      </c>
      <c r="AX11" s="78">
        <v>4</v>
      </c>
      <c r="AY11" s="78">
        <v>0</v>
      </c>
      <c r="AZ11" s="78">
        <v>1</v>
      </c>
      <c r="BA11" s="78">
        <v>0</v>
      </c>
      <c r="BB11" s="78">
        <v>1</v>
      </c>
      <c r="BC11" s="78">
        <v>0</v>
      </c>
      <c r="BD11" s="78">
        <v>0</v>
      </c>
      <c r="BE11" s="78">
        <v>0</v>
      </c>
      <c r="BF11" s="76">
        <v>1</v>
      </c>
      <c r="BG11" s="1" t="s">
        <v>400</v>
      </c>
      <c r="BH11" s="78">
        <v>4</v>
      </c>
      <c r="BI11" s="78">
        <v>0</v>
      </c>
      <c r="BJ11" s="78">
        <v>2</v>
      </c>
      <c r="BK11" s="78">
        <v>1</v>
      </c>
      <c r="BL11" s="78">
        <v>1</v>
      </c>
      <c r="BM11" s="78">
        <v>1</v>
      </c>
      <c r="BN11" s="78">
        <v>0</v>
      </c>
      <c r="BO11" s="78">
        <v>0</v>
      </c>
      <c r="BP11" s="76">
        <v>2</v>
      </c>
      <c r="BQ11" s="1" t="s">
        <v>404</v>
      </c>
      <c r="BR11" s="78">
        <v>5</v>
      </c>
      <c r="BS11" s="78">
        <v>0</v>
      </c>
      <c r="BT11" s="78">
        <v>2</v>
      </c>
      <c r="BU11" s="78">
        <v>2</v>
      </c>
      <c r="BV11" s="78">
        <v>0</v>
      </c>
      <c r="BW11" s="78">
        <v>3</v>
      </c>
      <c r="BX11" s="78">
        <v>0</v>
      </c>
      <c r="BY11" s="78">
        <v>0</v>
      </c>
      <c r="BZ11" s="76">
        <v>2</v>
      </c>
      <c r="CA11" s="1" t="s">
        <v>403</v>
      </c>
      <c r="CB11" s="78">
        <v>5</v>
      </c>
      <c r="CC11" s="78">
        <v>0</v>
      </c>
      <c r="CD11" s="78">
        <v>0</v>
      </c>
      <c r="CE11" s="78">
        <v>0</v>
      </c>
      <c r="CF11" s="78">
        <v>0</v>
      </c>
      <c r="CG11" s="78">
        <v>1</v>
      </c>
      <c r="CH11" s="78">
        <v>0</v>
      </c>
      <c r="CI11" s="78">
        <v>0</v>
      </c>
      <c r="CJ11" s="76">
        <v>0</v>
      </c>
      <c r="CK11" s="1" t="s">
        <v>332</v>
      </c>
      <c r="CL11" s="78">
        <v>4</v>
      </c>
      <c r="CM11" s="78">
        <v>1</v>
      </c>
      <c r="CN11" s="78">
        <v>1</v>
      </c>
      <c r="CO11" s="78">
        <v>1</v>
      </c>
      <c r="CP11" s="78">
        <v>0</v>
      </c>
      <c r="CQ11" s="78">
        <v>0</v>
      </c>
      <c r="CR11" s="78">
        <v>0</v>
      </c>
      <c r="CS11" s="78">
        <v>0</v>
      </c>
      <c r="CT11" s="76">
        <v>4</v>
      </c>
      <c r="CU11" s="1" t="s">
        <v>405</v>
      </c>
      <c r="CV11" s="78">
        <v>4</v>
      </c>
      <c r="CW11" s="78">
        <v>1</v>
      </c>
      <c r="CX11" s="78">
        <v>0</v>
      </c>
      <c r="CY11" s="78">
        <v>0</v>
      </c>
      <c r="CZ11" s="78">
        <v>0</v>
      </c>
      <c r="DA11" s="78">
        <v>1</v>
      </c>
      <c r="DB11" s="78">
        <v>0</v>
      </c>
      <c r="DC11" s="78">
        <v>0</v>
      </c>
      <c r="DD11" s="76">
        <v>0</v>
      </c>
      <c r="DE11" s="1" t="s">
        <v>331</v>
      </c>
      <c r="DF11" s="78">
        <v>4</v>
      </c>
      <c r="DG11" s="78">
        <v>0</v>
      </c>
      <c r="DH11" s="78">
        <v>1</v>
      </c>
      <c r="DI11" s="78">
        <v>0</v>
      </c>
      <c r="DJ11" s="78">
        <v>0</v>
      </c>
      <c r="DK11" s="78">
        <v>1</v>
      </c>
      <c r="DL11" s="78">
        <v>0</v>
      </c>
      <c r="DM11" s="78">
        <v>0</v>
      </c>
      <c r="DN11" s="76">
        <v>1</v>
      </c>
      <c r="DO11" s="1" t="s">
        <v>336</v>
      </c>
      <c r="DP11" s="78">
        <v>4</v>
      </c>
      <c r="DQ11" s="78">
        <v>0</v>
      </c>
      <c r="DR11" s="78">
        <v>0</v>
      </c>
      <c r="DS11" s="78">
        <v>0</v>
      </c>
      <c r="DT11" s="78">
        <v>0</v>
      </c>
      <c r="DU11" s="78">
        <v>0</v>
      </c>
      <c r="DV11" s="78">
        <v>0</v>
      </c>
      <c r="DW11" s="78">
        <v>0</v>
      </c>
      <c r="DX11" s="76">
        <v>0</v>
      </c>
      <c r="DY11" s="77">
        <f>2+1/3</f>
        <v>2.3333333333333335</v>
      </c>
      <c r="DZ11" s="43">
        <v>0</v>
      </c>
      <c r="EA11" s="43">
        <v>0</v>
      </c>
      <c r="EB11" s="45">
        <f>6+2/3</f>
        <v>6.666666666666667</v>
      </c>
      <c r="EC11" s="43">
        <v>0</v>
      </c>
      <c r="ED11" s="44">
        <v>0</v>
      </c>
      <c r="EE11" s="71">
        <v>0</v>
      </c>
      <c r="EF11" s="43">
        <v>0</v>
      </c>
      <c r="EG11" s="43">
        <v>1</v>
      </c>
      <c r="EH11" s="43">
        <v>1</v>
      </c>
      <c r="EI11" s="43">
        <v>0</v>
      </c>
      <c r="EJ11" s="43">
        <v>0</v>
      </c>
      <c r="EK11" s="43">
        <v>0</v>
      </c>
      <c r="EL11" s="43">
        <v>0</v>
      </c>
      <c r="EM11" s="43">
        <v>2</v>
      </c>
      <c r="EN11" s="43"/>
      <c r="EO11" s="43"/>
      <c r="EP11" s="43"/>
      <c r="EQ11" s="44">
        <f t="shared" si="0"/>
        <v>4</v>
      </c>
      <c r="ER11" s="43">
        <v>4</v>
      </c>
      <c r="ES11" s="43">
        <v>0</v>
      </c>
      <c r="ET11" s="43">
        <v>0</v>
      </c>
      <c r="EU11" s="43">
        <v>0</v>
      </c>
      <c r="EV11" s="43">
        <v>0</v>
      </c>
      <c r="EW11" s="43">
        <v>2</v>
      </c>
      <c r="EX11" s="43">
        <v>0</v>
      </c>
      <c r="EY11" s="43">
        <v>0</v>
      </c>
      <c r="EZ11" s="43">
        <v>0</v>
      </c>
      <c r="FA11" s="43"/>
      <c r="FB11" s="43"/>
      <c r="FC11" s="43"/>
      <c r="FD11" s="43">
        <f t="shared" si="1"/>
        <v>6</v>
      </c>
      <c r="FE11" s="73">
        <f t="shared" si="2"/>
        <v>0</v>
      </c>
      <c r="FF11" s="73">
        <f t="shared" si="3"/>
        <v>0</v>
      </c>
      <c r="FG11" s="38"/>
    </row>
    <row r="12" spans="1:163" x14ac:dyDescent="0.25">
      <c r="A12" s="53">
        <v>40284</v>
      </c>
      <c r="B12" s="53" t="s">
        <v>19</v>
      </c>
      <c r="C12" s="53" t="s">
        <v>129</v>
      </c>
      <c r="D12" s="53" t="s">
        <v>359</v>
      </c>
      <c r="E12" s="54">
        <v>7552</v>
      </c>
      <c r="F12" s="58">
        <v>4</v>
      </c>
      <c r="G12" s="59" t="s">
        <v>326</v>
      </c>
      <c r="H12" s="6">
        <v>1</v>
      </c>
      <c r="I12" s="6">
        <v>0</v>
      </c>
      <c r="J12" s="60">
        <v>5</v>
      </c>
      <c r="K12" s="6">
        <v>6</v>
      </c>
      <c r="L12" s="6">
        <v>5</v>
      </c>
      <c r="M12" s="6">
        <v>3</v>
      </c>
      <c r="N12" s="6">
        <v>0</v>
      </c>
      <c r="O12" s="6">
        <v>2</v>
      </c>
      <c r="P12" s="6">
        <v>0</v>
      </c>
      <c r="Q12" s="6">
        <v>0</v>
      </c>
      <c r="R12" s="6">
        <v>22</v>
      </c>
      <c r="S12" s="6">
        <v>93</v>
      </c>
      <c r="T12" s="6">
        <v>59</v>
      </c>
      <c r="U12" s="6">
        <v>0</v>
      </c>
      <c r="V12" s="61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B12" s="63">
        <v>4</v>
      </c>
      <c r="AC12" s="62">
        <v>3</v>
      </c>
      <c r="AD12" s="62">
        <v>2</v>
      </c>
      <c r="AE12" s="62">
        <v>1</v>
      </c>
      <c r="AF12" s="62">
        <v>1</v>
      </c>
      <c r="AG12" s="62">
        <v>5</v>
      </c>
      <c r="AH12" s="62">
        <v>1</v>
      </c>
      <c r="AI12" s="62">
        <v>0</v>
      </c>
      <c r="AJ12" s="62">
        <v>17</v>
      </c>
      <c r="AK12" s="62">
        <v>63</v>
      </c>
      <c r="AL12" s="62">
        <v>43</v>
      </c>
      <c r="AM12" s="1" t="s">
        <v>330</v>
      </c>
      <c r="AN12" s="78">
        <v>6</v>
      </c>
      <c r="AO12" s="78">
        <v>1</v>
      </c>
      <c r="AP12" s="78">
        <v>2</v>
      </c>
      <c r="AQ12" s="78">
        <v>2</v>
      </c>
      <c r="AR12" s="78">
        <v>0</v>
      </c>
      <c r="AS12" s="78">
        <v>0</v>
      </c>
      <c r="AT12" s="78">
        <v>0</v>
      </c>
      <c r="AU12" s="78">
        <v>0</v>
      </c>
      <c r="AV12" s="76">
        <v>3</v>
      </c>
      <c r="AW12" s="1" t="s">
        <v>345</v>
      </c>
      <c r="AX12" s="78">
        <v>6</v>
      </c>
      <c r="AY12" s="78">
        <v>1</v>
      </c>
      <c r="AZ12" s="78">
        <v>3</v>
      </c>
      <c r="BA12" s="78">
        <v>1</v>
      </c>
      <c r="BB12" s="78">
        <v>0</v>
      </c>
      <c r="BC12" s="78">
        <v>0</v>
      </c>
      <c r="BD12" s="78">
        <v>0</v>
      </c>
      <c r="BE12" s="78">
        <v>0</v>
      </c>
      <c r="BF12" s="76">
        <v>3</v>
      </c>
      <c r="BG12" s="1" t="s">
        <v>400</v>
      </c>
      <c r="BH12" s="78">
        <v>6</v>
      </c>
      <c r="BI12" s="78">
        <v>2</v>
      </c>
      <c r="BJ12" s="78">
        <v>2</v>
      </c>
      <c r="BK12" s="78">
        <v>0</v>
      </c>
      <c r="BL12" s="78">
        <v>0</v>
      </c>
      <c r="BM12" s="78">
        <v>1</v>
      </c>
      <c r="BN12" s="78">
        <v>0</v>
      </c>
      <c r="BO12" s="78">
        <v>0</v>
      </c>
      <c r="BP12" s="76">
        <v>2</v>
      </c>
      <c r="BQ12" s="1" t="s">
        <v>404</v>
      </c>
      <c r="BR12" s="78">
        <v>5</v>
      </c>
      <c r="BS12" s="78">
        <v>2</v>
      </c>
      <c r="BT12" s="78">
        <v>3</v>
      </c>
      <c r="BU12" s="78">
        <v>1</v>
      </c>
      <c r="BV12" s="78">
        <v>0</v>
      </c>
      <c r="BW12" s="78">
        <v>1</v>
      </c>
      <c r="BX12" s="78">
        <v>0</v>
      </c>
      <c r="BY12" s="78">
        <v>0</v>
      </c>
      <c r="BZ12" s="76">
        <v>3</v>
      </c>
      <c r="CA12" s="1" t="s">
        <v>403</v>
      </c>
      <c r="CB12" s="78">
        <v>4</v>
      </c>
      <c r="CC12" s="78">
        <v>2</v>
      </c>
      <c r="CD12" s="78">
        <v>1</v>
      </c>
      <c r="CE12" s="78">
        <v>3</v>
      </c>
      <c r="CF12" s="78">
        <v>0</v>
      </c>
      <c r="CG12" s="78">
        <v>0</v>
      </c>
      <c r="CH12" s="78">
        <v>0</v>
      </c>
      <c r="CI12" s="78">
        <v>1</v>
      </c>
      <c r="CJ12" s="76">
        <v>4</v>
      </c>
      <c r="CK12" s="1" t="s">
        <v>332</v>
      </c>
      <c r="CL12" s="78">
        <v>5</v>
      </c>
      <c r="CM12" s="78">
        <v>2</v>
      </c>
      <c r="CN12" s="78">
        <v>2</v>
      </c>
      <c r="CO12" s="78">
        <v>3</v>
      </c>
      <c r="CP12" s="78">
        <v>0</v>
      </c>
      <c r="CQ12" s="78">
        <v>0</v>
      </c>
      <c r="CR12" s="78">
        <v>0</v>
      </c>
      <c r="CS12" s="78">
        <v>0</v>
      </c>
      <c r="CT12" s="76">
        <v>5</v>
      </c>
      <c r="CU12" s="1" t="s">
        <v>344</v>
      </c>
      <c r="CV12" s="78">
        <v>5</v>
      </c>
      <c r="CW12" s="78">
        <v>3</v>
      </c>
      <c r="CX12" s="78">
        <v>3</v>
      </c>
      <c r="CY12" s="78">
        <v>3</v>
      </c>
      <c r="CZ12" s="78">
        <v>0</v>
      </c>
      <c r="DA12" s="78">
        <v>1</v>
      </c>
      <c r="DB12" s="78">
        <v>0</v>
      </c>
      <c r="DC12" s="78">
        <v>0</v>
      </c>
      <c r="DD12" s="76">
        <v>7</v>
      </c>
      <c r="DE12" s="1" t="s">
        <v>331</v>
      </c>
      <c r="DF12" s="78">
        <v>4</v>
      </c>
      <c r="DG12" s="78">
        <v>1</v>
      </c>
      <c r="DH12" s="78">
        <v>3</v>
      </c>
      <c r="DI12" s="78">
        <v>1</v>
      </c>
      <c r="DJ12" s="78">
        <v>1</v>
      </c>
      <c r="DK12" s="78">
        <v>0</v>
      </c>
      <c r="DL12" s="78">
        <v>0</v>
      </c>
      <c r="DM12" s="78">
        <v>0</v>
      </c>
      <c r="DN12" s="76">
        <v>4</v>
      </c>
      <c r="DO12" s="1" t="s">
        <v>336</v>
      </c>
      <c r="DP12" s="78">
        <v>3</v>
      </c>
      <c r="DQ12" s="78">
        <v>0</v>
      </c>
      <c r="DR12" s="78">
        <v>1</v>
      </c>
      <c r="DS12" s="78">
        <v>0</v>
      </c>
      <c r="DT12" s="78">
        <v>2</v>
      </c>
      <c r="DU12" s="78">
        <v>1</v>
      </c>
      <c r="DV12" s="78">
        <v>0</v>
      </c>
      <c r="DW12" s="78">
        <v>0</v>
      </c>
      <c r="DX12" s="76">
        <v>1</v>
      </c>
      <c r="DY12" s="77">
        <f>1/3</f>
        <v>0.33333333333333331</v>
      </c>
      <c r="DZ12" s="43">
        <v>1</v>
      </c>
      <c r="EA12" s="43">
        <v>0</v>
      </c>
      <c r="EB12" s="45">
        <f>7+2/3</f>
        <v>7.666666666666667</v>
      </c>
      <c r="EC12" s="43">
        <v>4</v>
      </c>
      <c r="ED12" s="44">
        <v>0</v>
      </c>
      <c r="EE12" s="71">
        <v>6</v>
      </c>
      <c r="EF12" s="43">
        <v>1</v>
      </c>
      <c r="EG12" s="43">
        <v>0</v>
      </c>
      <c r="EH12" s="43">
        <v>0</v>
      </c>
      <c r="EI12" s="43">
        <v>2</v>
      </c>
      <c r="EJ12" s="43">
        <v>2</v>
      </c>
      <c r="EK12" s="43">
        <v>3</v>
      </c>
      <c r="EL12" s="43">
        <v>0</v>
      </c>
      <c r="EM12" s="43"/>
      <c r="EN12" s="43"/>
      <c r="EO12" s="43"/>
      <c r="EP12" s="43"/>
      <c r="EQ12" s="44">
        <f t="shared" si="0"/>
        <v>14</v>
      </c>
      <c r="ER12" s="43">
        <v>0</v>
      </c>
      <c r="ES12" s="43">
        <v>0</v>
      </c>
      <c r="ET12" s="43">
        <v>2</v>
      </c>
      <c r="EU12" s="43">
        <v>3</v>
      </c>
      <c r="EV12" s="43">
        <v>0</v>
      </c>
      <c r="EW12" s="43">
        <v>1</v>
      </c>
      <c r="EX12" s="43">
        <v>0</v>
      </c>
      <c r="EY12" s="43">
        <v>0</v>
      </c>
      <c r="EZ12" s="43">
        <v>1</v>
      </c>
      <c r="FA12" s="43"/>
      <c r="FB12" s="43"/>
      <c r="FC12" s="43"/>
      <c r="FD12" s="43">
        <f t="shared" si="1"/>
        <v>7</v>
      </c>
      <c r="FE12" s="73">
        <f t="shared" si="2"/>
        <v>0</v>
      </c>
      <c r="FF12" s="73">
        <f t="shared" si="3"/>
        <v>0</v>
      </c>
      <c r="FG12" s="38"/>
    </row>
    <row r="13" spans="1:163" x14ac:dyDescent="0.25">
      <c r="A13" s="53">
        <v>40285</v>
      </c>
      <c r="B13" s="53" t="s">
        <v>19</v>
      </c>
      <c r="C13" s="53" t="s">
        <v>129</v>
      </c>
      <c r="D13" s="53" t="s">
        <v>359</v>
      </c>
      <c r="E13" s="54">
        <v>8554</v>
      </c>
      <c r="F13" s="58">
        <v>5</v>
      </c>
      <c r="G13" s="59" t="s">
        <v>339</v>
      </c>
      <c r="H13" s="6">
        <v>1</v>
      </c>
      <c r="I13" s="6">
        <v>0</v>
      </c>
      <c r="J13" s="60">
        <v>6</v>
      </c>
      <c r="K13" s="6">
        <v>5</v>
      </c>
      <c r="L13" s="6">
        <v>1</v>
      </c>
      <c r="M13" s="6">
        <v>1</v>
      </c>
      <c r="N13" s="6">
        <v>1</v>
      </c>
      <c r="O13" s="6">
        <v>5</v>
      </c>
      <c r="P13" s="6">
        <v>0</v>
      </c>
      <c r="Q13" s="6">
        <v>0</v>
      </c>
      <c r="R13" s="6">
        <v>23</v>
      </c>
      <c r="S13" s="6">
        <v>98</v>
      </c>
      <c r="T13" s="6">
        <v>60</v>
      </c>
      <c r="U13" s="6">
        <v>0</v>
      </c>
      <c r="V13" s="61">
        <v>0</v>
      </c>
      <c r="W13" s="62">
        <v>0</v>
      </c>
      <c r="X13" s="62">
        <v>0</v>
      </c>
      <c r="Y13" s="62">
        <v>1</v>
      </c>
      <c r="Z13" s="62">
        <v>0</v>
      </c>
      <c r="AA13" s="62">
        <v>0</v>
      </c>
      <c r="AB13" s="63">
        <v>3</v>
      </c>
      <c r="AC13" s="62">
        <v>2</v>
      </c>
      <c r="AD13" s="62">
        <v>1</v>
      </c>
      <c r="AE13" s="62">
        <v>1</v>
      </c>
      <c r="AF13" s="62">
        <v>2</v>
      </c>
      <c r="AG13" s="62">
        <v>4</v>
      </c>
      <c r="AH13" s="62">
        <v>0</v>
      </c>
      <c r="AI13" s="62">
        <v>0</v>
      </c>
      <c r="AJ13" s="62">
        <v>13</v>
      </c>
      <c r="AK13" s="62">
        <v>44</v>
      </c>
      <c r="AL13" s="62">
        <v>27</v>
      </c>
      <c r="AM13" s="1" t="s">
        <v>330</v>
      </c>
      <c r="AN13" s="78">
        <v>5</v>
      </c>
      <c r="AO13" s="78">
        <v>1</v>
      </c>
      <c r="AP13" s="78">
        <v>0</v>
      </c>
      <c r="AQ13" s="78">
        <v>0</v>
      </c>
      <c r="AR13" s="78">
        <v>0</v>
      </c>
      <c r="AS13" s="78">
        <v>1</v>
      </c>
      <c r="AT13" s="78">
        <v>0</v>
      </c>
      <c r="AU13" s="78">
        <v>0</v>
      </c>
      <c r="AV13" s="76">
        <v>0</v>
      </c>
      <c r="AW13" s="1" t="s">
        <v>345</v>
      </c>
      <c r="AX13" s="78">
        <v>5</v>
      </c>
      <c r="AY13" s="78">
        <v>1</v>
      </c>
      <c r="AZ13" s="78">
        <v>2</v>
      </c>
      <c r="BA13" s="78">
        <v>3</v>
      </c>
      <c r="BB13" s="78">
        <v>0</v>
      </c>
      <c r="BC13" s="78">
        <v>1</v>
      </c>
      <c r="BD13" s="78">
        <v>0</v>
      </c>
      <c r="BE13" s="78">
        <v>0</v>
      </c>
      <c r="BF13" s="76">
        <v>6</v>
      </c>
      <c r="BG13" s="1" t="s">
        <v>400</v>
      </c>
      <c r="BH13" s="78">
        <v>5</v>
      </c>
      <c r="BI13" s="78">
        <v>2</v>
      </c>
      <c r="BJ13" s="78">
        <v>3</v>
      </c>
      <c r="BK13" s="78">
        <v>1</v>
      </c>
      <c r="BL13" s="78">
        <v>0</v>
      </c>
      <c r="BM13" s="78">
        <v>1</v>
      </c>
      <c r="BN13" s="78">
        <v>0</v>
      </c>
      <c r="BO13" s="78">
        <v>0</v>
      </c>
      <c r="BP13" s="76">
        <v>6</v>
      </c>
      <c r="BQ13" s="1" t="s">
        <v>404</v>
      </c>
      <c r="BR13" s="78">
        <v>5</v>
      </c>
      <c r="BS13" s="78">
        <v>1</v>
      </c>
      <c r="BT13" s="78">
        <v>2</v>
      </c>
      <c r="BU13" s="78">
        <v>0</v>
      </c>
      <c r="BV13" s="78">
        <v>0</v>
      </c>
      <c r="BW13" s="78">
        <v>1</v>
      </c>
      <c r="BX13" s="78">
        <v>0</v>
      </c>
      <c r="BY13" s="78">
        <v>0</v>
      </c>
      <c r="BZ13" s="76">
        <v>2</v>
      </c>
      <c r="CA13" s="1" t="s">
        <v>332</v>
      </c>
      <c r="CB13" s="78">
        <v>4</v>
      </c>
      <c r="CC13" s="78">
        <v>1</v>
      </c>
      <c r="CD13" s="78">
        <v>2</v>
      </c>
      <c r="CE13" s="78">
        <v>0</v>
      </c>
      <c r="CF13" s="78">
        <v>0</v>
      </c>
      <c r="CG13" s="78">
        <v>0</v>
      </c>
      <c r="CH13" s="78">
        <v>0</v>
      </c>
      <c r="CI13" s="78">
        <v>0</v>
      </c>
      <c r="CJ13" s="76">
        <v>2</v>
      </c>
      <c r="CK13" s="1" t="s">
        <v>344</v>
      </c>
      <c r="CL13" s="78">
        <v>3</v>
      </c>
      <c r="CM13" s="78">
        <v>0</v>
      </c>
      <c r="CN13" s="78">
        <v>1</v>
      </c>
      <c r="CO13" s="78">
        <v>2</v>
      </c>
      <c r="CP13" s="78">
        <v>0</v>
      </c>
      <c r="CQ13" s="78">
        <v>0</v>
      </c>
      <c r="CR13" s="78">
        <v>0</v>
      </c>
      <c r="CS13" s="78">
        <v>1</v>
      </c>
      <c r="CT13" s="76">
        <v>1</v>
      </c>
      <c r="CU13" s="1" t="s">
        <v>405</v>
      </c>
      <c r="CV13" s="78">
        <v>4</v>
      </c>
      <c r="CW13" s="78">
        <v>0</v>
      </c>
      <c r="CX13" s="78">
        <v>1</v>
      </c>
      <c r="CY13" s="78">
        <v>1</v>
      </c>
      <c r="CZ13" s="78">
        <v>0</v>
      </c>
      <c r="DA13" s="78">
        <v>0</v>
      </c>
      <c r="DB13" s="78">
        <v>0</v>
      </c>
      <c r="DC13" s="78">
        <v>0</v>
      </c>
      <c r="DD13" s="76">
        <v>2</v>
      </c>
      <c r="DE13" s="1" t="s">
        <v>331</v>
      </c>
      <c r="DF13" s="78">
        <v>4</v>
      </c>
      <c r="DG13" s="78">
        <v>1</v>
      </c>
      <c r="DH13" s="78">
        <v>1</v>
      </c>
      <c r="DI13" s="78">
        <v>0</v>
      </c>
      <c r="DJ13" s="78">
        <v>0</v>
      </c>
      <c r="DK13" s="78">
        <v>1</v>
      </c>
      <c r="DL13" s="78">
        <v>0</v>
      </c>
      <c r="DM13" s="78">
        <v>0</v>
      </c>
      <c r="DN13" s="76">
        <v>1</v>
      </c>
      <c r="DO13" s="1" t="s">
        <v>407</v>
      </c>
      <c r="DP13" s="78">
        <v>2</v>
      </c>
      <c r="DQ13" s="78">
        <v>0</v>
      </c>
      <c r="DR13" s="78">
        <v>1</v>
      </c>
      <c r="DS13" s="78">
        <v>0</v>
      </c>
      <c r="DT13" s="78">
        <v>2</v>
      </c>
      <c r="DU13" s="78">
        <v>1</v>
      </c>
      <c r="DV13" s="78">
        <v>0</v>
      </c>
      <c r="DW13" s="78">
        <v>0</v>
      </c>
      <c r="DX13" s="76">
        <v>1</v>
      </c>
      <c r="DY13" s="77">
        <v>1</v>
      </c>
      <c r="DZ13" s="43">
        <v>1</v>
      </c>
      <c r="EA13" s="43">
        <v>0</v>
      </c>
      <c r="EB13" s="45">
        <v>7</v>
      </c>
      <c r="EC13" s="43">
        <v>2</v>
      </c>
      <c r="ED13" s="44">
        <v>0</v>
      </c>
      <c r="EE13" s="71">
        <v>0</v>
      </c>
      <c r="EF13" s="43">
        <v>0</v>
      </c>
      <c r="EG13" s="43">
        <v>0</v>
      </c>
      <c r="EH13" s="43">
        <v>1</v>
      </c>
      <c r="EI13" s="43">
        <v>1</v>
      </c>
      <c r="EJ13" s="43">
        <v>2</v>
      </c>
      <c r="EK13" s="43">
        <v>1</v>
      </c>
      <c r="EL13" s="43">
        <v>2</v>
      </c>
      <c r="EM13" s="43"/>
      <c r="EN13" s="43"/>
      <c r="EO13" s="43"/>
      <c r="EP13" s="43"/>
      <c r="EQ13" s="44">
        <f t="shared" si="0"/>
        <v>7</v>
      </c>
      <c r="ER13" s="43">
        <v>1</v>
      </c>
      <c r="ES13" s="43">
        <v>0</v>
      </c>
      <c r="ET13" s="43">
        <v>0</v>
      </c>
      <c r="EU13" s="43">
        <v>0</v>
      </c>
      <c r="EV13" s="43">
        <v>0</v>
      </c>
      <c r="EW13" s="43">
        <v>0</v>
      </c>
      <c r="EX13" s="43">
        <v>0</v>
      </c>
      <c r="EY13" s="43">
        <v>1</v>
      </c>
      <c r="EZ13" s="43">
        <v>0</v>
      </c>
      <c r="FA13" s="43"/>
      <c r="FB13" s="43"/>
      <c r="FC13" s="43"/>
      <c r="FD13" s="43">
        <f t="shared" si="1"/>
        <v>2</v>
      </c>
      <c r="FE13" s="73">
        <f t="shared" si="2"/>
        <v>0</v>
      </c>
      <c r="FF13" s="73">
        <f t="shared" si="3"/>
        <v>0</v>
      </c>
      <c r="FG13" s="38"/>
    </row>
    <row r="14" spans="1:163" x14ac:dyDescent="0.25">
      <c r="A14" s="53">
        <v>40286</v>
      </c>
      <c r="B14" s="53" t="s">
        <v>19</v>
      </c>
      <c r="C14" s="53" t="s">
        <v>129</v>
      </c>
      <c r="D14" s="53" t="s">
        <v>359</v>
      </c>
      <c r="E14" s="54">
        <v>6210</v>
      </c>
      <c r="F14" s="58">
        <v>1</v>
      </c>
      <c r="G14" s="59" t="s">
        <v>397</v>
      </c>
      <c r="H14" s="6">
        <v>1</v>
      </c>
      <c r="I14" s="6">
        <v>0</v>
      </c>
      <c r="J14" s="60">
        <f>7+2/3</f>
        <v>7.666666666666667</v>
      </c>
      <c r="K14" s="6">
        <v>4</v>
      </c>
      <c r="L14" s="6">
        <v>1</v>
      </c>
      <c r="M14" s="6">
        <v>1</v>
      </c>
      <c r="N14" s="6">
        <v>1</v>
      </c>
      <c r="O14" s="6">
        <v>8</v>
      </c>
      <c r="P14" s="6">
        <v>1</v>
      </c>
      <c r="Q14" s="6">
        <v>1</v>
      </c>
      <c r="R14" s="6">
        <v>29</v>
      </c>
      <c r="S14" s="6">
        <v>95</v>
      </c>
      <c r="T14" s="6">
        <v>65</v>
      </c>
      <c r="U14" s="6">
        <v>1</v>
      </c>
      <c r="V14" s="61">
        <v>0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B14" s="63">
        <f>1+1/3</f>
        <v>1.3333333333333333</v>
      </c>
      <c r="AC14" s="62">
        <v>0</v>
      </c>
      <c r="AD14" s="62">
        <v>0</v>
      </c>
      <c r="AE14" s="62">
        <v>0</v>
      </c>
      <c r="AF14" s="62">
        <v>0</v>
      </c>
      <c r="AG14" s="62">
        <v>1</v>
      </c>
      <c r="AH14" s="62">
        <v>0</v>
      </c>
      <c r="AI14" s="62">
        <v>0</v>
      </c>
      <c r="AJ14" s="62">
        <v>4</v>
      </c>
      <c r="AK14" s="62">
        <v>16</v>
      </c>
      <c r="AL14" s="62">
        <v>13</v>
      </c>
      <c r="AM14" s="1" t="s">
        <v>399</v>
      </c>
      <c r="AN14" s="78">
        <v>3</v>
      </c>
      <c r="AO14" s="78">
        <v>2</v>
      </c>
      <c r="AP14" s="78">
        <v>1</v>
      </c>
      <c r="AQ14" s="78">
        <v>0</v>
      </c>
      <c r="AR14" s="78">
        <v>2</v>
      </c>
      <c r="AS14" s="78">
        <v>1</v>
      </c>
      <c r="AT14" s="78">
        <v>0</v>
      </c>
      <c r="AU14" s="78">
        <v>0</v>
      </c>
      <c r="AV14" s="76">
        <v>2</v>
      </c>
      <c r="AW14" s="1" t="s">
        <v>330</v>
      </c>
      <c r="AX14" s="78">
        <v>3</v>
      </c>
      <c r="AY14" s="78">
        <v>2</v>
      </c>
      <c r="AZ14" s="78">
        <v>2</v>
      </c>
      <c r="BA14" s="78">
        <v>1</v>
      </c>
      <c r="BB14" s="78">
        <v>1</v>
      </c>
      <c r="BC14" s="78">
        <v>0</v>
      </c>
      <c r="BD14" s="78">
        <v>0</v>
      </c>
      <c r="BE14" s="78">
        <v>0</v>
      </c>
      <c r="BF14" s="76">
        <v>2</v>
      </c>
      <c r="BG14" s="1" t="s">
        <v>400</v>
      </c>
      <c r="BH14" s="78">
        <v>4</v>
      </c>
      <c r="BI14" s="78">
        <v>1</v>
      </c>
      <c r="BJ14" s="78">
        <v>2</v>
      </c>
      <c r="BK14" s="78">
        <v>3</v>
      </c>
      <c r="BL14" s="78">
        <v>1</v>
      </c>
      <c r="BM14" s="78">
        <v>0</v>
      </c>
      <c r="BN14" s="78">
        <v>0</v>
      </c>
      <c r="BO14" s="78">
        <v>0</v>
      </c>
      <c r="BP14" s="76">
        <v>3</v>
      </c>
      <c r="BQ14" s="1" t="s">
        <v>404</v>
      </c>
      <c r="BR14" s="78">
        <v>4</v>
      </c>
      <c r="BS14" s="78">
        <v>0</v>
      </c>
      <c r="BT14" s="78">
        <v>1</v>
      </c>
      <c r="BU14" s="78">
        <v>1</v>
      </c>
      <c r="BV14" s="78">
        <v>0</v>
      </c>
      <c r="BW14" s="78">
        <v>2</v>
      </c>
      <c r="BX14" s="78">
        <v>0</v>
      </c>
      <c r="BY14" s="78">
        <v>1</v>
      </c>
      <c r="BZ14" s="76">
        <v>1</v>
      </c>
      <c r="CA14" s="1" t="s">
        <v>403</v>
      </c>
      <c r="CB14" s="78">
        <v>5</v>
      </c>
      <c r="CC14" s="78">
        <v>1</v>
      </c>
      <c r="CD14" s="78">
        <v>1</v>
      </c>
      <c r="CE14" s="78">
        <v>1</v>
      </c>
      <c r="CF14" s="78">
        <v>0</v>
      </c>
      <c r="CG14" s="78">
        <v>2</v>
      </c>
      <c r="CH14" s="78">
        <v>0</v>
      </c>
      <c r="CI14" s="78">
        <v>0</v>
      </c>
      <c r="CJ14" s="76">
        <v>1</v>
      </c>
      <c r="CK14" s="1" t="s">
        <v>405</v>
      </c>
      <c r="CL14" s="78">
        <v>5</v>
      </c>
      <c r="CM14" s="78">
        <v>0</v>
      </c>
      <c r="CN14" s="78">
        <v>1</v>
      </c>
      <c r="CO14" s="78">
        <v>0</v>
      </c>
      <c r="CP14" s="78">
        <v>0</v>
      </c>
      <c r="CQ14" s="78">
        <v>1</v>
      </c>
      <c r="CR14" s="78">
        <v>0</v>
      </c>
      <c r="CS14" s="78">
        <v>0</v>
      </c>
      <c r="CT14" s="76">
        <v>1</v>
      </c>
      <c r="CU14" s="1" t="s">
        <v>344</v>
      </c>
      <c r="CV14" s="78">
        <v>4</v>
      </c>
      <c r="CW14" s="78">
        <v>1</v>
      </c>
      <c r="CX14" s="78">
        <v>1</v>
      </c>
      <c r="CY14" s="78">
        <v>0</v>
      </c>
      <c r="CZ14" s="78">
        <v>0</v>
      </c>
      <c r="DA14" s="78">
        <v>1</v>
      </c>
      <c r="DB14" s="78">
        <v>1</v>
      </c>
      <c r="DC14" s="78">
        <v>0</v>
      </c>
      <c r="DD14" s="76">
        <v>1</v>
      </c>
      <c r="DE14" s="1" t="s">
        <v>345</v>
      </c>
      <c r="DF14" s="78">
        <v>4</v>
      </c>
      <c r="DG14" s="78">
        <v>1</v>
      </c>
      <c r="DH14" s="78">
        <v>2</v>
      </c>
      <c r="DI14" s="78">
        <v>1</v>
      </c>
      <c r="DJ14" s="78">
        <v>0</v>
      </c>
      <c r="DK14" s="78">
        <v>0</v>
      </c>
      <c r="DL14" s="78">
        <v>0</v>
      </c>
      <c r="DM14" s="78">
        <v>0</v>
      </c>
      <c r="DN14" s="76">
        <v>2</v>
      </c>
      <c r="DO14" s="1" t="s">
        <v>336</v>
      </c>
      <c r="DP14" s="78">
        <v>4</v>
      </c>
      <c r="DQ14" s="78">
        <v>2</v>
      </c>
      <c r="DR14" s="78">
        <v>2</v>
      </c>
      <c r="DS14" s="78">
        <v>2</v>
      </c>
      <c r="DT14" s="78">
        <v>0</v>
      </c>
      <c r="DU14" s="78">
        <v>2</v>
      </c>
      <c r="DV14" s="78">
        <v>0</v>
      </c>
      <c r="DW14" s="78">
        <v>0</v>
      </c>
      <c r="DX14" s="76">
        <v>4</v>
      </c>
      <c r="DY14" s="77">
        <v>4</v>
      </c>
      <c r="DZ14" s="43">
        <v>1</v>
      </c>
      <c r="EA14" s="43">
        <v>0</v>
      </c>
      <c r="EB14" s="45">
        <v>4</v>
      </c>
      <c r="EC14" s="43">
        <v>2</v>
      </c>
      <c r="ED14" s="44">
        <v>0</v>
      </c>
      <c r="EE14" s="71">
        <v>4</v>
      </c>
      <c r="EF14" s="43">
        <v>0</v>
      </c>
      <c r="EG14" s="43">
        <v>0</v>
      </c>
      <c r="EH14" s="43">
        <v>1</v>
      </c>
      <c r="EI14" s="43">
        <v>0</v>
      </c>
      <c r="EJ14" s="43">
        <v>3</v>
      </c>
      <c r="EK14" s="43">
        <v>2</v>
      </c>
      <c r="EL14" s="43">
        <v>0</v>
      </c>
      <c r="EM14" s="43"/>
      <c r="EN14" s="43"/>
      <c r="EO14" s="43"/>
      <c r="EP14" s="43"/>
      <c r="EQ14" s="44">
        <f t="shared" si="0"/>
        <v>10</v>
      </c>
      <c r="ER14" s="43">
        <v>1</v>
      </c>
      <c r="ES14" s="43">
        <v>0</v>
      </c>
      <c r="ET14" s="43">
        <v>0</v>
      </c>
      <c r="EU14" s="43">
        <v>0</v>
      </c>
      <c r="EV14" s="43">
        <v>0</v>
      </c>
      <c r="EW14" s="43">
        <v>0</v>
      </c>
      <c r="EX14" s="43">
        <v>0</v>
      </c>
      <c r="EY14" s="43">
        <v>0</v>
      </c>
      <c r="EZ14" s="43">
        <v>0</v>
      </c>
      <c r="FA14" s="43"/>
      <c r="FB14" s="43"/>
      <c r="FC14" s="43"/>
      <c r="FD14" s="43">
        <f t="shared" si="1"/>
        <v>1</v>
      </c>
      <c r="FE14" s="73">
        <f t="shared" si="2"/>
        <v>0</v>
      </c>
      <c r="FF14" s="73">
        <f t="shared" si="3"/>
        <v>0</v>
      </c>
      <c r="FG14" s="38"/>
    </row>
    <row r="15" spans="1:163" x14ac:dyDescent="0.25">
      <c r="A15" s="53">
        <v>40287</v>
      </c>
      <c r="B15" s="53" t="s">
        <v>133</v>
      </c>
      <c r="C15" s="53" t="s">
        <v>129</v>
      </c>
      <c r="D15" s="53" t="s">
        <v>358</v>
      </c>
      <c r="E15" s="54">
        <v>1333</v>
      </c>
      <c r="F15" s="58">
        <v>2</v>
      </c>
      <c r="G15" s="59" t="s">
        <v>337</v>
      </c>
      <c r="H15" s="6">
        <v>1</v>
      </c>
      <c r="I15" s="6">
        <v>0</v>
      </c>
      <c r="J15" s="60">
        <f>5+1/3</f>
        <v>5.333333333333333</v>
      </c>
      <c r="K15" s="6">
        <v>5</v>
      </c>
      <c r="L15" s="6">
        <v>1</v>
      </c>
      <c r="M15" s="6">
        <v>1</v>
      </c>
      <c r="N15" s="6">
        <v>2</v>
      </c>
      <c r="O15" s="6">
        <v>4</v>
      </c>
      <c r="P15" s="6">
        <v>0</v>
      </c>
      <c r="Q15" s="6">
        <v>2</v>
      </c>
      <c r="R15" s="6">
        <v>23</v>
      </c>
      <c r="S15" s="6">
        <v>82</v>
      </c>
      <c r="T15" s="6">
        <v>48</v>
      </c>
      <c r="U15" s="6">
        <v>3</v>
      </c>
      <c r="V15" s="61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3">
        <f>3+2/3</f>
        <v>3.6666666666666665</v>
      </c>
      <c r="AC15" s="62">
        <v>3</v>
      </c>
      <c r="AD15" s="62">
        <v>1</v>
      </c>
      <c r="AE15" s="62">
        <v>1</v>
      </c>
      <c r="AF15" s="62">
        <v>0</v>
      </c>
      <c r="AG15" s="62">
        <v>3</v>
      </c>
      <c r="AH15" s="62">
        <v>1</v>
      </c>
      <c r="AI15" s="62">
        <v>0</v>
      </c>
      <c r="AJ15" s="62">
        <v>14</v>
      </c>
      <c r="AK15" s="62">
        <v>42</v>
      </c>
      <c r="AL15" s="62">
        <v>32</v>
      </c>
      <c r="AM15" s="1" t="s">
        <v>399</v>
      </c>
      <c r="AN15" s="78">
        <v>6</v>
      </c>
      <c r="AO15" s="78">
        <v>1</v>
      </c>
      <c r="AP15" s="78">
        <v>2</v>
      </c>
      <c r="AQ15" s="78">
        <v>2</v>
      </c>
      <c r="AR15" s="78">
        <v>0</v>
      </c>
      <c r="AS15" s="78">
        <v>1</v>
      </c>
      <c r="AT15" s="78">
        <v>0</v>
      </c>
      <c r="AU15" s="78">
        <v>0</v>
      </c>
      <c r="AV15" s="76">
        <v>2</v>
      </c>
      <c r="AW15" s="1" t="s">
        <v>330</v>
      </c>
      <c r="AX15" s="78">
        <v>4</v>
      </c>
      <c r="AY15" s="78">
        <v>0</v>
      </c>
      <c r="AZ15" s="78">
        <v>0</v>
      </c>
      <c r="BA15" s="78">
        <v>0</v>
      </c>
      <c r="BB15" s="78">
        <v>1</v>
      </c>
      <c r="BC15" s="78">
        <v>1</v>
      </c>
      <c r="BD15" s="78">
        <v>0</v>
      </c>
      <c r="BE15" s="78">
        <v>0</v>
      </c>
      <c r="BF15" s="76">
        <v>0</v>
      </c>
      <c r="BG15" s="1" t="s">
        <v>332</v>
      </c>
      <c r="BH15" s="78">
        <v>4</v>
      </c>
      <c r="BI15" s="78">
        <v>1</v>
      </c>
      <c r="BJ15" s="78">
        <v>1</v>
      </c>
      <c r="BK15" s="78">
        <v>1</v>
      </c>
      <c r="BL15" s="78">
        <v>1</v>
      </c>
      <c r="BM15" s="78">
        <v>1</v>
      </c>
      <c r="BN15" s="78">
        <v>0</v>
      </c>
      <c r="BO15" s="78">
        <v>0</v>
      </c>
      <c r="BP15" s="76">
        <v>4</v>
      </c>
      <c r="BQ15" s="1" t="s">
        <v>404</v>
      </c>
      <c r="BR15" s="78">
        <v>4</v>
      </c>
      <c r="BS15" s="78">
        <v>0</v>
      </c>
      <c r="BT15" s="78">
        <v>2</v>
      </c>
      <c r="BU15" s="78">
        <v>1</v>
      </c>
      <c r="BV15" s="78">
        <v>1</v>
      </c>
      <c r="BW15" s="78">
        <v>1</v>
      </c>
      <c r="BX15" s="78">
        <v>0</v>
      </c>
      <c r="BY15" s="78">
        <v>0</v>
      </c>
      <c r="BZ15" s="76">
        <v>2</v>
      </c>
      <c r="CA15" s="1" t="s">
        <v>403</v>
      </c>
      <c r="CB15" s="78">
        <v>4</v>
      </c>
      <c r="CC15" s="78">
        <v>1</v>
      </c>
      <c r="CD15" s="78">
        <v>0</v>
      </c>
      <c r="CE15" s="78">
        <v>0</v>
      </c>
      <c r="CF15" s="78">
        <v>1</v>
      </c>
      <c r="CG15" s="78">
        <v>1</v>
      </c>
      <c r="CH15" s="78">
        <v>0</v>
      </c>
      <c r="CI15" s="78">
        <v>0</v>
      </c>
      <c r="CJ15" s="76">
        <v>0</v>
      </c>
      <c r="CK15" s="1" t="s">
        <v>405</v>
      </c>
      <c r="CL15" s="78">
        <v>2</v>
      </c>
      <c r="CM15" s="78">
        <v>2</v>
      </c>
      <c r="CN15" s="78">
        <v>1</v>
      </c>
      <c r="CO15" s="78">
        <v>1</v>
      </c>
      <c r="CP15" s="78">
        <v>3</v>
      </c>
      <c r="CQ15" s="78">
        <v>1</v>
      </c>
      <c r="CR15" s="78">
        <v>0</v>
      </c>
      <c r="CS15" s="78">
        <v>0</v>
      </c>
      <c r="CT15" s="76">
        <v>2</v>
      </c>
      <c r="CU15" s="1" t="s">
        <v>345</v>
      </c>
      <c r="CV15" s="78">
        <v>3</v>
      </c>
      <c r="CW15" s="78">
        <v>2</v>
      </c>
      <c r="CX15" s="78">
        <v>1</v>
      </c>
      <c r="CY15" s="78">
        <v>0</v>
      </c>
      <c r="CZ15" s="78">
        <v>2</v>
      </c>
      <c r="DA15" s="78">
        <v>1</v>
      </c>
      <c r="DB15" s="78">
        <v>0</v>
      </c>
      <c r="DC15" s="78">
        <v>0</v>
      </c>
      <c r="DD15" s="76">
        <v>1</v>
      </c>
      <c r="DE15" s="1" t="s">
        <v>331</v>
      </c>
      <c r="DF15" s="78">
        <v>5</v>
      </c>
      <c r="DG15" s="78">
        <v>3</v>
      </c>
      <c r="DH15" s="78">
        <v>2</v>
      </c>
      <c r="DI15" s="78">
        <v>3</v>
      </c>
      <c r="DJ15" s="78">
        <v>0</v>
      </c>
      <c r="DK15" s="78">
        <v>0</v>
      </c>
      <c r="DL15" s="78">
        <v>0</v>
      </c>
      <c r="DM15" s="78">
        <v>0</v>
      </c>
      <c r="DN15" s="76">
        <v>5</v>
      </c>
      <c r="DO15" s="1" t="s">
        <v>407</v>
      </c>
      <c r="DP15" s="78">
        <v>4</v>
      </c>
      <c r="DQ15" s="78">
        <v>1</v>
      </c>
      <c r="DR15" s="78">
        <v>3</v>
      </c>
      <c r="DS15" s="78">
        <v>1</v>
      </c>
      <c r="DT15" s="78">
        <v>1</v>
      </c>
      <c r="DU15" s="78">
        <v>0</v>
      </c>
      <c r="DV15" s="78">
        <v>0</v>
      </c>
      <c r="DW15" s="78">
        <v>0</v>
      </c>
      <c r="DX15" s="76">
        <v>4</v>
      </c>
      <c r="DY15" s="77">
        <v>0</v>
      </c>
      <c r="DZ15" s="43">
        <v>0</v>
      </c>
      <c r="EA15" s="43">
        <v>0</v>
      </c>
      <c r="EB15" s="45">
        <v>9</v>
      </c>
      <c r="EC15" s="43">
        <v>2</v>
      </c>
      <c r="ED15" s="44">
        <v>0</v>
      </c>
      <c r="EE15" s="71">
        <v>0</v>
      </c>
      <c r="EF15" s="43">
        <v>0</v>
      </c>
      <c r="EG15" s="43">
        <v>3</v>
      </c>
      <c r="EH15" s="43">
        <v>0</v>
      </c>
      <c r="EI15" s="43">
        <v>1</v>
      </c>
      <c r="EJ15" s="43">
        <v>3</v>
      </c>
      <c r="EK15" s="43">
        <v>4</v>
      </c>
      <c r="EL15" s="43">
        <v>0</v>
      </c>
      <c r="EM15" s="43">
        <v>0</v>
      </c>
      <c r="EN15" s="43"/>
      <c r="EO15" s="43"/>
      <c r="EP15" s="43"/>
      <c r="EQ15" s="44">
        <f t="shared" si="0"/>
        <v>11</v>
      </c>
      <c r="ER15" s="43">
        <v>0</v>
      </c>
      <c r="ES15" s="43">
        <v>0</v>
      </c>
      <c r="ET15" s="43">
        <v>0</v>
      </c>
      <c r="EU15" s="43">
        <v>0</v>
      </c>
      <c r="EV15" s="43">
        <v>0</v>
      </c>
      <c r="EW15" s="43">
        <v>1</v>
      </c>
      <c r="EX15" s="43">
        <v>0</v>
      </c>
      <c r="EY15" s="43">
        <v>0</v>
      </c>
      <c r="EZ15" s="43">
        <v>1</v>
      </c>
      <c r="FA15" s="43"/>
      <c r="FB15" s="43"/>
      <c r="FC15" s="43"/>
      <c r="FD15" s="43">
        <f t="shared" si="1"/>
        <v>2</v>
      </c>
      <c r="FE15" s="73">
        <f t="shared" si="2"/>
        <v>0</v>
      </c>
      <c r="FF15" s="73">
        <f t="shared" si="3"/>
        <v>0</v>
      </c>
      <c r="FG15" s="38"/>
    </row>
    <row r="16" spans="1:163" x14ac:dyDescent="0.25">
      <c r="A16" s="53">
        <v>40288</v>
      </c>
      <c r="B16" s="53" t="s">
        <v>133</v>
      </c>
      <c r="C16" s="53" t="s">
        <v>129</v>
      </c>
      <c r="D16" s="53" t="s">
        <v>358</v>
      </c>
      <c r="E16" s="54">
        <v>7671</v>
      </c>
      <c r="F16" s="58">
        <v>3</v>
      </c>
      <c r="G16" s="59" t="s">
        <v>341</v>
      </c>
      <c r="H16" s="6">
        <v>1</v>
      </c>
      <c r="I16" s="6">
        <v>0</v>
      </c>
      <c r="J16" s="60">
        <v>7</v>
      </c>
      <c r="K16" s="6">
        <v>4</v>
      </c>
      <c r="L16" s="6">
        <v>0</v>
      </c>
      <c r="M16" s="6">
        <v>0</v>
      </c>
      <c r="N16" s="6">
        <v>1</v>
      </c>
      <c r="O16" s="6">
        <v>6</v>
      </c>
      <c r="P16" s="6">
        <v>0</v>
      </c>
      <c r="Q16" s="6">
        <v>0</v>
      </c>
      <c r="R16" s="6">
        <v>26</v>
      </c>
      <c r="S16" s="6">
        <v>86</v>
      </c>
      <c r="T16" s="6">
        <v>57</v>
      </c>
      <c r="U16" s="6">
        <v>0</v>
      </c>
      <c r="V16" s="61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3">
        <v>2</v>
      </c>
      <c r="AC16" s="62">
        <v>0</v>
      </c>
      <c r="AD16" s="62">
        <v>0</v>
      </c>
      <c r="AE16" s="62">
        <v>0</v>
      </c>
      <c r="AF16" s="62">
        <v>0</v>
      </c>
      <c r="AG16" s="62">
        <v>1</v>
      </c>
      <c r="AH16" s="62">
        <v>0</v>
      </c>
      <c r="AI16" s="62">
        <v>0</v>
      </c>
      <c r="AJ16" s="62">
        <v>6</v>
      </c>
      <c r="AK16" s="62">
        <v>31</v>
      </c>
      <c r="AL16" s="62">
        <v>20</v>
      </c>
      <c r="AM16" s="1" t="s">
        <v>330</v>
      </c>
      <c r="AN16" s="78">
        <v>5</v>
      </c>
      <c r="AO16" s="78">
        <v>2</v>
      </c>
      <c r="AP16" s="78">
        <v>2</v>
      </c>
      <c r="AQ16" s="78">
        <v>0</v>
      </c>
      <c r="AR16" s="78">
        <v>1</v>
      </c>
      <c r="AS16" s="78">
        <v>1</v>
      </c>
      <c r="AT16" s="78">
        <v>0</v>
      </c>
      <c r="AU16" s="78">
        <v>0</v>
      </c>
      <c r="AV16" s="76">
        <v>3</v>
      </c>
      <c r="AW16" s="1" t="s">
        <v>345</v>
      </c>
      <c r="AX16" s="78">
        <v>4</v>
      </c>
      <c r="AY16" s="78">
        <v>1</v>
      </c>
      <c r="AZ16" s="78">
        <v>0</v>
      </c>
      <c r="BA16" s="78">
        <v>0</v>
      </c>
      <c r="BB16" s="78">
        <v>1</v>
      </c>
      <c r="BC16" s="78">
        <v>3</v>
      </c>
      <c r="BD16" s="78">
        <v>0</v>
      </c>
      <c r="BE16" s="78">
        <v>0</v>
      </c>
      <c r="BF16" s="76">
        <v>0</v>
      </c>
      <c r="BG16" s="1" t="s">
        <v>400</v>
      </c>
      <c r="BH16" s="78">
        <v>3</v>
      </c>
      <c r="BI16" s="78">
        <v>1</v>
      </c>
      <c r="BJ16" s="78">
        <v>1</v>
      </c>
      <c r="BK16" s="78">
        <v>0</v>
      </c>
      <c r="BL16" s="78">
        <v>1</v>
      </c>
      <c r="BM16" s="78">
        <v>1</v>
      </c>
      <c r="BN16" s="78">
        <v>1</v>
      </c>
      <c r="BO16" s="78">
        <v>0</v>
      </c>
      <c r="BP16" s="76">
        <v>1</v>
      </c>
      <c r="BQ16" s="1" t="s">
        <v>332</v>
      </c>
      <c r="BR16" s="78">
        <v>4</v>
      </c>
      <c r="BS16" s="78">
        <v>2</v>
      </c>
      <c r="BT16" s="78">
        <v>3</v>
      </c>
      <c r="BU16" s="78">
        <v>4</v>
      </c>
      <c r="BV16" s="78">
        <v>1</v>
      </c>
      <c r="BW16" s="78">
        <v>0</v>
      </c>
      <c r="BX16" s="78">
        <v>0</v>
      </c>
      <c r="BY16" s="78">
        <v>0</v>
      </c>
      <c r="BZ16" s="76">
        <v>6</v>
      </c>
      <c r="CA16" s="1" t="s">
        <v>403</v>
      </c>
      <c r="CB16" s="78">
        <v>5</v>
      </c>
      <c r="CC16" s="78">
        <v>1</v>
      </c>
      <c r="CD16" s="78">
        <v>3</v>
      </c>
      <c r="CE16" s="78">
        <v>1</v>
      </c>
      <c r="CF16" s="78">
        <v>0</v>
      </c>
      <c r="CG16" s="78">
        <v>0</v>
      </c>
      <c r="CH16" s="78">
        <v>0</v>
      </c>
      <c r="CI16" s="78">
        <v>0</v>
      </c>
      <c r="CJ16" s="76">
        <v>4</v>
      </c>
      <c r="CK16" s="1" t="s">
        <v>405</v>
      </c>
      <c r="CL16" s="78">
        <v>4</v>
      </c>
      <c r="CM16" s="78">
        <v>1</v>
      </c>
      <c r="CN16" s="78">
        <v>2</v>
      </c>
      <c r="CO16" s="78">
        <v>0</v>
      </c>
      <c r="CP16" s="78">
        <v>1</v>
      </c>
      <c r="CQ16" s="78">
        <v>1</v>
      </c>
      <c r="CR16" s="78">
        <v>0</v>
      </c>
      <c r="CS16" s="78">
        <v>0</v>
      </c>
      <c r="CT16" s="76">
        <v>3</v>
      </c>
      <c r="CU16" s="1" t="s">
        <v>344</v>
      </c>
      <c r="CV16" s="78">
        <v>5</v>
      </c>
      <c r="CW16" s="78">
        <v>1</v>
      </c>
      <c r="CX16" s="78">
        <v>2</v>
      </c>
      <c r="CY16" s="78">
        <v>4</v>
      </c>
      <c r="CZ16" s="78">
        <v>0</v>
      </c>
      <c r="DA16" s="78">
        <v>1</v>
      </c>
      <c r="DB16" s="78">
        <v>0</v>
      </c>
      <c r="DC16" s="78">
        <v>0</v>
      </c>
      <c r="DD16" s="76">
        <v>6</v>
      </c>
      <c r="DE16" s="1" t="s">
        <v>331</v>
      </c>
      <c r="DF16" s="78">
        <v>5</v>
      </c>
      <c r="DG16" s="78">
        <v>1</v>
      </c>
      <c r="DH16" s="78">
        <v>1</v>
      </c>
      <c r="DI16" s="78">
        <v>0</v>
      </c>
      <c r="DJ16" s="78">
        <v>0</v>
      </c>
      <c r="DK16" s="78">
        <v>0</v>
      </c>
      <c r="DL16" s="78">
        <v>0</v>
      </c>
      <c r="DM16" s="78">
        <v>0</v>
      </c>
      <c r="DN16" s="76">
        <v>1</v>
      </c>
      <c r="DO16" s="1" t="s">
        <v>336</v>
      </c>
      <c r="DP16" s="78">
        <v>5</v>
      </c>
      <c r="DQ16" s="78">
        <v>1</v>
      </c>
      <c r="DR16" s="78">
        <v>1</v>
      </c>
      <c r="DS16" s="78">
        <v>2</v>
      </c>
      <c r="DT16" s="78">
        <v>0</v>
      </c>
      <c r="DU16" s="78">
        <v>1</v>
      </c>
      <c r="DV16" s="78">
        <v>0</v>
      </c>
      <c r="DW16" s="78">
        <v>0</v>
      </c>
      <c r="DX16" s="76">
        <v>4</v>
      </c>
      <c r="DY16" s="77">
        <v>1</v>
      </c>
      <c r="DZ16" s="43">
        <v>0</v>
      </c>
      <c r="EA16" s="43">
        <v>0</v>
      </c>
      <c r="EB16" s="45">
        <v>8</v>
      </c>
      <c r="EC16" s="43">
        <v>1</v>
      </c>
      <c r="ED16" s="44">
        <v>0</v>
      </c>
      <c r="EE16" s="71">
        <v>0</v>
      </c>
      <c r="EF16" s="43">
        <v>0</v>
      </c>
      <c r="EG16" s="43">
        <v>0</v>
      </c>
      <c r="EH16" s="43">
        <v>3</v>
      </c>
      <c r="EI16" s="43">
        <v>0</v>
      </c>
      <c r="EJ16" s="43">
        <v>2</v>
      </c>
      <c r="EK16" s="43">
        <v>1</v>
      </c>
      <c r="EL16" s="43">
        <v>3</v>
      </c>
      <c r="EM16" s="43">
        <v>2</v>
      </c>
      <c r="EN16" s="43"/>
      <c r="EO16" s="43"/>
      <c r="EP16" s="43"/>
      <c r="EQ16" s="44">
        <f t="shared" si="0"/>
        <v>11</v>
      </c>
      <c r="ER16" s="43">
        <v>0</v>
      </c>
      <c r="ES16" s="43">
        <v>0</v>
      </c>
      <c r="ET16" s="43">
        <v>0</v>
      </c>
      <c r="EU16" s="43">
        <v>0</v>
      </c>
      <c r="EV16" s="43">
        <v>0</v>
      </c>
      <c r="EW16" s="43">
        <v>0</v>
      </c>
      <c r="EX16" s="43">
        <v>0</v>
      </c>
      <c r="EY16" s="43">
        <v>0</v>
      </c>
      <c r="EZ16" s="43">
        <v>0</v>
      </c>
      <c r="FA16" s="43"/>
      <c r="FB16" s="43"/>
      <c r="FC16" s="43"/>
      <c r="FD16" s="43">
        <f t="shared" si="1"/>
        <v>0</v>
      </c>
      <c r="FE16" s="73">
        <f t="shared" si="2"/>
        <v>0</v>
      </c>
      <c r="FF16" s="73">
        <f t="shared" si="3"/>
        <v>0</v>
      </c>
      <c r="FG16" s="38"/>
    </row>
    <row r="17" spans="1:163" x14ac:dyDescent="0.25">
      <c r="A17" s="53">
        <v>40289</v>
      </c>
      <c r="B17" s="53" t="s">
        <v>19</v>
      </c>
      <c r="C17" s="53" t="s">
        <v>129</v>
      </c>
      <c r="D17" s="53" t="s">
        <v>358</v>
      </c>
      <c r="E17" s="54">
        <v>3894</v>
      </c>
      <c r="F17" s="58">
        <v>4</v>
      </c>
      <c r="G17" s="59" t="s">
        <v>326</v>
      </c>
      <c r="H17" s="6">
        <v>0</v>
      </c>
      <c r="I17" s="6">
        <v>0</v>
      </c>
      <c r="J17" s="60">
        <f>4+2/3</f>
        <v>4.666666666666667</v>
      </c>
      <c r="K17" s="6">
        <v>6</v>
      </c>
      <c r="L17" s="6">
        <v>5</v>
      </c>
      <c r="M17" s="6">
        <v>5</v>
      </c>
      <c r="N17" s="6">
        <v>2</v>
      </c>
      <c r="O17" s="6">
        <v>4</v>
      </c>
      <c r="P17" s="6">
        <v>1</v>
      </c>
      <c r="Q17" s="6">
        <v>1</v>
      </c>
      <c r="R17" s="6">
        <v>23</v>
      </c>
      <c r="S17" s="6">
        <v>98</v>
      </c>
      <c r="T17" s="6">
        <v>64</v>
      </c>
      <c r="U17" s="6">
        <v>1</v>
      </c>
      <c r="V17" s="61">
        <v>0</v>
      </c>
      <c r="W17" s="62">
        <v>1</v>
      </c>
      <c r="X17" s="62">
        <v>0</v>
      </c>
      <c r="Y17" s="62">
        <v>0</v>
      </c>
      <c r="Z17" s="62">
        <v>0</v>
      </c>
      <c r="AA17" s="62">
        <v>0</v>
      </c>
      <c r="AB17" s="63">
        <f>7+1/3</f>
        <v>7.333333333333333</v>
      </c>
      <c r="AC17" s="62">
        <v>4</v>
      </c>
      <c r="AD17" s="62">
        <v>0</v>
      </c>
      <c r="AE17" s="62">
        <v>0</v>
      </c>
      <c r="AF17" s="62">
        <v>4</v>
      </c>
      <c r="AG17" s="62">
        <v>8</v>
      </c>
      <c r="AH17" s="62">
        <v>0</v>
      </c>
      <c r="AI17" s="62">
        <v>0</v>
      </c>
      <c r="AJ17" s="62">
        <v>29</v>
      </c>
      <c r="AK17" s="62">
        <v>107</v>
      </c>
      <c r="AL17" s="62">
        <v>79</v>
      </c>
      <c r="AM17" s="1" t="s">
        <v>399</v>
      </c>
      <c r="AN17" s="78">
        <v>5</v>
      </c>
      <c r="AO17" s="78">
        <v>1</v>
      </c>
      <c r="AP17" s="78">
        <v>1</v>
      </c>
      <c r="AQ17" s="78">
        <v>0</v>
      </c>
      <c r="AR17" s="78">
        <v>1</v>
      </c>
      <c r="AS17" s="78">
        <v>1</v>
      </c>
      <c r="AT17" s="78">
        <v>0</v>
      </c>
      <c r="AU17" s="78">
        <v>0</v>
      </c>
      <c r="AV17" s="76">
        <v>1</v>
      </c>
      <c r="AW17" s="1" t="s">
        <v>330</v>
      </c>
      <c r="AX17" s="78">
        <v>5</v>
      </c>
      <c r="AY17" s="78">
        <v>3</v>
      </c>
      <c r="AZ17" s="78">
        <v>3</v>
      </c>
      <c r="BA17" s="78">
        <v>0</v>
      </c>
      <c r="BB17" s="78">
        <v>1</v>
      </c>
      <c r="BC17" s="78">
        <v>0</v>
      </c>
      <c r="BD17" s="78">
        <v>0</v>
      </c>
      <c r="BE17" s="78">
        <v>0</v>
      </c>
      <c r="BF17" s="76">
        <v>3</v>
      </c>
      <c r="BG17" s="1" t="s">
        <v>400</v>
      </c>
      <c r="BH17" s="78">
        <v>6</v>
      </c>
      <c r="BI17" s="78">
        <v>0</v>
      </c>
      <c r="BJ17" s="78">
        <v>1</v>
      </c>
      <c r="BK17" s="78">
        <v>0</v>
      </c>
      <c r="BL17" s="78">
        <v>0</v>
      </c>
      <c r="BM17" s="78">
        <v>1</v>
      </c>
      <c r="BN17" s="78">
        <v>0</v>
      </c>
      <c r="BO17" s="78">
        <v>0</v>
      </c>
      <c r="BP17" s="76">
        <v>2</v>
      </c>
      <c r="BQ17" s="1" t="s">
        <v>404</v>
      </c>
      <c r="BR17" s="78">
        <v>6</v>
      </c>
      <c r="BS17" s="78">
        <v>1</v>
      </c>
      <c r="BT17" s="78">
        <v>1</v>
      </c>
      <c r="BU17" s="78">
        <v>3</v>
      </c>
      <c r="BV17" s="78">
        <v>0</v>
      </c>
      <c r="BW17" s="78">
        <v>1</v>
      </c>
      <c r="BX17" s="78">
        <v>0</v>
      </c>
      <c r="BY17" s="78">
        <v>0</v>
      </c>
      <c r="BZ17" s="76">
        <v>4</v>
      </c>
      <c r="CA17" s="1" t="s">
        <v>332</v>
      </c>
      <c r="CB17" s="78">
        <v>3</v>
      </c>
      <c r="CC17" s="78">
        <v>1</v>
      </c>
      <c r="CD17" s="78">
        <v>1</v>
      </c>
      <c r="CE17" s="78">
        <v>2</v>
      </c>
      <c r="CF17" s="78">
        <v>2</v>
      </c>
      <c r="CG17" s="78">
        <v>1</v>
      </c>
      <c r="CH17" s="78">
        <v>0</v>
      </c>
      <c r="CI17" s="78">
        <v>0</v>
      </c>
      <c r="CJ17" s="76">
        <v>4</v>
      </c>
      <c r="CK17" s="1" t="s">
        <v>403</v>
      </c>
      <c r="CL17" s="78">
        <v>4</v>
      </c>
      <c r="CM17" s="78">
        <v>0</v>
      </c>
      <c r="CN17" s="78">
        <v>0</v>
      </c>
      <c r="CO17" s="78">
        <v>0</v>
      </c>
      <c r="CP17" s="78">
        <v>0</v>
      </c>
      <c r="CQ17" s="78">
        <v>0</v>
      </c>
      <c r="CR17" s="78">
        <v>0</v>
      </c>
      <c r="CS17" s="78">
        <v>0</v>
      </c>
      <c r="CT17" s="76">
        <v>0</v>
      </c>
      <c r="CU17" s="1" t="s">
        <v>405</v>
      </c>
      <c r="CV17" s="78">
        <v>3</v>
      </c>
      <c r="CW17" s="78">
        <v>0</v>
      </c>
      <c r="CX17" s="78">
        <v>0</v>
      </c>
      <c r="CY17" s="78">
        <v>0</v>
      </c>
      <c r="CZ17" s="78">
        <v>2</v>
      </c>
      <c r="DA17" s="78">
        <v>0</v>
      </c>
      <c r="DB17" s="78">
        <v>0</v>
      </c>
      <c r="DC17" s="78">
        <v>0</v>
      </c>
      <c r="DD17" s="76">
        <v>0</v>
      </c>
      <c r="DE17" s="1" t="s">
        <v>331</v>
      </c>
      <c r="DF17" s="78">
        <v>5</v>
      </c>
      <c r="DG17" s="78">
        <v>0</v>
      </c>
      <c r="DH17" s="78">
        <v>1</v>
      </c>
      <c r="DI17" s="78">
        <v>0</v>
      </c>
      <c r="DJ17" s="78">
        <v>0</v>
      </c>
      <c r="DK17" s="78">
        <v>1</v>
      </c>
      <c r="DL17" s="78">
        <v>0</v>
      </c>
      <c r="DM17" s="78">
        <v>0</v>
      </c>
      <c r="DN17" s="76">
        <v>1</v>
      </c>
      <c r="DO17" s="1" t="s">
        <v>407</v>
      </c>
      <c r="DP17" s="78">
        <v>5</v>
      </c>
      <c r="DQ17" s="78">
        <v>0</v>
      </c>
      <c r="DR17" s="78">
        <v>1</v>
      </c>
      <c r="DS17" s="78">
        <v>0</v>
      </c>
      <c r="DT17" s="78">
        <v>0</v>
      </c>
      <c r="DU17" s="78">
        <v>3</v>
      </c>
      <c r="DV17" s="78">
        <v>0</v>
      </c>
      <c r="DW17" s="78">
        <v>0</v>
      </c>
      <c r="DX17" s="76">
        <v>1</v>
      </c>
      <c r="DY17" s="77">
        <v>0</v>
      </c>
      <c r="DZ17" s="43">
        <v>0</v>
      </c>
      <c r="EA17" s="43">
        <v>0</v>
      </c>
      <c r="EB17" s="45">
        <f>11+2/3</f>
        <v>11.666666666666666</v>
      </c>
      <c r="EC17" s="43">
        <v>3</v>
      </c>
      <c r="ED17" s="44">
        <v>1</v>
      </c>
      <c r="EE17" s="71">
        <v>3</v>
      </c>
      <c r="EF17" s="43">
        <v>0</v>
      </c>
      <c r="EG17" s="43">
        <v>2</v>
      </c>
      <c r="EH17" s="43">
        <v>0</v>
      </c>
      <c r="EI17" s="43">
        <v>0</v>
      </c>
      <c r="EJ17" s="43">
        <v>0</v>
      </c>
      <c r="EK17" s="43">
        <v>0</v>
      </c>
      <c r="EL17" s="43">
        <v>0</v>
      </c>
      <c r="EM17" s="43">
        <v>0</v>
      </c>
      <c r="EN17" s="43">
        <v>0</v>
      </c>
      <c r="EO17" s="43">
        <v>0</v>
      </c>
      <c r="EP17" s="43">
        <v>1</v>
      </c>
      <c r="EQ17" s="44">
        <f t="shared" si="0"/>
        <v>6</v>
      </c>
      <c r="ER17" s="43">
        <v>0</v>
      </c>
      <c r="ES17" s="43">
        <v>0</v>
      </c>
      <c r="ET17" s="43">
        <v>1</v>
      </c>
      <c r="EU17" s="43">
        <v>0</v>
      </c>
      <c r="EV17" s="43">
        <v>4</v>
      </c>
      <c r="EW17" s="43">
        <v>0</v>
      </c>
      <c r="EX17" s="43">
        <v>0</v>
      </c>
      <c r="EY17" s="43">
        <v>0</v>
      </c>
      <c r="EZ17" s="43">
        <v>0</v>
      </c>
      <c r="FA17" s="43">
        <v>0</v>
      </c>
      <c r="FB17" s="43">
        <v>0</v>
      </c>
      <c r="FC17" s="43">
        <v>0</v>
      </c>
      <c r="FD17" s="43">
        <f t="shared" si="1"/>
        <v>5</v>
      </c>
      <c r="FE17" s="73">
        <f t="shared" si="2"/>
        <v>0</v>
      </c>
      <c r="FF17" s="73">
        <f t="shared" si="3"/>
        <v>0</v>
      </c>
      <c r="FG17" s="38"/>
    </row>
    <row r="18" spans="1:163" x14ac:dyDescent="0.25">
      <c r="A18" s="53">
        <v>40290</v>
      </c>
      <c r="B18" s="53" t="s">
        <v>19</v>
      </c>
      <c r="C18" s="53" t="s">
        <v>129</v>
      </c>
      <c r="D18" s="53" t="s">
        <v>358</v>
      </c>
      <c r="E18" s="54">
        <v>4665</v>
      </c>
      <c r="F18" s="58">
        <v>5</v>
      </c>
      <c r="G18" s="59" t="s">
        <v>339</v>
      </c>
      <c r="H18" s="6">
        <v>1</v>
      </c>
      <c r="I18" s="6">
        <v>0</v>
      </c>
      <c r="J18" s="60">
        <v>7</v>
      </c>
      <c r="K18" s="6">
        <v>4</v>
      </c>
      <c r="L18" s="6">
        <v>1</v>
      </c>
      <c r="M18" s="6">
        <v>1</v>
      </c>
      <c r="N18" s="6">
        <v>3</v>
      </c>
      <c r="O18" s="6">
        <v>5</v>
      </c>
      <c r="P18" s="6">
        <v>0</v>
      </c>
      <c r="Q18" s="6">
        <v>0</v>
      </c>
      <c r="R18" s="6">
        <v>27</v>
      </c>
      <c r="S18" s="6">
        <v>95</v>
      </c>
      <c r="T18" s="6">
        <v>57</v>
      </c>
      <c r="U18" s="6">
        <v>0</v>
      </c>
      <c r="V18" s="61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63">
        <v>2</v>
      </c>
      <c r="AC18" s="62">
        <v>3</v>
      </c>
      <c r="AD18" s="62">
        <v>1</v>
      </c>
      <c r="AE18" s="62">
        <v>1</v>
      </c>
      <c r="AF18" s="62">
        <v>2</v>
      </c>
      <c r="AG18" s="62">
        <v>2</v>
      </c>
      <c r="AH18" s="62">
        <v>0</v>
      </c>
      <c r="AI18" s="62">
        <v>0</v>
      </c>
      <c r="AJ18" s="62">
        <v>9</v>
      </c>
      <c r="AK18" s="62">
        <v>40</v>
      </c>
      <c r="AL18" s="62">
        <v>25</v>
      </c>
      <c r="AM18" s="1" t="s">
        <v>399</v>
      </c>
      <c r="AN18" s="78">
        <v>3</v>
      </c>
      <c r="AO18" s="78">
        <v>2</v>
      </c>
      <c r="AP18" s="78">
        <v>0</v>
      </c>
      <c r="AQ18" s="78">
        <v>0</v>
      </c>
      <c r="AR18" s="78">
        <v>2</v>
      </c>
      <c r="AS18" s="78">
        <v>0</v>
      </c>
      <c r="AT18" s="78">
        <v>0</v>
      </c>
      <c r="AU18" s="78">
        <v>0</v>
      </c>
      <c r="AV18" s="76">
        <v>0</v>
      </c>
      <c r="AW18" s="1" t="s">
        <v>345</v>
      </c>
      <c r="AX18" s="78">
        <v>4</v>
      </c>
      <c r="AY18" s="78">
        <v>2</v>
      </c>
      <c r="AZ18" s="78">
        <v>2</v>
      </c>
      <c r="BA18" s="78">
        <v>4</v>
      </c>
      <c r="BB18" s="78">
        <v>0</v>
      </c>
      <c r="BC18" s="78">
        <v>1</v>
      </c>
      <c r="BD18" s="78">
        <v>0</v>
      </c>
      <c r="BE18" s="78">
        <v>0</v>
      </c>
      <c r="BF18" s="76">
        <v>7</v>
      </c>
      <c r="BG18" s="1" t="s">
        <v>400</v>
      </c>
      <c r="BH18" s="78">
        <v>4</v>
      </c>
      <c r="BI18" s="78">
        <v>1</v>
      </c>
      <c r="BJ18" s="78">
        <v>2</v>
      </c>
      <c r="BK18" s="78">
        <v>1</v>
      </c>
      <c r="BL18" s="78">
        <v>1</v>
      </c>
      <c r="BM18" s="78">
        <v>0</v>
      </c>
      <c r="BN18" s="78">
        <v>0</v>
      </c>
      <c r="BO18" s="78">
        <v>0</v>
      </c>
      <c r="BP18" s="76">
        <v>2</v>
      </c>
      <c r="BQ18" s="1" t="s">
        <v>404</v>
      </c>
      <c r="BR18" s="78">
        <v>4</v>
      </c>
      <c r="BS18" s="78">
        <v>1</v>
      </c>
      <c r="BT18" s="78">
        <v>1</v>
      </c>
      <c r="BU18" s="78">
        <v>0</v>
      </c>
      <c r="BV18" s="78">
        <v>0</v>
      </c>
      <c r="BW18" s="78">
        <v>2</v>
      </c>
      <c r="BX18" s="78">
        <v>1</v>
      </c>
      <c r="BY18" s="78">
        <v>0</v>
      </c>
      <c r="BZ18" s="76">
        <v>1</v>
      </c>
      <c r="CA18" s="1" t="s">
        <v>332</v>
      </c>
      <c r="CB18" s="78">
        <v>4</v>
      </c>
      <c r="CC18" s="78">
        <v>1</v>
      </c>
      <c r="CD18" s="78">
        <v>2</v>
      </c>
      <c r="CE18" s="78">
        <v>0</v>
      </c>
      <c r="CF18" s="78">
        <v>1</v>
      </c>
      <c r="CG18" s="78">
        <v>0</v>
      </c>
      <c r="CH18" s="78">
        <v>0</v>
      </c>
      <c r="CI18" s="78">
        <v>0</v>
      </c>
      <c r="CJ18" s="76">
        <v>3</v>
      </c>
      <c r="CK18" s="1" t="s">
        <v>344</v>
      </c>
      <c r="CL18" s="78">
        <v>3</v>
      </c>
      <c r="CM18" s="78">
        <v>0</v>
      </c>
      <c r="CN18" s="78">
        <v>0</v>
      </c>
      <c r="CO18" s="78">
        <v>1</v>
      </c>
      <c r="CP18" s="78">
        <v>0</v>
      </c>
      <c r="CQ18" s="78">
        <v>0</v>
      </c>
      <c r="CR18" s="78">
        <v>0</v>
      </c>
      <c r="CS18" s="78">
        <v>1</v>
      </c>
      <c r="CT18" s="76">
        <v>0</v>
      </c>
      <c r="CU18" s="1" t="s">
        <v>405</v>
      </c>
      <c r="CV18" s="78">
        <v>2</v>
      </c>
      <c r="CW18" s="78">
        <v>1</v>
      </c>
      <c r="CX18" s="78">
        <v>1</v>
      </c>
      <c r="CY18" s="78">
        <v>0</v>
      </c>
      <c r="CZ18" s="78">
        <v>2</v>
      </c>
      <c r="DA18" s="78">
        <v>0</v>
      </c>
      <c r="DB18" s="78">
        <v>0</v>
      </c>
      <c r="DC18" s="78">
        <v>0</v>
      </c>
      <c r="DD18" s="76">
        <v>2</v>
      </c>
      <c r="DE18" s="1" t="s">
        <v>331</v>
      </c>
      <c r="DF18" s="78">
        <v>4</v>
      </c>
      <c r="DG18" s="78">
        <v>1</v>
      </c>
      <c r="DH18" s="78">
        <v>1</v>
      </c>
      <c r="DI18" s="78">
        <v>2</v>
      </c>
      <c r="DJ18" s="78">
        <v>0</v>
      </c>
      <c r="DK18" s="78">
        <v>1</v>
      </c>
      <c r="DL18" s="78">
        <v>0</v>
      </c>
      <c r="DM18" s="78">
        <v>0</v>
      </c>
      <c r="DN18" s="76">
        <v>1</v>
      </c>
      <c r="DO18" s="1" t="s">
        <v>407</v>
      </c>
      <c r="DP18" s="78">
        <v>2</v>
      </c>
      <c r="DQ18" s="78">
        <v>1</v>
      </c>
      <c r="DR18" s="78">
        <v>1</v>
      </c>
      <c r="DS18" s="78">
        <v>0</v>
      </c>
      <c r="DT18" s="78">
        <v>2</v>
      </c>
      <c r="DU18" s="78">
        <v>0</v>
      </c>
      <c r="DV18" s="78">
        <v>0</v>
      </c>
      <c r="DW18" s="78">
        <v>0</v>
      </c>
      <c r="DX18" s="76">
        <v>2</v>
      </c>
      <c r="DY18" s="77">
        <v>2</v>
      </c>
      <c r="DZ18" s="43">
        <v>0</v>
      </c>
      <c r="EA18" s="43">
        <v>0</v>
      </c>
      <c r="EB18" s="45">
        <v>6</v>
      </c>
      <c r="EC18" s="43">
        <v>4</v>
      </c>
      <c r="ED18" s="44">
        <v>0</v>
      </c>
      <c r="EE18" s="71">
        <v>1</v>
      </c>
      <c r="EF18" s="43">
        <v>4</v>
      </c>
      <c r="EG18" s="43">
        <v>0</v>
      </c>
      <c r="EH18" s="43">
        <v>0</v>
      </c>
      <c r="EI18" s="43">
        <v>3</v>
      </c>
      <c r="EJ18" s="43">
        <v>0</v>
      </c>
      <c r="EK18" s="43">
        <v>0</v>
      </c>
      <c r="EL18" s="43">
        <v>2</v>
      </c>
      <c r="EM18" s="43"/>
      <c r="EN18" s="43"/>
      <c r="EO18" s="43"/>
      <c r="EP18" s="43"/>
      <c r="EQ18" s="44">
        <f t="shared" si="0"/>
        <v>10</v>
      </c>
      <c r="ER18" s="43">
        <v>0</v>
      </c>
      <c r="ES18" s="43">
        <v>0</v>
      </c>
      <c r="ET18" s="43">
        <v>0</v>
      </c>
      <c r="EU18" s="43">
        <v>0</v>
      </c>
      <c r="EV18" s="43">
        <v>0</v>
      </c>
      <c r="EW18" s="43">
        <v>1</v>
      </c>
      <c r="EX18" s="43">
        <v>0</v>
      </c>
      <c r="EY18" s="43">
        <v>0</v>
      </c>
      <c r="EZ18" s="43">
        <v>1</v>
      </c>
      <c r="FA18" s="43"/>
      <c r="FB18" s="43"/>
      <c r="FC18" s="43"/>
      <c r="FD18" s="43">
        <f t="shared" si="1"/>
        <v>2</v>
      </c>
      <c r="FE18" s="73">
        <f t="shared" si="2"/>
        <v>0</v>
      </c>
      <c r="FF18" s="73">
        <f t="shared" si="3"/>
        <v>0</v>
      </c>
      <c r="FG18" s="38"/>
    </row>
    <row r="19" spans="1:163" x14ac:dyDescent="0.25">
      <c r="A19" s="53">
        <v>40291</v>
      </c>
      <c r="B19" s="53" t="s">
        <v>19</v>
      </c>
      <c r="C19" s="53" t="s">
        <v>129</v>
      </c>
      <c r="D19" s="53" t="s">
        <v>333</v>
      </c>
      <c r="E19" s="54">
        <v>6146</v>
      </c>
      <c r="F19" s="58">
        <v>1</v>
      </c>
      <c r="G19" s="59" t="s">
        <v>397</v>
      </c>
      <c r="H19" s="6">
        <v>0</v>
      </c>
      <c r="I19" s="6">
        <v>0</v>
      </c>
      <c r="J19" s="60">
        <f>3+2/3</f>
        <v>3.6666666666666665</v>
      </c>
      <c r="K19" s="6">
        <v>9</v>
      </c>
      <c r="L19" s="6">
        <v>3</v>
      </c>
      <c r="M19" s="6">
        <v>3</v>
      </c>
      <c r="N19" s="6">
        <v>3</v>
      </c>
      <c r="O19" s="6">
        <v>1</v>
      </c>
      <c r="P19" s="6">
        <v>0</v>
      </c>
      <c r="Q19" s="6">
        <v>1</v>
      </c>
      <c r="R19" s="6">
        <v>20</v>
      </c>
      <c r="S19" s="6">
        <v>86</v>
      </c>
      <c r="T19" s="6">
        <v>43</v>
      </c>
      <c r="U19" s="6">
        <v>0</v>
      </c>
      <c r="V19" s="61">
        <v>0</v>
      </c>
      <c r="W19" s="62">
        <v>1</v>
      </c>
      <c r="X19" s="62">
        <v>0</v>
      </c>
      <c r="Y19" s="62">
        <v>0</v>
      </c>
      <c r="Z19" s="62">
        <v>1</v>
      </c>
      <c r="AA19" s="62">
        <v>0</v>
      </c>
      <c r="AB19" s="63">
        <f>5+1/3</f>
        <v>5.333333333333333</v>
      </c>
      <c r="AC19" s="62">
        <v>3</v>
      </c>
      <c r="AD19" s="62">
        <v>1</v>
      </c>
      <c r="AE19" s="62">
        <v>1</v>
      </c>
      <c r="AF19" s="62">
        <v>0</v>
      </c>
      <c r="AG19" s="62">
        <v>3</v>
      </c>
      <c r="AH19" s="62">
        <v>1</v>
      </c>
      <c r="AI19" s="62">
        <v>0</v>
      </c>
      <c r="AJ19" s="62">
        <v>18</v>
      </c>
      <c r="AK19" s="62">
        <v>58</v>
      </c>
      <c r="AL19" s="62">
        <v>39</v>
      </c>
      <c r="AM19" s="1" t="s">
        <v>330</v>
      </c>
      <c r="AN19" s="78">
        <v>5</v>
      </c>
      <c r="AO19" s="78">
        <v>0</v>
      </c>
      <c r="AP19" s="78">
        <v>3</v>
      </c>
      <c r="AQ19" s="78">
        <v>0</v>
      </c>
      <c r="AR19" s="78">
        <v>0</v>
      </c>
      <c r="AS19" s="78">
        <v>0</v>
      </c>
      <c r="AT19" s="78">
        <v>0</v>
      </c>
      <c r="AU19" s="78">
        <v>0</v>
      </c>
      <c r="AV19" s="76">
        <v>4</v>
      </c>
      <c r="AW19" s="1" t="s">
        <v>345</v>
      </c>
      <c r="AX19" s="78">
        <v>5</v>
      </c>
      <c r="AY19" s="78">
        <v>1</v>
      </c>
      <c r="AZ19" s="78">
        <v>2</v>
      </c>
      <c r="BA19" s="78">
        <v>0</v>
      </c>
      <c r="BB19" s="78">
        <v>0</v>
      </c>
      <c r="BC19" s="78">
        <v>1</v>
      </c>
      <c r="BD19" s="78">
        <v>0</v>
      </c>
      <c r="BE19" s="78">
        <v>0</v>
      </c>
      <c r="BF19" s="76">
        <v>2</v>
      </c>
      <c r="BG19" s="1" t="s">
        <v>400</v>
      </c>
      <c r="BH19" s="78">
        <v>5</v>
      </c>
      <c r="BI19" s="78">
        <v>1</v>
      </c>
      <c r="BJ19" s="78">
        <v>2</v>
      </c>
      <c r="BK19" s="78">
        <v>3</v>
      </c>
      <c r="BL19" s="78">
        <v>0</v>
      </c>
      <c r="BM19" s="78">
        <v>1</v>
      </c>
      <c r="BN19" s="78">
        <v>0</v>
      </c>
      <c r="BO19" s="78">
        <v>0</v>
      </c>
      <c r="BP19" s="76">
        <v>6</v>
      </c>
      <c r="BQ19" s="1" t="s">
        <v>404</v>
      </c>
      <c r="BR19" s="78">
        <v>4</v>
      </c>
      <c r="BS19" s="78">
        <v>1</v>
      </c>
      <c r="BT19" s="78">
        <v>1</v>
      </c>
      <c r="BU19" s="78">
        <v>0</v>
      </c>
      <c r="BV19" s="78">
        <v>1</v>
      </c>
      <c r="BW19" s="78">
        <v>1</v>
      </c>
      <c r="BX19" s="78">
        <v>0</v>
      </c>
      <c r="BY19" s="78">
        <v>0</v>
      </c>
      <c r="BZ19" s="76">
        <v>1</v>
      </c>
      <c r="CA19" s="1" t="s">
        <v>332</v>
      </c>
      <c r="CB19" s="78">
        <v>3</v>
      </c>
      <c r="CC19" s="78">
        <v>1</v>
      </c>
      <c r="CD19" s="78">
        <v>1</v>
      </c>
      <c r="CE19" s="78">
        <v>0</v>
      </c>
      <c r="CF19" s="78">
        <v>1</v>
      </c>
      <c r="CG19" s="78">
        <v>2</v>
      </c>
      <c r="CH19" s="78">
        <v>0</v>
      </c>
      <c r="CI19" s="78">
        <v>0</v>
      </c>
      <c r="CJ19" s="76">
        <v>1</v>
      </c>
      <c r="CK19" s="1" t="s">
        <v>403</v>
      </c>
      <c r="CL19" s="78">
        <v>3</v>
      </c>
      <c r="CM19" s="78">
        <v>0</v>
      </c>
      <c r="CN19" s="78">
        <v>2</v>
      </c>
      <c r="CO19" s="78">
        <v>0</v>
      </c>
      <c r="CP19" s="78">
        <v>0</v>
      </c>
      <c r="CQ19" s="78">
        <v>0</v>
      </c>
      <c r="CR19" s="78">
        <v>1</v>
      </c>
      <c r="CS19" s="78">
        <v>0</v>
      </c>
      <c r="CT19" s="76">
        <v>2</v>
      </c>
      <c r="CU19" s="1" t="s">
        <v>405</v>
      </c>
      <c r="CV19" s="78">
        <v>3</v>
      </c>
      <c r="CW19" s="78">
        <v>0</v>
      </c>
      <c r="CX19" s="78">
        <v>2</v>
      </c>
      <c r="CY19" s="78">
        <v>1</v>
      </c>
      <c r="CZ19" s="78">
        <v>1</v>
      </c>
      <c r="DA19" s="78">
        <v>0</v>
      </c>
      <c r="DB19" s="78">
        <v>0</v>
      </c>
      <c r="DC19" s="78">
        <v>0</v>
      </c>
      <c r="DD19" s="76">
        <v>2</v>
      </c>
      <c r="DE19" s="1" t="s">
        <v>344</v>
      </c>
      <c r="DF19" s="78">
        <v>4</v>
      </c>
      <c r="DG19" s="78">
        <v>0</v>
      </c>
      <c r="DH19" s="78">
        <v>1</v>
      </c>
      <c r="DI19" s="78">
        <v>1</v>
      </c>
      <c r="DJ19" s="78">
        <v>0</v>
      </c>
      <c r="DK19" s="78">
        <v>2</v>
      </c>
      <c r="DL19" s="78">
        <v>0</v>
      </c>
      <c r="DM19" s="78">
        <v>0</v>
      </c>
      <c r="DN19" s="76">
        <v>2</v>
      </c>
      <c r="DO19" s="1" t="s">
        <v>336</v>
      </c>
      <c r="DP19" s="78">
        <v>4</v>
      </c>
      <c r="DQ19" s="78">
        <v>1</v>
      </c>
      <c r="DR19" s="78">
        <v>1</v>
      </c>
      <c r="DS19" s="78">
        <v>0</v>
      </c>
      <c r="DT19" s="78">
        <v>0</v>
      </c>
      <c r="DU19" s="78">
        <v>0</v>
      </c>
      <c r="DV19" s="78">
        <v>0</v>
      </c>
      <c r="DW19" s="78">
        <v>0</v>
      </c>
      <c r="DX19" s="76">
        <v>1</v>
      </c>
      <c r="DY19" s="77">
        <v>1</v>
      </c>
      <c r="DZ19" s="43">
        <v>0</v>
      </c>
      <c r="EA19" s="43">
        <v>0</v>
      </c>
      <c r="EB19" s="45">
        <v>7</v>
      </c>
      <c r="EC19" s="43">
        <v>2</v>
      </c>
      <c r="ED19" s="44">
        <v>0</v>
      </c>
      <c r="EE19" s="71">
        <v>0</v>
      </c>
      <c r="EF19" s="43">
        <v>0</v>
      </c>
      <c r="EG19" s="43">
        <v>0</v>
      </c>
      <c r="EH19" s="43">
        <v>1</v>
      </c>
      <c r="EI19" s="43">
        <v>0</v>
      </c>
      <c r="EJ19" s="43">
        <v>0</v>
      </c>
      <c r="EK19" s="43">
        <v>3</v>
      </c>
      <c r="EL19" s="43">
        <v>1</v>
      </c>
      <c r="EM19" s="43"/>
      <c r="EN19" s="43"/>
      <c r="EO19" s="43"/>
      <c r="EP19" s="43"/>
      <c r="EQ19" s="44">
        <f t="shared" si="0"/>
        <v>5</v>
      </c>
      <c r="ER19" s="43">
        <v>0</v>
      </c>
      <c r="ES19" s="43">
        <v>1</v>
      </c>
      <c r="ET19" s="43">
        <v>2</v>
      </c>
      <c r="EU19" s="43">
        <v>0</v>
      </c>
      <c r="EV19" s="43">
        <v>0</v>
      </c>
      <c r="EW19" s="43">
        <v>0</v>
      </c>
      <c r="EX19" s="43">
        <v>1</v>
      </c>
      <c r="EY19" s="43">
        <v>0</v>
      </c>
      <c r="EZ19" s="43">
        <v>0</v>
      </c>
      <c r="FA19" s="43"/>
      <c r="FB19" s="43"/>
      <c r="FC19" s="43"/>
      <c r="FD19" s="43">
        <f t="shared" si="1"/>
        <v>4</v>
      </c>
      <c r="FE19" s="73">
        <f t="shared" si="2"/>
        <v>0</v>
      </c>
      <c r="FF19" s="73">
        <f t="shared" si="3"/>
        <v>0</v>
      </c>
      <c r="FG19" s="38"/>
    </row>
    <row r="20" spans="1:163" x14ac:dyDescent="0.25">
      <c r="A20" s="53">
        <v>40292</v>
      </c>
      <c r="B20" s="53" t="s">
        <v>19</v>
      </c>
      <c r="C20" s="53" t="s">
        <v>131</v>
      </c>
      <c r="D20" s="53" t="s">
        <v>333</v>
      </c>
      <c r="E20" s="54">
        <v>7063</v>
      </c>
      <c r="F20" s="58">
        <v>2</v>
      </c>
      <c r="G20" s="59" t="s">
        <v>337</v>
      </c>
      <c r="H20" s="6">
        <v>0</v>
      </c>
      <c r="I20" s="6">
        <v>1</v>
      </c>
      <c r="J20" s="60">
        <v>6</v>
      </c>
      <c r="K20" s="6">
        <v>6</v>
      </c>
      <c r="L20" s="6">
        <v>6</v>
      </c>
      <c r="M20" s="6">
        <v>4</v>
      </c>
      <c r="N20" s="6">
        <v>2</v>
      </c>
      <c r="O20" s="6">
        <v>4</v>
      </c>
      <c r="P20" s="6">
        <v>2</v>
      </c>
      <c r="Q20" s="6">
        <v>0</v>
      </c>
      <c r="R20" s="6">
        <v>27</v>
      </c>
      <c r="S20" s="6">
        <v>108</v>
      </c>
      <c r="T20" s="6">
        <v>64</v>
      </c>
      <c r="U20" s="6">
        <v>0</v>
      </c>
      <c r="V20" s="61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3">
        <v>3</v>
      </c>
      <c r="AC20" s="62">
        <v>4</v>
      </c>
      <c r="AD20" s="62">
        <v>2</v>
      </c>
      <c r="AE20" s="62">
        <v>2</v>
      </c>
      <c r="AF20" s="62">
        <v>1</v>
      </c>
      <c r="AG20" s="62">
        <v>1</v>
      </c>
      <c r="AH20" s="62">
        <v>0</v>
      </c>
      <c r="AI20" s="62">
        <v>2</v>
      </c>
      <c r="AJ20" s="62">
        <v>14</v>
      </c>
      <c r="AK20" s="62">
        <v>52</v>
      </c>
      <c r="AL20" s="62">
        <v>31</v>
      </c>
      <c r="AM20" s="1" t="s">
        <v>330</v>
      </c>
      <c r="AN20" s="78">
        <v>5</v>
      </c>
      <c r="AO20" s="78">
        <v>1</v>
      </c>
      <c r="AP20" s="78">
        <v>1</v>
      </c>
      <c r="AQ20" s="78">
        <v>0</v>
      </c>
      <c r="AR20" s="78">
        <v>0</v>
      </c>
      <c r="AS20" s="78">
        <v>1</v>
      </c>
      <c r="AT20" s="78">
        <v>0</v>
      </c>
      <c r="AU20" s="78">
        <v>0</v>
      </c>
      <c r="AV20" s="76">
        <v>1</v>
      </c>
      <c r="AW20" s="1" t="s">
        <v>345</v>
      </c>
      <c r="AX20" s="78">
        <v>5</v>
      </c>
      <c r="AY20" s="78">
        <v>0</v>
      </c>
      <c r="AZ20" s="78">
        <v>1</v>
      </c>
      <c r="BA20" s="78">
        <v>1</v>
      </c>
      <c r="BB20" s="78">
        <v>0</v>
      </c>
      <c r="BC20" s="78">
        <v>1</v>
      </c>
      <c r="BD20" s="78">
        <v>0</v>
      </c>
      <c r="BE20" s="78">
        <v>0</v>
      </c>
      <c r="BF20" s="76">
        <v>1</v>
      </c>
      <c r="BG20" s="1" t="s">
        <v>400</v>
      </c>
      <c r="BH20" s="78">
        <v>4</v>
      </c>
      <c r="BI20" s="78">
        <v>1</v>
      </c>
      <c r="BJ20" s="78">
        <v>1</v>
      </c>
      <c r="BK20" s="78">
        <v>1</v>
      </c>
      <c r="BL20" s="78">
        <v>0</v>
      </c>
      <c r="BM20" s="78">
        <v>2</v>
      </c>
      <c r="BN20" s="78">
        <v>1</v>
      </c>
      <c r="BO20" s="78">
        <v>0</v>
      </c>
      <c r="BP20" s="76">
        <v>4</v>
      </c>
      <c r="BQ20" s="1" t="s">
        <v>404</v>
      </c>
      <c r="BR20" s="78">
        <v>3</v>
      </c>
      <c r="BS20" s="78">
        <v>1</v>
      </c>
      <c r="BT20" s="78">
        <v>2</v>
      </c>
      <c r="BU20" s="78">
        <v>0</v>
      </c>
      <c r="BV20" s="78">
        <v>2</v>
      </c>
      <c r="BW20" s="78">
        <v>0</v>
      </c>
      <c r="BX20" s="78">
        <v>0</v>
      </c>
      <c r="BY20" s="78">
        <v>0</v>
      </c>
      <c r="BZ20" s="76">
        <v>3</v>
      </c>
      <c r="CA20" s="1" t="s">
        <v>403</v>
      </c>
      <c r="CB20" s="78">
        <v>4</v>
      </c>
      <c r="CC20" s="78">
        <v>1</v>
      </c>
      <c r="CD20" s="78">
        <v>1</v>
      </c>
      <c r="CE20" s="78">
        <v>0</v>
      </c>
      <c r="CF20" s="78">
        <v>1</v>
      </c>
      <c r="CG20" s="78">
        <v>1</v>
      </c>
      <c r="CH20" s="78">
        <v>0</v>
      </c>
      <c r="CI20" s="78">
        <v>0</v>
      </c>
      <c r="CJ20" s="76">
        <v>1</v>
      </c>
      <c r="CK20" s="1" t="s">
        <v>344</v>
      </c>
      <c r="CL20" s="78">
        <v>3</v>
      </c>
      <c r="CM20" s="78">
        <v>2</v>
      </c>
      <c r="CN20" s="78">
        <v>1</v>
      </c>
      <c r="CO20" s="78">
        <v>0</v>
      </c>
      <c r="CP20" s="78">
        <v>1</v>
      </c>
      <c r="CQ20" s="78">
        <v>0</v>
      </c>
      <c r="CR20" s="78">
        <v>1</v>
      </c>
      <c r="CS20" s="78">
        <v>0</v>
      </c>
      <c r="CT20" s="76">
        <v>1</v>
      </c>
      <c r="CU20" s="1" t="s">
        <v>331</v>
      </c>
      <c r="CV20" s="78">
        <v>3</v>
      </c>
      <c r="CW20" s="78">
        <v>1</v>
      </c>
      <c r="CX20" s="78">
        <v>3</v>
      </c>
      <c r="CY20" s="78">
        <v>1</v>
      </c>
      <c r="CZ20" s="78">
        <v>1</v>
      </c>
      <c r="DA20" s="78">
        <v>0</v>
      </c>
      <c r="DB20" s="78">
        <v>0</v>
      </c>
      <c r="DC20" s="78">
        <v>0</v>
      </c>
      <c r="DD20" s="76">
        <v>3</v>
      </c>
      <c r="DE20" s="1" t="s">
        <v>407</v>
      </c>
      <c r="DF20" s="78">
        <v>4</v>
      </c>
      <c r="DG20" s="78">
        <v>0</v>
      </c>
      <c r="DH20" s="78">
        <v>1</v>
      </c>
      <c r="DI20" s="78">
        <v>1</v>
      </c>
      <c r="DJ20" s="78">
        <v>0</v>
      </c>
      <c r="DK20" s="78">
        <v>2</v>
      </c>
      <c r="DL20" s="78">
        <v>0</v>
      </c>
      <c r="DM20" s="78">
        <v>0</v>
      </c>
      <c r="DN20" s="76">
        <v>2</v>
      </c>
      <c r="DO20" s="1" t="s">
        <v>336</v>
      </c>
      <c r="DP20" s="78">
        <v>4</v>
      </c>
      <c r="DQ20" s="78">
        <v>0</v>
      </c>
      <c r="DR20" s="78">
        <v>1</v>
      </c>
      <c r="DS20" s="78">
        <v>1</v>
      </c>
      <c r="DT20" s="78">
        <v>0</v>
      </c>
      <c r="DU20" s="78">
        <v>2</v>
      </c>
      <c r="DV20" s="78">
        <v>0</v>
      </c>
      <c r="DW20" s="78">
        <v>0</v>
      </c>
      <c r="DX20" s="76">
        <v>1</v>
      </c>
      <c r="DY20" s="77">
        <v>1</v>
      </c>
      <c r="DZ20" s="43">
        <v>0</v>
      </c>
      <c r="EA20" s="43">
        <v>1</v>
      </c>
      <c r="EB20" s="45">
        <v>8</v>
      </c>
      <c r="EC20" s="43">
        <v>1</v>
      </c>
      <c r="ED20" s="44">
        <v>0</v>
      </c>
      <c r="EE20" s="71">
        <v>1</v>
      </c>
      <c r="EF20" s="43">
        <v>0</v>
      </c>
      <c r="EG20" s="43">
        <v>1</v>
      </c>
      <c r="EH20" s="43">
        <v>0</v>
      </c>
      <c r="EI20" s="43">
        <v>0</v>
      </c>
      <c r="EJ20" s="43">
        <v>3</v>
      </c>
      <c r="EK20" s="43">
        <v>0</v>
      </c>
      <c r="EL20" s="43">
        <v>2</v>
      </c>
      <c r="EM20" s="43">
        <v>0</v>
      </c>
      <c r="EN20" s="43"/>
      <c r="EO20" s="43"/>
      <c r="EP20" s="43"/>
      <c r="EQ20" s="44">
        <f t="shared" si="0"/>
        <v>7</v>
      </c>
      <c r="ER20" s="43">
        <v>0</v>
      </c>
      <c r="ES20" s="43">
        <v>0</v>
      </c>
      <c r="ET20" s="43">
        <v>2</v>
      </c>
      <c r="EU20" s="43">
        <v>2</v>
      </c>
      <c r="EV20" s="43">
        <v>2</v>
      </c>
      <c r="EW20" s="43">
        <v>0</v>
      </c>
      <c r="EX20" s="43">
        <v>1</v>
      </c>
      <c r="EY20" s="43">
        <v>1</v>
      </c>
      <c r="EZ20" s="43">
        <v>0</v>
      </c>
      <c r="FA20" s="43"/>
      <c r="FB20" s="43"/>
      <c r="FC20" s="43"/>
      <c r="FD20" s="43">
        <f t="shared" si="1"/>
        <v>8</v>
      </c>
      <c r="FE20" s="73">
        <f t="shared" si="2"/>
        <v>0</v>
      </c>
      <c r="FF20" s="73">
        <f t="shared" si="3"/>
        <v>0</v>
      </c>
      <c r="FG20" s="38"/>
    </row>
    <row r="21" spans="1:163" x14ac:dyDescent="0.25">
      <c r="A21" s="53">
        <v>40293</v>
      </c>
      <c r="B21" s="53" t="s">
        <v>19</v>
      </c>
      <c r="C21" s="53" t="s">
        <v>129</v>
      </c>
      <c r="D21" s="53" t="s">
        <v>333</v>
      </c>
      <c r="E21" s="54">
        <v>5426</v>
      </c>
      <c r="F21" s="58">
        <v>3</v>
      </c>
      <c r="G21" s="59" t="s">
        <v>341</v>
      </c>
      <c r="H21" s="6">
        <v>1</v>
      </c>
      <c r="I21" s="6">
        <v>0</v>
      </c>
      <c r="J21" s="60">
        <v>7</v>
      </c>
      <c r="K21" s="6">
        <v>1</v>
      </c>
      <c r="L21" s="6">
        <v>0</v>
      </c>
      <c r="M21" s="6">
        <v>0</v>
      </c>
      <c r="N21" s="6">
        <v>2</v>
      </c>
      <c r="O21" s="6">
        <v>4</v>
      </c>
      <c r="P21" s="6">
        <v>0</v>
      </c>
      <c r="Q21" s="6">
        <v>0</v>
      </c>
      <c r="R21" s="6">
        <v>24</v>
      </c>
      <c r="S21" s="6">
        <v>97</v>
      </c>
      <c r="T21" s="6">
        <v>56</v>
      </c>
      <c r="U21" s="6">
        <v>0</v>
      </c>
      <c r="V21" s="61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3">
        <v>2</v>
      </c>
      <c r="AC21" s="62">
        <v>1</v>
      </c>
      <c r="AD21" s="62">
        <v>1</v>
      </c>
      <c r="AE21" s="62">
        <v>1</v>
      </c>
      <c r="AF21" s="62">
        <v>1</v>
      </c>
      <c r="AG21" s="62">
        <v>1</v>
      </c>
      <c r="AH21" s="62">
        <v>0</v>
      </c>
      <c r="AI21" s="62">
        <v>0</v>
      </c>
      <c r="AJ21" s="62">
        <v>8</v>
      </c>
      <c r="AK21" s="62">
        <v>30</v>
      </c>
      <c r="AL21" s="62">
        <v>19</v>
      </c>
      <c r="AM21" s="1" t="s">
        <v>330</v>
      </c>
      <c r="AN21" s="78">
        <v>5</v>
      </c>
      <c r="AO21" s="78">
        <v>1</v>
      </c>
      <c r="AP21" s="78">
        <v>2</v>
      </c>
      <c r="AQ21" s="78">
        <v>0</v>
      </c>
      <c r="AR21" s="78">
        <v>0</v>
      </c>
      <c r="AS21" s="78">
        <v>0</v>
      </c>
      <c r="AT21" s="78">
        <v>0</v>
      </c>
      <c r="AU21" s="78">
        <v>0</v>
      </c>
      <c r="AV21" s="76">
        <v>2</v>
      </c>
      <c r="AW21" s="1" t="s">
        <v>345</v>
      </c>
      <c r="AX21" s="78">
        <v>3</v>
      </c>
      <c r="AY21" s="78">
        <v>1</v>
      </c>
      <c r="AZ21" s="78">
        <v>0</v>
      </c>
      <c r="BA21" s="78">
        <v>0</v>
      </c>
      <c r="BB21" s="78">
        <v>1</v>
      </c>
      <c r="BC21" s="78">
        <v>0</v>
      </c>
      <c r="BD21" s="78">
        <v>0</v>
      </c>
      <c r="BE21" s="78">
        <v>0</v>
      </c>
      <c r="BF21" s="76">
        <v>0</v>
      </c>
      <c r="BG21" s="1" t="s">
        <v>400</v>
      </c>
      <c r="BH21" s="78">
        <v>4</v>
      </c>
      <c r="BI21" s="78">
        <v>1</v>
      </c>
      <c r="BJ21" s="78">
        <v>1</v>
      </c>
      <c r="BK21" s="78">
        <v>1</v>
      </c>
      <c r="BL21" s="78">
        <v>0</v>
      </c>
      <c r="BM21" s="78">
        <v>1</v>
      </c>
      <c r="BN21" s="78">
        <v>0</v>
      </c>
      <c r="BO21" s="78">
        <v>0</v>
      </c>
      <c r="BP21" s="76">
        <v>4</v>
      </c>
      <c r="BQ21" s="1" t="s">
        <v>332</v>
      </c>
      <c r="BR21" s="78">
        <v>3</v>
      </c>
      <c r="BS21" s="78">
        <v>0</v>
      </c>
      <c r="BT21" s="78">
        <v>0</v>
      </c>
      <c r="BU21" s="78">
        <v>1</v>
      </c>
      <c r="BV21" s="78">
        <v>0</v>
      </c>
      <c r="BW21" s="78">
        <v>2</v>
      </c>
      <c r="BX21" s="78">
        <v>0</v>
      </c>
      <c r="BY21" s="78">
        <v>1</v>
      </c>
      <c r="BZ21" s="76">
        <v>0</v>
      </c>
      <c r="CA21" s="1" t="s">
        <v>403</v>
      </c>
      <c r="CB21" s="78">
        <v>4</v>
      </c>
      <c r="CC21" s="78">
        <v>3</v>
      </c>
      <c r="CD21" s="78">
        <v>4</v>
      </c>
      <c r="CE21" s="78">
        <v>2</v>
      </c>
      <c r="CF21" s="78">
        <v>0</v>
      </c>
      <c r="CG21" s="78">
        <v>0</v>
      </c>
      <c r="CH21" s="78">
        <v>0</v>
      </c>
      <c r="CI21" s="78">
        <v>0</v>
      </c>
      <c r="CJ21" s="76">
        <v>8</v>
      </c>
      <c r="CK21" s="1" t="s">
        <v>405</v>
      </c>
      <c r="CL21" s="78">
        <v>4</v>
      </c>
      <c r="CM21" s="78">
        <v>1</v>
      </c>
      <c r="CN21" s="78">
        <v>1</v>
      </c>
      <c r="CO21" s="78">
        <v>2</v>
      </c>
      <c r="CP21" s="78">
        <v>0</v>
      </c>
      <c r="CQ21" s="78">
        <v>2</v>
      </c>
      <c r="CR21" s="78">
        <v>0</v>
      </c>
      <c r="CS21" s="78">
        <v>0</v>
      </c>
      <c r="CT21" s="76">
        <v>4</v>
      </c>
      <c r="CU21" s="1" t="s">
        <v>344</v>
      </c>
      <c r="CV21" s="78">
        <v>3</v>
      </c>
      <c r="CW21" s="78">
        <v>1</v>
      </c>
      <c r="CX21" s="78">
        <v>0</v>
      </c>
      <c r="CY21" s="78">
        <v>0</v>
      </c>
      <c r="CZ21" s="78">
        <v>1</v>
      </c>
      <c r="DA21" s="78">
        <v>1</v>
      </c>
      <c r="DB21" s="78">
        <v>0</v>
      </c>
      <c r="DC21" s="78">
        <v>0</v>
      </c>
      <c r="DD21" s="76">
        <v>0</v>
      </c>
      <c r="DE21" s="1" t="s">
        <v>331</v>
      </c>
      <c r="DF21" s="78">
        <v>4</v>
      </c>
      <c r="DG21" s="78">
        <v>0</v>
      </c>
      <c r="DH21" s="78">
        <v>0</v>
      </c>
      <c r="DI21" s="78">
        <v>0</v>
      </c>
      <c r="DJ21" s="78">
        <v>0</v>
      </c>
      <c r="DK21" s="78">
        <v>2</v>
      </c>
      <c r="DL21" s="78">
        <v>0</v>
      </c>
      <c r="DM21" s="78">
        <v>0</v>
      </c>
      <c r="DN21" s="76">
        <v>0</v>
      </c>
      <c r="DO21" s="1" t="s">
        <v>336</v>
      </c>
      <c r="DP21" s="78">
        <v>3</v>
      </c>
      <c r="DQ21" s="78">
        <v>1</v>
      </c>
      <c r="DR21" s="78">
        <v>3</v>
      </c>
      <c r="DS21" s="78">
        <v>3</v>
      </c>
      <c r="DT21" s="78">
        <v>1</v>
      </c>
      <c r="DU21" s="78">
        <v>0</v>
      </c>
      <c r="DV21" s="78">
        <v>0</v>
      </c>
      <c r="DW21" s="78">
        <v>0</v>
      </c>
      <c r="DX21" s="76">
        <v>7</v>
      </c>
      <c r="DY21" s="77">
        <v>0</v>
      </c>
      <c r="DZ21" s="43">
        <v>0</v>
      </c>
      <c r="EA21" s="43">
        <v>0</v>
      </c>
      <c r="EB21" s="45">
        <v>8</v>
      </c>
      <c r="EC21" s="43">
        <v>0</v>
      </c>
      <c r="ED21" s="44">
        <v>0</v>
      </c>
      <c r="EE21" s="71">
        <v>4</v>
      </c>
      <c r="EF21" s="43">
        <v>0</v>
      </c>
      <c r="EG21" s="43">
        <v>2</v>
      </c>
      <c r="EH21" s="43">
        <v>0</v>
      </c>
      <c r="EI21" s="43">
        <v>0</v>
      </c>
      <c r="EJ21" s="43">
        <v>3</v>
      </c>
      <c r="EK21" s="43">
        <v>0</v>
      </c>
      <c r="EL21" s="43">
        <v>0</v>
      </c>
      <c r="EM21" s="43"/>
      <c r="EN21" s="43"/>
      <c r="EO21" s="43"/>
      <c r="EP21" s="43"/>
      <c r="EQ21" s="44">
        <f t="shared" si="0"/>
        <v>9</v>
      </c>
      <c r="ER21" s="43">
        <v>0</v>
      </c>
      <c r="ES21" s="43">
        <v>0</v>
      </c>
      <c r="ET21" s="43">
        <v>0</v>
      </c>
      <c r="EU21" s="43">
        <v>0</v>
      </c>
      <c r="EV21" s="43">
        <v>0</v>
      </c>
      <c r="EW21" s="43">
        <v>0</v>
      </c>
      <c r="EX21" s="43">
        <v>0</v>
      </c>
      <c r="EY21" s="43">
        <v>0</v>
      </c>
      <c r="EZ21" s="43">
        <v>1</v>
      </c>
      <c r="FA21" s="43"/>
      <c r="FB21" s="43"/>
      <c r="FC21" s="43"/>
      <c r="FD21" s="43">
        <f t="shared" si="1"/>
        <v>1</v>
      </c>
      <c r="FE21" s="73">
        <f t="shared" si="2"/>
        <v>0</v>
      </c>
      <c r="FF21" s="73">
        <f t="shared" si="3"/>
        <v>0</v>
      </c>
      <c r="FG21" s="38"/>
    </row>
    <row r="22" spans="1:163" x14ac:dyDescent="0.25">
      <c r="A22" s="53">
        <v>40294</v>
      </c>
      <c r="B22" s="53" t="s">
        <v>19</v>
      </c>
      <c r="C22" s="53" t="s">
        <v>131</v>
      </c>
      <c r="D22" s="53" t="s">
        <v>333</v>
      </c>
      <c r="E22" s="54">
        <v>5767</v>
      </c>
      <c r="F22" s="58">
        <v>4</v>
      </c>
      <c r="G22" s="59" t="s">
        <v>357</v>
      </c>
      <c r="H22" s="6">
        <v>0</v>
      </c>
      <c r="I22" s="6">
        <v>1</v>
      </c>
      <c r="J22" s="60">
        <v>4</v>
      </c>
      <c r="K22" s="6">
        <v>7</v>
      </c>
      <c r="L22" s="6">
        <v>4</v>
      </c>
      <c r="M22" s="6">
        <v>4</v>
      </c>
      <c r="N22" s="6">
        <v>2</v>
      </c>
      <c r="O22" s="6">
        <v>1</v>
      </c>
      <c r="P22" s="6">
        <v>1</v>
      </c>
      <c r="Q22" s="6">
        <v>0</v>
      </c>
      <c r="R22" s="6">
        <v>19</v>
      </c>
      <c r="S22" s="6">
        <v>64</v>
      </c>
      <c r="T22" s="6">
        <v>36</v>
      </c>
      <c r="U22" s="6">
        <v>0</v>
      </c>
      <c r="V22" s="61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3">
        <v>5</v>
      </c>
      <c r="AC22" s="62">
        <v>0</v>
      </c>
      <c r="AD22" s="62">
        <v>0</v>
      </c>
      <c r="AE22" s="62">
        <v>0</v>
      </c>
      <c r="AF22" s="62">
        <v>0</v>
      </c>
      <c r="AG22" s="62">
        <v>1</v>
      </c>
      <c r="AH22" s="62">
        <v>0</v>
      </c>
      <c r="AI22" s="62">
        <v>1</v>
      </c>
      <c r="AJ22" s="62">
        <v>15</v>
      </c>
      <c r="AK22" s="62">
        <v>56</v>
      </c>
      <c r="AL22" s="62">
        <v>37</v>
      </c>
      <c r="AM22" s="1" t="s">
        <v>330</v>
      </c>
      <c r="AN22" s="78">
        <v>5</v>
      </c>
      <c r="AO22" s="78">
        <v>0</v>
      </c>
      <c r="AP22" s="78">
        <v>1</v>
      </c>
      <c r="AQ22" s="78">
        <v>0</v>
      </c>
      <c r="AR22" s="78">
        <v>0</v>
      </c>
      <c r="AS22" s="78">
        <v>3</v>
      </c>
      <c r="AT22" s="78">
        <v>0</v>
      </c>
      <c r="AU22" s="78">
        <v>0</v>
      </c>
      <c r="AV22" s="76">
        <v>1</v>
      </c>
      <c r="AW22" s="1" t="s">
        <v>345</v>
      </c>
      <c r="AX22" s="78">
        <v>5</v>
      </c>
      <c r="AY22" s="78">
        <v>0</v>
      </c>
      <c r="AZ22" s="78">
        <v>0</v>
      </c>
      <c r="BA22" s="78">
        <v>0</v>
      </c>
      <c r="BB22" s="78">
        <v>0</v>
      </c>
      <c r="BC22" s="78">
        <v>2</v>
      </c>
      <c r="BD22" s="78">
        <v>0</v>
      </c>
      <c r="BE22" s="78">
        <v>0</v>
      </c>
      <c r="BF22" s="76">
        <v>0</v>
      </c>
      <c r="BG22" s="1" t="s">
        <v>400</v>
      </c>
      <c r="BH22" s="78">
        <v>3</v>
      </c>
      <c r="BI22" s="78">
        <v>0</v>
      </c>
      <c r="BJ22" s="78">
        <v>1</v>
      </c>
      <c r="BK22" s="78">
        <v>0</v>
      </c>
      <c r="BL22" s="78">
        <v>1</v>
      </c>
      <c r="BM22" s="78">
        <v>0</v>
      </c>
      <c r="BN22" s="78">
        <v>0</v>
      </c>
      <c r="BO22" s="78">
        <v>0</v>
      </c>
      <c r="BP22" s="76">
        <v>1</v>
      </c>
      <c r="BQ22" s="1" t="s">
        <v>404</v>
      </c>
      <c r="BR22" s="78">
        <v>4</v>
      </c>
      <c r="BS22" s="78">
        <v>1</v>
      </c>
      <c r="BT22" s="78">
        <v>2</v>
      </c>
      <c r="BU22" s="78">
        <v>0</v>
      </c>
      <c r="BV22" s="78">
        <v>0</v>
      </c>
      <c r="BW22" s="78">
        <v>0</v>
      </c>
      <c r="BX22" s="78">
        <v>0</v>
      </c>
      <c r="BY22" s="78">
        <v>0</v>
      </c>
      <c r="BZ22" s="76">
        <v>2</v>
      </c>
      <c r="CA22" s="1" t="s">
        <v>332</v>
      </c>
      <c r="CB22" s="78">
        <v>4</v>
      </c>
      <c r="CC22" s="78">
        <v>1</v>
      </c>
      <c r="CD22" s="78">
        <v>1</v>
      </c>
      <c r="CE22" s="78">
        <v>2</v>
      </c>
      <c r="CF22" s="78">
        <v>0</v>
      </c>
      <c r="CG22" s="78">
        <v>0</v>
      </c>
      <c r="CH22" s="78">
        <v>0</v>
      </c>
      <c r="CI22" s="78">
        <v>0</v>
      </c>
      <c r="CJ22" s="76">
        <v>1</v>
      </c>
      <c r="CK22" s="1" t="s">
        <v>403</v>
      </c>
      <c r="CL22" s="78">
        <v>3</v>
      </c>
      <c r="CM22" s="78">
        <v>0</v>
      </c>
      <c r="CN22" s="78">
        <v>2</v>
      </c>
      <c r="CO22" s="78">
        <v>0</v>
      </c>
      <c r="CP22" s="78">
        <v>1</v>
      </c>
      <c r="CQ22" s="78">
        <v>0</v>
      </c>
      <c r="CR22" s="78">
        <v>0</v>
      </c>
      <c r="CS22" s="78">
        <v>0</v>
      </c>
      <c r="CT22" s="76">
        <v>2</v>
      </c>
      <c r="CU22" s="1" t="s">
        <v>405</v>
      </c>
      <c r="CV22" s="78">
        <v>4</v>
      </c>
      <c r="CW22" s="78">
        <v>0</v>
      </c>
      <c r="CX22" s="78">
        <v>2</v>
      </c>
      <c r="CY22" s="78">
        <v>0</v>
      </c>
      <c r="CZ22" s="78">
        <v>0</v>
      </c>
      <c r="DA22" s="78">
        <v>1</v>
      </c>
      <c r="DB22" s="78">
        <v>0</v>
      </c>
      <c r="DC22" s="78">
        <v>0</v>
      </c>
      <c r="DD22" s="76">
        <v>2</v>
      </c>
      <c r="DE22" s="1" t="s">
        <v>331</v>
      </c>
      <c r="DF22" s="78">
        <v>4</v>
      </c>
      <c r="DG22" s="78">
        <v>0</v>
      </c>
      <c r="DH22" s="78">
        <v>1</v>
      </c>
      <c r="DI22" s="78">
        <v>0</v>
      </c>
      <c r="DJ22" s="78">
        <v>0</v>
      </c>
      <c r="DK22" s="78">
        <v>0</v>
      </c>
      <c r="DL22" s="78">
        <v>0</v>
      </c>
      <c r="DM22" s="78">
        <v>0</v>
      </c>
      <c r="DN22" s="76">
        <v>1</v>
      </c>
      <c r="DO22" s="1" t="s">
        <v>407</v>
      </c>
      <c r="DP22" s="78">
        <v>3</v>
      </c>
      <c r="DQ22" s="78">
        <v>1</v>
      </c>
      <c r="DR22" s="78">
        <v>1</v>
      </c>
      <c r="DS22" s="78">
        <v>0</v>
      </c>
      <c r="DT22" s="78">
        <v>1</v>
      </c>
      <c r="DU22" s="78">
        <v>0</v>
      </c>
      <c r="DV22" s="78">
        <v>0</v>
      </c>
      <c r="DW22" s="78">
        <v>0</v>
      </c>
      <c r="DX22" s="76">
        <v>1</v>
      </c>
      <c r="DY22" s="77">
        <v>3</v>
      </c>
      <c r="DZ22" s="43">
        <v>0</v>
      </c>
      <c r="EA22" s="43">
        <v>0</v>
      </c>
      <c r="EB22" s="45">
        <v>6</v>
      </c>
      <c r="EC22" s="43">
        <v>0</v>
      </c>
      <c r="ED22" s="44">
        <v>0</v>
      </c>
      <c r="EE22" s="71">
        <v>0</v>
      </c>
      <c r="EF22" s="43">
        <v>0</v>
      </c>
      <c r="EG22" s="43">
        <v>0</v>
      </c>
      <c r="EH22" s="43">
        <v>0</v>
      </c>
      <c r="EI22" s="43">
        <v>1</v>
      </c>
      <c r="EJ22" s="43">
        <v>0</v>
      </c>
      <c r="EK22" s="43">
        <v>0</v>
      </c>
      <c r="EL22" s="43">
        <v>2</v>
      </c>
      <c r="EM22" s="43">
        <v>0</v>
      </c>
      <c r="EN22" s="43"/>
      <c r="EO22" s="43"/>
      <c r="EP22" s="43"/>
      <c r="EQ22" s="44">
        <f t="shared" si="0"/>
        <v>3</v>
      </c>
      <c r="ER22" s="43">
        <v>0</v>
      </c>
      <c r="ES22" s="43">
        <v>1</v>
      </c>
      <c r="ET22" s="43">
        <v>2</v>
      </c>
      <c r="EU22" s="43">
        <v>1</v>
      </c>
      <c r="EV22" s="43">
        <v>0</v>
      </c>
      <c r="EW22" s="43">
        <v>0</v>
      </c>
      <c r="EX22" s="43">
        <v>0</v>
      </c>
      <c r="EY22" s="43">
        <v>0</v>
      </c>
      <c r="EZ22" s="43">
        <v>0</v>
      </c>
      <c r="FA22" s="43"/>
      <c r="FB22" s="43"/>
      <c r="FC22" s="43"/>
      <c r="FD22" s="43">
        <f t="shared" si="1"/>
        <v>4</v>
      </c>
      <c r="FE22" s="73">
        <f t="shared" si="2"/>
        <v>0</v>
      </c>
      <c r="FF22" s="73">
        <f t="shared" si="3"/>
        <v>0</v>
      </c>
      <c r="FG22" s="38"/>
    </row>
    <row r="23" spans="1:163" x14ac:dyDescent="0.25">
      <c r="A23" s="53">
        <v>40295</v>
      </c>
      <c r="B23" s="53" t="s">
        <v>133</v>
      </c>
      <c r="C23" s="53" t="s">
        <v>131</v>
      </c>
      <c r="D23" s="53" t="s">
        <v>346</v>
      </c>
      <c r="E23" s="54">
        <v>4946</v>
      </c>
      <c r="F23" s="58">
        <v>5</v>
      </c>
      <c r="G23" s="59" t="s">
        <v>339</v>
      </c>
      <c r="H23" s="6">
        <v>0</v>
      </c>
      <c r="I23" s="6">
        <v>0</v>
      </c>
      <c r="J23" s="60">
        <v>4</v>
      </c>
      <c r="K23" s="6">
        <v>7</v>
      </c>
      <c r="L23" s="6">
        <v>5</v>
      </c>
      <c r="M23" s="6">
        <v>5</v>
      </c>
      <c r="N23" s="6">
        <v>3</v>
      </c>
      <c r="O23" s="6">
        <v>1</v>
      </c>
      <c r="P23" s="6">
        <v>1</v>
      </c>
      <c r="Q23" s="6">
        <v>2</v>
      </c>
      <c r="R23" s="6">
        <v>23</v>
      </c>
      <c r="S23" s="6">
        <v>88</v>
      </c>
      <c r="T23" s="6">
        <v>45</v>
      </c>
      <c r="U23" s="6">
        <v>0</v>
      </c>
      <c r="V23" s="61">
        <v>0</v>
      </c>
      <c r="W23" s="62">
        <v>0</v>
      </c>
      <c r="X23" s="62">
        <v>1</v>
      </c>
      <c r="Y23" s="62">
        <v>0</v>
      </c>
      <c r="Z23" s="62">
        <v>0</v>
      </c>
      <c r="AA23" s="62">
        <v>0</v>
      </c>
      <c r="AB23" s="63">
        <v>4</v>
      </c>
      <c r="AC23" s="62">
        <v>4</v>
      </c>
      <c r="AD23" s="62">
        <v>4</v>
      </c>
      <c r="AE23" s="62">
        <v>4</v>
      </c>
      <c r="AF23" s="62">
        <v>1</v>
      </c>
      <c r="AG23" s="62">
        <v>1</v>
      </c>
      <c r="AH23" s="62">
        <v>1</v>
      </c>
      <c r="AI23" s="62">
        <v>0</v>
      </c>
      <c r="AJ23" s="62">
        <v>18</v>
      </c>
      <c r="AK23" s="62">
        <v>65</v>
      </c>
      <c r="AL23" s="62">
        <v>40</v>
      </c>
      <c r="AM23" s="1" t="s">
        <v>402</v>
      </c>
      <c r="AN23" s="78">
        <v>5</v>
      </c>
      <c r="AO23" s="78">
        <v>0</v>
      </c>
      <c r="AP23" s="78">
        <v>0</v>
      </c>
      <c r="AQ23" s="78">
        <v>0</v>
      </c>
      <c r="AR23" s="78">
        <v>0</v>
      </c>
      <c r="AS23" s="78">
        <v>2</v>
      </c>
      <c r="AT23" s="78">
        <v>0</v>
      </c>
      <c r="AU23" s="78">
        <v>0</v>
      </c>
      <c r="AV23" s="76">
        <v>0</v>
      </c>
      <c r="AW23" s="1" t="s">
        <v>345</v>
      </c>
      <c r="AX23" s="78">
        <v>5</v>
      </c>
      <c r="AY23" s="78">
        <v>1</v>
      </c>
      <c r="AZ23" s="78">
        <v>2</v>
      </c>
      <c r="BA23" s="78">
        <v>0</v>
      </c>
      <c r="BB23" s="78">
        <v>0</v>
      </c>
      <c r="BC23" s="78">
        <v>2</v>
      </c>
      <c r="BD23" s="78">
        <v>0</v>
      </c>
      <c r="BE23" s="78">
        <v>0</v>
      </c>
      <c r="BF23" s="76">
        <v>2</v>
      </c>
      <c r="BG23" s="1" t="s">
        <v>400</v>
      </c>
      <c r="BH23" s="78">
        <v>4</v>
      </c>
      <c r="BI23" s="78">
        <v>1</v>
      </c>
      <c r="BJ23" s="78">
        <v>2</v>
      </c>
      <c r="BK23" s="78">
        <v>0</v>
      </c>
      <c r="BL23" s="78">
        <v>1</v>
      </c>
      <c r="BM23" s="78">
        <v>1</v>
      </c>
      <c r="BN23" s="78">
        <v>0</v>
      </c>
      <c r="BO23" s="78">
        <v>0</v>
      </c>
      <c r="BP23" s="76">
        <v>2</v>
      </c>
      <c r="BQ23" s="1" t="s">
        <v>404</v>
      </c>
      <c r="BR23" s="78">
        <v>5</v>
      </c>
      <c r="BS23" s="78">
        <v>2</v>
      </c>
      <c r="BT23" s="78">
        <v>2</v>
      </c>
      <c r="BU23" s="78">
        <v>1</v>
      </c>
      <c r="BV23" s="78">
        <v>0</v>
      </c>
      <c r="BW23" s="78">
        <v>0</v>
      </c>
      <c r="BX23" s="78">
        <v>0</v>
      </c>
      <c r="BY23" s="78">
        <v>0</v>
      </c>
      <c r="BZ23" s="76">
        <v>3</v>
      </c>
      <c r="CA23" s="1" t="s">
        <v>332</v>
      </c>
      <c r="CB23" s="78">
        <v>5</v>
      </c>
      <c r="CC23" s="78">
        <v>0</v>
      </c>
      <c r="CD23" s="78">
        <v>2</v>
      </c>
      <c r="CE23" s="78">
        <v>2</v>
      </c>
      <c r="CF23" s="78">
        <v>0</v>
      </c>
      <c r="CG23" s="78">
        <v>1</v>
      </c>
      <c r="CH23" s="78">
        <v>0</v>
      </c>
      <c r="CI23" s="78">
        <v>0</v>
      </c>
      <c r="CJ23" s="76">
        <v>2</v>
      </c>
      <c r="CK23" s="1" t="s">
        <v>403</v>
      </c>
      <c r="CL23" s="78">
        <v>5</v>
      </c>
      <c r="CM23" s="78">
        <v>0</v>
      </c>
      <c r="CN23" s="78">
        <v>0</v>
      </c>
      <c r="CO23" s="78">
        <v>0</v>
      </c>
      <c r="CP23" s="78">
        <v>0</v>
      </c>
      <c r="CQ23" s="78">
        <v>1</v>
      </c>
      <c r="CR23" s="78">
        <v>0</v>
      </c>
      <c r="CS23" s="78">
        <v>0</v>
      </c>
      <c r="CT23" s="76">
        <v>0</v>
      </c>
      <c r="CU23" s="1" t="s">
        <v>405</v>
      </c>
      <c r="CV23" s="78">
        <v>3</v>
      </c>
      <c r="CW23" s="78">
        <v>1</v>
      </c>
      <c r="CX23" s="78">
        <v>1</v>
      </c>
      <c r="CY23" s="78">
        <v>1</v>
      </c>
      <c r="CZ23" s="78">
        <v>1</v>
      </c>
      <c r="DA23" s="78">
        <v>0</v>
      </c>
      <c r="DB23" s="78">
        <v>0</v>
      </c>
      <c r="DC23" s="78">
        <v>0</v>
      </c>
      <c r="DD23" s="76">
        <v>4</v>
      </c>
      <c r="DE23" s="1" t="s">
        <v>344</v>
      </c>
      <c r="DF23" s="78">
        <v>3</v>
      </c>
      <c r="DG23" s="78">
        <v>0</v>
      </c>
      <c r="DH23" s="78">
        <v>1</v>
      </c>
      <c r="DI23" s="78">
        <v>0</v>
      </c>
      <c r="DJ23" s="78">
        <v>1</v>
      </c>
      <c r="DK23" s="78">
        <v>0</v>
      </c>
      <c r="DL23" s="78">
        <v>0</v>
      </c>
      <c r="DM23" s="78">
        <v>0</v>
      </c>
      <c r="DN23" s="76">
        <v>2</v>
      </c>
      <c r="DO23" s="1" t="s">
        <v>336</v>
      </c>
      <c r="DP23" s="78">
        <v>4</v>
      </c>
      <c r="DQ23" s="78">
        <v>0</v>
      </c>
      <c r="DR23" s="78">
        <v>2</v>
      </c>
      <c r="DS23" s="78">
        <v>0</v>
      </c>
      <c r="DT23" s="78">
        <v>0</v>
      </c>
      <c r="DU23" s="78">
        <v>1</v>
      </c>
      <c r="DV23" s="78">
        <v>0</v>
      </c>
      <c r="DW23" s="78">
        <v>0</v>
      </c>
      <c r="DX23" s="76">
        <v>2</v>
      </c>
      <c r="DY23" s="77">
        <v>1</v>
      </c>
      <c r="DZ23" s="43">
        <v>0</v>
      </c>
      <c r="EA23" s="43">
        <v>0</v>
      </c>
      <c r="EB23" s="45">
        <v>8</v>
      </c>
      <c r="EC23" s="43">
        <v>3</v>
      </c>
      <c r="ED23" s="44">
        <v>0</v>
      </c>
      <c r="EE23" s="71">
        <v>0</v>
      </c>
      <c r="EF23" s="43">
        <v>0</v>
      </c>
      <c r="EG23" s="43">
        <v>0</v>
      </c>
      <c r="EH23" s="43">
        <v>3</v>
      </c>
      <c r="EI23" s="43">
        <v>2</v>
      </c>
      <c r="EJ23" s="43">
        <v>0</v>
      </c>
      <c r="EK23" s="43">
        <v>0</v>
      </c>
      <c r="EL23" s="43">
        <v>0</v>
      </c>
      <c r="EM23" s="43">
        <v>0</v>
      </c>
      <c r="EN23" s="43"/>
      <c r="EO23" s="43"/>
      <c r="EP23" s="43"/>
      <c r="EQ23" s="44">
        <f t="shared" si="0"/>
        <v>5</v>
      </c>
      <c r="ER23" s="43">
        <v>0</v>
      </c>
      <c r="ES23" s="43">
        <v>0</v>
      </c>
      <c r="ET23" s="43">
        <v>0</v>
      </c>
      <c r="EU23" s="43">
        <v>5</v>
      </c>
      <c r="EV23" s="43">
        <v>1</v>
      </c>
      <c r="EW23" s="43">
        <v>0</v>
      </c>
      <c r="EX23" s="43">
        <v>0</v>
      </c>
      <c r="EY23" s="43">
        <v>3</v>
      </c>
      <c r="EZ23" s="43"/>
      <c r="FA23" s="43"/>
      <c r="FB23" s="43"/>
      <c r="FC23" s="43"/>
      <c r="FD23" s="43">
        <f t="shared" si="1"/>
        <v>9</v>
      </c>
      <c r="FE23" s="73">
        <f t="shared" si="2"/>
        <v>0</v>
      </c>
      <c r="FF23" s="73">
        <f t="shared" si="3"/>
        <v>0</v>
      </c>
      <c r="FG23" s="38"/>
    </row>
    <row r="24" spans="1:163" x14ac:dyDescent="0.25">
      <c r="A24" s="53">
        <v>40296</v>
      </c>
      <c r="B24" s="53" t="s">
        <v>133</v>
      </c>
      <c r="C24" s="53" t="s">
        <v>129</v>
      </c>
      <c r="D24" s="53" t="s">
        <v>346</v>
      </c>
      <c r="E24" s="54">
        <v>4623</v>
      </c>
      <c r="F24" s="58">
        <v>1</v>
      </c>
      <c r="G24" s="59" t="s">
        <v>397</v>
      </c>
      <c r="H24" s="6">
        <v>1</v>
      </c>
      <c r="I24" s="6">
        <v>0</v>
      </c>
      <c r="J24" s="60">
        <f>5+1/3</f>
        <v>5.333333333333333</v>
      </c>
      <c r="K24" s="6">
        <v>6</v>
      </c>
      <c r="L24" s="6">
        <v>2</v>
      </c>
      <c r="M24" s="6">
        <v>2</v>
      </c>
      <c r="N24" s="6">
        <v>1</v>
      </c>
      <c r="O24" s="6">
        <v>5</v>
      </c>
      <c r="P24" s="6">
        <v>0</v>
      </c>
      <c r="Q24" s="6">
        <v>0</v>
      </c>
      <c r="R24" s="6">
        <v>22</v>
      </c>
      <c r="S24" s="6">
        <v>96</v>
      </c>
      <c r="T24" s="6">
        <v>68</v>
      </c>
      <c r="U24" s="6">
        <v>2</v>
      </c>
      <c r="V24" s="61">
        <v>1</v>
      </c>
      <c r="W24" s="62">
        <v>0</v>
      </c>
      <c r="X24" s="62">
        <v>0</v>
      </c>
      <c r="Y24" s="62">
        <v>1</v>
      </c>
      <c r="Z24" s="62">
        <v>0</v>
      </c>
      <c r="AA24" s="62">
        <v>0</v>
      </c>
      <c r="AB24" s="63">
        <f>3+2/3</f>
        <v>3.6666666666666665</v>
      </c>
      <c r="AC24" s="62">
        <v>3</v>
      </c>
      <c r="AD24" s="62">
        <v>0</v>
      </c>
      <c r="AE24" s="62">
        <v>0</v>
      </c>
      <c r="AF24" s="62">
        <v>0</v>
      </c>
      <c r="AG24" s="62">
        <v>1</v>
      </c>
      <c r="AH24" s="62">
        <v>0</v>
      </c>
      <c r="AI24" s="62">
        <v>0</v>
      </c>
      <c r="AJ24" s="62">
        <v>14</v>
      </c>
      <c r="AK24" s="62">
        <v>52</v>
      </c>
      <c r="AL24" s="62">
        <v>33</v>
      </c>
      <c r="AM24" s="1" t="s">
        <v>330</v>
      </c>
      <c r="AN24" s="78">
        <v>5</v>
      </c>
      <c r="AO24" s="78">
        <v>0</v>
      </c>
      <c r="AP24" s="78">
        <v>0</v>
      </c>
      <c r="AQ24" s="78">
        <v>0</v>
      </c>
      <c r="AR24" s="78">
        <v>0</v>
      </c>
      <c r="AS24" s="78">
        <v>1</v>
      </c>
      <c r="AT24" s="78">
        <v>0</v>
      </c>
      <c r="AU24" s="78">
        <v>0</v>
      </c>
      <c r="AV24" s="76">
        <v>0</v>
      </c>
      <c r="AW24" s="1" t="s">
        <v>402</v>
      </c>
      <c r="AX24" s="78">
        <v>3</v>
      </c>
      <c r="AY24" s="78">
        <v>3</v>
      </c>
      <c r="AZ24" s="78">
        <v>1</v>
      </c>
      <c r="BA24" s="78">
        <v>1</v>
      </c>
      <c r="BB24" s="78">
        <v>2</v>
      </c>
      <c r="BC24" s="78">
        <v>1</v>
      </c>
      <c r="BD24" s="78">
        <v>0</v>
      </c>
      <c r="BE24" s="78">
        <v>0</v>
      </c>
      <c r="BF24" s="76">
        <v>4</v>
      </c>
      <c r="BG24" s="1" t="s">
        <v>400</v>
      </c>
      <c r="BH24" s="78">
        <v>4</v>
      </c>
      <c r="BI24" s="78">
        <v>3</v>
      </c>
      <c r="BJ24" s="78">
        <v>3</v>
      </c>
      <c r="BK24" s="78">
        <v>0</v>
      </c>
      <c r="BL24" s="78">
        <v>1</v>
      </c>
      <c r="BM24" s="78">
        <v>0</v>
      </c>
      <c r="BN24" s="78">
        <v>0</v>
      </c>
      <c r="BO24" s="78">
        <v>0</v>
      </c>
      <c r="BP24" s="76">
        <v>4</v>
      </c>
      <c r="BQ24" s="1" t="s">
        <v>404</v>
      </c>
      <c r="BR24" s="78">
        <v>4</v>
      </c>
      <c r="BS24" s="78">
        <v>0</v>
      </c>
      <c r="BT24" s="78">
        <v>2</v>
      </c>
      <c r="BU24" s="78">
        <v>3</v>
      </c>
      <c r="BV24" s="78">
        <v>1</v>
      </c>
      <c r="BW24" s="78">
        <v>0</v>
      </c>
      <c r="BX24" s="78">
        <v>0</v>
      </c>
      <c r="BY24" s="78">
        <v>0</v>
      </c>
      <c r="BZ24" s="76">
        <v>3</v>
      </c>
      <c r="CA24" s="1" t="s">
        <v>332</v>
      </c>
      <c r="CB24" s="78">
        <v>5</v>
      </c>
      <c r="CC24" s="78">
        <v>0</v>
      </c>
      <c r="CD24" s="78">
        <v>2</v>
      </c>
      <c r="CE24" s="78">
        <v>3</v>
      </c>
      <c r="CF24" s="78">
        <v>0</v>
      </c>
      <c r="CG24" s="78">
        <v>0</v>
      </c>
      <c r="CH24" s="78">
        <v>0</v>
      </c>
      <c r="CI24" s="78">
        <v>0</v>
      </c>
      <c r="CJ24" s="76">
        <v>3</v>
      </c>
      <c r="CK24" s="1" t="s">
        <v>403</v>
      </c>
      <c r="CL24" s="78">
        <v>5</v>
      </c>
      <c r="CM24" s="78">
        <v>0</v>
      </c>
      <c r="CN24" s="78">
        <v>0</v>
      </c>
      <c r="CO24" s="78">
        <v>0</v>
      </c>
      <c r="CP24" s="78">
        <v>0</v>
      </c>
      <c r="CQ24" s="78">
        <v>1</v>
      </c>
      <c r="CR24" s="78">
        <v>0</v>
      </c>
      <c r="CS24" s="78">
        <v>0</v>
      </c>
      <c r="CT24" s="76">
        <v>0</v>
      </c>
      <c r="CU24" s="1" t="s">
        <v>405</v>
      </c>
      <c r="CV24" s="78">
        <v>4</v>
      </c>
      <c r="CW24" s="78">
        <v>1</v>
      </c>
      <c r="CX24" s="78">
        <v>1</v>
      </c>
      <c r="CY24" s="78">
        <v>1</v>
      </c>
      <c r="CZ24" s="78">
        <v>0</v>
      </c>
      <c r="DA24" s="78">
        <v>0</v>
      </c>
      <c r="DB24" s="78">
        <v>0</v>
      </c>
      <c r="DC24" s="78">
        <v>0</v>
      </c>
      <c r="DD24" s="76">
        <v>4</v>
      </c>
      <c r="DE24" s="1" t="s">
        <v>331</v>
      </c>
      <c r="DF24" s="78">
        <v>2</v>
      </c>
      <c r="DG24" s="78">
        <v>2</v>
      </c>
      <c r="DH24" s="78">
        <v>1</v>
      </c>
      <c r="DI24" s="78">
        <v>1</v>
      </c>
      <c r="DJ24" s="78">
        <v>2</v>
      </c>
      <c r="DK24" s="78">
        <v>0</v>
      </c>
      <c r="DL24" s="78">
        <v>0</v>
      </c>
      <c r="DM24" s="78">
        <v>0</v>
      </c>
      <c r="DN24" s="76">
        <v>4</v>
      </c>
      <c r="DO24" s="1" t="s">
        <v>336</v>
      </c>
      <c r="DP24" s="78">
        <v>3</v>
      </c>
      <c r="DQ24" s="78">
        <v>0</v>
      </c>
      <c r="DR24" s="78">
        <v>0</v>
      </c>
      <c r="DS24" s="78">
        <v>0</v>
      </c>
      <c r="DT24" s="78">
        <v>1</v>
      </c>
      <c r="DU24" s="78">
        <v>0</v>
      </c>
      <c r="DV24" s="78">
        <v>0</v>
      </c>
      <c r="DW24" s="78">
        <v>0</v>
      </c>
      <c r="DX24" s="76">
        <v>0</v>
      </c>
      <c r="DY24" s="77">
        <f>1+1/3</f>
        <v>1.3333333333333333</v>
      </c>
      <c r="DZ24" s="43">
        <v>0</v>
      </c>
      <c r="EA24" s="43">
        <v>0</v>
      </c>
      <c r="EB24" s="45">
        <f>7+2/3</f>
        <v>7.666666666666667</v>
      </c>
      <c r="EC24" s="43">
        <v>0</v>
      </c>
      <c r="ED24" s="44">
        <v>0</v>
      </c>
      <c r="EE24" s="71">
        <v>0</v>
      </c>
      <c r="EF24" s="43">
        <v>0</v>
      </c>
      <c r="EG24" s="43">
        <v>1</v>
      </c>
      <c r="EH24" s="43">
        <v>0</v>
      </c>
      <c r="EI24" s="43">
        <v>1</v>
      </c>
      <c r="EJ24" s="43">
        <v>2</v>
      </c>
      <c r="EK24" s="43">
        <v>0</v>
      </c>
      <c r="EL24" s="43">
        <v>2</v>
      </c>
      <c r="EM24" s="43">
        <v>3</v>
      </c>
      <c r="EN24" s="43"/>
      <c r="EO24" s="43"/>
      <c r="EP24" s="43"/>
      <c r="EQ24" s="44">
        <f t="shared" si="0"/>
        <v>9</v>
      </c>
      <c r="ER24" s="43">
        <v>0</v>
      </c>
      <c r="ES24" s="43">
        <v>0</v>
      </c>
      <c r="ET24" s="43">
        <v>0</v>
      </c>
      <c r="EU24" s="43">
        <v>0</v>
      </c>
      <c r="EV24" s="43">
        <v>0</v>
      </c>
      <c r="EW24" s="43">
        <v>2</v>
      </c>
      <c r="EX24" s="43">
        <v>0</v>
      </c>
      <c r="EY24" s="43">
        <v>0</v>
      </c>
      <c r="EZ24" s="43">
        <v>0</v>
      </c>
      <c r="FA24" s="43"/>
      <c r="FB24" s="43"/>
      <c r="FC24" s="43"/>
      <c r="FD24" s="43">
        <f t="shared" si="1"/>
        <v>2</v>
      </c>
      <c r="FE24" s="73">
        <f t="shared" si="2"/>
        <v>0</v>
      </c>
      <c r="FF24" s="73">
        <f t="shared" si="3"/>
        <v>0</v>
      </c>
      <c r="FG24" s="38"/>
    </row>
    <row r="25" spans="1:163" x14ac:dyDescent="0.25">
      <c r="A25" s="53">
        <v>40297</v>
      </c>
      <c r="B25" s="53" t="s">
        <v>133</v>
      </c>
      <c r="C25" s="53" t="s">
        <v>131</v>
      </c>
      <c r="D25" s="53" t="s">
        <v>346</v>
      </c>
      <c r="E25" s="54">
        <v>4599</v>
      </c>
      <c r="F25" s="58">
        <v>2</v>
      </c>
      <c r="G25" s="59" t="s">
        <v>337</v>
      </c>
      <c r="H25" s="6">
        <v>0</v>
      </c>
      <c r="I25" s="6">
        <v>1</v>
      </c>
      <c r="J25" s="60">
        <v>8</v>
      </c>
      <c r="K25" s="6">
        <v>8</v>
      </c>
      <c r="L25" s="6">
        <v>4</v>
      </c>
      <c r="M25" s="6">
        <v>3</v>
      </c>
      <c r="N25" s="6">
        <v>0</v>
      </c>
      <c r="O25" s="6">
        <v>3</v>
      </c>
      <c r="P25" s="6">
        <v>1</v>
      </c>
      <c r="Q25" s="6">
        <v>0</v>
      </c>
      <c r="R25" s="6">
        <v>29</v>
      </c>
      <c r="S25" s="6">
        <v>99</v>
      </c>
      <c r="T25" s="6">
        <v>65</v>
      </c>
      <c r="U25" s="6">
        <v>0</v>
      </c>
      <c r="V25" s="61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3">
        <v>0</v>
      </c>
      <c r="AC25" s="62">
        <v>0</v>
      </c>
      <c r="AD25" s="62">
        <v>0</v>
      </c>
      <c r="AE25" s="62">
        <v>0</v>
      </c>
      <c r="AF25" s="62">
        <v>0</v>
      </c>
      <c r="AG25" s="62">
        <v>0</v>
      </c>
      <c r="AH25" s="62">
        <v>0</v>
      </c>
      <c r="AI25" s="62">
        <v>0</v>
      </c>
      <c r="AJ25" s="62">
        <v>0</v>
      </c>
      <c r="AK25" s="62">
        <v>0</v>
      </c>
      <c r="AL25" s="62">
        <v>0</v>
      </c>
      <c r="AM25" s="1" t="s">
        <v>330</v>
      </c>
      <c r="AN25" s="78">
        <v>4</v>
      </c>
      <c r="AO25" s="78">
        <v>0</v>
      </c>
      <c r="AP25" s="78">
        <v>1</v>
      </c>
      <c r="AQ25" s="78">
        <v>0</v>
      </c>
      <c r="AR25" s="78">
        <v>0</v>
      </c>
      <c r="AS25" s="78">
        <v>2</v>
      </c>
      <c r="AT25" s="78">
        <v>0</v>
      </c>
      <c r="AU25" s="78">
        <v>0</v>
      </c>
      <c r="AV25" s="76">
        <v>0</v>
      </c>
      <c r="AW25" s="1" t="s">
        <v>402</v>
      </c>
      <c r="AX25" s="78">
        <v>3</v>
      </c>
      <c r="AY25" s="78">
        <v>0</v>
      </c>
      <c r="AZ25" s="78">
        <v>0</v>
      </c>
      <c r="BA25" s="78">
        <v>0</v>
      </c>
      <c r="BB25" s="78">
        <v>0</v>
      </c>
      <c r="BC25" s="78">
        <v>1</v>
      </c>
      <c r="BD25" s="78">
        <v>0</v>
      </c>
      <c r="BE25" s="78">
        <v>0</v>
      </c>
      <c r="BF25" s="76">
        <v>0</v>
      </c>
      <c r="BG25" s="1" t="s">
        <v>345</v>
      </c>
      <c r="BH25" s="78">
        <v>3</v>
      </c>
      <c r="BI25" s="78">
        <v>0</v>
      </c>
      <c r="BJ25" s="78">
        <v>0</v>
      </c>
      <c r="BK25" s="78">
        <v>0</v>
      </c>
      <c r="BL25" s="78">
        <v>0</v>
      </c>
      <c r="BM25" s="78">
        <v>1</v>
      </c>
      <c r="BN25" s="78">
        <v>0</v>
      </c>
      <c r="BO25" s="78">
        <v>0</v>
      </c>
      <c r="BP25" s="76">
        <v>0</v>
      </c>
      <c r="BQ25" s="1" t="s">
        <v>404</v>
      </c>
      <c r="BR25" s="78">
        <v>3</v>
      </c>
      <c r="BS25" s="78">
        <v>0</v>
      </c>
      <c r="BT25" s="78">
        <v>0</v>
      </c>
      <c r="BU25" s="78">
        <v>0</v>
      </c>
      <c r="BV25" s="78">
        <v>0</v>
      </c>
      <c r="BW25" s="78">
        <v>0</v>
      </c>
      <c r="BX25" s="78">
        <v>0</v>
      </c>
      <c r="BY25" s="78">
        <v>0</v>
      </c>
      <c r="BZ25" s="76">
        <v>0</v>
      </c>
      <c r="CA25" s="1" t="s">
        <v>344</v>
      </c>
      <c r="CB25" s="78">
        <v>3</v>
      </c>
      <c r="CC25" s="78">
        <v>0</v>
      </c>
      <c r="CD25" s="78">
        <v>0</v>
      </c>
      <c r="CE25" s="78">
        <v>0</v>
      </c>
      <c r="CF25" s="78">
        <v>0</v>
      </c>
      <c r="CG25" s="78">
        <v>0</v>
      </c>
      <c r="CH25" s="78">
        <v>0</v>
      </c>
      <c r="CI25" s="78">
        <v>0</v>
      </c>
      <c r="CJ25" s="76">
        <v>0</v>
      </c>
      <c r="CK25" s="1" t="s">
        <v>405</v>
      </c>
      <c r="CL25" s="78">
        <v>3</v>
      </c>
      <c r="CM25" s="78">
        <v>0</v>
      </c>
      <c r="CN25" s="78">
        <v>0</v>
      </c>
      <c r="CO25" s="78">
        <v>0</v>
      </c>
      <c r="CP25" s="78">
        <v>0</v>
      </c>
      <c r="CQ25" s="78">
        <v>1</v>
      </c>
      <c r="CR25" s="78">
        <v>0</v>
      </c>
      <c r="CS25" s="78">
        <v>0</v>
      </c>
      <c r="CT25" s="76">
        <v>0</v>
      </c>
      <c r="CU25" s="1" t="s">
        <v>403</v>
      </c>
      <c r="CV25" s="78">
        <v>3</v>
      </c>
      <c r="CW25" s="78">
        <v>0</v>
      </c>
      <c r="CX25" s="78">
        <v>0</v>
      </c>
      <c r="CY25" s="78">
        <v>0</v>
      </c>
      <c r="CZ25" s="78">
        <v>0</v>
      </c>
      <c r="DA25" s="78">
        <v>0</v>
      </c>
      <c r="DB25" s="78">
        <v>0</v>
      </c>
      <c r="DC25" s="78">
        <v>0</v>
      </c>
      <c r="DD25" s="76">
        <v>0</v>
      </c>
      <c r="DE25" s="1" t="s">
        <v>331</v>
      </c>
      <c r="DF25" s="78">
        <v>3</v>
      </c>
      <c r="DG25" s="78">
        <v>0</v>
      </c>
      <c r="DH25" s="78">
        <v>0</v>
      </c>
      <c r="DI25" s="78">
        <v>0</v>
      </c>
      <c r="DJ25" s="78">
        <v>0</v>
      </c>
      <c r="DK25" s="78">
        <v>1</v>
      </c>
      <c r="DL25" s="78">
        <v>0</v>
      </c>
      <c r="DM25" s="78">
        <v>0</v>
      </c>
      <c r="DN25" s="76">
        <v>0</v>
      </c>
      <c r="DO25" s="1" t="s">
        <v>336</v>
      </c>
      <c r="DP25" s="78">
        <v>3</v>
      </c>
      <c r="DQ25" s="78">
        <v>0</v>
      </c>
      <c r="DR25" s="78">
        <v>0</v>
      </c>
      <c r="DS25" s="78">
        <v>0</v>
      </c>
      <c r="DT25" s="78">
        <v>0</v>
      </c>
      <c r="DU25" s="78">
        <v>0</v>
      </c>
      <c r="DV25" s="78">
        <v>0</v>
      </c>
      <c r="DW25" s="78">
        <v>0</v>
      </c>
      <c r="DX25" s="76">
        <v>0</v>
      </c>
      <c r="DY25" s="77">
        <v>0</v>
      </c>
      <c r="DZ25" s="43">
        <v>0</v>
      </c>
      <c r="EA25" s="43">
        <v>0</v>
      </c>
      <c r="EB25" s="45">
        <v>9</v>
      </c>
      <c r="EC25" s="43">
        <v>0</v>
      </c>
      <c r="ED25" s="44">
        <v>0</v>
      </c>
      <c r="EE25" s="71">
        <v>0</v>
      </c>
      <c r="EF25" s="43">
        <v>0</v>
      </c>
      <c r="EG25" s="43">
        <v>0</v>
      </c>
      <c r="EH25" s="43">
        <v>0</v>
      </c>
      <c r="EI25" s="43">
        <v>0</v>
      </c>
      <c r="EJ25" s="43">
        <v>0</v>
      </c>
      <c r="EK25" s="43">
        <v>0</v>
      </c>
      <c r="EL25" s="43">
        <v>0</v>
      </c>
      <c r="EM25" s="43">
        <v>0</v>
      </c>
      <c r="EN25" s="43"/>
      <c r="EO25" s="43"/>
      <c r="EP25" s="43"/>
      <c r="EQ25" s="44">
        <f t="shared" si="0"/>
        <v>0</v>
      </c>
      <c r="ER25" s="43">
        <v>0</v>
      </c>
      <c r="ES25" s="43">
        <v>0</v>
      </c>
      <c r="ET25" s="43">
        <v>0</v>
      </c>
      <c r="EU25" s="43">
        <v>1</v>
      </c>
      <c r="EV25" s="43">
        <v>0</v>
      </c>
      <c r="EW25" s="43">
        <v>0</v>
      </c>
      <c r="EX25" s="43">
        <v>2</v>
      </c>
      <c r="EY25" s="43">
        <v>1</v>
      </c>
      <c r="EZ25" s="43"/>
      <c r="FA25" s="43"/>
      <c r="FB25" s="43"/>
      <c r="FC25" s="43"/>
      <c r="FD25" s="43">
        <f t="shared" si="1"/>
        <v>4</v>
      </c>
      <c r="FE25" s="73">
        <f t="shared" si="2"/>
        <v>0</v>
      </c>
      <c r="FF25" s="73">
        <f t="shared" si="3"/>
        <v>0</v>
      </c>
      <c r="FG25" s="38"/>
    </row>
    <row r="26" spans="1:163" x14ac:dyDescent="0.25">
      <c r="A26" s="53">
        <v>40298</v>
      </c>
      <c r="B26" s="53" t="s">
        <v>133</v>
      </c>
      <c r="C26" s="53" t="s">
        <v>131</v>
      </c>
      <c r="D26" s="53" t="s">
        <v>346</v>
      </c>
      <c r="E26" s="54">
        <v>9129</v>
      </c>
      <c r="F26" s="58">
        <v>3</v>
      </c>
      <c r="G26" s="59" t="s">
        <v>341</v>
      </c>
      <c r="H26" s="6">
        <v>0</v>
      </c>
      <c r="I26" s="6">
        <v>1</v>
      </c>
      <c r="J26" s="60">
        <f>3+1/3</f>
        <v>3.3333333333333335</v>
      </c>
      <c r="K26" s="6">
        <v>8</v>
      </c>
      <c r="L26" s="6">
        <v>7</v>
      </c>
      <c r="M26" s="6">
        <v>4</v>
      </c>
      <c r="N26" s="6">
        <v>2</v>
      </c>
      <c r="O26" s="6">
        <v>4</v>
      </c>
      <c r="P26" s="6">
        <v>2</v>
      </c>
      <c r="Q26" s="6">
        <v>0</v>
      </c>
      <c r="R26" s="6">
        <v>22</v>
      </c>
      <c r="S26" s="6">
        <v>88</v>
      </c>
      <c r="T26" s="6">
        <v>53</v>
      </c>
      <c r="U26" s="6">
        <v>0</v>
      </c>
      <c r="V26" s="61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3">
        <f>4+2/3</f>
        <v>4.666666666666667</v>
      </c>
      <c r="AC26" s="62">
        <v>8</v>
      </c>
      <c r="AD26" s="62">
        <v>5</v>
      </c>
      <c r="AE26" s="62">
        <v>5</v>
      </c>
      <c r="AF26" s="62">
        <v>2</v>
      </c>
      <c r="AG26" s="62">
        <v>2</v>
      </c>
      <c r="AH26" s="62">
        <v>1</v>
      </c>
      <c r="AI26" s="62">
        <v>0</v>
      </c>
      <c r="AJ26" s="62">
        <v>24</v>
      </c>
      <c r="AK26" s="62">
        <v>84</v>
      </c>
      <c r="AL26" s="62">
        <v>50</v>
      </c>
      <c r="AM26" s="1" t="s">
        <v>330</v>
      </c>
      <c r="AN26" s="78">
        <v>4</v>
      </c>
      <c r="AO26" s="78">
        <v>0</v>
      </c>
      <c r="AP26" s="78">
        <v>1</v>
      </c>
      <c r="AQ26" s="78">
        <v>1</v>
      </c>
      <c r="AR26" s="78">
        <v>1</v>
      </c>
      <c r="AS26" s="78">
        <v>1</v>
      </c>
      <c r="AT26" s="78">
        <v>0</v>
      </c>
      <c r="AU26" s="78">
        <v>0</v>
      </c>
      <c r="AV26" s="76">
        <v>1</v>
      </c>
      <c r="AW26" s="1" t="s">
        <v>402</v>
      </c>
      <c r="AX26" s="78">
        <v>5</v>
      </c>
      <c r="AY26" s="78">
        <v>1</v>
      </c>
      <c r="AZ26" s="78">
        <v>1</v>
      </c>
      <c r="BA26" s="78">
        <v>0</v>
      </c>
      <c r="BB26" s="78">
        <v>0</v>
      </c>
      <c r="BC26" s="78">
        <v>1</v>
      </c>
      <c r="BD26" s="78">
        <v>0</v>
      </c>
      <c r="BE26" s="78">
        <v>0</v>
      </c>
      <c r="BF26" s="76">
        <v>1</v>
      </c>
      <c r="BG26" s="1" t="s">
        <v>400</v>
      </c>
      <c r="BH26" s="78">
        <v>5</v>
      </c>
      <c r="BI26" s="78">
        <v>1</v>
      </c>
      <c r="BJ26" s="78">
        <v>2</v>
      </c>
      <c r="BK26" s="78">
        <v>0</v>
      </c>
      <c r="BL26" s="78">
        <v>0</v>
      </c>
      <c r="BM26" s="78">
        <v>2</v>
      </c>
      <c r="BN26" s="78">
        <v>0</v>
      </c>
      <c r="BO26" s="78">
        <v>0</v>
      </c>
      <c r="BP26" s="76">
        <v>2</v>
      </c>
      <c r="BQ26" s="1" t="s">
        <v>332</v>
      </c>
      <c r="BR26" s="78">
        <v>3</v>
      </c>
      <c r="BS26" s="78">
        <v>2</v>
      </c>
      <c r="BT26" s="78">
        <v>1</v>
      </c>
      <c r="BU26" s="78">
        <v>1</v>
      </c>
      <c r="BV26" s="78">
        <v>1</v>
      </c>
      <c r="BW26" s="78">
        <v>0</v>
      </c>
      <c r="BX26" s="78">
        <v>0</v>
      </c>
      <c r="BY26" s="78">
        <v>0</v>
      </c>
      <c r="BZ26" s="76">
        <v>2</v>
      </c>
      <c r="CA26" s="1" t="s">
        <v>344</v>
      </c>
      <c r="CB26" s="78">
        <v>5</v>
      </c>
      <c r="CC26" s="78">
        <v>1</v>
      </c>
      <c r="CD26" s="78">
        <v>1</v>
      </c>
      <c r="CE26" s="78">
        <v>1</v>
      </c>
      <c r="CF26" s="78">
        <v>0</v>
      </c>
      <c r="CG26" s="78">
        <v>2</v>
      </c>
      <c r="CH26" s="78">
        <v>0</v>
      </c>
      <c r="CI26" s="78">
        <v>0</v>
      </c>
      <c r="CJ26" s="76">
        <v>1</v>
      </c>
      <c r="CK26" s="1" t="s">
        <v>405</v>
      </c>
      <c r="CL26" s="78">
        <v>3</v>
      </c>
      <c r="CM26" s="78">
        <v>0</v>
      </c>
      <c r="CN26" s="78">
        <v>0</v>
      </c>
      <c r="CO26" s="78">
        <v>0</v>
      </c>
      <c r="CP26" s="78">
        <v>2</v>
      </c>
      <c r="CQ26" s="78">
        <v>0</v>
      </c>
      <c r="CR26" s="78">
        <v>0</v>
      </c>
      <c r="CS26" s="78">
        <v>0</v>
      </c>
      <c r="CT26" s="76">
        <v>0</v>
      </c>
      <c r="CU26" s="1" t="s">
        <v>331</v>
      </c>
      <c r="CV26" s="78">
        <v>4</v>
      </c>
      <c r="CW26" s="78">
        <v>2</v>
      </c>
      <c r="CX26" s="78">
        <v>2</v>
      </c>
      <c r="CY26" s="78">
        <v>2</v>
      </c>
      <c r="CZ26" s="78">
        <v>1</v>
      </c>
      <c r="DA26" s="78">
        <v>0</v>
      </c>
      <c r="DB26" s="78">
        <v>0</v>
      </c>
      <c r="DC26" s="78">
        <v>0</v>
      </c>
      <c r="DD26" s="76">
        <v>6</v>
      </c>
      <c r="DE26" s="1" t="s">
        <v>345</v>
      </c>
      <c r="DF26" s="78">
        <v>3</v>
      </c>
      <c r="DG26" s="78">
        <v>0</v>
      </c>
      <c r="DH26" s="78">
        <v>1</v>
      </c>
      <c r="DI26" s="78">
        <v>1</v>
      </c>
      <c r="DJ26" s="78">
        <v>1</v>
      </c>
      <c r="DK26" s="78">
        <v>2</v>
      </c>
      <c r="DL26" s="78">
        <v>0</v>
      </c>
      <c r="DM26" s="78">
        <v>0</v>
      </c>
      <c r="DN26" s="76">
        <v>1</v>
      </c>
      <c r="DO26" s="1" t="s">
        <v>336</v>
      </c>
      <c r="DP26" s="78">
        <v>3</v>
      </c>
      <c r="DQ26" s="78">
        <v>0</v>
      </c>
      <c r="DR26" s="78">
        <v>2</v>
      </c>
      <c r="DS26" s="78">
        <v>1</v>
      </c>
      <c r="DT26" s="78">
        <v>0</v>
      </c>
      <c r="DU26" s="78">
        <v>0</v>
      </c>
      <c r="DV26" s="78">
        <v>0</v>
      </c>
      <c r="DW26" s="78">
        <v>1</v>
      </c>
      <c r="DX26" s="76">
        <v>2</v>
      </c>
      <c r="DY26" s="77">
        <f>5+1/3</f>
        <v>5.333333333333333</v>
      </c>
      <c r="DZ26" s="43">
        <v>2</v>
      </c>
      <c r="EA26" s="43">
        <v>0</v>
      </c>
      <c r="EB26" s="45">
        <f>3+2/3</f>
        <v>3.6666666666666665</v>
      </c>
      <c r="EC26" s="43">
        <v>0</v>
      </c>
      <c r="ED26" s="44">
        <v>0</v>
      </c>
      <c r="EE26" s="71">
        <v>0</v>
      </c>
      <c r="EF26" s="43">
        <v>2</v>
      </c>
      <c r="EG26" s="43">
        <v>0</v>
      </c>
      <c r="EH26" s="43">
        <v>3</v>
      </c>
      <c r="EI26" s="43">
        <v>1</v>
      </c>
      <c r="EJ26" s="43">
        <v>1</v>
      </c>
      <c r="EK26" s="43">
        <v>0</v>
      </c>
      <c r="EL26" s="43">
        <v>0</v>
      </c>
      <c r="EM26" s="43">
        <v>0</v>
      </c>
      <c r="EN26" s="43"/>
      <c r="EO26" s="43"/>
      <c r="EP26" s="43"/>
      <c r="EQ26" s="44">
        <f t="shared" si="0"/>
        <v>7</v>
      </c>
      <c r="ER26" s="43">
        <v>0</v>
      </c>
      <c r="ES26" s="43">
        <v>1</v>
      </c>
      <c r="ET26" s="43">
        <v>2</v>
      </c>
      <c r="EU26" s="43">
        <v>6</v>
      </c>
      <c r="EV26" s="43">
        <v>2</v>
      </c>
      <c r="EW26" s="43">
        <v>1</v>
      </c>
      <c r="EX26" s="43">
        <v>0</v>
      </c>
      <c r="EY26" s="43">
        <v>0</v>
      </c>
      <c r="EZ26" s="43"/>
      <c r="FA26" s="43"/>
      <c r="FB26" s="43"/>
      <c r="FC26" s="43"/>
      <c r="FD26" s="43">
        <f t="shared" si="1"/>
        <v>12</v>
      </c>
      <c r="FE26" s="73">
        <f t="shared" si="2"/>
        <v>0</v>
      </c>
      <c r="FF26" s="73">
        <f t="shared" si="3"/>
        <v>0</v>
      </c>
      <c r="FG26" s="38"/>
    </row>
    <row r="27" spans="1:163" x14ac:dyDescent="0.25">
      <c r="A27" s="53">
        <v>40299</v>
      </c>
      <c r="B27" s="53" t="s">
        <v>133</v>
      </c>
      <c r="C27" s="53" t="s">
        <v>131</v>
      </c>
      <c r="D27" s="53" t="s">
        <v>349</v>
      </c>
      <c r="E27" s="54">
        <v>4619</v>
      </c>
      <c r="F27" s="58">
        <v>4</v>
      </c>
      <c r="G27" s="59" t="s">
        <v>334</v>
      </c>
      <c r="H27" s="6">
        <v>0</v>
      </c>
      <c r="I27" s="6">
        <v>1</v>
      </c>
      <c r="J27" s="60">
        <v>5</v>
      </c>
      <c r="K27" s="6">
        <v>4</v>
      </c>
      <c r="L27" s="6">
        <v>1</v>
      </c>
      <c r="M27" s="6">
        <v>1</v>
      </c>
      <c r="N27" s="6">
        <v>1</v>
      </c>
      <c r="O27" s="6">
        <v>4</v>
      </c>
      <c r="P27" s="6">
        <v>0</v>
      </c>
      <c r="Q27" s="6">
        <v>0</v>
      </c>
      <c r="R27" s="6">
        <v>19</v>
      </c>
      <c r="S27" s="6">
        <v>81</v>
      </c>
      <c r="T27" s="6">
        <v>50</v>
      </c>
      <c r="U27" s="6">
        <v>0</v>
      </c>
      <c r="V27" s="61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3">
        <v>3</v>
      </c>
      <c r="AC27" s="62">
        <v>3</v>
      </c>
      <c r="AD27" s="62">
        <v>0</v>
      </c>
      <c r="AE27" s="62">
        <v>0</v>
      </c>
      <c r="AF27" s="62">
        <v>2</v>
      </c>
      <c r="AG27" s="62">
        <v>3</v>
      </c>
      <c r="AH27" s="62">
        <v>0</v>
      </c>
      <c r="AI27" s="62">
        <v>0</v>
      </c>
      <c r="AJ27" s="62">
        <v>14</v>
      </c>
      <c r="AK27" s="62">
        <v>51</v>
      </c>
      <c r="AL27" s="62">
        <v>33</v>
      </c>
      <c r="AM27" s="1" t="s">
        <v>330</v>
      </c>
      <c r="AN27" s="78">
        <v>4</v>
      </c>
      <c r="AO27" s="78">
        <v>0</v>
      </c>
      <c r="AP27" s="78">
        <v>0</v>
      </c>
      <c r="AQ27" s="78">
        <v>0</v>
      </c>
      <c r="AR27" s="78">
        <v>0</v>
      </c>
      <c r="AS27" s="78">
        <v>1</v>
      </c>
      <c r="AT27" s="78">
        <v>0</v>
      </c>
      <c r="AU27" s="78">
        <v>0</v>
      </c>
      <c r="AV27" s="76">
        <v>0</v>
      </c>
      <c r="AW27" s="1" t="s">
        <v>345</v>
      </c>
      <c r="AX27" s="78">
        <v>3</v>
      </c>
      <c r="AY27" s="78">
        <v>0</v>
      </c>
      <c r="AZ27" s="78">
        <v>1</v>
      </c>
      <c r="BA27" s="78">
        <v>0</v>
      </c>
      <c r="BB27" s="78">
        <v>1</v>
      </c>
      <c r="BC27" s="78">
        <v>0</v>
      </c>
      <c r="BD27" s="78">
        <v>0</v>
      </c>
      <c r="BE27" s="78">
        <v>0</v>
      </c>
      <c r="BF27" s="76">
        <v>1</v>
      </c>
      <c r="BG27" s="1" t="s">
        <v>400</v>
      </c>
      <c r="BH27" s="78">
        <v>4</v>
      </c>
      <c r="BI27" s="78">
        <v>0</v>
      </c>
      <c r="BJ27" s="78">
        <v>0</v>
      </c>
      <c r="BK27" s="78">
        <v>0</v>
      </c>
      <c r="BL27" s="78">
        <v>0</v>
      </c>
      <c r="BM27" s="78">
        <v>2</v>
      </c>
      <c r="BN27" s="78">
        <v>0</v>
      </c>
      <c r="BO27" s="78">
        <v>0</v>
      </c>
      <c r="BP27" s="76">
        <v>0</v>
      </c>
      <c r="BQ27" s="1" t="s">
        <v>404</v>
      </c>
      <c r="BR27" s="78">
        <v>2</v>
      </c>
      <c r="BS27" s="78">
        <v>0</v>
      </c>
      <c r="BT27" s="78">
        <v>0</v>
      </c>
      <c r="BU27" s="78">
        <v>0</v>
      </c>
      <c r="BV27" s="78">
        <v>1</v>
      </c>
      <c r="BW27" s="78">
        <v>2</v>
      </c>
      <c r="BX27" s="78">
        <v>0</v>
      </c>
      <c r="BY27" s="78">
        <v>0</v>
      </c>
      <c r="BZ27" s="76">
        <v>0</v>
      </c>
      <c r="CA27" s="1" t="s">
        <v>332</v>
      </c>
      <c r="CB27" s="78">
        <v>3</v>
      </c>
      <c r="CC27" s="78">
        <v>0</v>
      </c>
      <c r="CD27" s="78">
        <v>1</v>
      </c>
      <c r="CE27" s="78">
        <v>0</v>
      </c>
      <c r="CF27" s="78">
        <v>0</v>
      </c>
      <c r="CG27" s="78">
        <v>1</v>
      </c>
      <c r="CH27" s="78">
        <v>0</v>
      </c>
      <c r="CI27" s="78">
        <v>0</v>
      </c>
      <c r="CJ27" s="76">
        <v>1</v>
      </c>
      <c r="CK27" s="1" t="s">
        <v>403</v>
      </c>
      <c r="CL27" s="78">
        <v>3</v>
      </c>
      <c r="CM27" s="78">
        <v>0</v>
      </c>
      <c r="CN27" s="78">
        <v>0</v>
      </c>
      <c r="CO27" s="78">
        <v>0</v>
      </c>
      <c r="CP27" s="78">
        <v>0</v>
      </c>
      <c r="CQ27" s="78">
        <v>1</v>
      </c>
      <c r="CR27" s="78">
        <v>0</v>
      </c>
      <c r="CS27" s="78">
        <v>0</v>
      </c>
      <c r="CT27" s="76">
        <v>0</v>
      </c>
      <c r="CU27" s="1" t="s">
        <v>344</v>
      </c>
      <c r="CV27" s="78">
        <v>3</v>
      </c>
      <c r="CW27" s="78">
        <v>0</v>
      </c>
      <c r="CX27" s="78">
        <v>1</v>
      </c>
      <c r="CY27" s="78">
        <v>0</v>
      </c>
      <c r="CZ27" s="78">
        <v>0</v>
      </c>
      <c r="DA27" s="78">
        <v>2</v>
      </c>
      <c r="DB27" s="78">
        <v>0</v>
      </c>
      <c r="DC27" s="78">
        <v>0</v>
      </c>
      <c r="DD27" s="76">
        <v>1</v>
      </c>
      <c r="DE27" s="1" t="s">
        <v>331</v>
      </c>
      <c r="DF27" s="78">
        <v>3</v>
      </c>
      <c r="DG27" s="78">
        <v>0</v>
      </c>
      <c r="DH27" s="78">
        <v>2</v>
      </c>
      <c r="DI27" s="78">
        <v>0</v>
      </c>
      <c r="DJ27" s="78">
        <v>0</v>
      </c>
      <c r="DK27" s="78">
        <v>0</v>
      </c>
      <c r="DL27" s="78">
        <v>0</v>
      </c>
      <c r="DM27" s="78">
        <v>0</v>
      </c>
      <c r="DN27" s="76">
        <v>2</v>
      </c>
      <c r="DO27" s="1" t="s">
        <v>407</v>
      </c>
      <c r="DP27" s="78">
        <v>3</v>
      </c>
      <c r="DQ27" s="78">
        <v>0</v>
      </c>
      <c r="DR27" s="78">
        <v>0</v>
      </c>
      <c r="DS27" s="78">
        <v>0</v>
      </c>
      <c r="DT27" s="78">
        <v>0</v>
      </c>
      <c r="DU27" s="78">
        <v>0</v>
      </c>
      <c r="DV27" s="78">
        <v>0</v>
      </c>
      <c r="DW27" s="78">
        <v>0</v>
      </c>
      <c r="DX27" s="76">
        <v>0</v>
      </c>
      <c r="DY27" s="77">
        <v>2</v>
      </c>
      <c r="DZ27" s="43">
        <v>1</v>
      </c>
      <c r="EA27" s="43">
        <v>0</v>
      </c>
      <c r="EB27" s="45">
        <v>7</v>
      </c>
      <c r="EC27" s="43">
        <v>0</v>
      </c>
      <c r="ED27" s="44">
        <v>1</v>
      </c>
      <c r="EE27" s="71">
        <v>0</v>
      </c>
      <c r="EF27" s="43">
        <v>0</v>
      </c>
      <c r="EG27" s="43">
        <v>0</v>
      </c>
      <c r="EH27" s="43">
        <v>0</v>
      </c>
      <c r="EI27" s="43">
        <v>0</v>
      </c>
      <c r="EJ27" s="43">
        <v>0</v>
      </c>
      <c r="EK27" s="43">
        <v>0</v>
      </c>
      <c r="EL27" s="43">
        <v>0</v>
      </c>
      <c r="EM27" s="43">
        <v>0</v>
      </c>
      <c r="EN27" s="43"/>
      <c r="EO27" s="43"/>
      <c r="EP27" s="43"/>
      <c r="EQ27" s="44">
        <f t="shared" si="0"/>
        <v>0</v>
      </c>
      <c r="ER27" s="43">
        <v>1</v>
      </c>
      <c r="ES27" s="43">
        <v>0</v>
      </c>
      <c r="ET27" s="43">
        <v>0</v>
      </c>
      <c r="EU27" s="43">
        <v>0</v>
      </c>
      <c r="EV27" s="43">
        <v>0</v>
      </c>
      <c r="EW27" s="43">
        <v>0</v>
      </c>
      <c r="EX27" s="43">
        <v>0</v>
      </c>
      <c r="EY27" s="43">
        <v>0</v>
      </c>
      <c r="EZ27" s="43"/>
      <c r="FA27" s="43"/>
      <c r="FB27" s="43"/>
      <c r="FC27" s="43"/>
      <c r="FD27" s="43">
        <f t="shared" si="1"/>
        <v>1</v>
      </c>
      <c r="FE27" s="73">
        <f t="shared" si="2"/>
        <v>0</v>
      </c>
      <c r="FF27" s="73">
        <f t="shared" si="3"/>
        <v>0</v>
      </c>
      <c r="FG27" s="38"/>
    </row>
    <row r="28" spans="1:163" x14ac:dyDescent="0.25">
      <c r="A28" s="53">
        <v>40300</v>
      </c>
      <c r="B28" s="53" t="s">
        <v>133</v>
      </c>
      <c r="C28" s="53" t="s">
        <v>131</v>
      </c>
      <c r="D28" s="53" t="s">
        <v>349</v>
      </c>
      <c r="E28" s="54">
        <v>5325</v>
      </c>
      <c r="F28" s="58">
        <v>5</v>
      </c>
      <c r="G28" s="59" t="s">
        <v>339</v>
      </c>
      <c r="H28" s="6">
        <v>0</v>
      </c>
      <c r="I28" s="6">
        <v>0</v>
      </c>
      <c r="J28" s="60">
        <v>7</v>
      </c>
      <c r="K28" s="6">
        <v>3</v>
      </c>
      <c r="L28" s="6">
        <v>5</v>
      </c>
      <c r="M28" s="6">
        <v>1</v>
      </c>
      <c r="N28" s="6">
        <v>1</v>
      </c>
      <c r="O28" s="6">
        <v>5</v>
      </c>
      <c r="P28" s="6">
        <v>2</v>
      </c>
      <c r="Q28" s="6">
        <v>0</v>
      </c>
      <c r="R28" s="6">
        <v>26</v>
      </c>
      <c r="S28" s="6">
        <v>103</v>
      </c>
      <c r="T28" s="6">
        <v>64</v>
      </c>
      <c r="U28" s="6">
        <v>0</v>
      </c>
      <c r="V28" s="61">
        <v>0</v>
      </c>
      <c r="W28" s="62">
        <v>0</v>
      </c>
      <c r="X28" s="62">
        <v>1</v>
      </c>
      <c r="Y28" s="62">
        <v>0</v>
      </c>
      <c r="Z28" s="62">
        <v>0</v>
      </c>
      <c r="AA28" s="62">
        <v>0</v>
      </c>
      <c r="AB28" s="63">
        <f>3+2/3</f>
        <v>3.6666666666666665</v>
      </c>
      <c r="AC28" s="62">
        <v>5</v>
      </c>
      <c r="AD28" s="62">
        <v>2</v>
      </c>
      <c r="AE28" s="62">
        <v>2</v>
      </c>
      <c r="AF28" s="62">
        <v>0</v>
      </c>
      <c r="AG28" s="62">
        <v>5</v>
      </c>
      <c r="AH28" s="62">
        <v>0</v>
      </c>
      <c r="AI28" s="62">
        <v>0</v>
      </c>
      <c r="AJ28" s="62">
        <v>16</v>
      </c>
      <c r="AK28" s="62">
        <v>75</v>
      </c>
      <c r="AL28" s="62">
        <v>49</v>
      </c>
      <c r="AM28" s="1" t="s">
        <v>330</v>
      </c>
      <c r="AN28" s="78">
        <v>4</v>
      </c>
      <c r="AO28" s="78">
        <v>1</v>
      </c>
      <c r="AP28" s="78">
        <v>0</v>
      </c>
      <c r="AQ28" s="78">
        <v>0</v>
      </c>
      <c r="AR28" s="78">
        <v>1</v>
      </c>
      <c r="AS28" s="78">
        <v>1</v>
      </c>
      <c r="AT28" s="78">
        <v>0</v>
      </c>
      <c r="AU28" s="78">
        <v>0</v>
      </c>
      <c r="AV28" s="76">
        <v>0</v>
      </c>
      <c r="AW28" s="1" t="s">
        <v>400</v>
      </c>
      <c r="AX28" s="78">
        <v>4</v>
      </c>
      <c r="AY28" s="78">
        <v>1</v>
      </c>
      <c r="AZ28" s="78">
        <v>1</v>
      </c>
      <c r="BA28" s="78">
        <v>0</v>
      </c>
      <c r="BB28" s="78">
        <v>1</v>
      </c>
      <c r="BC28" s="78">
        <v>2</v>
      </c>
      <c r="BD28" s="78">
        <v>0</v>
      </c>
      <c r="BE28" s="78">
        <v>0</v>
      </c>
      <c r="BF28" s="76">
        <v>1</v>
      </c>
      <c r="BG28" s="1" t="s">
        <v>332</v>
      </c>
      <c r="BH28" s="78">
        <v>4</v>
      </c>
      <c r="BI28" s="78">
        <v>1</v>
      </c>
      <c r="BJ28" s="78">
        <v>1</v>
      </c>
      <c r="BK28" s="78">
        <v>3</v>
      </c>
      <c r="BL28" s="78">
        <v>1</v>
      </c>
      <c r="BM28" s="78">
        <v>0</v>
      </c>
      <c r="BN28" s="78">
        <v>0</v>
      </c>
      <c r="BO28" s="78">
        <v>0</v>
      </c>
      <c r="BP28" s="76">
        <v>4</v>
      </c>
      <c r="BQ28" s="1" t="s">
        <v>404</v>
      </c>
      <c r="BR28" s="78">
        <v>5</v>
      </c>
      <c r="BS28" s="78">
        <v>0</v>
      </c>
      <c r="BT28" s="78">
        <v>0</v>
      </c>
      <c r="BU28" s="78">
        <v>0</v>
      </c>
      <c r="BV28" s="78">
        <v>0</v>
      </c>
      <c r="BW28" s="78">
        <v>0</v>
      </c>
      <c r="BX28" s="78">
        <v>0</v>
      </c>
      <c r="BY28" s="78">
        <v>0</v>
      </c>
      <c r="BZ28" s="76">
        <v>0</v>
      </c>
      <c r="CA28" s="1" t="s">
        <v>403</v>
      </c>
      <c r="CB28" s="78">
        <v>4</v>
      </c>
      <c r="CC28" s="78">
        <v>1</v>
      </c>
      <c r="CD28" s="78">
        <v>1</v>
      </c>
      <c r="CE28" s="78">
        <v>0</v>
      </c>
      <c r="CF28" s="78">
        <v>0</v>
      </c>
      <c r="CG28" s="78">
        <v>0</v>
      </c>
      <c r="CH28" s="78">
        <v>1</v>
      </c>
      <c r="CI28" s="78">
        <v>0</v>
      </c>
      <c r="CJ28" s="76">
        <v>1</v>
      </c>
      <c r="CK28" s="1" t="s">
        <v>405</v>
      </c>
      <c r="CL28" s="78">
        <v>4</v>
      </c>
      <c r="CM28" s="78">
        <v>1</v>
      </c>
      <c r="CN28" s="78">
        <v>1</v>
      </c>
      <c r="CO28" s="78">
        <v>0</v>
      </c>
      <c r="CP28" s="78">
        <v>1</v>
      </c>
      <c r="CQ28" s="78">
        <v>0</v>
      </c>
      <c r="CR28" s="78">
        <v>0</v>
      </c>
      <c r="CS28" s="78">
        <v>0</v>
      </c>
      <c r="CT28" s="76">
        <v>2</v>
      </c>
      <c r="CU28" s="1" t="s">
        <v>344</v>
      </c>
      <c r="CV28" s="78">
        <v>3</v>
      </c>
      <c r="CW28" s="78">
        <v>0</v>
      </c>
      <c r="CX28" s="78">
        <v>1</v>
      </c>
      <c r="CY28" s="78">
        <v>1</v>
      </c>
      <c r="CZ28" s="78">
        <v>2</v>
      </c>
      <c r="DA28" s="78">
        <v>0</v>
      </c>
      <c r="DB28" s="78">
        <v>0</v>
      </c>
      <c r="DC28" s="78">
        <v>0</v>
      </c>
      <c r="DD28" s="76">
        <v>2</v>
      </c>
      <c r="DE28" s="1" t="s">
        <v>345</v>
      </c>
      <c r="DF28" s="78">
        <v>5</v>
      </c>
      <c r="DG28" s="78">
        <v>1</v>
      </c>
      <c r="DH28" s="78">
        <v>1</v>
      </c>
      <c r="DI28" s="78">
        <v>2</v>
      </c>
      <c r="DJ28" s="78">
        <v>0</v>
      </c>
      <c r="DK28" s="78">
        <v>0</v>
      </c>
      <c r="DL28" s="78">
        <v>0</v>
      </c>
      <c r="DM28" s="78">
        <v>0</v>
      </c>
      <c r="DN28" s="76">
        <v>4</v>
      </c>
      <c r="DO28" s="1" t="s">
        <v>336</v>
      </c>
      <c r="DP28" s="78">
        <v>4</v>
      </c>
      <c r="DQ28" s="78">
        <v>0</v>
      </c>
      <c r="DR28" s="78">
        <v>1</v>
      </c>
      <c r="DS28" s="78">
        <v>0</v>
      </c>
      <c r="DT28" s="78">
        <v>0</v>
      </c>
      <c r="DU28" s="78">
        <v>0</v>
      </c>
      <c r="DV28" s="78">
        <v>0</v>
      </c>
      <c r="DW28" s="78">
        <v>0</v>
      </c>
      <c r="DX28" s="76">
        <v>1</v>
      </c>
      <c r="DY28" s="77">
        <v>0</v>
      </c>
      <c r="DZ28" s="43">
        <v>0</v>
      </c>
      <c r="EA28" s="43">
        <v>0</v>
      </c>
      <c r="EB28" s="45">
        <v>11</v>
      </c>
      <c r="EC28" s="43">
        <v>1</v>
      </c>
      <c r="ED28" s="44">
        <v>0</v>
      </c>
      <c r="EE28" s="71">
        <v>0</v>
      </c>
      <c r="EF28" s="43">
        <v>0</v>
      </c>
      <c r="EG28" s="43">
        <v>3</v>
      </c>
      <c r="EH28" s="43">
        <v>2</v>
      </c>
      <c r="EI28" s="43">
        <v>0</v>
      </c>
      <c r="EJ28" s="43">
        <v>0</v>
      </c>
      <c r="EK28" s="43">
        <v>0</v>
      </c>
      <c r="EL28" s="43">
        <v>0</v>
      </c>
      <c r="EM28" s="43">
        <v>0</v>
      </c>
      <c r="EN28" s="43">
        <v>0</v>
      </c>
      <c r="EO28" s="43">
        <v>1</v>
      </c>
      <c r="EP28" s="43"/>
      <c r="EQ28" s="44">
        <f t="shared" si="0"/>
        <v>6</v>
      </c>
      <c r="ER28" s="43">
        <v>0</v>
      </c>
      <c r="ES28" s="43">
        <v>0</v>
      </c>
      <c r="ET28" s="43">
        <v>0</v>
      </c>
      <c r="EU28" s="43">
        <v>0</v>
      </c>
      <c r="EV28" s="43">
        <v>4</v>
      </c>
      <c r="EW28" s="43">
        <v>0</v>
      </c>
      <c r="EX28" s="43">
        <v>1</v>
      </c>
      <c r="EY28" s="43">
        <v>0</v>
      </c>
      <c r="EZ28" s="43">
        <v>0</v>
      </c>
      <c r="FA28" s="43">
        <v>0</v>
      </c>
      <c r="FB28" s="43">
        <v>2</v>
      </c>
      <c r="FC28" s="43"/>
      <c r="FD28" s="43">
        <f t="shared" si="1"/>
        <v>7</v>
      </c>
      <c r="FE28" s="73">
        <f t="shared" si="2"/>
        <v>0</v>
      </c>
      <c r="FF28" s="73">
        <f t="shared" si="3"/>
        <v>0</v>
      </c>
      <c r="FG28" s="38"/>
    </row>
    <row r="29" spans="1:163" x14ac:dyDescent="0.25">
      <c r="A29" s="53">
        <v>40301</v>
      </c>
      <c r="B29" s="53" t="s">
        <v>133</v>
      </c>
      <c r="C29" s="53" t="s">
        <v>129</v>
      </c>
      <c r="D29" s="53" t="s">
        <v>349</v>
      </c>
      <c r="E29" s="54">
        <v>3515</v>
      </c>
      <c r="F29" s="58">
        <v>1</v>
      </c>
      <c r="G29" s="59" t="s">
        <v>397</v>
      </c>
      <c r="H29" s="6">
        <v>1</v>
      </c>
      <c r="I29" s="6">
        <v>0</v>
      </c>
      <c r="J29" s="60">
        <v>7</v>
      </c>
      <c r="K29" s="6">
        <v>4</v>
      </c>
      <c r="L29" s="6">
        <v>2</v>
      </c>
      <c r="M29" s="6">
        <v>2</v>
      </c>
      <c r="N29" s="6">
        <v>0</v>
      </c>
      <c r="O29" s="6">
        <v>8</v>
      </c>
      <c r="P29" s="6">
        <v>1</v>
      </c>
      <c r="Q29" s="6">
        <v>0</v>
      </c>
      <c r="R29" s="6">
        <v>25</v>
      </c>
      <c r="S29" s="6">
        <v>92</v>
      </c>
      <c r="T29" s="6">
        <v>62</v>
      </c>
      <c r="U29" s="6">
        <v>0</v>
      </c>
      <c r="V29" s="61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3">
        <v>2</v>
      </c>
      <c r="AC29" s="62">
        <v>0</v>
      </c>
      <c r="AD29" s="62">
        <v>0</v>
      </c>
      <c r="AE29" s="62">
        <v>0</v>
      </c>
      <c r="AF29" s="62">
        <v>0</v>
      </c>
      <c r="AG29" s="62">
        <v>2</v>
      </c>
      <c r="AH29" s="62">
        <v>0</v>
      </c>
      <c r="AI29" s="62">
        <v>0</v>
      </c>
      <c r="AJ29" s="62">
        <v>6</v>
      </c>
      <c r="AK29" s="62">
        <v>23</v>
      </c>
      <c r="AL29" s="62">
        <v>16</v>
      </c>
      <c r="AM29" s="1" t="s">
        <v>330</v>
      </c>
      <c r="AN29" s="78">
        <v>5</v>
      </c>
      <c r="AO29" s="78">
        <v>1</v>
      </c>
      <c r="AP29" s="78">
        <v>1</v>
      </c>
      <c r="AQ29" s="78">
        <v>3</v>
      </c>
      <c r="AR29" s="78">
        <v>0</v>
      </c>
      <c r="AS29" s="78">
        <v>0</v>
      </c>
      <c r="AT29" s="78">
        <v>0</v>
      </c>
      <c r="AU29" s="78">
        <v>0</v>
      </c>
      <c r="AV29" s="76">
        <v>4</v>
      </c>
      <c r="AW29" s="1" t="s">
        <v>402</v>
      </c>
      <c r="AX29" s="78">
        <v>4</v>
      </c>
      <c r="AY29" s="78">
        <v>0</v>
      </c>
      <c r="AZ29" s="78">
        <v>0</v>
      </c>
      <c r="BA29" s="78">
        <v>0</v>
      </c>
      <c r="BB29" s="78">
        <v>1</v>
      </c>
      <c r="BC29" s="78">
        <v>1</v>
      </c>
      <c r="BD29" s="78">
        <v>0</v>
      </c>
      <c r="BE29" s="78">
        <v>0</v>
      </c>
      <c r="BF29" s="76">
        <v>0</v>
      </c>
      <c r="BG29" s="1" t="s">
        <v>332</v>
      </c>
      <c r="BH29" s="78">
        <v>5</v>
      </c>
      <c r="BI29" s="78">
        <v>0</v>
      </c>
      <c r="BJ29" s="78">
        <v>0</v>
      </c>
      <c r="BK29" s="78">
        <v>0</v>
      </c>
      <c r="BL29" s="78">
        <v>0</v>
      </c>
      <c r="BM29" s="78">
        <v>2</v>
      </c>
      <c r="BN29" s="78">
        <v>0</v>
      </c>
      <c r="BO29" s="78">
        <v>0</v>
      </c>
      <c r="BP29" s="76">
        <v>0</v>
      </c>
      <c r="BQ29" s="1" t="s">
        <v>404</v>
      </c>
      <c r="BR29" s="78">
        <v>5</v>
      </c>
      <c r="BS29" s="78">
        <v>1</v>
      </c>
      <c r="BT29" s="78">
        <v>2</v>
      </c>
      <c r="BU29" s="78">
        <v>0</v>
      </c>
      <c r="BV29" s="78">
        <v>0</v>
      </c>
      <c r="BW29" s="78">
        <v>0</v>
      </c>
      <c r="BX29" s="78">
        <v>0</v>
      </c>
      <c r="BY29" s="78">
        <v>0</v>
      </c>
      <c r="BZ29" s="76">
        <v>2</v>
      </c>
      <c r="CA29" s="1" t="s">
        <v>403</v>
      </c>
      <c r="CB29" s="78">
        <v>3</v>
      </c>
      <c r="CC29" s="78">
        <v>4</v>
      </c>
      <c r="CD29" s="78">
        <v>2</v>
      </c>
      <c r="CE29" s="78">
        <v>1</v>
      </c>
      <c r="CF29" s="78">
        <v>2</v>
      </c>
      <c r="CG29" s="78">
        <v>0</v>
      </c>
      <c r="CH29" s="78">
        <v>0</v>
      </c>
      <c r="CI29" s="78">
        <v>0</v>
      </c>
      <c r="CJ29" s="76">
        <v>5</v>
      </c>
      <c r="CK29" s="1" t="s">
        <v>405</v>
      </c>
      <c r="CL29" s="78">
        <v>4</v>
      </c>
      <c r="CM29" s="78">
        <v>2</v>
      </c>
      <c r="CN29" s="78">
        <v>1</v>
      </c>
      <c r="CO29" s="78">
        <v>1</v>
      </c>
      <c r="CP29" s="78">
        <v>1</v>
      </c>
      <c r="CQ29" s="78">
        <v>1</v>
      </c>
      <c r="CR29" s="78">
        <v>0</v>
      </c>
      <c r="CS29" s="78">
        <v>0</v>
      </c>
      <c r="CT29" s="76">
        <v>1</v>
      </c>
      <c r="CU29" s="1" t="s">
        <v>344</v>
      </c>
      <c r="CV29" s="78">
        <v>4</v>
      </c>
      <c r="CW29" s="78">
        <v>0</v>
      </c>
      <c r="CX29" s="78">
        <v>1</v>
      </c>
      <c r="CY29" s="78">
        <v>2</v>
      </c>
      <c r="CZ29" s="78">
        <v>1</v>
      </c>
      <c r="DA29" s="78">
        <v>0</v>
      </c>
      <c r="DB29" s="78">
        <v>0</v>
      </c>
      <c r="DC29" s="78">
        <v>0</v>
      </c>
      <c r="DD29" s="76">
        <v>2</v>
      </c>
      <c r="DE29" s="1" t="s">
        <v>345</v>
      </c>
      <c r="DF29" s="78">
        <v>4</v>
      </c>
      <c r="DG29" s="78">
        <v>1</v>
      </c>
      <c r="DH29" s="78">
        <v>2</v>
      </c>
      <c r="DI29" s="78">
        <v>2</v>
      </c>
      <c r="DJ29" s="78">
        <v>1</v>
      </c>
      <c r="DK29" s="78">
        <v>1</v>
      </c>
      <c r="DL29" s="78">
        <v>0</v>
      </c>
      <c r="DM29" s="78">
        <v>0</v>
      </c>
      <c r="DN29" s="76">
        <v>4</v>
      </c>
      <c r="DO29" s="1" t="s">
        <v>407</v>
      </c>
      <c r="DP29" s="78">
        <v>4</v>
      </c>
      <c r="DQ29" s="78">
        <v>1</v>
      </c>
      <c r="DR29" s="78">
        <v>2</v>
      </c>
      <c r="DS29" s="78">
        <v>0</v>
      </c>
      <c r="DT29" s="78">
        <v>0</v>
      </c>
      <c r="DU29" s="78">
        <v>0</v>
      </c>
      <c r="DV29" s="78">
        <v>0</v>
      </c>
      <c r="DW29" s="78">
        <v>0</v>
      </c>
      <c r="DX29" s="76">
        <v>2</v>
      </c>
      <c r="DY29" s="77">
        <v>2</v>
      </c>
      <c r="DZ29" s="43">
        <v>0</v>
      </c>
      <c r="EA29" s="43">
        <v>0</v>
      </c>
      <c r="EB29" s="45">
        <v>7</v>
      </c>
      <c r="EC29" s="43">
        <v>1</v>
      </c>
      <c r="ED29" s="44">
        <v>2</v>
      </c>
      <c r="EE29" s="71">
        <v>0</v>
      </c>
      <c r="EF29" s="43">
        <v>5</v>
      </c>
      <c r="EG29" s="43">
        <v>0</v>
      </c>
      <c r="EH29" s="43">
        <v>0</v>
      </c>
      <c r="EI29" s="43">
        <v>1</v>
      </c>
      <c r="EJ29" s="43">
        <v>0</v>
      </c>
      <c r="EK29" s="43">
        <v>1</v>
      </c>
      <c r="EL29" s="43">
        <v>0</v>
      </c>
      <c r="EM29" s="43">
        <v>3</v>
      </c>
      <c r="EN29" s="43"/>
      <c r="EO29" s="43"/>
      <c r="EP29" s="43"/>
      <c r="EQ29" s="44">
        <f t="shared" si="0"/>
        <v>10</v>
      </c>
      <c r="ER29" s="43">
        <v>1</v>
      </c>
      <c r="ES29" s="43">
        <v>0</v>
      </c>
      <c r="ET29" s="43">
        <v>0</v>
      </c>
      <c r="EU29" s="43">
        <v>0</v>
      </c>
      <c r="EV29" s="43">
        <v>0</v>
      </c>
      <c r="EW29" s="43">
        <v>0</v>
      </c>
      <c r="EX29" s="43">
        <v>1</v>
      </c>
      <c r="EY29" s="43">
        <v>0</v>
      </c>
      <c r="EZ29" s="43">
        <v>0</v>
      </c>
      <c r="FA29" s="43"/>
      <c r="FB29" s="43"/>
      <c r="FC29" s="43"/>
      <c r="FD29" s="43">
        <f t="shared" si="1"/>
        <v>2</v>
      </c>
      <c r="FE29" s="73">
        <f t="shared" si="2"/>
        <v>0</v>
      </c>
      <c r="FF29" s="73">
        <f t="shared" si="3"/>
        <v>0</v>
      </c>
      <c r="FG29" s="38"/>
    </row>
    <row r="30" spans="1:163" x14ac:dyDescent="0.25">
      <c r="A30" s="53">
        <v>40302</v>
      </c>
      <c r="B30" s="53" t="s">
        <v>133</v>
      </c>
      <c r="C30" s="53" t="s">
        <v>129</v>
      </c>
      <c r="D30" s="53" t="s">
        <v>349</v>
      </c>
      <c r="E30" s="54">
        <v>3182</v>
      </c>
      <c r="F30" s="58">
        <v>2</v>
      </c>
      <c r="G30" s="59" t="s">
        <v>337</v>
      </c>
      <c r="H30" s="6">
        <v>1</v>
      </c>
      <c r="I30" s="6">
        <v>0</v>
      </c>
      <c r="J30" s="60">
        <v>5</v>
      </c>
      <c r="K30" s="6">
        <v>5</v>
      </c>
      <c r="L30" s="6">
        <v>6</v>
      </c>
      <c r="M30" s="6">
        <v>6</v>
      </c>
      <c r="N30" s="6">
        <v>2</v>
      </c>
      <c r="O30" s="6">
        <v>5</v>
      </c>
      <c r="P30" s="6">
        <v>2</v>
      </c>
      <c r="Q30" s="6">
        <v>0</v>
      </c>
      <c r="R30" s="6">
        <v>22</v>
      </c>
      <c r="S30" s="6">
        <v>87</v>
      </c>
      <c r="T30" s="6">
        <v>54</v>
      </c>
      <c r="U30" s="6">
        <v>0</v>
      </c>
      <c r="V30" s="61">
        <v>0</v>
      </c>
      <c r="W30" s="62">
        <v>0</v>
      </c>
      <c r="X30" s="62">
        <v>0</v>
      </c>
      <c r="Y30" s="62">
        <v>1</v>
      </c>
      <c r="Z30" s="62">
        <v>0</v>
      </c>
      <c r="AA30" s="62">
        <v>0</v>
      </c>
      <c r="AB30" s="63">
        <v>4</v>
      </c>
      <c r="AC30" s="62">
        <v>4</v>
      </c>
      <c r="AD30" s="62">
        <v>1</v>
      </c>
      <c r="AE30" s="62">
        <v>1</v>
      </c>
      <c r="AF30" s="62">
        <v>1</v>
      </c>
      <c r="AG30" s="62">
        <v>4</v>
      </c>
      <c r="AH30" s="62">
        <v>0</v>
      </c>
      <c r="AI30" s="62">
        <v>0</v>
      </c>
      <c r="AJ30" s="62">
        <v>17</v>
      </c>
      <c r="AK30" s="62">
        <v>73</v>
      </c>
      <c r="AL30" s="62">
        <v>48</v>
      </c>
      <c r="AM30" s="1" t="s">
        <v>330</v>
      </c>
      <c r="AN30" s="78">
        <v>6</v>
      </c>
      <c r="AO30" s="78">
        <v>2</v>
      </c>
      <c r="AP30" s="78">
        <v>2</v>
      </c>
      <c r="AQ30" s="78">
        <v>0</v>
      </c>
      <c r="AR30" s="78">
        <v>0</v>
      </c>
      <c r="AS30" s="78">
        <v>1</v>
      </c>
      <c r="AT30" s="78">
        <v>0</v>
      </c>
      <c r="AU30" s="78">
        <v>0</v>
      </c>
      <c r="AV30" s="76">
        <v>2</v>
      </c>
      <c r="AW30" s="1" t="s">
        <v>402</v>
      </c>
      <c r="AX30" s="78">
        <v>3</v>
      </c>
      <c r="AY30" s="78">
        <v>1</v>
      </c>
      <c r="AZ30" s="78">
        <v>0</v>
      </c>
      <c r="BA30" s="78">
        <v>0</v>
      </c>
      <c r="BB30" s="78">
        <v>1</v>
      </c>
      <c r="BC30" s="78">
        <v>0</v>
      </c>
      <c r="BD30" s="78">
        <v>1</v>
      </c>
      <c r="BE30" s="78">
        <v>0</v>
      </c>
      <c r="BF30" s="76">
        <v>0</v>
      </c>
      <c r="BG30" s="1" t="s">
        <v>403</v>
      </c>
      <c r="BH30" s="78">
        <v>4</v>
      </c>
      <c r="BI30" s="78">
        <v>2</v>
      </c>
      <c r="BJ30" s="78">
        <v>1</v>
      </c>
      <c r="BK30" s="78">
        <v>1</v>
      </c>
      <c r="BL30" s="78">
        <v>0</v>
      </c>
      <c r="BM30" s="78">
        <v>1</v>
      </c>
      <c r="BN30" s="78">
        <v>1</v>
      </c>
      <c r="BO30" s="78">
        <v>0</v>
      </c>
      <c r="BP30" s="76">
        <v>4</v>
      </c>
      <c r="BQ30" s="1" t="s">
        <v>404</v>
      </c>
      <c r="BR30" s="78">
        <v>5</v>
      </c>
      <c r="BS30" s="78">
        <v>2</v>
      </c>
      <c r="BT30" s="78">
        <v>4</v>
      </c>
      <c r="BU30" s="78">
        <v>4</v>
      </c>
      <c r="BV30" s="78">
        <v>0</v>
      </c>
      <c r="BW30" s="78">
        <v>0</v>
      </c>
      <c r="BX30" s="78">
        <v>0</v>
      </c>
      <c r="BY30" s="78">
        <v>0</v>
      </c>
      <c r="BZ30" s="76">
        <v>8</v>
      </c>
      <c r="CA30" s="1" t="s">
        <v>332</v>
      </c>
      <c r="CB30" s="78">
        <v>4</v>
      </c>
      <c r="CC30" s="78">
        <v>1</v>
      </c>
      <c r="CD30" s="78">
        <v>1</v>
      </c>
      <c r="CE30" s="78">
        <v>0</v>
      </c>
      <c r="CF30" s="78">
        <v>1</v>
      </c>
      <c r="CG30" s="78">
        <v>0</v>
      </c>
      <c r="CH30" s="78">
        <v>0</v>
      </c>
      <c r="CI30" s="78">
        <v>0</v>
      </c>
      <c r="CJ30" s="76">
        <v>1</v>
      </c>
      <c r="CK30" s="1" t="s">
        <v>344</v>
      </c>
      <c r="CL30" s="78">
        <v>4</v>
      </c>
      <c r="CM30" s="78">
        <v>1</v>
      </c>
      <c r="CN30" s="78">
        <v>2</v>
      </c>
      <c r="CO30" s="78">
        <v>2</v>
      </c>
      <c r="CP30" s="78">
        <v>1</v>
      </c>
      <c r="CQ30" s="78">
        <v>2</v>
      </c>
      <c r="CR30" s="78">
        <v>0</v>
      </c>
      <c r="CS30" s="78">
        <v>0</v>
      </c>
      <c r="CT30" s="76">
        <v>5</v>
      </c>
      <c r="CU30" s="1" t="s">
        <v>405</v>
      </c>
      <c r="CV30" s="78">
        <v>3</v>
      </c>
      <c r="CW30" s="78">
        <v>1</v>
      </c>
      <c r="CX30" s="78">
        <v>2</v>
      </c>
      <c r="CY30" s="78">
        <v>3</v>
      </c>
      <c r="CZ30" s="78">
        <v>2</v>
      </c>
      <c r="DA30" s="78">
        <v>0</v>
      </c>
      <c r="DB30" s="78">
        <v>0</v>
      </c>
      <c r="DC30" s="78">
        <v>0</v>
      </c>
      <c r="DD30" s="76">
        <v>5</v>
      </c>
      <c r="DE30" s="1" t="s">
        <v>345</v>
      </c>
      <c r="DF30" s="78">
        <v>5</v>
      </c>
      <c r="DG30" s="78">
        <v>0</v>
      </c>
      <c r="DH30" s="78">
        <v>1</v>
      </c>
      <c r="DI30" s="78">
        <v>0</v>
      </c>
      <c r="DJ30" s="78">
        <v>0</v>
      </c>
      <c r="DK30" s="78">
        <v>1</v>
      </c>
      <c r="DL30" s="78">
        <v>0</v>
      </c>
      <c r="DM30" s="78">
        <v>0</v>
      </c>
      <c r="DN30" s="76">
        <v>1</v>
      </c>
      <c r="DO30" s="1" t="s">
        <v>407</v>
      </c>
      <c r="DP30" s="78">
        <v>5</v>
      </c>
      <c r="DQ30" s="78">
        <v>0</v>
      </c>
      <c r="DR30" s="78">
        <v>0</v>
      </c>
      <c r="DS30" s="78">
        <v>0</v>
      </c>
      <c r="DT30" s="78">
        <v>0</v>
      </c>
      <c r="DU30" s="78">
        <v>1</v>
      </c>
      <c r="DV30" s="78">
        <v>0</v>
      </c>
      <c r="DW30" s="78">
        <v>0</v>
      </c>
      <c r="DX30" s="76">
        <v>0</v>
      </c>
      <c r="DY30" s="77">
        <f>5+2/3</f>
        <v>5.666666666666667</v>
      </c>
      <c r="DZ30" s="43">
        <v>1</v>
      </c>
      <c r="EA30" s="43">
        <v>0</v>
      </c>
      <c r="EB30" s="45">
        <f>3+1/3</f>
        <v>3.3333333333333335</v>
      </c>
      <c r="EC30" s="43">
        <v>0</v>
      </c>
      <c r="ED30" s="44">
        <v>0</v>
      </c>
      <c r="EE30" s="71">
        <v>3</v>
      </c>
      <c r="EF30" s="43">
        <v>0</v>
      </c>
      <c r="EG30" s="43">
        <v>3</v>
      </c>
      <c r="EH30" s="43">
        <v>0</v>
      </c>
      <c r="EI30" s="43">
        <v>0</v>
      </c>
      <c r="EJ30" s="43">
        <v>2</v>
      </c>
      <c r="EK30" s="43">
        <v>0</v>
      </c>
      <c r="EL30" s="43">
        <v>2</v>
      </c>
      <c r="EM30" s="43">
        <v>0</v>
      </c>
      <c r="EN30" s="43"/>
      <c r="EO30" s="43"/>
      <c r="EP30" s="43"/>
      <c r="EQ30" s="44">
        <f t="shared" si="0"/>
        <v>10</v>
      </c>
      <c r="ER30" s="43">
        <v>5</v>
      </c>
      <c r="ES30" s="43">
        <v>1</v>
      </c>
      <c r="ET30" s="43">
        <v>0</v>
      </c>
      <c r="EU30" s="43">
        <v>0</v>
      </c>
      <c r="EV30" s="43">
        <v>0</v>
      </c>
      <c r="EW30" s="43">
        <v>0</v>
      </c>
      <c r="EX30" s="43">
        <v>0</v>
      </c>
      <c r="EY30" s="43">
        <v>1</v>
      </c>
      <c r="EZ30" s="43">
        <v>0</v>
      </c>
      <c r="FA30" s="43"/>
      <c r="FB30" s="43"/>
      <c r="FC30" s="43"/>
      <c r="FD30" s="43">
        <f t="shared" si="1"/>
        <v>7</v>
      </c>
      <c r="FE30" s="73">
        <f t="shared" si="2"/>
        <v>0</v>
      </c>
      <c r="FF30" s="73">
        <f t="shared" si="3"/>
        <v>0</v>
      </c>
      <c r="FG30" s="38"/>
    </row>
    <row r="31" spans="1:163" x14ac:dyDescent="0.25">
      <c r="A31" s="53">
        <v>40304</v>
      </c>
      <c r="B31" s="53" t="s">
        <v>19</v>
      </c>
      <c r="C31" s="53" t="s">
        <v>129</v>
      </c>
      <c r="D31" s="53" t="s">
        <v>348</v>
      </c>
      <c r="E31" s="54">
        <v>7276</v>
      </c>
      <c r="F31" s="58">
        <v>3</v>
      </c>
      <c r="G31" s="59" t="s">
        <v>341</v>
      </c>
      <c r="H31" s="6">
        <v>0</v>
      </c>
      <c r="I31" s="6">
        <v>0</v>
      </c>
      <c r="J31" s="60">
        <f>2+1/3</f>
        <v>2.3333333333333335</v>
      </c>
      <c r="K31" s="6">
        <v>7</v>
      </c>
      <c r="L31" s="6">
        <v>3</v>
      </c>
      <c r="M31" s="6">
        <v>3</v>
      </c>
      <c r="N31" s="6">
        <v>4</v>
      </c>
      <c r="O31" s="6">
        <v>1</v>
      </c>
      <c r="P31" s="6">
        <v>0</v>
      </c>
      <c r="Q31" s="6">
        <v>0</v>
      </c>
      <c r="R31" s="6">
        <v>18</v>
      </c>
      <c r="S31" s="6">
        <v>70</v>
      </c>
      <c r="T31" s="6">
        <v>38</v>
      </c>
      <c r="U31" s="6">
        <v>3</v>
      </c>
      <c r="V31" s="61">
        <v>0</v>
      </c>
      <c r="W31" s="62">
        <v>1</v>
      </c>
      <c r="X31" s="62">
        <v>0</v>
      </c>
      <c r="Y31" s="62">
        <v>0</v>
      </c>
      <c r="Z31" s="62">
        <v>0</v>
      </c>
      <c r="AA31" s="62">
        <v>0</v>
      </c>
      <c r="AB31" s="63">
        <f>6+2/3</f>
        <v>6.666666666666667</v>
      </c>
      <c r="AC31" s="62">
        <v>6</v>
      </c>
      <c r="AD31" s="62">
        <v>5</v>
      </c>
      <c r="AE31" s="62">
        <v>5</v>
      </c>
      <c r="AF31" s="62">
        <v>4</v>
      </c>
      <c r="AG31" s="62">
        <v>6</v>
      </c>
      <c r="AH31" s="62">
        <v>0</v>
      </c>
      <c r="AI31" s="62">
        <v>1</v>
      </c>
      <c r="AJ31" s="62">
        <v>30</v>
      </c>
      <c r="AK31" s="62">
        <v>126</v>
      </c>
      <c r="AL31" s="62">
        <v>74</v>
      </c>
      <c r="AM31" s="1" t="s">
        <v>330</v>
      </c>
      <c r="AN31" s="78">
        <v>5</v>
      </c>
      <c r="AO31" s="78">
        <v>1</v>
      </c>
      <c r="AP31" s="78">
        <v>2</v>
      </c>
      <c r="AQ31" s="78">
        <v>0</v>
      </c>
      <c r="AR31" s="78">
        <v>0</v>
      </c>
      <c r="AS31" s="78">
        <v>1</v>
      </c>
      <c r="AT31" s="78">
        <v>0</v>
      </c>
      <c r="AU31" s="78">
        <v>0</v>
      </c>
      <c r="AV31" s="76">
        <v>2</v>
      </c>
      <c r="AW31" s="1" t="s">
        <v>345</v>
      </c>
      <c r="AX31" s="78">
        <v>4</v>
      </c>
      <c r="AY31" s="78">
        <v>2</v>
      </c>
      <c r="AZ31" s="78">
        <v>2</v>
      </c>
      <c r="BA31" s="78">
        <v>0</v>
      </c>
      <c r="BB31" s="78">
        <v>1</v>
      </c>
      <c r="BC31" s="78">
        <v>0</v>
      </c>
      <c r="BD31" s="78">
        <v>0</v>
      </c>
      <c r="BE31" s="78">
        <v>0</v>
      </c>
      <c r="BF31" s="76">
        <v>2</v>
      </c>
      <c r="BG31" s="1" t="s">
        <v>403</v>
      </c>
      <c r="BH31" s="78">
        <v>4</v>
      </c>
      <c r="BI31" s="78">
        <v>2</v>
      </c>
      <c r="BJ31" s="78">
        <v>2</v>
      </c>
      <c r="BK31" s="78">
        <v>2</v>
      </c>
      <c r="BL31" s="78">
        <v>1</v>
      </c>
      <c r="BM31" s="78">
        <v>0</v>
      </c>
      <c r="BN31" s="78">
        <v>0</v>
      </c>
      <c r="BO31" s="78">
        <v>0</v>
      </c>
      <c r="BP31" s="76">
        <v>3</v>
      </c>
      <c r="BQ31" s="1" t="s">
        <v>404</v>
      </c>
      <c r="BR31" s="78">
        <v>5</v>
      </c>
      <c r="BS31" s="78">
        <v>2</v>
      </c>
      <c r="BT31" s="78">
        <v>2</v>
      </c>
      <c r="BU31" s="78">
        <v>3</v>
      </c>
      <c r="BV31" s="78">
        <v>0</v>
      </c>
      <c r="BW31" s="78">
        <v>0</v>
      </c>
      <c r="BX31" s="78">
        <v>0</v>
      </c>
      <c r="BY31" s="78">
        <v>0</v>
      </c>
      <c r="BZ31" s="76">
        <v>5</v>
      </c>
      <c r="CA31" s="1" t="s">
        <v>344</v>
      </c>
      <c r="CB31" s="78">
        <v>5</v>
      </c>
      <c r="CC31" s="78">
        <v>0</v>
      </c>
      <c r="CD31" s="78">
        <v>1</v>
      </c>
      <c r="CE31" s="78">
        <v>0</v>
      </c>
      <c r="CF31" s="78">
        <v>0</v>
      </c>
      <c r="CG31" s="78">
        <v>1</v>
      </c>
      <c r="CH31" s="78">
        <v>0</v>
      </c>
      <c r="CI31" s="78">
        <v>0</v>
      </c>
      <c r="CJ31" s="76">
        <v>1</v>
      </c>
      <c r="CK31" s="1" t="s">
        <v>405</v>
      </c>
      <c r="CL31" s="78">
        <v>5</v>
      </c>
      <c r="CM31" s="78">
        <v>1</v>
      </c>
      <c r="CN31" s="78">
        <v>2</v>
      </c>
      <c r="CO31" s="78">
        <v>2</v>
      </c>
      <c r="CP31" s="78">
        <v>0</v>
      </c>
      <c r="CQ31" s="78">
        <v>1</v>
      </c>
      <c r="CR31" s="78">
        <v>0</v>
      </c>
      <c r="CS31" s="78">
        <v>0</v>
      </c>
      <c r="CT31" s="76">
        <v>3</v>
      </c>
      <c r="CU31" s="1" t="s">
        <v>336</v>
      </c>
      <c r="CV31" s="78">
        <v>4</v>
      </c>
      <c r="CW31" s="78">
        <v>2</v>
      </c>
      <c r="CX31" s="78">
        <v>2</v>
      </c>
      <c r="CY31" s="78">
        <v>2</v>
      </c>
      <c r="CZ31" s="78">
        <v>0</v>
      </c>
      <c r="DA31" s="78">
        <v>1</v>
      </c>
      <c r="DB31" s="78">
        <v>0</v>
      </c>
      <c r="DC31" s="78">
        <v>0</v>
      </c>
      <c r="DD31" s="76">
        <v>6</v>
      </c>
      <c r="DE31" s="1" t="s">
        <v>407</v>
      </c>
      <c r="DF31" s="78">
        <v>4</v>
      </c>
      <c r="DG31" s="78">
        <v>1</v>
      </c>
      <c r="DH31" s="78">
        <v>2</v>
      </c>
      <c r="DI31" s="78">
        <v>3</v>
      </c>
      <c r="DJ31" s="78">
        <v>0</v>
      </c>
      <c r="DK31" s="78">
        <v>0</v>
      </c>
      <c r="DL31" s="78">
        <v>0</v>
      </c>
      <c r="DM31" s="78">
        <v>0</v>
      </c>
      <c r="DN31" s="76">
        <v>6</v>
      </c>
      <c r="DO31" s="1" t="s">
        <v>402</v>
      </c>
      <c r="DP31" s="78">
        <v>2</v>
      </c>
      <c r="DQ31" s="78">
        <v>2</v>
      </c>
      <c r="DR31" s="78">
        <v>0</v>
      </c>
      <c r="DS31" s="78">
        <v>0</v>
      </c>
      <c r="DT31" s="78">
        <v>2</v>
      </c>
      <c r="DU31" s="78">
        <v>2</v>
      </c>
      <c r="DV31" s="78">
        <v>0</v>
      </c>
      <c r="DW31" s="78">
        <v>0</v>
      </c>
      <c r="DX31" s="76">
        <v>0</v>
      </c>
      <c r="DY31" s="77">
        <v>0</v>
      </c>
      <c r="DZ31" s="43">
        <v>0</v>
      </c>
      <c r="EA31" s="43">
        <v>0</v>
      </c>
      <c r="EB31" s="45">
        <v>8</v>
      </c>
      <c r="EC31" s="43">
        <v>0</v>
      </c>
      <c r="ED31" s="44">
        <v>1</v>
      </c>
      <c r="EE31" s="71">
        <v>5</v>
      </c>
      <c r="EF31" s="43">
        <v>0</v>
      </c>
      <c r="EG31" s="43">
        <v>1</v>
      </c>
      <c r="EH31" s="43">
        <v>0</v>
      </c>
      <c r="EI31" s="43">
        <v>0</v>
      </c>
      <c r="EJ31" s="43">
        <v>2</v>
      </c>
      <c r="EK31" s="43">
        <v>0</v>
      </c>
      <c r="EL31" s="43">
        <v>5</v>
      </c>
      <c r="EM31" s="43"/>
      <c r="EN31" s="43"/>
      <c r="EO31" s="43"/>
      <c r="EP31" s="43"/>
      <c r="EQ31" s="44">
        <f t="shared" si="0"/>
        <v>13</v>
      </c>
      <c r="ER31" s="43">
        <v>2</v>
      </c>
      <c r="ES31" s="43">
        <v>1</v>
      </c>
      <c r="ET31" s="43">
        <v>0</v>
      </c>
      <c r="EU31" s="43">
        <v>0</v>
      </c>
      <c r="EV31" s="43">
        <v>3</v>
      </c>
      <c r="EW31" s="43">
        <v>2</v>
      </c>
      <c r="EX31" s="43">
        <v>0</v>
      </c>
      <c r="EY31" s="43">
        <v>0</v>
      </c>
      <c r="EZ31" s="43">
        <v>0</v>
      </c>
      <c r="FA31" s="43"/>
      <c r="FB31" s="43"/>
      <c r="FC31" s="43"/>
      <c r="FD31" s="43">
        <f t="shared" si="1"/>
        <v>8</v>
      </c>
      <c r="FE31" s="73">
        <f t="shared" si="2"/>
        <v>0</v>
      </c>
      <c r="FF31" s="73">
        <f t="shared" si="3"/>
        <v>0</v>
      </c>
      <c r="FG31" s="38"/>
    </row>
    <row r="32" spans="1:163" x14ac:dyDescent="0.25">
      <c r="A32" s="53">
        <v>40305</v>
      </c>
      <c r="B32" s="53" t="s">
        <v>19</v>
      </c>
      <c r="C32" s="53" t="s">
        <v>129</v>
      </c>
      <c r="D32" s="53" t="s">
        <v>348</v>
      </c>
      <c r="E32" s="54">
        <v>9128</v>
      </c>
      <c r="F32" s="58">
        <v>4</v>
      </c>
      <c r="G32" s="59" t="s">
        <v>334</v>
      </c>
      <c r="H32" s="6">
        <v>1</v>
      </c>
      <c r="I32" s="6">
        <v>0</v>
      </c>
      <c r="J32" s="60">
        <f>6+2/3</f>
        <v>6.666666666666667</v>
      </c>
      <c r="K32" s="6">
        <v>5</v>
      </c>
      <c r="L32" s="6">
        <v>3</v>
      </c>
      <c r="M32" s="6">
        <v>3</v>
      </c>
      <c r="N32" s="6">
        <v>1</v>
      </c>
      <c r="O32" s="6">
        <v>4</v>
      </c>
      <c r="P32" s="6">
        <v>1</v>
      </c>
      <c r="Q32" s="6">
        <v>0</v>
      </c>
      <c r="R32" s="6">
        <v>25</v>
      </c>
      <c r="S32" s="6">
        <v>81</v>
      </c>
      <c r="T32" s="6">
        <v>51</v>
      </c>
      <c r="U32" s="6">
        <v>1</v>
      </c>
      <c r="V32" s="61">
        <v>0</v>
      </c>
      <c r="W32" s="62">
        <v>0</v>
      </c>
      <c r="X32" s="62">
        <v>0</v>
      </c>
      <c r="Y32" s="62">
        <v>0</v>
      </c>
      <c r="Z32" s="62">
        <v>0</v>
      </c>
      <c r="AA32" s="62">
        <v>0</v>
      </c>
      <c r="AB32" s="63">
        <f>2+1/3</f>
        <v>2.3333333333333335</v>
      </c>
      <c r="AC32" s="62">
        <v>1</v>
      </c>
      <c r="AD32" s="62">
        <v>0</v>
      </c>
      <c r="AE32" s="62">
        <v>0</v>
      </c>
      <c r="AF32" s="62">
        <v>1</v>
      </c>
      <c r="AG32" s="62">
        <v>3</v>
      </c>
      <c r="AH32" s="62">
        <v>0</v>
      </c>
      <c r="AI32" s="62">
        <v>0</v>
      </c>
      <c r="AJ32" s="62">
        <v>9</v>
      </c>
      <c r="AK32" s="62">
        <v>36</v>
      </c>
      <c r="AL32" s="62">
        <v>21</v>
      </c>
      <c r="AM32" s="1" t="s">
        <v>330</v>
      </c>
      <c r="AN32" s="78">
        <v>4</v>
      </c>
      <c r="AO32" s="78">
        <v>2</v>
      </c>
      <c r="AP32" s="78">
        <v>1</v>
      </c>
      <c r="AQ32" s="78">
        <v>0</v>
      </c>
      <c r="AR32" s="78">
        <v>1</v>
      </c>
      <c r="AS32" s="78">
        <v>0</v>
      </c>
      <c r="AT32" s="78">
        <v>0</v>
      </c>
      <c r="AU32" s="78">
        <v>0</v>
      </c>
      <c r="AV32" s="76">
        <v>2</v>
      </c>
      <c r="AW32" s="1" t="s">
        <v>345</v>
      </c>
      <c r="AX32" s="78">
        <v>5</v>
      </c>
      <c r="AY32" s="78">
        <v>1</v>
      </c>
      <c r="AZ32" s="78">
        <v>1</v>
      </c>
      <c r="BA32" s="78">
        <v>1</v>
      </c>
      <c r="BB32" s="78">
        <v>0</v>
      </c>
      <c r="BC32" s="78">
        <v>1</v>
      </c>
      <c r="BD32" s="78">
        <v>0</v>
      </c>
      <c r="BE32" s="78">
        <v>0</v>
      </c>
      <c r="BF32" s="76">
        <v>2</v>
      </c>
      <c r="BG32" s="1" t="s">
        <v>403</v>
      </c>
      <c r="BH32" s="78">
        <v>4</v>
      </c>
      <c r="BI32" s="78">
        <v>3</v>
      </c>
      <c r="BJ32" s="78">
        <v>3</v>
      </c>
      <c r="BK32" s="78">
        <v>2</v>
      </c>
      <c r="BL32" s="78">
        <v>1</v>
      </c>
      <c r="BM32" s="78">
        <v>0</v>
      </c>
      <c r="BN32" s="78">
        <v>0</v>
      </c>
      <c r="BO32" s="78">
        <v>0</v>
      </c>
      <c r="BP32" s="76">
        <v>7</v>
      </c>
      <c r="BQ32" s="1" t="s">
        <v>404</v>
      </c>
      <c r="BR32" s="78">
        <v>3</v>
      </c>
      <c r="BS32" s="78">
        <v>0</v>
      </c>
      <c r="BT32" s="78">
        <v>2</v>
      </c>
      <c r="BU32" s="78">
        <v>2</v>
      </c>
      <c r="BV32" s="78">
        <v>2</v>
      </c>
      <c r="BW32" s="78">
        <v>0</v>
      </c>
      <c r="BX32" s="78">
        <v>0</v>
      </c>
      <c r="BY32" s="78">
        <v>0</v>
      </c>
      <c r="BZ32" s="76">
        <v>2</v>
      </c>
      <c r="CA32" s="1" t="s">
        <v>332</v>
      </c>
      <c r="CB32" s="78">
        <v>4</v>
      </c>
      <c r="CC32" s="78">
        <v>0</v>
      </c>
      <c r="CD32" s="78">
        <v>1</v>
      </c>
      <c r="CE32" s="78">
        <v>1</v>
      </c>
      <c r="CF32" s="78">
        <v>1</v>
      </c>
      <c r="CG32" s="78">
        <v>1</v>
      </c>
      <c r="CH32" s="78">
        <v>0</v>
      </c>
      <c r="CI32" s="78">
        <v>0</v>
      </c>
      <c r="CJ32" s="76">
        <v>1</v>
      </c>
      <c r="CK32" s="1" t="s">
        <v>344</v>
      </c>
      <c r="CL32" s="78">
        <v>5</v>
      </c>
      <c r="CM32" s="78">
        <v>0</v>
      </c>
      <c r="CN32" s="78">
        <v>0</v>
      </c>
      <c r="CO32" s="78">
        <v>0</v>
      </c>
      <c r="CP32" s="78">
        <v>0</v>
      </c>
      <c r="CQ32" s="78">
        <v>1</v>
      </c>
      <c r="CR32" s="78">
        <v>0</v>
      </c>
      <c r="CS32" s="78">
        <v>0</v>
      </c>
      <c r="CT32" s="76">
        <v>0</v>
      </c>
      <c r="CU32" s="1" t="s">
        <v>405</v>
      </c>
      <c r="CV32" s="78">
        <v>5</v>
      </c>
      <c r="CW32" s="78">
        <v>1</v>
      </c>
      <c r="CX32" s="78">
        <v>1</v>
      </c>
      <c r="CY32" s="78">
        <v>0</v>
      </c>
      <c r="CZ32" s="78">
        <v>0</v>
      </c>
      <c r="DA32" s="78">
        <v>2</v>
      </c>
      <c r="DB32" s="78">
        <v>0</v>
      </c>
      <c r="DC32" s="78">
        <v>0</v>
      </c>
      <c r="DD32" s="76">
        <v>2</v>
      </c>
      <c r="DE32" s="1" t="s">
        <v>407</v>
      </c>
      <c r="DF32" s="78">
        <v>4</v>
      </c>
      <c r="DG32" s="78">
        <v>1</v>
      </c>
      <c r="DH32" s="78">
        <v>2</v>
      </c>
      <c r="DI32" s="78">
        <v>1</v>
      </c>
      <c r="DJ32" s="78">
        <v>0</v>
      </c>
      <c r="DK32" s="78">
        <v>2</v>
      </c>
      <c r="DL32" s="78">
        <v>0</v>
      </c>
      <c r="DM32" s="78">
        <v>0</v>
      </c>
      <c r="DN32" s="76">
        <v>5</v>
      </c>
      <c r="DO32" s="1" t="s">
        <v>402</v>
      </c>
      <c r="DP32" s="78">
        <v>4</v>
      </c>
      <c r="DQ32" s="78">
        <v>1</v>
      </c>
      <c r="DR32" s="78">
        <v>3</v>
      </c>
      <c r="DS32" s="78">
        <v>1</v>
      </c>
      <c r="DT32" s="78">
        <v>0</v>
      </c>
      <c r="DU32" s="78">
        <v>1</v>
      </c>
      <c r="DV32" s="78">
        <v>0</v>
      </c>
      <c r="DW32" s="78">
        <v>0</v>
      </c>
      <c r="DX32" s="76">
        <v>4</v>
      </c>
      <c r="DY32" s="77">
        <f>5+1/3</f>
        <v>5.333333333333333</v>
      </c>
      <c r="DZ32" s="43">
        <v>1</v>
      </c>
      <c r="EA32" s="43">
        <v>0</v>
      </c>
      <c r="EB32" s="45">
        <f>2+2/3</f>
        <v>2.6666666666666665</v>
      </c>
      <c r="EC32" s="43">
        <v>0</v>
      </c>
      <c r="ED32" s="44">
        <v>0</v>
      </c>
      <c r="EE32" s="71">
        <v>2</v>
      </c>
      <c r="EF32" s="43">
        <v>1</v>
      </c>
      <c r="EG32" s="43">
        <v>0</v>
      </c>
      <c r="EH32" s="43">
        <v>0</v>
      </c>
      <c r="EI32" s="43">
        <v>0</v>
      </c>
      <c r="EJ32" s="43">
        <v>4</v>
      </c>
      <c r="EK32" s="43">
        <v>1</v>
      </c>
      <c r="EL32" s="43">
        <v>1</v>
      </c>
      <c r="EM32" s="43"/>
      <c r="EN32" s="43"/>
      <c r="EO32" s="43"/>
      <c r="EP32" s="43"/>
      <c r="EQ32" s="44">
        <f t="shared" si="0"/>
        <v>9</v>
      </c>
      <c r="ER32" s="43">
        <v>0</v>
      </c>
      <c r="ES32" s="43">
        <v>2</v>
      </c>
      <c r="ET32" s="43">
        <v>0</v>
      </c>
      <c r="EU32" s="43">
        <v>0</v>
      </c>
      <c r="EV32" s="43">
        <v>0</v>
      </c>
      <c r="EW32" s="43">
        <v>1</v>
      </c>
      <c r="EX32" s="43">
        <v>0</v>
      </c>
      <c r="EY32" s="43">
        <v>0</v>
      </c>
      <c r="EZ32" s="43">
        <v>0</v>
      </c>
      <c r="FA32" s="43"/>
      <c r="FB32" s="43"/>
      <c r="FC32" s="43"/>
      <c r="FD32" s="43">
        <f t="shared" si="1"/>
        <v>3</v>
      </c>
      <c r="FE32" s="73">
        <f t="shared" si="2"/>
        <v>0</v>
      </c>
      <c r="FF32" s="73">
        <f t="shared" si="3"/>
        <v>0</v>
      </c>
      <c r="FG32" s="38"/>
    </row>
    <row r="33" spans="1:163" x14ac:dyDescent="0.25">
      <c r="A33" s="53">
        <v>40306</v>
      </c>
      <c r="B33" s="53" t="s">
        <v>19</v>
      </c>
      <c r="C33" s="53" t="s">
        <v>131</v>
      </c>
      <c r="D33" s="53" t="s">
        <v>348</v>
      </c>
      <c r="E33" s="54">
        <v>8738</v>
      </c>
      <c r="F33" s="58">
        <v>5</v>
      </c>
      <c r="G33" s="59" t="s">
        <v>339</v>
      </c>
      <c r="H33" s="6">
        <v>0</v>
      </c>
      <c r="I33" s="6">
        <v>1</v>
      </c>
      <c r="J33" s="60">
        <v>4</v>
      </c>
      <c r="K33" s="6">
        <v>6</v>
      </c>
      <c r="L33" s="6">
        <v>4</v>
      </c>
      <c r="M33" s="6">
        <v>0</v>
      </c>
      <c r="N33" s="6">
        <v>2</v>
      </c>
      <c r="O33" s="6">
        <v>7</v>
      </c>
      <c r="P33" s="6">
        <v>1</v>
      </c>
      <c r="Q33" s="6">
        <v>0</v>
      </c>
      <c r="R33" s="6">
        <v>20</v>
      </c>
      <c r="S33" s="6">
        <v>94</v>
      </c>
      <c r="T33" s="6">
        <v>59</v>
      </c>
      <c r="U33" s="6">
        <v>0</v>
      </c>
      <c r="V33" s="61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3">
        <v>5</v>
      </c>
      <c r="AC33" s="62">
        <v>2</v>
      </c>
      <c r="AD33" s="62">
        <v>0</v>
      </c>
      <c r="AE33" s="62">
        <v>0</v>
      </c>
      <c r="AF33" s="62">
        <v>2</v>
      </c>
      <c r="AG33" s="62">
        <v>5</v>
      </c>
      <c r="AH33" s="62">
        <v>0</v>
      </c>
      <c r="AI33" s="62">
        <v>0</v>
      </c>
      <c r="AJ33" s="62">
        <v>18</v>
      </c>
      <c r="AK33" s="62">
        <v>76</v>
      </c>
      <c r="AL33" s="62">
        <v>47</v>
      </c>
      <c r="AM33" s="1" t="s">
        <v>399</v>
      </c>
      <c r="AN33" s="78">
        <v>4</v>
      </c>
      <c r="AO33" s="78">
        <v>1</v>
      </c>
      <c r="AP33" s="78">
        <v>2</v>
      </c>
      <c r="AQ33" s="78">
        <v>1</v>
      </c>
      <c r="AR33" s="78">
        <v>0</v>
      </c>
      <c r="AS33" s="78">
        <v>0</v>
      </c>
      <c r="AT33" s="78">
        <v>0</v>
      </c>
      <c r="AU33" s="78">
        <v>0</v>
      </c>
      <c r="AV33" s="76">
        <v>3</v>
      </c>
      <c r="AW33" s="1" t="s">
        <v>345</v>
      </c>
      <c r="AX33" s="78">
        <v>3</v>
      </c>
      <c r="AY33" s="78">
        <v>0</v>
      </c>
      <c r="AZ33" s="78">
        <v>1</v>
      </c>
      <c r="BA33" s="78">
        <v>1</v>
      </c>
      <c r="BB33" s="78">
        <v>1</v>
      </c>
      <c r="BC33" s="78">
        <v>1</v>
      </c>
      <c r="BD33" s="78">
        <v>0</v>
      </c>
      <c r="BE33" s="78">
        <v>0</v>
      </c>
      <c r="BF33" s="76">
        <v>1</v>
      </c>
      <c r="BG33" s="1" t="s">
        <v>403</v>
      </c>
      <c r="BH33" s="78">
        <v>4</v>
      </c>
      <c r="BI33" s="78">
        <v>0</v>
      </c>
      <c r="BJ33" s="78">
        <v>0</v>
      </c>
      <c r="BK33" s="78">
        <v>0</v>
      </c>
      <c r="BL33" s="78">
        <v>0</v>
      </c>
      <c r="BM33" s="78">
        <v>2</v>
      </c>
      <c r="BN33" s="78">
        <v>0</v>
      </c>
      <c r="BO33" s="78">
        <v>0</v>
      </c>
      <c r="BP33" s="76">
        <v>0</v>
      </c>
      <c r="BQ33" s="1" t="s">
        <v>404</v>
      </c>
      <c r="BR33" s="78">
        <v>3</v>
      </c>
      <c r="BS33" s="78">
        <v>0</v>
      </c>
      <c r="BT33" s="78">
        <v>0</v>
      </c>
      <c r="BU33" s="78">
        <v>0</v>
      </c>
      <c r="BV33" s="78">
        <v>1</v>
      </c>
      <c r="BW33" s="78">
        <v>2</v>
      </c>
      <c r="BX33" s="78">
        <v>0</v>
      </c>
      <c r="BY33" s="78">
        <v>0</v>
      </c>
      <c r="BZ33" s="76">
        <v>0</v>
      </c>
      <c r="CA33" s="1" t="s">
        <v>332</v>
      </c>
      <c r="CB33" s="78">
        <v>3</v>
      </c>
      <c r="CC33" s="78">
        <v>0</v>
      </c>
      <c r="CD33" s="78">
        <v>0</v>
      </c>
      <c r="CE33" s="78">
        <v>0</v>
      </c>
      <c r="CF33" s="78">
        <v>1</v>
      </c>
      <c r="CG33" s="78">
        <v>1</v>
      </c>
      <c r="CH33" s="78">
        <v>0</v>
      </c>
      <c r="CI33" s="78">
        <v>0</v>
      </c>
      <c r="CJ33" s="76">
        <v>0</v>
      </c>
      <c r="CK33" s="1" t="s">
        <v>344</v>
      </c>
      <c r="CL33" s="78">
        <v>3</v>
      </c>
      <c r="CM33" s="78">
        <v>0</v>
      </c>
      <c r="CN33" s="78">
        <v>0</v>
      </c>
      <c r="CO33" s="78">
        <v>0</v>
      </c>
      <c r="CP33" s="78">
        <v>1</v>
      </c>
      <c r="CQ33" s="78">
        <v>1</v>
      </c>
      <c r="CR33" s="78">
        <v>0</v>
      </c>
      <c r="CS33" s="78">
        <v>0</v>
      </c>
      <c r="CT33" s="76">
        <v>0</v>
      </c>
      <c r="CU33" s="1" t="s">
        <v>331</v>
      </c>
      <c r="CV33" s="78">
        <v>4</v>
      </c>
      <c r="CW33" s="78">
        <v>0</v>
      </c>
      <c r="CX33" s="78">
        <v>1</v>
      </c>
      <c r="CY33" s="78">
        <v>0</v>
      </c>
      <c r="CZ33" s="78">
        <v>0</v>
      </c>
      <c r="DA33" s="78">
        <v>0</v>
      </c>
      <c r="DB33" s="78">
        <v>0</v>
      </c>
      <c r="DC33" s="78">
        <v>0</v>
      </c>
      <c r="DD33" s="76">
        <v>1</v>
      </c>
      <c r="DE33" s="1" t="s">
        <v>336</v>
      </c>
      <c r="DF33" s="78">
        <v>4</v>
      </c>
      <c r="DG33" s="78">
        <v>0</v>
      </c>
      <c r="DH33" s="78">
        <v>1</v>
      </c>
      <c r="DI33" s="78">
        <v>0</v>
      </c>
      <c r="DJ33" s="78">
        <v>0</v>
      </c>
      <c r="DK33" s="78">
        <v>2</v>
      </c>
      <c r="DL33" s="78">
        <v>0</v>
      </c>
      <c r="DM33" s="78">
        <v>0</v>
      </c>
      <c r="DN33" s="76">
        <v>1</v>
      </c>
      <c r="DO33" s="1" t="s">
        <v>402</v>
      </c>
      <c r="DP33" s="78">
        <v>2</v>
      </c>
      <c r="DQ33" s="78">
        <v>1</v>
      </c>
      <c r="DR33" s="78">
        <v>0</v>
      </c>
      <c r="DS33" s="78">
        <v>0</v>
      </c>
      <c r="DT33" s="78">
        <v>1</v>
      </c>
      <c r="DU33" s="78">
        <v>1</v>
      </c>
      <c r="DV33" s="78">
        <v>0</v>
      </c>
      <c r="DW33" s="78">
        <v>0</v>
      </c>
      <c r="DX33" s="76">
        <v>0</v>
      </c>
      <c r="DY33" s="77">
        <v>0</v>
      </c>
      <c r="DZ33" s="43">
        <v>0</v>
      </c>
      <c r="EA33" s="43">
        <v>0</v>
      </c>
      <c r="EB33" s="45">
        <v>9</v>
      </c>
      <c r="EC33" s="43">
        <v>3</v>
      </c>
      <c r="ED33" s="44">
        <v>0</v>
      </c>
      <c r="EE33" s="71">
        <v>0</v>
      </c>
      <c r="EF33" s="43">
        <v>0</v>
      </c>
      <c r="EG33" s="43">
        <v>2</v>
      </c>
      <c r="EH33" s="43">
        <v>0</v>
      </c>
      <c r="EI33" s="43">
        <v>0</v>
      </c>
      <c r="EJ33" s="43">
        <v>0</v>
      </c>
      <c r="EK33" s="43">
        <v>0</v>
      </c>
      <c r="EL33" s="43">
        <v>0</v>
      </c>
      <c r="EM33" s="43">
        <v>0</v>
      </c>
      <c r="EN33" s="43"/>
      <c r="EO33" s="43"/>
      <c r="EP33" s="43"/>
      <c r="EQ33" s="44">
        <f t="shared" si="0"/>
        <v>2</v>
      </c>
      <c r="ER33" s="43">
        <v>0</v>
      </c>
      <c r="ES33" s="43">
        <v>0</v>
      </c>
      <c r="ET33" s="43">
        <v>4</v>
      </c>
      <c r="EU33" s="43">
        <v>0</v>
      </c>
      <c r="EV33" s="43">
        <v>0</v>
      </c>
      <c r="EW33" s="43">
        <v>0</v>
      </c>
      <c r="EX33" s="43">
        <v>0</v>
      </c>
      <c r="EY33" s="43">
        <v>0</v>
      </c>
      <c r="EZ33" s="43">
        <v>0</v>
      </c>
      <c r="FA33" s="43"/>
      <c r="FB33" s="43"/>
      <c r="FC33" s="43"/>
      <c r="FD33" s="43">
        <f t="shared" si="1"/>
        <v>4</v>
      </c>
      <c r="FE33" s="73">
        <f t="shared" si="2"/>
        <v>0</v>
      </c>
      <c r="FF33" s="73">
        <f t="shared" si="3"/>
        <v>0</v>
      </c>
      <c r="FG33" s="38"/>
    </row>
    <row r="34" spans="1:163" x14ac:dyDescent="0.25">
      <c r="A34" s="53">
        <v>40307</v>
      </c>
      <c r="B34" s="53" t="s">
        <v>19</v>
      </c>
      <c r="C34" s="53" t="s">
        <v>131</v>
      </c>
      <c r="D34" s="53" t="s">
        <v>348</v>
      </c>
      <c r="E34" s="54">
        <v>5519</v>
      </c>
      <c r="F34" s="58">
        <v>1</v>
      </c>
      <c r="G34" s="59" t="s">
        <v>397</v>
      </c>
      <c r="H34" s="6">
        <v>0</v>
      </c>
      <c r="I34" s="6">
        <v>1</v>
      </c>
      <c r="J34" s="60">
        <v>5</v>
      </c>
      <c r="K34" s="6">
        <v>8</v>
      </c>
      <c r="L34" s="6">
        <v>5</v>
      </c>
      <c r="M34" s="6">
        <v>5</v>
      </c>
      <c r="N34" s="6">
        <v>2</v>
      </c>
      <c r="O34" s="6">
        <v>3</v>
      </c>
      <c r="P34" s="6">
        <v>0</v>
      </c>
      <c r="Q34" s="6">
        <v>0</v>
      </c>
      <c r="R34" s="6">
        <v>25</v>
      </c>
      <c r="S34" s="6">
        <v>86</v>
      </c>
      <c r="T34" s="6">
        <v>53</v>
      </c>
      <c r="U34" s="6">
        <v>3</v>
      </c>
      <c r="V34" s="61">
        <v>3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3">
        <v>4</v>
      </c>
      <c r="AC34" s="62">
        <v>7</v>
      </c>
      <c r="AD34" s="62">
        <v>4</v>
      </c>
      <c r="AE34" s="62">
        <v>4</v>
      </c>
      <c r="AF34" s="62">
        <v>2</v>
      </c>
      <c r="AG34" s="62">
        <v>1</v>
      </c>
      <c r="AH34" s="62">
        <v>1</v>
      </c>
      <c r="AI34" s="62">
        <v>0</v>
      </c>
      <c r="AJ34" s="62">
        <v>19</v>
      </c>
      <c r="AK34" s="62">
        <v>75</v>
      </c>
      <c r="AL34" s="62">
        <v>43</v>
      </c>
      <c r="AM34" s="1" t="s">
        <v>399</v>
      </c>
      <c r="AN34" s="78">
        <v>5</v>
      </c>
      <c r="AO34" s="78">
        <v>0</v>
      </c>
      <c r="AP34" s="78">
        <v>1</v>
      </c>
      <c r="AQ34" s="78">
        <v>0</v>
      </c>
      <c r="AR34" s="78">
        <v>0</v>
      </c>
      <c r="AS34" s="78">
        <v>1</v>
      </c>
      <c r="AT34" s="78">
        <v>0</v>
      </c>
      <c r="AU34" s="78">
        <v>0</v>
      </c>
      <c r="AV34" s="76">
        <v>1</v>
      </c>
      <c r="AW34" s="1" t="s">
        <v>330</v>
      </c>
      <c r="AX34" s="78">
        <v>4</v>
      </c>
      <c r="AY34" s="78">
        <v>0</v>
      </c>
      <c r="AZ34" s="78">
        <v>1</v>
      </c>
      <c r="BA34" s="78">
        <v>0</v>
      </c>
      <c r="BB34" s="78">
        <v>0</v>
      </c>
      <c r="BC34" s="78">
        <v>3</v>
      </c>
      <c r="BD34" s="78">
        <v>0</v>
      </c>
      <c r="BE34" s="78">
        <v>0</v>
      </c>
      <c r="BF34" s="76">
        <v>3</v>
      </c>
      <c r="BG34" s="1" t="s">
        <v>403</v>
      </c>
      <c r="BH34" s="78">
        <v>4</v>
      </c>
      <c r="BI34" s="78">
        <v>1</v>
      </c>
      <c r="BJ34" s="78">
        <v>1</v>
      </c>
      <c r="BK34" s="78">
        <v>0</v>
      </c>
      <c r="BL34" s="78">
        <v>0</v>
      </c>
      <c r="BM34" s="78">
        <v>0</v>
      </c>
      <c r="BN34" s="78">
        <v>0</v>
      </c>
      <c r="BO34" s="78">
        <v>0</v>
      </c>
      <c r="BP34" s="76">
        <v>1</v>
      </c>
      <c r="BQ34" s="1" t="s">
        <v>404</v>
      </c>
      <c r="BR34" s="78">
        <v>4</v>
      </c>
      <c r="BS34" s="78">
        <v>2</v>
      </c>
      <c r="BT34" s="78">
        <v>2</v>
      </c>
      <c r="BU34" s="78">
        <v>1</v>
      </c>
      <c r="BV34" s="78">
        <v>0</v>
      </c>
      <c r="BW34" s="78">
        <v>0</v>
      </c>
      <c r="BX34" s="78">
        <v>0</v>
      </c>
      <c r="BY34" s="78">
        <v>0</v>
      </c>
      <c r="BZ34" s="76">
        <v>6</v>
      </c>
      <c r="CA34" s="1" t="s">
        <v>332</v>
      </c>
      <c r="CB34" s="78">
        <v>3</v>
      </c>
      <c r="CC34" s="78">
        <v>0</v>
      </c>
      <c r="CD34" s="78">
        <v>0</v>
      </c>
      <c r="CE34" s="78">
        <v>0</v>
      </c>
      <c r="CF34" s="78">
        <v>1</v>
      </c>
      <c r="CG34" s="78">
        <v>1</v>
      </c>
      <c r="CH34" s="78">
        <v>0</v>
      </c>
      <c r="CI34" s="78">
        <v>0</v>
      </c>
      <c r="CJ34" s="76">
        <v>0</v>
      </c>
      <c r="CK34" s="1" t="s">
        <v>405</v>
      </c>
      <c r="CL34" s="78">
        <v>3</v>
      </c>
      <c r="CM34" s="78">
        <v>0</v>
      </c>
      <c r="CN34" s="78">
        <v>2</v>
      </c>
      <c r="CO34" s="78">
        <v>2</v>
      </c>
      <c r="CP34" s="78">
        <v>1</v>
      </c>
      <c r="CQ34" s="78">
        <v>0</v>
      </c>
      <c r="CR34" s="78">
        <v>0</v>
      </c>
      <c r="CS34" s="78">
        <v>0</v>
      </c>
      <c r="CT34" s="76">
        <v>3</v>
      </c>
      <c r="CU34" s="1" t="s">
        <v>331</v>
      </c>
      <c r="CV34" s="78">
        <v>4</v>
      </c>
      <c r="CW34" s="78">
        <v>0</v>
      </c>
      <c r="CX34" s="78">
        <v>0</v>
      </c>
      <c r="CY34" s="78">
        <v>0</v>
      </c>
      <c r="CZ34" s="78">
        <v>0</v>
      </c>
      <c r="DA34" s="78">
        <v>1</v>
      </c>
      <c r="DB34" s="78">
        <v>0</v>
      </c>
      <c r="DC34" s="78">
        <v>0</v>
      </c>
      <c r="DD34" s="76">
        <v>0</v>
      </c>
      <c r="DE34" s="1" t="s">
        <v>407</v>
      </c>
      <c r="DF34" s="78">
        <v>4</v>
      </c>
      <c r="DG34" s="78">
        <v>0</v>
      </c>
      <c r="DH34" s="78">
        <v>2</v>
      </c>
      <c r="DI34" s="78">
        <v>0</v>
      </c>
      <c r="DJ34" s="78">
        <v>0</v>
      </c>
      <c r="DK34" s="78">
        <v>2</v>
      </c>
      <c r="DL34" s="78">
        <v>0</v>
      </c>
      <c r="DM34" s="78">
        <v>0</v>
      </c>
      <c r="DN34" s="76">
        <v>3</v>
      </c>
      <c r="DO34" s="1" t="s">
        <v>402</v>
      </c>
      <c r="DP34" s="78">
        <v>4</v>
      </c>
      <c r="DQ34" s="78">
        <v>0</v>
      </c>
      <c r="DR34" s="78">
        <v>0</v>
      </c>
      <c r="DS34" s="78">
        <v>0</v>
      </c>
      <c r="DT34" s="78">
        <v>0</v>
      </c>
      <c r="DU34" s="78">
        <v>1</v>
      </c>
      <c r="DV34" s="78">
        <v>0</v>
      </c>
      <c r="DW34" s="78">
        <v>0</v>
      </c>
      <c r="DX34" s="76">
        <v>0</v>
      </c>
      <c r="DY34" s="77">
        <f>2/3</f>
        <v>0.66666666666666663</v>
      </c>
      <c r="DZ34" s="43">
        <v>0</v>
      </c>
      <c r="EA34" s="43">
        <v>0</v>
      </c>
      <c r="EB34" s="45">
        <f>8+1/3</f>
        <v>8.3333333333333339</v>
      </c>
      <c r="EC34" s="43">
        <v>0</v>
      </c>
      <c r="ED34" s="44">
        <v>0</v>
      </c>
      <c r="EE34" s="71">
        <v>0</v>
      </c>
      <c r="EF34" s="43">
        <v>0</v>
      </c>
      <c r="EG34" s="43">
        <v>0</v>
      </c>
      <c r="EH34" s="43">
        <v>2</v>
      </c>
      <c r="EI34" s="43">
        <v>0</v>
      </c>
      <c r="EJ34" s="43">
        <v>0</v>
      </c>
      <c r="EK34" s="43">
        <v>0</v>
      </c>
      <c r="EL34" s="43">
        <v>1</v>
      </c>
      <c r="EM34" s="43">
        <v>0</v>
      </c>
      <c r="EN34" s="43"/>
      <c r="EO34" s="43"/>
      <c r="EP34" s="43"/>
      <c r="EQ34" s="44">
        <f t="shared" si="0"/>
        <v>3</v>
      </c>
      <c r="ER34" s="43">
        <v>0</v>
      </c>
      <c r="ES34" s="43">
        <v>0</v>
      </c>
      <c r="ET34" s="43">
        <v>0</v>
      </c>
      <c r="EU34" s="43">
        <v>0</v>
      </c>
      <c r="EV34" s="43">
        <v>1</v>
      </c>
      <c r="EW34" s="43">
        <v>5</v>
      </c>
      <c r="EX34" s="43">
        <v>0</v>
      </c>
      <c r="EY34" s="43">
        <v>0</v>
      </c>
      <c r="EZ34" s="43">
        <v>3</v>
      </c>
      <c r="FA34" s="43"/>
      <c r="FB34" s="43"/>
      <c r="FC34" s="43"/>
      <c r="FD34" s="43">
        <f t="shared" si="1"/>
        <v>9</v>
      </c>
      <c r="FE34" s="73">
        <f t="shared" si="2"/>
        <v>0</v>
      </c>
      <c r="FF34" s="73">
        <f t="shared" si="3"/>
        <v>0</v>
      </c>
      <c r="FG34" s="38"/>
    </row>
    <row r="35" spans="1:163" x14ac:dyDescent="0.25">
      <c r="A35" s="53">
        <v>40308</v>
      </c>
      <c r="B35" s="53" t="s">
        <v>19</v>
      </c>
      <c r="C35" s="53" t="s">
        <v>131</v>
      </c>
      <c r="D35" s="53" t="s">
        <v>354</v>
      </c>
      <c r="E35" s="54">
        <v>3911</v>
      </c>
      <c r="F35" s="58">
        <v>2</v>
      </c>
      <c r="G35" s="59" t="s">
        <v>337</v>
      </c>
      <c r="H35" s="6">
        <v>0</v>
      </c>
      <c r="I35" s="6">
        <v>1</v>
      </c>
      <c r="J35" s="60">
        <f>5+2/3</f>
        <v>5.666666666666667</v>
      </c>
      <c r="K35" s="6">
        <v>7</v>
      </c>
      <c r="L35" s="6">
        <v>6</v>
      </c>
      <c r="M35" s="6">
        <v>4</v>
      </c>
      <c r="N35" s="6">
        <v>3</v>
      </c>
      <c r="O35" s="6">
        <v>2</v>
      </c>
      <c r="P35" s="6">
        <v>2</v>
      </c>
      <c r="Q35" s="6">
        <v>1</v>
      </c>
      <c r="R35" s="6">
        <v>27</v>
      </c>
      <c r="S35" s="6">
        <v>94</v>
      </c>
      <c r="T35" s="6">
        <v>60</v>
      </c>
      <c r="U35" s="6">
        <v>1</v>
      </c>
      <c r="V35" s="61">
        <v>0</v>
      </c>
      <c r="W35" s="62">
        <v>0</v>
      </c>
      <c r="X35" s="62">
        <v>0</v>
      </c>
      <c r="Y35" s="62">
        <v>0</v>
      </c>
      <c r="Z35" s="62">
        <v>0</v>
      </c>
      <c r="AA35" s="62">
        <v>0</v>
      </c>
      <c r="AB35" s="63">
        <f>3+1/3</f>
        <v>3.3333333333333335</v>
      </c>
      <c r="AC35" s="62">
        <v>2</v>
      </c>
      <c r="AD35" s="62">
        <v>0</v>
      </c>
      <c r="AE35" s="62">
        <v>0</v>
      </c>
      <c r="AF35" s="62">
        <v>1</v>
      </c>
      <c r="AG35" s="62">
        <v>3</v>
      </c>
      <c r="AH35" s="62">
        <v>0</v>
      </c>
      <c r="AI35" s="62">
        <v>0</v>
      </c>
      <c r="AJ35" s="62">
        <v>13</v>
      </c>
      <c r="AK35" s="62">
        <v>58</v>
      </c>
      <c r="AL35" s="62">
        <v>38</v>
      </c>
      <c r="AM35" s="1" t="s">
        <v>399</v>
      </c>
      <c r="AN35" s="78">
        <v>4</v>
      </c>
      <c r="AO35" s="78">
        <v>0</v>
      </c>
      <c r="AP35" s="78">
        <v>1</v>
      </c>
      <c r="AQ35" s="78">
        <v>0</v>
      </c>
      <c r="AR35" s="78">
        <v>0</v>
      </c>
      <c r="AS35" s="78">
        <v>0</v>
      </c>
      <c r="AT35" s="78">
        <v>0</v>
      </c>
      <c r="AU35" s="78">
        <v>0</v>
      </c>
      <c r="AV35" s="76">
        <v>1</v>
      </c>
      <c r="AW35" s="1" t="s">
        <v>345</v>
      </c>
      <c r="AX35" s="78">
        <v>4</v>
      </c>
      <c r="AY35" s="78">
        <v>0</v>
      </c>
      <c r="AZ35" s="78">
        <v>0</v>
      </c>
      <c r="BA35" s="78">
        <v>0</v>
      </c>
      <c r="BB35" s="78">
        <v>0</v>
      </c>
      <c r="BC35" s="78">
        <v>2</v>
      </c>
      <c r="BD35" s="78">
        <v>0</v>
      </c>
      <c r="BE35" s="78">
        <v>0</v>
      </c>
      <c r="BF35" s="76">
        <v>0</v>
      </c>
      <c r="BG35" s="1" t="s">
        <v>403</v>
      </c>
      <c r="BH35" s="78">
        <v>3</v>
      </c>
      <c r="BI35" s="78">
        <v>0</v>
      </c>
      <c r="BJ35" s="78">
        <v>0</v>
      </c>
      <c r="BK35" s="78">
        <v>0</v>
      </c>
      <c r="BL35" s="78">
        <v>1</v>
      </c>
      <c r="BM35" s="78">
        <v>0</v>
      </c>
      <c r="BN35" s="78">
        <v>0</v>
      </c>
      <c r="BO35" s="78">
        <v>0</v>
      </c>
      <c r="BP35" s="76">
        <v>0</v>
      </c>
      <c r="BQ35" s="1" t="s">
        <v>404</v>
      </c>
      <c r="BR35" s="78">
        <v>4</v>
      </c>
      <c r="BS35" s="78">
        <v>0</v>
      </c>
      <c r="BT35" s="78">
        <v>1</v>
      </c>
      <c r="BU35" s="78">
        <v>1</v>
      </c>
      <c r="BV35" s="78">
        <v>0</v>
      </c>
      <c r="BW35" s="78">
        <v>0</v>
      </c>
      <c r="BX35" s="78">
        <v>0</v>
      </c>
      <c r="BY35" s="78">
        <v>0</v>
      </c>
      <c r="BZ35" s="76">
        <v>1</v>
      </c>
      <c r="CA35" s="1" t="s">
        <v>332</v>
      </c>
      <c r="CB35" s="78">
        <v>3</v>
      </c>
      <c r="CC35" s="78">
        <v>1</v>
      </c>
      <c r="CD35" s="78">
        <v>1</v>
      </c>
      <c r="CE35" s="78">
        <v>1</v>
      </c>
      <c r="CF35" s="78">
        <v>0</v>
      </c>
      <c r="CG35" s="78">
        <v>2</v>
      </c>
      <c r="CH35" s="78">
        <v>1</v>
      </c>
      <c r="CI35" s="78">
        <v>0</v>
      </c>
      <c r="CJ35" s="76">
        <v>4</v>
      </c>
      <c r="CK35" s="1" t="s">
        <v>344</v>
      </c>
      <c r="CL35" s="78">
        <v>3</v>
      </c>
      <c r="CM35" s="78">
        <v>0</v>
      </c>
      <c r="CN35" s="78">
        <v>0</v>
      </c>
      <c r="CO35" s="78">
        <v>0</v>
      </c>
      <c r="CP35" s="78">
        <v>1</v>
      </c>
      <c r="CQ35" s="78">
        <v>1</v>
      </c>
      <c r="CR35" s="78">
        <v>0</v>
      </c>
      <c r="CS35" s="78">
        <v>0</v>
      </c>
      <c r="CT35" s="76">
        <v>0</v>
      </c>
      <c r="CU35" s="1" t="s">
        <v>405</v>
      </c>
      <c r="CV35" s="78">
        <v>4</v>
      </c>
      <c r="CW35" s="78">
        <v>0</v>
      </c>
      <c r="CX35" s="78">
        <v>1</v>
      </c>
      <c r="CY35" s="78">
        <v>0</v>
      </c>
      <c r="CZ35" s="78">
        <v>0</v>
      </c>
      <c r="DA35" s="78">
        <v>1</v>
      </c>
      <c r="DB35" s="78">
        <v>0</v>
      </c>
      <c r="DC35" s="78">
        <v>0</v>
      </c>
      <c r="DD35" s="76">
        <v>1</v>
      </c>
      <c r="DE35" s="1" t="s">
        <v>331</v>
      </c>
      <c r="DF35" s="78">
        <v>4</v>
      </c>
      <c r="DG35" s="78">
        <v>0</v>
      </c>
      <c r="DH35" s="78">
        <v>1</v>
      </c>
      <c r="DI35" s="78">
        <v>0</v>
      </c>
      <c r="DJ35" s="78">
        <v>0</v>
      </c>
      <c r="DK35" s="78">
        <v>0</v>
      </c>
      <c r="DL35" s="78">
        <v>0</v>
      </c>
      <c r="DM35" s="78">
        <v>0</v>
      </c>
      <c r="DN35" s="76">
        <v>1</v>
      </c>
      <c r="DO35" s="1" t="s">
        <v>407</v>
      </c>
      <c r="DP35" s="78">
        <v>3</v>
      </c>
      <c r="DQ35" s="78">
        <v>1</v>
      </c>
      <c r="DR35" s="78">
        <v>1</v>
      </c>
      <c r="DS35" s="78">
        <v>0</v>
      </c>
      <c r="DT35" s="78">
        <v>0</v>
      </c>
      <c r="DU35" s="78">
        <v>1</v>
      </c>
      <c r="DV35" s="78">
        <v>0</v>
      </c>
      <c r="DW35" s="78">
        <v>0</v>
      </c>
      <c r="DX35" s="76">
        <v>1</v>
      </c>
      <c r="DY35" s="77">
        <f>6+2/3</f>
        <v>6.666666666666667</v>
      </c>
      <c r="DZ35" s="43">
        <v>0</v>
      </c>
      <c r="EA35" s="43">
        <v>0</v>
      </c>
      <c r="EB35" s="45">
        <f>2+1/3</f>
        <v>2.3333333333333335</v>
      </c>
      <c r="EC35" s="43">
        <v>0</v>
      </c>
      <c r="ED35" s="44">
        <v>0</v>
      </c>
      <c r="EE35" s="71">
        <v>0</v>
      </c>
      <c r="EF35" s="43">
        <v>0</v>
      </c>
      <c r="EG35" s="43">
        <v>0</v>
      </c>
      <c r="EH35" s="43">
        <v>0</v>
      </c>
      <c r="EI35" s="43">
        <v>1</v>
      </c>
      <c r="EJ35" s="43">
        <v>1</v>
      </c>
      <c r="EK35" s="43">
        <v>0</v>
      </c>
      <c r="EL35" s="43">
        <v>0</v>
      </c>
      <c r="EM35" s="43">
        <v>0</v>
      </c>
      <c r="EN35" s="43"/>
      <c r="EO35" s="43"/>
      <c r="EP35" s="43"/>
      <c r="EQ35" s="44">
        <f t="shared" si="0"/>
        <v>2</v>
      </c>
      <c r="ER35" s="43">
        <v>5</v>
      </c>
      <c r="ES35" s="43">
        <v>0</v>
      </c>
      <c r="ET35" s="43">
        <v>0</v>
      </c>
      <c r="EU35" s="43">
        <v>0</v>
      </c>
      <c r="EV35" s="43">
        <v>0</v>
      </c>
      <c r="EW35" s="43">
        <v>1</v>
      </c>
      <c r="EX35" s="43">
        <v>0</v>
      </c>
      <c r="EY35" s="43">
        <v>0</v>
      </c>
      <c r="EZ35" s="43">
        <v>0</v>
      </c>
      <c r="FA35" s="43"/>
      <c r="FB35" s="43"/>
      <c r="FC35" s="43"/>
      <c r="FD35" s="43">
        <f t="shared" si="1"/>
        <v>6</v>
      </c>
      <c r="FE35" s="73">
        <f t="shared" si="2"/>
        <v>0</v>
      </c>
      <c r="FF35" s="73">
        <f t="shared" si="3"/>
        <v>0</v>
      </c>
      <c r="FG35" s="38"/>
    </row>
    <row r="36" spans="1:163" x14ac:dyDescent="0.25">
      <c r="A36" s="53">
        <v>40309</v>
      </c>
      <c r="B36" s="53" t="s">
        <v>19</v>
      </c>
      <c r="C36" s="53" t="s">
        <v>131</v>
      </c>
      <c r="D36" s="53" t="s">
        <v>354</v>
      </c>
      <c r="E36" s="54">
        <v>3755</v>
      </c>
      <c r="F36" s="58">
        <v>3</v>
      </c>
      <c r="G36" s="59" t="s">
        <v>356</v>
      </c>
      <c r="H36" s="6">
        <v>0</v>
      </c>
      <c r="I36" s="6">
        <v>1</v>
      </c>
      <c r="J36" s="60">
        <f>4+2/3</f>
        <v>4.666666666666667</v>
      </c>
      <c r="K36" s="6">
        <v>5</v>
      </c>
      <c r="L36" s="6">
        <v>5</v>
      </c>
      <c r="M36" s="6">
        <v>5</v>
      </c>
      <c r="N36" s="6">
        <v>7</v>
      </c>
      <c r="O36" s="6">
        <v>4</v>
      </c>
      <c r="P36" s="6">
        <v>0</v>
      </c>
      <c r="Q36" s="6">
        <v>0</v>
      </c>
      <c r="R36" s="6">
        <v>24</v>
      </c>
      <c r="S36" s="6">
        <v>88</v>
      </c>
      <c r="T36" s="6">
        <v>44</v>
      </c>
      <c r="U36" s="6">
        <v>1</v>
      </c>
      <c r="V36" s="61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3">
        <f>4+1/3</f>
        <v>4.333333333333333</v>
      </c>
      <c r="AC36" s="62">
        <v>2</v>
      </c>
      <c r="AD36" s="62">
        <v>0</v>
      </c>
      <c r="AE36" s="62">
        <v>0</v>
      </c>
      <c r="AF36" s="62">
        <v>2</v>
      </c>
      <c r="AG36" s="62">
        <v>9</v>
      </c>
      <c r="AH36" s="62">
        <v>0</v>
      </c>
      <c r="AI36" s="62">
        <v>0</v>
      </c>
      <c r="AJ36" s="62">
        <v>17</v>
      </c>
      <c r="AK36" s="62">
        <v>81</v>
      </c>
      <c r="AL36" s="62">
        <v>49</v>
      </c>
      <c r="AM36" s="1" t="s">
        <v>399</v>
      </c>
      <c r="AN36" s="78">
        <v>3</v>
      </c>
      <c r="AO36" s="78">
        <v>0</v>
      </c>
      <c r="AP36" s="78">
        <v>1</v>
      </c>
      <c r="AQ36" s="78">
        <v>1</v>
      </c>
      <c r="AR36" s="78">
        <v>2</v>
      </c>
      <c r="AS36" s="78">
        <v>0</v>
      </c>
      <c r="AT36" s="78">
        <v>0</v>
      </c>
      <c r="AU36" s="78">
        <v>0</v>
      </c>
      <c r="AV36" s="76">
        <v>1</v>
      </c>
      <c r="AW36" s="1" t="s">
        <v>345</v>
      </c>
      <c r="AX36" s="78">
        <v>5</v>
      </c>
      <c r="AY36" s="78">
        <v>0</v>
      </c>
      <c r="AZ36" s="78">
        <v>2</v>
      </c>
      <c r="BA36" s="78">
        <v>2</v>
      </c>
      <c r="BB36" s="78">
        <v>0</v>
      </c>
      <c r="BC36" s="78">
        <v>0</v>
      </c>
      <c r="BD36" s="78">
        <v>0</v>
      </c>
      <c r="BE36" s="78">
        <v>0</v>
      </c>
      <c r="BF36" s="76">
        <v>2</v>
      </c>
      <c r="BG36" s="1" t="s">
        <v>404</v>
      </c>
      <c r="BH36" s="78">
        <v>5</v>
      </c>
      <c r="BI36" s="78">
        <v>0</v>
      </c>
      <c r="BJ36" s="78">
        <v>1</v>
      </c>
      <c r="BK36" s="78">
        <v>0</v>
      </c>
      <c r="BL36" s="78">
        <v>0</v>
      </c>
      <c r="BM36" s="78">
        <v>1</v>
      </c>
      <c r="BN36" s="78">
        <v>0</v>
      </c>
      <c r="BO36" s="78">
        <v>0</v>
      </c>
      <c r="BP36" s="76">
        <v>1</v>
      </c>
      <c r="BQ36" s="1" t="s">
        <v>344</v>
      </c>
      <c r="BR36" s="78">
        <v>4</v>
      </c>
      <c r="BS36" s="78">
        <v>1</v>
      </c>
      <c r="BT36" s="78">
        <v>1</v>
      </c>
      <c r="BU36" s="78">
        <v>1</v>
      </c>
      <c r="BV36" s="78">
        <v>1</v>
      </c>
      <c r="BW36" s="78">
        <v>2</v>
      </c>
      <c r="BX36" s="78">
        <v>0</v>
      </c>
      <c r="BY36" s="78">
        <v>0</v>
      </c>
      <c r="BZ36" s="76">
        <v>4</v>
      </c>
      <c r="CA36" s="1" t="s">
        <v>332</v>
      </c>
      <c r="CB36" s="78">
        <v>5</v>
      </c>
      <c r="CC36" s="78">
        <v>0</v>
      </c>
      <c r="CD36" s="78">
        <v>1</v>
      </c>
      <c r="CE36" s="78">
        <v>0</v>
      </c>
      <c r="CF36" s="78">
        <v>0</v>
      </c>
      <c r="CG36" s="78">
        <v>2</v>
      </c>
      <c r="CH36" s="78">
        <v>0</v>
      </c>
      <c r="CI36" s="78">
        <v>0</v>
      </c>
      <c r="CJ36" s="76">
        <v>2</v>
      </c>
      <c r="CK36" s="1" t="s">
        <v>405</v>
      </c>
      <c r="CL36" s="78">
        <v>4</v>
      </c>
      <c r="CM36" s="78">
        <v>0</v>
      </c>
      <c r="CN36" s="78">
        <v>0</v>
      </c>
      <c r="CO36" s="78">
        <v>0</v>
      </c>
      <c r="CP36" s="78">
        <v>0</v>
      </c>
      <c r="CQ36" s="78">
        <v>0</v>
      </c>
      <c r="CR36" s="78">
        <v>0</v>
      </c>
      <c r="CS36" s="78">
        <v>0</v>
      </c>
      <c r="CT36" s="76">
        <v>0</v>
      </c>
      <c r="CU36" s="1" t="s">
        <v>331</v>
      </c>
      <c r="CV36" s="78">
        <v>4</v>
      </c>
      <c r="CW36" s="78">
        <v>1</v>
      </c>
      <c r="CX36" s="78">
        <v>1</v>
      </c>
      <c r="CY36" s="78">
        <v>0</v>
      </c>
      <c r="CZ36" s="78">
        <v>0</v>
      </c>
      <c r="DA36" s="78">
        <v>1</v>
      </c>
      <c r="DB36" s="78">
        <v>0</v>
      </c>
      <c r="DC36" s="78">
        <v>0</v>
      </c>
      <c r="DD36" s="76">
        <v>1</v>
      </c>
      <c r="DE36" s="1" t="s">
        <v>336</v>
      </c>
      <c r="DF36" s="78">
        <v>3</v>
      </c>
      <c r="DG36" s="78">
        <v>0</v>
      </c>
      <c r="DH36" s="78">
        <v>1</v>
      </c>
      <c r="DI36" s="78">
        <v>0</v>
      </c>
      <c r="DJ36" s="78">
        <v>1</v>
      </c>
      <c r="DK36" s="78">
        <v>1</v>
      </c>
      <c r="DL36" s="78">
        <v>0</v>
      </c>
      <c r="DM36" s="78">
        <v>0</v>
      </c>
      <c r="DN36" s="76">
        <v>2</v>
      </c>
      <c r="DO36" s="1" t="s">
        <v>402</v>
      </c>
      <c r="DP36" s="78">
        <v>3</v>
      </c>
      <c r="DQ36" s="78">
        <v>2</v>
      </c>
      <c r="DR36" s="78">
        <v>2</v>
      </c>
      <c r="DS36" s="78">
        <v>0</v>
      </c>
      <c r="DT36" s="78">
        <v>1</v>
      </c>
      <c r="DU36" s="78">
        <v>0</v>
      </c>
      <c r="DV36" s="78">
        <v>0</v>
      </c>
      <c r="DW36" s="78">
        <v>0</v>
      </c>
      <c r="DX36" s="76">
        <v>4</v>
      </c>
      <c r="DY36" s="77">
        <v>0</v>
      </c>
      <c r="DZ36" s="43">
        <v>0</v>
      </c>
      <c r="EA36" s="43">
        <v>0</v>
      </c>
      <c r="EB36" s="45">
        <v>9</v>
      </c>
      <c r="EC36" s="43">
        <v>3</v>
      </c>
      <c r="ED36" s="44">
        <v>0</v>
      </c>
      <c r="EE36" s="71">
        <v>0</v>
      </c>
      <c r="EF36" s="43">
        <v>0</v>
      </c>
      <c r="EG36" s="43">
        <v>1</v>
      </c>
      <c r="EH36" s="43">
        <v>2</v>
      </c>
      <c r="EI36" s="43">
        <v>0</v>
      </c>
      <c r="EJ36" s="43">
        <v>0</v>
      </c>
      <c r="EK36" s="43">
        <v>1</v>
      </c>
      <c r="EL36" s="43">
        <v>0</v>
      </c>
      <c r="EM36" s="43">
        <v>0</v>
      </c>
      <c r="EN36" s="43"/>
      <c r="EO36" s="43"/>
      <c r="EP36" s="43"/>
      <c r="EQ36" s="44">
        <f t="shared" ref="EQ36:EQ67" si="4">SUM(EE36:EP36)</f>
        <v>4</v>
      </c>
      <c r="ER36" s="43">
        <v>1</v>
      </c>
      <c r="ES36" s="43">
        <v>0</v>
      </c>
      <c r="ET36" s="43">
        <v>0</v>
      </c>
      <c r="EU36" s="43">
        <v>0</v>
      </c>
      <c r="EV36" s="43">
        <v>4</v>
      </c>
      <c r="EW36" s="43">
        <v>0</v>
      </c>
      <c r="EX36" s="43">
        <v>0</v>
      </c>
      <c r="EY36" s="43">
        <v>0</v>
      </c>
      <c r="EZ36" s="43">
        <v>0</v>
      </c>
      <c r="FA36" s="43"/>
      <c r="FB36" s="43"/>
      <c r="FC36" s="43"/>
      <c r="FD36" s="43">
        <f t="shared" ref="FD36:FD67" si="5">SUM(ER36:FC36)</f>
        <v>5</v>
      </c>
      <c r="FE36" s="73">
        <f t="shared" ref="FE36:FE67" si="6">((SUM(L36,AD36))-(FD36))</f>
        <v>0</v>
      </c>
      <c r="FF36" s="73">
        <f t="shared" ref="FF36:FF67" si="7">((SUM(AO36,AY36,BI36,BS36,CC36,CM36,CW36,DG36,DQ36))-(EQ36))</f>
        <v>0</v>
      </c>
      <c r="FG36" s="38"/>
    </row>
    <row r="37" spans="1:163" x14ac:dyDescent="0.25">
      <c r="A37" s="53">
        <v>40310</v>
      </c>
      <c r="B37" s="53" t="s">
        <v>19</v>
      </c>
      <c r="C37" s="53" t="s">
        <v>129</v>
      </c>
      <c r="D37" s="53" t="s">
        <v>354</v>
      </c>
      <c r="E37" s="54">
        <v>3963</v>
      </c>
      <c r="F37" s="58">
        <v>4</v>
      </c>
      <c r="G37" s="59" t="s">
        <v>334</v>
      </c>
      <c r="H37" s="6">
        <v>1</v>
      </c>
      <c r="I37" s="6">
        <v>0</v>
      </c>
      <c r="J37" s="60">
        <f>5+1/3</f>
        <v>5.333333333333333</v>
      </c>
      <c r="K37" s="6">
        <v>5</v>
      </c>
      <c r="L37" s="6">
        <v>2</v>
      </c>
      <c r="M37" s="6">
        <v>2</v>
      </c>
      <c r="N37" s="6">
        <v>2</v>
      </c>
      <c r="O37" s="6">
        <v>5</v>
      </c>
      <c r="P37" s="6">
        <v>1</v>
      </c>
      <c r="Q37" s="6">
        <v>1</v>
      </c>
      <c r="R37" s="6">
        <v>24</v>
      </c>
      <c r="S37" s="6">
        <v>89</v>
      </c>
      <c r="T37" s="6">
        <v>58</v>
      </c>
      <c r="U37" s="6">
        <v>0</v>
      </c>
      <c r="V37" s="61">
        <v>0</v>
      </c>
      <c r="W37" s="62">
        <v>0</v>
      </c>
      <c r="X37" s="62">
        <v>0</v>
      </c>
      <c r="Y37" s="62">
        <v>2</v>
      </c>
      <c r="Z37" s="62">
        <v>1</v>
      </c>
      <c r="AA37" s="62">
        <v>0</v>
      </c>
      <c r="AB37" s="63">
        <f>3+2/3</f>
        <v>3.6666666666666665</v>
      </c>
      <c r="AC37" s="62">
        <v>3</v>
      </c>
      <c r="AD37" s="62">
        <v>0</v>
      </c>
      <c r="AE37" s="62">
        <v>0</v>
      </c>
      <c r="AF37" s="62">
        <v>0</v>
      </c>
      <c r="AG37" s="62">
        <v>4</v>
      </c>
      <c r="AH37" s="62">
        <v>0</v>
      </c>
      <c r="AI37" s="62">
        <v>0</v>
      </c>
      <c r="AJ37" s="62">
        <v>14</v>
      </c>
      <c r="AK37" s="62">
        <v>64</v>
      </c>
      <c r="AL37" s="62">
        <v>45</v>
      </c>
      <c r="AM37" s="1" t="s">
        <v>399</v>
      </c>
      <c r="AN37" s="78">
        <v>4</v>
      </c>
      <c r="AO37" s="78">
        <v>0</v>
      </c>
      <c r="AP37" s="78">
        <v>1</v>
      </c>
      <c r="AQ37" s="78">
        <v>0</v>
      </c>
      <c r="AR37" s="78">
        <v>0</v>
      </c>
      <c r="AS37" s="78">
        <v>2</v>
      </c>
      <c r="AT37" s="78">
        <v>0</v>
      </c>
      <c r="AU37" s="78">
        <v>0</v>
      </c>
      <c r="AV37" s="76">
        <v>1</v>
      </c>
      <c r="AW37" s="1" t="s">
        <v>345</v>
      </c>
      <c r="AX37" s="78">
        <v>4</v>
      </c>
      <c r="AY37" s="78">
        <v>1</v>
      </c>
      <c r="AZ37" s="78">
        <v>2</v>
      </c>
      <c r="BA37" s="78">
        <v>0</v>
      </c>
      <c r="BB37" s="78">
        <v>0</v>
      </c>
      <c r="BC37" s="78">
        <v>0</v>
      </c>
      <c r="BD37" s="78">
        <v>0</v>
      </c>
      <c r="BE37" s="78">
        <v>0</v>
      </c>
      <c r="BF37" s="76">
        <v>3</v>
      </c>
      <c r="BG37" s="1" t="s">
        <v>403</v>
      </c>
      <c r="BH37" s="78">
        <v>4</v>
      </c>
      <c r="BI37" s="78">
        <v>0</v>
      </c>
      <c r="BJ37" s="78">
        <v>2</v>
      </c>
      <c r="BK37" s="78">
        <v>0</v>
      </c>
      <c r="BL37" s="78">
        <v>0</v>
      </c>
      <c r="BM37" s="78">
        <v>0</v>
      </c>
      <c r="BN37" s="78">
        <v>0</v>
      </c>
      <c r="BO37" s="78">
        <v>0</v>
      </c>
      <c r="BP37" s="76">
        <v>2</v>
      </c>
      <c r="BQ37" s="1" t="s">
        <v>404</v>
      </c>
      <c r="BR37" s="78">
        <v>4</v>
      </c>
      <c r="BS37" s="78">
        <v>0</v>
      </c>
      <c r="BT37" s="78">
        <v>1</v>
      </c>
      <c r="BU37" s="78">
        <v>1</v>
      </c>
      <c r="BV37" s="78">
        <v>0</v>
      </c>
      <c r="BW37" s="78">
        <v>0</v>
      </c>
      <c r="BX37" s="78">
        <v>0</v>
      </c>
      <c r="BY37" s="78">
        <v>0</v>
      </c>
      <c r="BZ37" s="76">
        <v>1</v>
      </c>
      <c r="CA37" s="1" t="s">
        <v>332</v>
      </c>
      <c r="CB37" s="78">
        <v>4</v>
      </c>
      <c r="CC37" s="78">
        <v>1</v>
      </c>
      <c r="CD37" s="78">
        <v>2</v>
      </c>
      <c r="CE37" s="78">
        <v>0</v>
      </c>
      <c r="CF37" s="78">
        <v>0</v>
      </c>
      <c r="CG37" s="78">
        <v>0</v>
      </c>
      <c r="CH37" s="78">
        <v>0</v>
      </c>
      <c r="CI37" s="78">
        <v>0</v>
      </c>
      <c r="CJ37" s="76">
        <v>3</v>
      </c>
      <c r="CK37" s="1" t="s">
        <v>344</v>
      </c>
      <c r="CL37" s="78">
        <v>4</v>
      </c>
      <c r="CM37" s="78">
        <v>1</v>
      </c>
      <c r="CN37" s="78">
        <v>1</v>
      </c>
      <c r="CO37" s="78">
        <v>2</v>
      </c>
      <c r="CP37" s="78">
        <v>0</v>
      </c>
      <c r="CQ37" s="78">
        <v>1</v>
      </c>
      <c r="CR37" s="78">
        <v>0</v>
      </c>
      <c r="CS37" s="78">
        <v>0</v>
      </c>
      <c r="CT37" s="76">
        <v>4</v>
      </c>
      <c r="CU37" s="1" t="s">
        <v>405</v>
      </c>
      <c r="CV37" s="78">
        <v>4</v>
      </c>
      <c r="CW37" s="78">
        <v>1</v>
      </c>
      <c r="CX37" s="78">
        <v>1</v>
      </c>
      <c r="CY37" s="78">
        <v>0</v>
      </c>
      <c r="CZ37" s="78">
        <v>0</v>
      </c>
      <c r="DA37" s="78">
        <v>1</v>
      </c>
      <c r="DB37" s="78">
        <v>0</v>
      </c>
      <c r="DC37" s="78">
        <v>0</v>
      </c>
      <c r="DD37" s="76">
        <v>1</v>
      </c>
      <c r="DE37" s="1" t="s">
        <v>331</v>
      </c>
      <c r="DF37" s="78">
        <v>4</v>
      </c>
      <c r="DG37" s="78">
        <v>1</v>
      </c>
      <c r="DH37" s="78">
        <v>2</v>
      </c>
      <c r="DI37" s="78">
        <v>2</v>
      </c>
      <c r="DJ37" s="78">
        <v>0</v>
      </c>
      <c r="DK37" s="78">
        <v>1</v>
      </c>
      <c r="DL37" s="78">
        <v>0</v>
      </c>
      <c r="DM37" s="78">
        <v>0</v>
      </c>
      <c r="DN37" s="76">
        <v>6</v>
      </c>
      <c r="DO37" s="1" t="s">
        <v>407</v>
      </c>
      <c r="DP37" s="78">
        <v>4</v>
      </c>
      <c r="DQ37" s="78">
        <v>0</v>
      </c>
      <c r="DR37" s="78">
        <v>1</v>
      </c>
      <c r="DS37" s="78">
        <v>0</v>
      </c>
      <c r="DT37" s="78">
        <v>0</v>
      </c>
      <c r="DU37" s="78">
        <v>1</v>
      </c>
      <c r="DV37" s="78">
        <v>0</v>
      </c>
      <c r="DW37" s="78">
        <v>0</v>
      </c>
      <c r="DX37" s="76">
        <v>1</v>
      </c>
      <c r="DY37" s="77">
        <v>0</v>
      </c>
      <c r="DZ37" s="43">
        <v>0</v>
      </c>
      <c r="EA37" s="43">
        <v>0</v>
      </c>
      <c r="EB37" s="45">
        <v>8</v>
      </c>
      <c r="EC37" s="43">
        <v>0</v>
      </c>
      <c r="ED37" s="44">
        <v>0</v>
      </c>
      <c r="EE37" s="71">
        <v>1</v>
      </c>
      <c r="EF37" s="43">
        <v>0</v>
      </c>
      <c r="EG37" s="43">
        <v>0</v>
      </c>
      <c r="EH37" s="43">
        <v>3</v>
      </c>
      <c r="EI37" s="43">
        <v>0</v>
      </c>
      <c r="EJ37" s="43">
        <v>1</v>
      </c>
      <c r="EK37" s="43">
        <v>0</v>
      </c>
      <c r="EL37" s="43">
        <v>0</v>
      </c>
      <c r="EM37" s="43"/>
      <c r="EN37" s="43"/>
      <c r="EO37" s="43"/>
      <c r="EP37" s="43"/>
      <c r="EQ37" s="44">
        <f t="shared" si="4"/>
        <v>5</v>
      </c>
      <c r="ER37" s="43">
        <v>0</v>
      </c>
      <c r="ES37" s="43">
        <v>0</v>
      </c>
      <c r="ET37" s="43">
        <v>1</v>
      </c>
      <c r="EU37" s="43">
        <v>0</v>
      </c>
      <c r="EV37" s="43">
        <v>0</v>
      </c>
      <c r="EW37" s="43">
        <v>1</v>
      </c>
      <c r="EX37" s="43">
        <v>0</v>
      </c>
      <c r="EY37" s="43">
        <v>0</v>
      </c>
      <c r="EZ37" s="43">
        <v>0</v>
      </c>
      <c r="FA37" s="43"/>
      <c r="FB37" s="43"/>
      <c r="FC37" s="43"/>
      <c r="FD37" s="43">
        <f t="shared" si="5"/>
        <v>2</v>
      </c>
      <c r="FE37" s="73">
        <f t="shared" si="6"/>
        <v>0</v>
      </c>
      <c r="FF37" s="73">
        <f t="shared" si="7"/>
        <v>0</v>
      </c>
      <c r="FG37" s="38"/>
    </row>
    <row r="38" spans="1:163" x14ac:dyDescent="0.25">
      <c r="A38" s="53">
        <v>40311</v>
      </c>
      <c r="B38" s="53" t="s">
        <v>19</v>
      </c>
      <c r="C38" s="53" t="s">
        <v>129</v>
      </c>
      <c r="D38" s="53" t="s">
        <v>354</v>
      </c>
      <c r="E38" s="54">
        <v>6351</v>
      </c>
      <c r="F38" s="58">
        <v>5</v>
      </c>
      <c r="G38" s="59" t="s">
        <v>339</v>
      </c>
      <c r="H38" s="6">
        <v>1</v>
      </c>
      <c r="I38" s="6">
        <v>0</v>
      </c>
      <c r="J38" s="60">
        <v>7</v>
      </c>
      <c r="K38" s="6">
        <v>3</v>
      </c>
      <c r="L38" s="6">
        <v>1</v>
      </c>
      <c r="M38" s="6">
        <v>0</v>
      </c>
      <c r="N38" s="6">
        <v>1</v>
      </c>
      <c r="O38" s="6">
        <v>5</v>
      </c>
      <c r="P38" s="6">
        <v>0</v>
      </c>
      <c r="Q38" s="6">
        <v>0</v>
      </c>
      <c r="R38" s="6">
        <v>26</v>
      </c>
      <c r="S38" s="6">
        <v>82</v>
      </c>
      <c r="T38" s="6">
        <v>57</v>
      </c>
      <c r="U38" s="6">
        <v>0</v>
      </c>
      <c r="V38" s="61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3">
        <v>2</v>
      </c>
      <c r="AC38" s="62">
        <v>1</v>
      </c>
      <c r="AD38" s="62">
        <v>0</v>
      </c>
      <c r="AE38" s="62">
        <v>0</v>
      </c>
      <c r="AF38" s="62">
        <v>1</v>
      </c>
      <c r="AG38" s="62">
        <v>4</v>
      </c>
      <c r="AH38" s="62">
        <v>0</v>
      </c>
      <c r="AI38" s="62">
        <v>0</v>
      </c>
      <c r="AJ38" s="62">
        <v>9</v>
      </c>
      <c r="AK38" s="62">
        <v>33</v>
      </c>
      <c r="AL38" s="62">
        <v>20</v>
      </c>
      <c r="AM38" s="1" t="s">
        <v>399</v>
      </c>
      <c r="AN38" s="78">
        <v>5</v>
      </c>
      <c r="AO38" s="78">
        <v>1</v>
      </c>
      <c r="AP38" s="78">
        <v>3</v>
      </c>
      <c r="AQ38" s="78">
        <v>0</v>
      </c>
      <c r="AR38" s="78">
        <v>0</v>
      </c>
      <c r="AS38" s="78">
        <v>0</v>
      </c>
      <c r="AT38" s="78">
        <v>0</v>
      </c>
      <c r="AU38" s="78">
        <v>0</v>
      </c>
      <c r="AV38" s="76">
        <v>4</v>
      </c>
      <c r="AW38" s="1" t="s">
        <v>345</v>
      </c>
      <c r="AX38" s="78">
        <v>4</v>
      </c>
      <c r="AY38" s="78">
        <v>0</v>
      </c>
      <c r="AZ38" s="78">
        <v>1</v>
      </c>
      <c r="BA38" s="78">
        <v>1</v>
      </c>
      <c r="BB38" s="78">
        <v>0</v>
      </c>
      <c r="BC38" s="78">
        <v>0</v>
      </c>
      <c r="BD38" s="78">
        <v>0</v>
      </c>
      <c r="BE38" s="78">
        <v>0</v>
      </c>
      <c r="BF38" s="76">
        <v>1</v>
      </c>
      <c r="BG38" s="1" t="s">
        <v>403</v>
      </c>
      <c r="BH38" s="78">
        <v>3</v>
      </c>
      <c r="BI38" s="78">
        <v>1</v>
      </c>
      <c r="BJ38" s="78">
        <v>1</v>
      </c>
      <c r="BK38" s="78">
        <v>1</v>
      </c>
      <c r="BL38" s="78">
        <v>1</v>
      </c>
      <c r="BM38" s="78">
        <v>0</v>
      </c>
      <c r="BN38" s="78">
        <v>0</v>
      </c>
      <c r="BO38" s="78">
        <v>0</v>
      </c>
      <c r="BP38" s="76">
        <v>1</v>
      </c>
      <c r="BQ38" s="1" t="s">
        <v>404</v>
      </c>
      <c r="BR38" s="78">
        <v>4</v>
      </c>
      <c r="BS38" s="78">
        <v>0</v>
      </c>
      <c r="BT38" s="78">
        <v>0</v>
      </c>
      <c r="BU38" s="78">
        <v>0</v>
      </c>
      <c r="BV38" s="78">
        <v>0</v>
      </c>
      <c r="BW38" s="78">
        <v>2</v>
      </c>
      <c r="BX38" s="78">
        <v>0</v>
      </c>
      <c r="BY38" s="78">
        <v>0</v>
      </c>
      <c r="BZ38" s="76">
        <v>0</v>
      </c>
      <c r="CA38" s="1" t="s">
        <v>332</v>
      </c>
      <c r="CB38" s="78">
        <v>4</v>
      </c>
      <c r="CC38" s="78">
        <v>3</v>
      </c>
      <c r="CD38" s="78">
        <v>3</v>
      </c>
      <c r="CE38" s="78">
        <v>2</v>
      </c>
      <c r="CF38" s="78">
        <v>0</v>
      </c>
      <c r="CG38" s="78">
        <v>0</v>
      </c>
      <c r="CH38" s="78">
        <v>0</v>
      </c>
      <c r="CI38" s="78">
        <v>0</v>
      </c>
      <c r="CJ38" s="76">
        <v>7</v>
      </c>
      <c r="CK38" s="1" t="s">
        <v>344</v>
      </c>
      <c r="CL38" s="78">
        <v>3</v>
      </c>
      <c r="CM38" s="78">
        <v>0</v>
      </c>
      <c r="CN38" s="78">
        <v>0</v>
      </c>
      <c r="CO38" s="78">
        <v>0</v>
      </c>
      <c r="CP38" s="78">
        <v>1</v>
      </c>
      <c r="CQ38" s="78">
        <v>3</v>
      </c>
      <c r="CR38" s="78">
        <v>0</v>
      </c>
      <c r="CS38" s="78">
        <v>0</v>
      </c>
      <c r="CT38" s="76">
        <v>0</v>
      </c>
      <c r="CU38" s="1" t="s">
        <v>331</v>
      </c>
      <c r="CV38" s="78">
        <v>4</v>
      </c>
      <c r="CW38" s="78">
        <v>0</v>
      </c>
      <c r="CX38" s="78">
        <v>0</v>
      </c>
      <c r="CY38" s="78">
        <v>0</v>
      </c>
      <c r="CZ38" s="78">
        <v>0</v>
      </c>
      <c r="DA38" s="78">
        <v>2</v>
      </c>
      <c r="DB38" s="78">
        <v>0</v>
      </c>
      <c r="DC38" s="78">
        <v>0</v>
      </c>
      <c r="DD38" s="76">
        <v>0</v>
      </c>
      <c r="DE38" s="1" t="s">
        <v>336</v>
      </c>
      <c r="DF38" s="78">
        <v>4</v>
      </c>
      <c r="DG38" s="78">
        <v>0</v>
      </c>
      <c r="DH38" s="78">
        <v>2</v>
      </c>
      <c r="DI38" s="78">
        <v>2</v>
      </c>
      <c r="DJ38" s="78">
        <v>0</v>
      </c>
      <c r="DK38" s="78">
        <v>2</v>
      </c>
      <c r="DL38" s="78">
        <v>0</v>
      </c>
      <c r="DM38" s="78">
        <v>0</v>
      </c>
      <c r="DN38" s="76">
        <v>4</v>
      </c>
      <c r="DO38" s="1" t="s">
        <v>402</v>
      </c>
      <c r="DP38" s="78">
        <v>4</v>
      </c>
      <c r="DQ38" s="78">
        <v>1</v>
      </c>
      <c r="DR38" s="78">
        <v>2</v>
      </c>
      <c r="DS38" s="78">
        <v>0</v>
      </c>
      <c r="DT38" s="78">
        <v>0</v>
      </c>
      <c r="DU38" s="78">
        <v>1</v>
      </c>
      <c r="DV38" s="78">
        <v>0</v>
      </c>
      <c r="DW38" s="78">
        <v>0</v>
      </c>
      <c r="DX38" s="76">
        <v>2</v>
      </c>
      <c r="DY38" s="77">
        <v>1</v>
      </c>
      <c r="DZ38" s="43">
        <v>0</v>
      </c>
      <c r="EA38" s="43">
        <v>0</v>
      </c>
      <c r="EB38" s="45">
        <v>7</v>
      </c>
      <c r="EC38" s="43">
        <v>3</v>
      </c>
      <c r="ED38" s="44">
        <v>0</v>
      </c>
      <c r="EE38" s="71">
        <v>3</v>
      </c>
      <c r="EF38" s="43">
        <v>1</v>
      </c>
      <c r="EG38" s="43">
        <v>1</v>
      </c>
      <c r="EH38" s="43">
        <v>0</v>
      </c>
      <c r="EI38" s="43">
        <v>1</v>
      </c>
      <c r="EJ38" s="43">
        <v>0</v>
      </c>
      <c r="EK38" s="43">
        <v>0</v>
      </c>
      <c r="EL38" s="43">
        <v>0</v>
      </c>
      <c r="EM38" s="43"/>
      <c r="EN38" s="43"/>
      <c r="EO38" s="43"/>
      <c r="EP38" s="43"/>
      <c r="EQ38" s="44">
        <f t="shared" si="4"/>
        <v>6</v>
      </c>
      <c r="ER38" s="43">
        <v>0</v>
      </c>
      <c r="ES38" s="43">
        <v>0</v>
      </c>
      <c r="ET38" s="43">
        <v>1</v>
      </c>
      <c r="EU38" s="43">
        <v>0</v>
      </c>
      <c r="EV38" s="43">
        <v>0</v>
      </c>
      <c r="EW38" s="43">
        <v>0</v>
      </c>
      <c r="EX38" s="43">
        <v>0</v>
      </c>
      <c r="EY38" s="43">
        <v>0</v>
      </c>
      <c r="EZ38" s="43">
        <v>0</v>
      </c>
      <c r="FA38" s="43"/>
      <c r="FB38" s="43"/>
      <c r="FC38" s="43"/>
      <c r="FD38" s="43">
        <f t="shared" si="5"/>
        <v>1</v>
      </c>
      <c r="FE38" s="73">
        <f t="shared" si="6"/>
        <v>0</v>
      </c>
      <c r="FF38" s="73">
        <f t="shared" si="7"/>
        <v>0</v>
      </c>
      <c r="FG38" s="38"/>
    </row>
    <row r="39" spans="1:163" x14ac:dyDescent="0.25">
      <c r="A39" s="53">
        <v>40312</v>
      </c>
      <c r="B39" s="53" t="s">
        <v>133</v>
      </c>
      <c r="C39" s="53" t="s">
        <v>129</v>
      </c>
      <c r="D39" s="53" t="s">
        <v>355</v>
      </c>
      <c r="E39" s="54">
        <v>9157</v>
      </c>
      <c r="F39" s="58">
        <v>1</v>
      </c>
      <c r="G39" s="59" t="s">
        <v>397</v>
      </c>
      <c r="H39" s="6">
        <v>1</v>
      </c>
      <c r="I39" s="6">
        <v>0</v>
      </c>
      <c r="J39" s="60">
        <v>6</v>
      </c>
      <c r="K39" s="6">
        <v>6</v>
      </c>
      <c r="L39" s="6">
        <v>0</v>
      </c>
      <c r="M39" s="6">
        <v>0</v>
      </c>
      <c r="N39" s="6">
        <v>0</v>
      </c>
      <c r="O39" s="6">
        <v>11</v>
      </c>
      <c r="P39" s="6">
        <v>0</v>
      </c>
      <c r="Q39" s="6">
        <v>0</v>
      </c>
      <c r="R39" s="6">
        <v>24</v>
      </c>
      <c r="S39" s="6">
        <v>98</v>
      </c>
      <c r="T39" s="6">
        <v>63</v>
      </c>
      <c r="U39" s="6">
        <v>0</v>
      </c>
      <c r="V39" s="61">
        <v>0</v>
      </c>
      <c r="W39" s="62">
        <v>0</v>
      </c>
      <c r="X39" s="62">
        <v>0</v>
      </c>
      <c r="Y39" s="62">
        <v>0</v>
      </c>
      <c r="Z39" s="62">
        <v>0</v>
      </c>
      <c r="AA39" s="62">
        <v>0</v>
      </c>
      <c r="AB39" s="63">
        <v>3</v>
      </c>
      <c r="AC39" s="62">
        <v>4</v>
      </c>
      <c r="AD39" s="62">
        <v>1</v>
      </c>
      <c r="AE39" s="62">
        <v>1</v>
      </c>
      <c r="AF39" s="62">
        <v>2</v>
      </c>
      <c r="AG39" s="62">
        <v>0</v>
      </c>
      <c r="AH39" s="62">
        <v>1</v>
      </c>
      <c r="AI39" s="62">
        <v>0</v>
      </c>
      <c r="AJ39" s="62">
        <v>13</v>
      </c>
      <c r="AK39" s="62">
        <v>54</v>
      </c>
      <c r="AL39" s="62">
        <v>30</v>
      </c>
      <c r="AM39" s="1" t="s">
        <v>399</v>
      </c>
      <c r="AN39" s="78">
        <v>5</v>
      </c>
      <c r="AO39" s="78">
        <v>1</v>
      </c>
      <c r="AP39" s="78">
        <v>2</v>
      </c>
      <c r="AQ39" s="78">
        <v>1</v>
      </c>
      <c r="AR39" s="78">
        <v>0</v>
      </c>
      <c r="AS39" s="78">
        <v>1</v>
      </c>
      <c r="AT39" s="78">
        <v>0</v>
      </c>
      <c r="AU39" s="78">
        <v>0</v>
      </c>
      <c r="AV39" s="76">
        <v>3</v>
      </c>
      <c r="AW39" s="1" t="s">
        <v>345</v>
      </c>
      <c r="AX39" s="78">
        <v>5</v>
      </c>
      <c r="AY39" s="78">
        <v>0</v>
      </c>
      <c r="AZ39" s="78">
        <v>1</v>
      </c>
      <c r="BA39" s="78">
        <v>0</v>
      </c>
      <c r="BB39" s="78">
        <v>0</v>
      </c>
      <c r="BC39" s="78">
        <v>2</v>
      </c>
      <c r="BD39" s="78">
        <v>0</v>
      </c>
      <c r="BE39" s="78">
        <v>0</v>
      </c>
      <c r="BF39" s="76">
        <v>1</v>
      </c>
      <c r="BG39" s="1" t="s">
        <v>403</v>
      </c>
      <c r="BH39" s="78">
        <v>5</v>
      </c>
      <c r="BI39" s="78">
        <v>0</v>
      </c>
      <c r="BJ39" s="78">
        <v>0</v>
      </c>
      <c r="BK39" s="78">
        <v>0</v>
      </c>
      <c r="BL39" s="78">
        <v>0</v>
      </c>
      <c r="BM39" s="78">
        <v>1</v>
      </c>
      <c r="BN39" s="78">
        <v>0</v>
      </c>
      <c r="BO39" s="78">
        <v>0</v>
      </c>
      <c r="BP39" s="76">
        <v>0</v>
      </c>
      <c r="BQ39" s="1" t="s">
        <v>332</v>
      </c>
      <c r="BR39" s="78">
        <v>3</v>
      </c>
      <c r="BS39" s="78">
        <v>1</v>
      </c>
      <c r="BT39" s="78">
        <v>1</v>
      </c>
      <c r="BU39" s="78">
        <v>1</v>
      </c>
      <c r="BV39" s="78">
        <v>1</v>
      </c>
      <c r="BW39" s="78">
        <v>0</v>
      </c>
      <c r="BX39" s="78">
        <v>0</v>
      </c>
      <c r="BY39" s="78">
        <v>1</v>
      </c>
      <c r="BZ39" s="76">
        <v>1</v>
      </c>
      <c r="CA39" s="1" t="s">
        <v>344</v>
      </c>
      <c r="CB39" s="78">
        <v>5</v>
      </c>
      <c r="CC39" s="78">
        <v>2</v>
      </c>
      <c r="CD39" s="78">
        <v>2</v>
      </c>
      <c r="CE39" s="78">
        <v>1</v>
      </c>
      <c r="CF39" s="78">
        <v>0</v>
      </c>
      <c r="CG39" s="78">
        <v>1</v>
      </c>
      <c r="CH39" s="78">
        <v>0</v>
      </c>
      <c r="CI39" s="78">
        <v>0</v>
      </c>
      <c r="CJ39" s="76">
        <v>6</v>
      </c>
      <c r="CK39" s="1" t="s">
        <v>405</v>
      </c>
      <c r="CL39" s="78">
        <v>5</v>
      </c>
      <c r="CM39" s="78">
        <v>2</v>
      </c>
      <c r="CN39" s="78">
        <v>2</v>
      </c>
      <c r="CO39" s="78">
        <v>3</v>
      </c>
      <c r="CP39" s="78">
        <v>0</v>
      </c>
      <c r="CQ39" s="78">
        <v>2</v>
      </c>
      <c r="CR39" s="78">
        <v>0</v>
      </c>
      <c r="CS39" s="78">
        <v>0</v>
      </c>
      <c r="CT39" s="76">
        <v>6</v>
      </c>
      <c r="CU39" s="1" t="s">
        <v>331</v>
      </c>
      <c r="CV39" s="78">
        <v>4</v>
      </c>
      <c r="CW39" s="78">
        <v>1</v>
      </c>
      <c r="CX39" s="78">
        <v>2</v>
      </c>
      <c r="CY39" s="78">
        <v>1</v>
      </c>
      <c r="CZ39" s="78">
        <v>0</v>
      </c>
      <c r="DA39" s="78">
        <v>1</v>
      </c>
      <c r="DB39" s="78">
        <v>0</v>
      </c>
      <c r="DC39" s="78">
        <v>0</v>
      </c>
      <c r="DD39" s="76">
        <v>3</v>
      </c>
      <c r="DE39" s="1" t="s">
        <v>407</v>
      </c>
      <c r="DF39" s="78">
        <v>3</v>
      </c>
      <c r="DG39" s="78">
        <v>1</v>
      </c>
      <c r="DH39" s="78">
        <v>1</v>
      </c>
      <c r="DI39" s="78">
        <v>0</v>
      </c>
      <c r="DJ39" s="78">
        <v>0</v>
      </c>
      <c r="DK39" s="78">
        <v>0</v>
      </c>
      <c r="DL39" s="78">
        <v>1</v>
      </c>
      <c r="DM39" s="78">
        <v>0</v>
      </c>
      <c r="DN39" s="76">
        <v>1</v>
      </c>
      <c r="DO39" s="1" t="s">
        <v>402</v>
      </c>
      <c r="DP39" s="78">
        <v>4</v>
      </c>
      <c r="DQ39" s="78">
        <v>0</v>
      </c>
      <c r="DR39" s="78">
        <v>1</v>
      </c>
      <c r="DS39" s="78">
        <v>0</v>
      </c>
      <c r="DT39" s="78">
        <v>0</v>
      </c>
      <c r="DU39" s="78">
        <v>0</v>
      </c>
      <c r="DV39" s="78">
        <v>0</v>
      </c>
      <c r="DW39" s="78">
        <v>0</v>
      </c>
      <c r="DX39" s="76">
        <v>1</v>
      </c>
      <c r="DY39" s="77">
        <v>0</v>
      </c>
      <c r="DZ39" s="43">
        <v>0</v>
      </c>
      <c r="EA39" s="43">
        <v>0</v>
      </c>
      <c r="EB39" s="45">
        <v>9</v>
      </c>
      <c r="EC39" s="43">
        <v>0</v>
      </c>
      <c r="ED39" s="44">
        <v>0</v>
      </c>
      <c r="EE39" s="71">
        <v>0</v>
      </c>
      <c r="EF39" s="43">
        <v>4</v>
      </c>
      <c r="EG39" s="43">
        <v>3</v>
      </c>
      <c r="EH39" s="43">
        <v>1</v>
      </c>
      <c r="EI39" s="43">
        <v>0</v>
      </c>
      <c r="EJ39" s="43">
        <v>0</v>
      </c>
      <c r="EK39" s="43">
        <v>0</v>
      </c>
      <c r="EL39" s="43">
        <v>0</v>
      </c>
      <c r="EM39" s="43">
        <v>0</v>
      </c>
      <c r="EN39" s="43"/>
      <c r="EO39" s="43"/>
      <c r="EP39" s="43"/>
      <c r="EQ39" s="44">
        <f t="shared" si="4"/>
        <v>8</v>
      </c>
      <c r="ER39" s="43">
        <v>0</v>
      </c>
      <c r="ES39" s="43">
        <v>0</v>
      </c>
      <c r="ET39" s="43">
        <v>0</v>
      </c>
      <c r="EU39" s="43">
        <v>0</v>
      </c>
      <c r="EV39" s="43">
        <v>0</v>
      </c>
      <c r="EW39" s="43">
        <v>0</v>
      </c>
      <c r="EX39" s="43">
        <v>1</v>
      </c>
      <c r="EY39" s="43">
        <v>0</v>
      </c>
      <c r="EZ39" s="43">
        <v>0</v>
      </c>
      <c r="FA39" s="43"/>
      <c r="FB39" s="43"/>
      <c r="FC39" s="43"/>
      <c r="FD39" s="43">
        <f t="shared" si="5"/>
        <v>1</v>
      </c>
      <c r="FE39" s="73">
        <f t="shared" si="6"/>
        <v>0</v>
      </c>
      <c r="FF39" s="73">
        <f t="shared" si="7"/>
        <v>0</v>
      </c>
      <c r="FG39" s="38"/>
    </row>
    <row r="40" spans="1:163" x14ac:dyDescent="0.25">
      <c r="A40" s="53">
        <v>40313</v>
      </c>
      <c r="B40" s="53" t="s">
        <v>133</v>
      </c>
      <c r="C40" s="53" t="s">
        <v>129</v>
      </c>
      <c r="D40" s="53" t="s">
        <v>355</v>
      </c>
      <c r="E40" s="54">
        <v>10244</v>
      </c>
      <c r="F40" s="58">
        <v>2</v>
      </c>
      <c r="G40" s="59" t="s">
        <v>337</v>
      </c>
      <c r="H40" s="6">
        <v>1</v>
      </c>
      <c r="I40" s="6">
        <v>0</v>
      </c>
      <c r="J40" s="60">
        <f>6+2/3</f>
        <v>6.666666666666667</v>
      </c>
      <c r="K40" s="6">
        <v>6</v>
      </c>
      <c r="L40" s="6">
        <v>3</v>
      </c>
      <c r="M40" s="6">
        <v>3</v>
      </c>
      <c r="N40" s="6">
        <v>0</v>
      </c>
      <c r="O40" s="6">
        <v>3</v>
      </c>
      <c r="P40" s="6">
        <v>1</v>
      </c>
      <c r="Q40" s="6">
        <v>0</v>
      </c>
      <c r="R40" s="6">
        <v>26</v>
      </c>
      <c r="S40" s="6">
        <v>91</v>
      </c>
      <c r="T40" s="6">
        <v>61</v>
      </c>
      <c r="U40" s="6">
        <v>0</v>
      </c>
      <c r="V40" s="61">
        <v>0</v>
      </c>
      <c r="W40" s="62">
        <v>0</v>
      </c>
      <c r="X40" s="62">
        <v>0</v>
      </c>
      <c r="Y40" s="62">
        <v>0</v>
      </c>
      <c r="Z40" s="62">
        <v>0</v>
      </c>
      <c r="AA40" s="62">
        <v>0</v>
      </c>
      <c r="AB40" s="63">
        <f>2+1/3</f>
        <v>2.3333333333333335</v>
      </c>
      <c r="AC40" s="62">
        <v>1</v>
      </c>
      <c r="AD40" s="62">
        <v>0</v>
      </c>
      <c r="AE40" s="62">
        <v>0</v>
      </c>
      <c r="AF40" s="62">
        <v>0</v>
      </c>
      <c r="AG40" s="62">
        <v>3</v>
      </c>
      <c r="AH40" s="62">
        <v>0</v>
      </c>
      <c r="AI40" s="62">
        <v>0</v>
      </c>
      <c r="AJ40" s="62">
        <v>8</v>
      </c>
      <c r="AK40" s="62">
        <v>31</v>
      </c>
      <c r="AL40" s="62">
        <v>24</v>
      </c>
      <c r="AM40" s="1" t="s">
        <v>402</v>
      </c>
      <c r="AN40" s="78">
        <v>5</v>
      </c>
      <c r="AO40" s="78">
        <v>1</v>
      </c>
      <c r="AP40" s="78">
        <v>1</v>
      </c>
      <c r="AQ40" s="78">
        <v>0</v>
      </c>
      <c r="AR40" s="78">
        <v>0</v>
      </c>
      <c r="AS40" s="78">
        <v>1</v>
      </c>
      <c r="AT40" s="78">
        <v>0</v>
      </c>
      <c r="AU40" s="78">
        <v>0</v>
      </c>
      <c r="AV40" s="76">
        <v>2</v>
      </c>
      <c r="AW40" s="1" t="s">
        <v>345</v>
      </c>
      <c r="AX40" s="78">
        <v>3</v>
      </c>
      <c r="AY40" s="78">
        <v>0</v>
      </c>
      <c r="AZ40" s="78">
        <v>0</v>
      </c>
      <c r="BA40" s="78">
        <v>0</v>
      </c>
      <c r="BB40" s="78">
        <v>1</v>
      </c>
      <c r="BC40" s="78">
        <v>0</v>
      </c>
      <c r="BD40" s="78">
        <v>0</v>
      </c>
      <c r="BE40" s="78">
        <v>0</v>
      </c>
      <c r="BF40" s="76">
        <v>0</v>
      </c>
      <c r="BG40" s="1" t="s">
        <v>400</v>
      </c>
      <c r="BH40" s="78">
        <v>3</v>
      </c>
      <c r="BI40" s="78">
        <v>1</v>
      </c>
      <c r="BJ40" s="78">
        <v>0</v>
      </c>
      <c r="BK40" s="78">
        <v>1</v>
      </c>
      <c r="BL40" s="78">
        <v>1</v>
      </c>
      <c r="BM40" s="78">
        <v>0</v>
      </c>
      <c r="BN40" s="78">
        <v>0</v>
      </c>
      <c r="BO40" s="78">
        <v>0</v>
      </c>
      <c r="BP40" s="76">
        <v>0</v>
      </c>
      <c r="BQ40" s="1" t="s">
        <v>332</v>
      </c>
      <c r="BR40" s="78">
        <v>3</v>
      </c>
      <c r="BS40" s="78">
        <v>1</v>
      </c>
      <c r="BT40" s="78">
        <v>0</v>
      </c>
      <c r="BU40" s="78">
        <v>0</v>
      </c>
      <c r="BV40" s="78">
        <v>1</v>
      </c>
      <c r="BW40" s="78">
        <v>1</v>
      </c>
      <c r="BX40" s="78">
        <v>0</v>
      </c>
      <c r="BY40" s="78">
        <v>0</v>
      </c>
      <c r="BZ40" s="76">
        <v>0</v>
      </c>
      <c r="CA40" s="1" t="s">
        <v>403</v>
      </c>
      <c r="CB40" s="78">
        <v>4</v>
      </c>
      <c r="CC40" s="78">
        <v>2</v>
      </c>
      <c r="CD40" s="78">
        <v>2</v>
      </c>
      <c r="CE40" s="78">
        <v>1</v>
      </c>
      <c r="CF40" s="78">
        <v>0</v>
      </c>
      <c r="CG40" s="78">
        <v>0</v>
      </c>
      <c r="CH40" s="78">
        <v>0</v>
      </c>
      <c r="CI40" s="78">
        <v>0</v>
      </c>
      <c r="CJ40" s="76">
        <v>3</v>
      </c>
      <c r="CK40" s="1" t="s">
        <v>405</v>
      </c>
      <c r="CL40" s="78">
        <v>3</v>
      </c>
      <c r="CM40" s="78">
        <v>1</v>
      </c>
      <c r="CN40" s="78">
        <v>1</v>
      </c>
      <c r="CO40" s="78">
        <v>1</v>
      </c>
      <c r="CP40" s="78">
        <v>1</v>
      </c>
      <c r="CQ40" s="78">
        <v>0</v>
      </c>
      <c r="CR40" s="78">
        <v>0</v>
      </c>
      <c r="CS40" s="78">
        <v>0</v>
      </c>
      <c r="CT40" s="76">
        <v>2</v>
      </c>
      <c r="CU40" s="1" t="s">
        <v>344</v>
      </c>
      <c r="CV40" s="78">
        <v>3</v>
      </c>
      <c r="CW40" s="78">
        <v>1</v>
      </c>
      <c r="CX40" s="78">
        <v>1</v>
      </c>
      <c r="CY40" s="78">
        <v>4</v>
      </c>
      <c r="CZ40" s="78">
        <v>1</v>
      </c>
      <c r="DA40" s="78">
        <v>1</v>
      </c>
      <c r="DB40" s="78">
        <v>0</v>
      </c>
      <c r="DC40" s="78">
        <v>0</v>
      </c>
      <c r="DD40" s="76">
        <v>4</v>
      </c>
      <c r="DE40" s="1" t="s">
        <v>331</v>
      </c>
      <c r="DF40" s="78">
        <v>4</v>
      </c>
      <c r="DG40" s="78">
        <v>0</v>
      </c>
      <c r="DH40" s="78">
        <v>1</v>
      </c>
      <c r="DI40" s="78">
        <v>0</v>
      </c>
      <c r="DJ40" s="78">
        <v>0</v>
      </c>
      <c r="DK40" s="78">
        <v>0</v>
      </c>
      <c r="DL40" s="78">
        <v>0</v>
      </c>
      <c r="DM40" s="78">
        <v>0</v>
      </c>
      <c r="DN40" s="76">
        <v>1</v>
      </c>
      <c r="DO40" s="1" t="s">
        <v>407</v>
      </c>
      <c r="DP40" s="78">
        <v>4</v>
      </c>
      <c r="DQ40" s="78">
        <v>0</v>
      </c>
      <c r="DR40" s="78">
        <v>0</v>
      </c>
      <c r="DS40" s="78">
        <v>0</v>
      </c>
      <c r="DT40" s="78">
        <v>0</v>
      </c>
      <c r="DU40" s="78">
        <v>1</v>
      </c>
      <c r="DV40" s="78">
        <v>0</v>
      </c>
      <c r="DW40" s="78">
        <v>0</v>
      </c>
      <c r="DX40" s="76">
        <v>0</v>
      </c>
      <c r="DY40" s="77">
        <v>2</v>
      </c>
      <c r="DZ40" s="43">
        <v>0</v>
      </c>
      <c r="EA40" s="43">
        <v>0</v>
      </c>
      <c r="EB40" s="45">
        <v>7</v>
      </c>
      <c r="EC40" s="43">
        <v>0</v>
      </c>
      <c r="ED40" s="44">
        <v>0</v>
      </c>
      <c r="EE40" s="71">
        <v>1</v>
      </c>
      <c r="EF40" s="43">
        <v>1</v>
      </c>
      <c r="EG40" s="43">
        <v>0</v>
      </c>
      <c r="EH40" s="43">
        <v>0</v>
      </c>
      <c r="EI40" s="43">
        <v>0</v>
      </c>
      <c r="EJ40" s="43">
        <v>5</v>
      </c>
      <c r="EK40" s="43">
        <v>0</v>
      </c>
      <c r="EL40" s="43">
        <v>0</v>
      </c>
      <c r="EM40" s="43">
        <v>0</v>
      </c>
      <c r="EN40" s="43"/>
      <c r="EO40" s="43"/>
      <c r="EP40" s="43"/>
      <c r="EQ40" s="44">
        <f t="shared" si="4"/>
        <v>7</v>
      </c>
      <c r="ER40" s="43">
        <v>0</v>
      </c>
      <c r="ES40" s="43">
        <v>0</v>
      </c>
      <c r="ET40" s="43">
        <v>0</v>
      </c>
      <c r="EU40" s="43">
        <v>0</v>
      </c>
      <c r="EV40" s="43">
        <v>0</v>
      </c>
      <c r="EW40" s="43">
        <v>0</v>
      </c>
      <c r="EX40" s="43">
        <v>3</v>
      </c>
      <c r="EY40" s="43">
        <v>0</v>
      </c>
      <c r="EZ40" s="43">
        <v>0</v>
      </c>
      <c r="FA40" s="43"/>
      <c r="FB40" s="43"/>
      <c r="FC40" s="43"/>
      <c r="FD40" s="43">
        <f t="shared" si="5"/>
        <v>3</v>
      </c>
      <c r="FE40" s="73">
        <f t="shared" si="6"/>
        <v>0</v>
      </c>
      <c r="FF40" s="73">
        <f t="shared" si="7"/>
        <v>0</v>
      </c>
      <c r="FG40" s="38"/>
    </row>
    <row r="41" spans="1:163" x14ac:dyDescent="0.25">
      <c r="A41" s="53">
        <v>40314</v>
      </c>
      <c r="B41" s="53" t="s">
        <v>133</v>
      </c>
      <c r="C41" s="53" t="s">
        <v>131</v>
      </c>
      <c r="D41" s="53" t="s">
        <v>355</v>
      </c>
      <c r="E41" s="54">
        <v>7870</v>
      </c>
      <c r="F41" s="58">
        <v>3</v>
      </c>
      <c r="G41" s="59" t="s">
        <v>341</v>
      </c>
      <c r="H41" s="6">
        <v>0</v>
      </c>
      <c r="I41" s="6">
        <v>1</v>
      </c>
      <c r="J41" s="60">
        <v>6</v>
      </c>
      <c r="K41" s="6">
        <v>7</v>
      </c>
      <c r="L41" s="6">
        <v>5</v>
      </c>
      <c r="M41" s="6">
        <v>5</v>
      </c>
      <c r="N41" s="6">
        <v>2</v>
      </c>
      <c r="O41" s="6">
        <v>0</v>
      </c>
      <c r="P41" s="6">
        <v>2</v>
      </c>
      <c r="Q41" s="6">
        <v>0</v>
      </c>
      <c r="R41" s="6">
        <v>27</v>
      </c>
      <c r="S41" s="6">
        <v>89</v>
      </c>
      <c r="T41" s="6">
        <v>49</v>
      </c>
      <c r="U41" s="6">
        <v>0</v>
      </c>
      <c r="V41" s="61">
        <v>0</v>
      </c>
      <c r="W41" s="62">
        <v>0</v>
      </c>
      <c r="X41" s="62">
        <v>0</v>
      </c>
      <c r="Y41" s="62">
        <v>0</v>
      </c>
      <c r="Z41" s="62">
        <v>0</v>
      </c>
      <c r="AA41" s="62">
        <v>0</v>
      </c>
      <c r="AB41" s="63">
        <v>2</v>
      </c>
      <c r="AC41" s="62">
        <v>0</v>
      </c>
      <c r="AD41" s="62">
        <v>0</v>
      </c>
      <c r="AE41" s="62">
        <v>0</v>
      </c>
      <c r="AF41" s="62">
        <v>1</v>
      </c>
      <c r="AG41" s="62">
        <v>0</v>
      </c>
      <c r="AH41" s="62">
        <v>0</v>
      </c>
      <c r="AI41" s="62">
        <v>0</v>
      </c>
      <c r="AJ41" s="62">
        <v>7</v>
      </c>
      <c r="AK41" s="62">
        <v>25</v>
      </c>
      <c r="AL41" s="62">
        <v>14</v>
      </c>
      <c r="AM41" s="1" t="s">
        <v>399</v>
      </c>
      <c r="AN41" s="78">
        <v>3</v>
      </c>
      <c r="AO41" s="78">
        <v>0</v>
      </c>
      <c r="AP41" s="78">
        <v>1</v>
      </c>
      <c r="AQ41" s="78">
        <v>0</v>
      </c>
      <c r="AR41" s="78">
        <v>1</v>
      </c>
      <c r="AS41" s="78">
        <v>0</v>
      </c>
      <c r="AT41" s="78">
        <v>0</v>
      </c>
      <c r="AU41" s="78">
        <v>0</v>
      </c>
      <c r="AV41" s="76">
        <v>1</v>
      </c>
      <c r="AW41" s="1" t="s">
        <v>330</v>
      </c>
      <c r="AX41" s="78">
        <v>4</v>
      </c>
      <c r="AY41" s="78">
        <v>0</v>
      </c>
      <c r="AZ41" s="78">
        <v>0</v>
      </c>
      <c r="BA41" s="78">
        <v>0</v>
      </c>
      <c r="BB41" s="78">
        <v>0</v>
      </c>
      <c r="BC41" s="78">
        <v>1</v>
      </c>
      <c r="BD41" s="78">
        <v>0</v>
      </c>
      <c r="BE41" s="78">
        <v>0</v>
      </c>
      <c r="BF41" s="76">
        <v>0</v>
      </c>
      <c r="BG41" s="1" t="s">
        <v>400</v>
      </c>
      <c r="BH41" s="78">
        <v>4</v>
      </c>
      <c r="BI41" s="78">
        <v>0</v>
      </c>
      <c r="BJ41" s="78">
        <v>1</v>
      </c>
      <c r="BK41" s="78">
        <v>0</v>
      </c>
      <c r="BL41" s="78">
        <v>0</v>
      </c>
      <c r="BM41" s="78">
        <v>1</v>
      </c>
      <c r="BN41" s="78">
        <v>0</v>
      </c>
      <c r="BO41" s="78">
        <v>0</v>
      </c>
      <c r="BP41" s="76">
        <v>1</v>
      </c>
      <c r="BQ41" s="1" t="s">
        <v>332</v>
      </c>
      <c r="BR41" s="78">
        <v>4</v>
      </c>
      <c r="BS41" s="78">
        <v>0</v>
      </c>
      <c r="BT41" s="78">
        <v>4</v>
      </c>
      <c r="BU41" s="78">
        <v>0</v>
      </c>
      <c r="BV41" s="78">
        <v>0</v>
      </c>
      <c r="BW41" s="78">
        <v>0</v>
      </c>
      <c r="BX41" s="78">
        <v>0</v>
      </c>
      <c r="BY41" s="78">
        <v>0</v>
      </c>
      <c r="BZ41" s="76">
        <v>5</v>
      </c>
      <c r="CA41" s="1" t="s">
        <v>344</v>
      </c>
      <c r="CB41" s="78">
        <v>4</v>
      </c>
      <c r="CC41" s="78">
        <v>0</v>
      </c>
      <c r="CD41" s="78">
        <v>0</v>
      </c>
      <c r="CE41" s="78">
        <v>0</v>
      </c>
      <c r="CF41" s="78">
        <v>0</v>
      </c>
      <c r="CG41" s="78">
        <v>1</v>
      </c>
      <c r="CH41" s="78">
        <v>0</v>
      </c>
      <c r="CI41" s="78">
        <v>0</v>
      </c>
      <c r="CJ41" s="76">
        <v>0</v>
      </c>
      <c r="CK41" s="1" t="s">
        <v>345</v>
      </c>
      <c r="CL41" s="78">
        <v>4</v>
      </c>
      <c r="CM41" s="78">
        <v>0</v>
      </c>
      <c r="CN41" s="78">
        <v>1</v>
      </c>
      <c r="CO41" s="78">
        <v>0</v>
      </c>
      <c r="CP41" s="78">
        <v>0</v>
      </c>
      <c r="CQ41" s="78">
        <v>0</v>
      </c>
      <c r="CR41" s="78">
        <v>0</v>
      </c>
      <c r="CS41" s="78">
        <v>0</v>
      </c>
      <c r="CT41" s="76">
        <v>1</v>
      </c>
      <c r="CU41" s="1" t="s">
        <v>331</v>
      </c>
      <c r="CV41" s="78">
        <v>2</v>
      </c>
      <c r="CW41" s="78">
        <v>0</v>
      </c>
      <c r="CX41" s="78">
        <v>1</v>
      </c>
      <c r="CY41" s="78">
        <v>0</v>
      </c>
      <c r="CZ41" s="78">
        <v>1</v>
      </c>
      <c r="DA41" s="78">
        <v>0</v>
      </c>
      <c r="DB41" s="78">
        <v>0</v>
      </c>
      <c r="DC41" s="78">
        <v>0</v>
      </c>
      <c r="DD41" s="76">
        <v>1</v>
      </c>
      <c r="DE41" s="1" t="s">
        <v>336</v>
      </c>
      <c r="DF41" s="78">
        <v>3</v>
      </c>
      <c r="DG41" s="78">
        <v>0</v>
      </c>
      <c r="DH41" s="78">
        <v>0</v>
      </c>
      <c r="DI41" s="78">
        <v>0</v>
      </c>
      <c r="DJ41" s="78">
        <v>0</v>
      </c>
      <c r="DK41" s="78">
        <v>1</v>
      </c>
      <c r="DL41" s="78">
        <v>0</v>
      </c>
      <c r="DM41" s="78">
        <v>0</v>
      </c>
      <c r="DN41" s="76">
        <v>0</v>
      </c>
      <c r="DO41" s="1" t="s">
        <v>402</v>
      </c>
      <c r="DP41" s="78">
        <v>3</v>
      </c>
      <c r="DQ41" s="78">
        <v>0</v>
      </c>
      <c r="DR41" s="78">
        <v>2</v>
      </c>
      <c r="DS41" s="78">
        <v>0</v>
      </c>
      <c r="DT41" s="78">
        <v>0</v>
      </c>
      <c r="DU41" s="78">
        <v>1</v>
      </c>
      <c r="DV41" s="78">
        <v>0</v>
      </c>
      <c r="DW41" s="78">
        <v>0</v>
      </c>
      <c r="DX41" s="76">
        <v>2</v>
      </c>
      <c r="DY41" s="77">
        <v>0</v>
      </c>
      <c r="DZ41" s="43">
        <v>0</v>
      </c>
      <c r="EA41" s="43">
        <v>0</v>
      </c>
      <c r="EB41" s="45">
        <v>9</v>
      </c>
      <c r="EC41" s="43">
        <v>0</v>
      </c>
      <c r="ED41" s="44">
        <v>1</v>
      </c>
      <c r="EE41" s="71">
        <v>0</v>
      </c>
      <c r="EF41" s="43">
        <v>0</v>
      </c>
      <c r="EG41" s="43">
        <v>0</v>
      </c>
      <c r="EH41" s="43">
        <v>0</v>
      </c>
      <c r="EI41" s="43">
        <v>0</v>
      </c>
      <c r="EJ41" s="43">
        <v>0</v>
      </c>
      <c r="EK41" s="43">
        <v>0</v>
      </c>
      <c r="EL41" s="43">
        <v>0</v>
      </c>
      <c r="EM41" s="43">
        <v>0</v>
      </c>
      <c r="EN41" s="43"/>
      <c r="EO41" s="43"/>
      <c r="EP41" s="43"/>
      <c r="EQ41" s="44">
        <f t="shared" si="4"/>
        <v>0</v>
      </c>
      <c r="ER41" s="43">
        <v>0</v>
      </c>
      <c r="ES41" s="43">
        <v>1</v>
      </c>
      <c r="ET41" s="43">
        <v>2</v>
      </c>
      <c r="EU41" s="43">
        <v>0</v>
      </c>
      <c r="EV41" s="43">
        <v>2</v>
      </c>
      <c r="EW41" s="43">
        <v>0</v>
      </c>
      <c r="EX41" s="43">
        <v>0</v>
      </c>
      <c r="EY41" s="43">
        <v>0</v>
      </c>
      <c r="EZ41" s="43"/>
      <c r="FA41" s="43"/>
      <c r="FB41" s="43"/>
      <c r="FC41" s="43"/>
      <c r="FD41" s="43">
        <f t="shared" si="5"/>
        <v>5</v>
      </c>
      <c r="FE41" s="73">
        <f t="shared" si="6"/>
        <v>0</v>
      </c>
      <c r="FF41" s="73">
        <f t="shared" si="7"/>
        <v>0</v>
      </c>
      <c r="FG41" s="38"/>
    </row>
    <row r="42" spans="1:163" x14ac:dyDescent="0.25">
      <c r="A42" s="53">
        <v>40315</v>
      </c>
      <c r="B42" s="53" t="s">
        <v>133</v>
      </c>
      <c r="C42" s="53" t="s">
        <v>131</v>
      </c>
      <c r="D42" s="53" t="s">
        <v>355</v>
      </c>
      <c r="E42" s="54">
        <v>9271</v>
      </c>
      <c r="F42" s="58">
        <v>4</v>
      </c>
      <c r="G42" s="59" t="s">
        <v>334</v>
      </c>
      <c r="H42" s="6">
        <v>0</v>
      </c>
      <c r="I42" s="6">
        <v>1</v>
      </c>
      <c r="J42" s="60">
        <v>5</v>
      </c>
      <c r="K42" s="6">
        <v>4</v>
      </c>
      <c r="L42" s="6">
        <v>4</v>
      </c>
      <c r="M42" s="6">
        <v>4</v>
      </c>
      <c r="N42" s="6">
        <v>4</v>
      </c>
      <c r="O42" s="6">
        <v>2</v>
      </c>
      <c r="P42" s="6">
        <v>1</v>
      </c>
      <c r="Q42" s="6">
        <v>1</v>
      </c>
      <c r="R42" s="6">
        <v>24</v>
      </c>
      <c r="S42" s="6">
        <v>99</v>
      </c>
      <c r="T42" s="6">
        <v>59</v>
      </c>
      <c r="U42" s="6">
        <v>0</v>
      </c>
      <c r="V42" s="61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B42" s="63">
        <v>3</v>
      </c>
      <c r="AC42" s="62">
        <v>2</v>
      </c>
      <c r="AD42" s="62">
        <v>1</v>
      </c>
      <c r="AE42" s="62">
        <v>1</v>
      </c>
      <c r="AF42" s="62">
        <v>1</v>
      </c>
      <c r="AG42" s="62">
        <v>0</v>
      </c>
      <c r="AH42" s="62">
        <v>1</v>
      </c>
      <c r="AI42" s="62">
        <v>0</v>
      </c>
      <c r="AJ42" s="62">
        <v>12</v>
      </c>
      <c r="AK42" s="62">
        <v>46</v>
      </c>
      <c r="AL42" s="62">
        <v>32</v>
      </c>
      <c r="AM42" s="1" t="s">
        <v>399</v>
      </c>
      <c r="AN42" s="78">
        <v>3</v>
      </c>
      <c r="AO42" s="78">
        <v>0</v>
      </c>
      <c r="AP42" s="78">
        <v>0</v>
      </c>
      <c r="AQ42" s="78">
        <v>0</v>
      </c>
      <c r="AR42" s="78">
        <v>1</v>
      </c>
      <c r="AS42" s="78">
        <v>1</v>
      </c>
      <c r="AT42" s="78">
        <v>0</v>
      </c>
      <c r="AU42" s="78">
        <v>0</v>
      </c>
      <c r="AV42" s="76">
        <v>0</v>
      </c>
      <c r="AW42" s="1" t="s">
        <v>330</v>
      </c>
      <c r="AX42" s="78">
        <v>4</v>
      </c>
      <c r="AY42" s="78">
        <v>0</v>
      </c>
      <c r="AZ42" s="78">
        <v>1</v>
      </c>
      <c r="BA42" s="78">
        <v>0</v>
      </c>
      <c r="BB42" s="78">
        <v>0</v>
      </c>
      <c r="BC42" s="78">
        <v>0</v>
      </c>
      <c r="BD42" s="78">
        <v>0</v>
      </c>
      <c r="BE42" s="78">
        <v>0</v>
      </c>
      <c r="BF42" s="76">
        <v>1</v>
      </c>
      <c r="BG42" s="1" t="s">
        <v>400</v>
      </c>
      <c r="BH42" s="78">
        <v>4</v>
      </c>
      <c r="BI42" s="78">
        <v>0</v>
      </c>
      <c r="BJ42" s="78">
        <v>0</v>
      </c>
      <c r="BK42" s="78">
        <v>0</v>
      </c>
      <c r="BL42" s="78">
        <v>0</v>
      </c>
      <c r="BM42" s="78">
        <v>1</v>
      </c>
      <c r="BN42" s="78">
        <v>0</v>
      </c>
      <c r="BO42" s="78">
        <v>0</v>
      </c>
      <c r="BP42" s="76">
        <v>0</v>
      </c>
      <c r="BQ42" s="1" t="s">
        <v>332</v>
      </c>
      <c r="BR42" s="78">
        <v>4</v>
      </c>
      <c r="BS42" s="78">
        <v>0</v>
      </c>
      <c r="BT42" s="78">
        <v>1</v>
      </c>
      <c r="BU42" s="78">
        <v>0</v>
      </c>
      <c r="BV42" s="78">
        <v>0</v>
      </c>
      <c r="BW42" s="78">
        <v>1</v>
      </c>
      <c r="BX42" s="78">
        <v>0</v>
      </c>
      <c r="BY42" s="78">
        <v>0</v>
      </c>
      <c r="BZ42" s="76">
        <v>1</v>
      </c>
      <c r="CA42" s="1" t="s">
        <v>403</v>
      </c>
      <c r="CB42" s="78">
        <v>4</v>
      </c>
      <c r="CC42" s="78">
        <v>0</v>
      </c>
      <c r="CD42" s="78">
        <v>0</v>
      </c>
      <c r="CE42" s="78">
        <v>0</v>
      </c>
      <c r="CF42" s="78">
        <v>0</v>
      </c>
      <c r="CG42" s="78">
        <v>1</v>
      </c>
      <c r="CH42" s="78">
        <v>0</v>
      </c>
      <c r="CI42" s="78">
        <v>0</v>
      </c>
      <c r="CJ42" s="76">
        <v>0</v>
      </c>
      <c r="CK42" s="1" t="s">
        <v>405</v>
      </c>
      <c r="CL42" s="78">
        <v>4</v>
      </c>
      <c r="CM42" s="78">
        <v>1</v>
      </c>
      <c r="CN42" s="78">
        <v>1</v>
      </c>
      <c r="CO42" s="78">
        <v>0</v>
      </c>
      <c r="CP42" s="78">
        <v>0</v>
      </c>
      <c r="CQ42" s="78">
        <v>1</v>
      </c>
      <c r="CR42" s="78">
        <v>0</v>
      </c>
      <c r="CS42" s="78">
        <v>0</v>
      </c>
      <c r="CT42" s="76">
        <v>2</v>
      </c>
      <c r="CU42" s="1" t="s">
        <v>344</v>
      </c>
      <c r="CV42" s="78">
        <v>4</v>
      </c>
      <c r="CW42" s="78">
        <v>0</v>
      </c>
      <c r="CX42" s="78">
        <v>1</v>
      </c>
      <c r="CY42" s="78">
        <v>1</v>
      </c>
      <c r="CZ42" s="78">
        <v>0</v>
      </c>
      <c r="DA42" s="78">
        <v>2</v>
      </c>
      <c r="DB42" s="78">
        <v>0</v>
      </c>
      <c r="DC42" s="78">
        <v>0</v>
      </c>
      <c r="DD42" s="76">
        <v>2</v>
      </c>
      <c r="DE42" s="1" t="s">
        <v>345</v>
      </c>
      <c r="DF42" s="78">
        <v>4</v>
      </c>
      <c r="DG42" s="78">
        <v>0</v>
      </c>
      <c r="DH42" s="78">
        <v>2</v>
      </c>
      <c r="DI42" s="78">
        <v>0</v>
      </c>
      <c r="DJ42" s="78">
        <v>0</v>
      </c>
      <c r="DK42" s="78">
        <v>0</v>
      </c>
      <c r="DL42" s="78">
        <v>0</v>
      </c>
      <c r="DM42" s="78">
        <v>0</v>
      </c>
      <c r="DN42" s="76">
        <v>2</v>
      </c>
      <c r="DO42" s="1" t="s">
        <v>407</v>
      </c>
      <c r="DP42" s="78">
        <v>4</v>
      </c>
      <c r="DQ42" s="78">
        <v>0</v>
      </c>
      <c r="DR42" s="78">
        <v>3</v>
      </c>
      <c r="DS42" s="78">
        <v>0</v>
      </c>
      <c r="DT42" s="78">
        <v>0</v>
      </c>
      <c r="DU42" s="78">
        <v>0</v>
      </c>
      <c r="DV42" s="78">
        <v>0</v>
      </c>
      <c r="DW42" s="78">
        <v>0</v>
      </c>
      <c r="DX42" s="76">
        <v>3</v>
      </c>
      <c r="DY42" s="77">
        <f>6+1/3</f>
        <v>6.333333333333333</v>
      </c>
      <c r="DZ42" s="43">
        <v>0</v>
      </c>
      <c r="EA42" s="43">
        <v>0</v>
      </c>
      <c r="EB42" s="45">
        <f>2+2/3</f>
        <v>2.6666666666666665</v>
      </c>
      <c r="EC42" s="43">
        <v>0</v>
      </c>
      <c r="ED42" s="44">
        <v>0</v>
      </c>
      <c r="EE42" s="71">
        <v>0</v>
      </c>
      <c r="EF42" s="43">
        <v>0</v>
      </c>
      <c r="EG42" s="43">
        <v>0</v>
      </c>
      <c r="EH42" s="43">
        <v>0</v>
      </c>
      <c r="EI42" s="43">
        <v>0</v>
      </c>
      <c r="EJ42" s="43">
        <v>0</v>
      </c>
      <c r="EK42" s="43">
        <v>0</v>
      </c>
      <c r="EL42" s="43">
        <v>0</v>
      </c>
      <c r="EM42" s="43">
        <v>1</v>
      </c>
      <c r="EN42" s="43"/>
      <c r="EO42" s="43"/>
      <c r="EP42" s="43"/>
      <c r="EQ42" s="44">
        <f t="shared" si="4"/>
        <v>1</v>
      </c>
      <c r="ER42" s="43">
        <v>0</v>
      </c>
      <c r="ES42" s="43">
        <v>0</v>
      </c>
      <c r="ET42" s="43">
        <v>0</v>
      </c>
      <c r="EU42" s="43">
        <v>0</v>
      </c>
      <c r="EV42" s="43">
        <v>4</v>
      </c>
      <c r="EW42" s="43">
        <v>0</v>
      </c>
      <c r="EX42" s="43">
        <v>1</v>
      </c>
      <c r="EY42" s="43">
        <v>0</v>
      </c>
      <c r="EZ42" s="43"/>
      <c r="FA42" s="43"/>
      <c r="FB42" s="43"/>
      <c r="FC42" s="43"/>
      <c r="FD42" s="43">
        <f t="shared" si="5"/>
        <v>5</v>
      </c>
      <c r="FE42" s="73">
        <f t="shared" si="6"/>
        <v>0</v>
      </c>
      <c r="FF42" s="73">
        <f t="shared" si="7"/>
        <v>0</v>
      </c>
      <c r="FG42" s="38"/>
    </row>
    <row r="43" spans="1:163" x14ac:dyDescent="0.25">
      <c r="A43" s="53">
        <v>40316</v>
      </c>
      <c r="B43" s="53" t="s">
        <v>133</v>
      </c>
      <c r="C43" s="53" t="s">
        <v>131</v>
      </c>
      <c r="D43" s="53" t="s">
        <v>354</v>
      </c>
      <c r="E43" s="54">
        <v>4238</v>
      </c>
      <c r="F43" s="58">
        <v>5</v>
      </c>
      <c r="G43" s="59" t="s">
        <v>339</v>
      </c>
      <c r="H43" s="6">
        <v>0</v>
      </c>
      <c r="I43" s="6">
        <v>1</v>
      </c>
      <c r="J43" s="60">
        <f>4+2/3</f>
        <v>4.666666666666667</v>
      </c>
      <c r="K43" s="6">
        <v>7</v>
      </c>
      <c r="L43" s="6">
        <v>2</v>
      </c>
      <c r="M43" s="6">
        <v>2</v>
      </c>
      <c r="N43" s="6">
        <v>3</v>
      </c>
      <c r="O43" s="6">
        <v>5</v>
      </c>
      <c r="P43" s="6">
        <v>0</v>
      </c>
      <c r="Q43" s="6">
        <v>1</v>
      </c>
      <c r="R43" s="6">
        <v>24</v>
      </c>
      <c r="S43" s="6">
        <v>97</v>
      </c>
      <c r="T43" s="6">
        <v>62</v>
      </c>
      <c r="U43" s="6">
        <v>3</v>
      </c>
      <c r="V43" s="61">
        <v>0</v>
      </c>
      <c r="W43" s="62">
        <v>0</v>
      </c>
      <c r="X43" s="62">
        <v>0</v>
      </c>
      <c r="Y43" s="62">
        <v>0</v>
      </c>
      <c r="Z43" s="62">
        <v>0</v>
      </c>
      <c r="AA43" s="62">
        <v>0</v>
      </c>
      <c r="AB43" s="63">
        <f>3+1/3</f>
        <v>3.3333333333333335</v>
      </c>
      <c r="AC43" s="62">
        <v>2</v>
      </c>
      <c r="AD43" s="62">
        <v>3</v>
      </c>
      <c r="AE43" s="62">
        <v>1</v>
      </c>
      <c r="AF43" s="62">
        <v>4</v>
      </c>
      <c r="AG43" s="62">
        <v>5</v>
      </c>
      <c r="AH43" s="62">
        <v>0</v>
      </c>
      <c r="AI43" s="62">
        <v>0</v>
      </c>
      <c r="AJ43" s="62">
        <v>17</v>
      </c>
      <c r="AK43" s="62">
        <v>79</v>
      </c>
      <c r="AL43" s="62">
        <v>42</v>
      </c>
      <c r="AM43" s="1" t="s">
        <v>399</v>
      </c>
      <c r="AN43" s="78">
        <v>4</v>
      </c>
      <c r="AO43" s="78">
        <v>0</v>
      </c>
      <c r="AP43" s="78">
        <v>0</v>
      </c>
      <c r="AQ43" s="78">
        <v>0</v>
      </c>
      <c r="AR43" s="78">
        <v>0</v>
      </c>
      <c r="AS43" s="78">
        <v>1</v>
      </c>
      <c r="AT43" s="78">
        <v>0</v>
      </c>
      <c r="AU43" s="78">
        <v>0</v>
      </c>
      <c r="AV43" s="76">
        <v>0</v>
      </c>
      <c r="AW43" s="1" t="s">
        <v>330</v>
      </c>
      <c r="AX43" s="78">
        <v>4</v>
      </c>
      <c r="AY43" s="78">
        <v>0</v>
      </c>
      <c r="AZ43" s="78">
        <v>0</v>
      </c>
      <c r="BA43" s="78">
        <v>0</v>
      </c>
      <c r="BB43" s="78">
        <v>0</v>
      </c>
      <c r="BC43" s="78">
        <v>0</v>
      </c>
      <c r="BD43" s="78">
        <v>0</v>
      </c>
      <c r="BE43" s="78">
        <v>0</v>
      </c>
      <c r="BF43" s="76">
        <v>0</v>
      </c>
      <c r="BG43" s="1" t="s">
        <v>400</v>
      </c>
      <c r="BH43" s="78">
        <v>4</v>
      </c>
      <c r="BI43" s="78">
        <v>1</v>
      </c>
      <c r="BJ43" s="78">
        <v>1</v>
      </c>
      <c r="BK43" s="78">
        <v>0</v>
      </c>
      <c r="BL43" s="78">
        <v>0</v>
      </c>
      <c r="BM43" s="78">
        <v>1</v>
      </c>
      <c r="BN43" s="78">
        <v>0</v>
      </c>
      <c r="BO43" s="78">
        <v>0</v>
      </c>
      <c r="BP43" s="76">
        <v>1</v>
      </c>
      <c r="BQ43" s="1" t="s">
        <v>332</v>
      </c>
      <c r="BR43" s="78">
        <v>3</v>
      </c>
      <c r="BS43" s="78">
        <v>1</v>
      </c>
      <c r="BT43" s="78">
        <v>0</v>
      </c>
      <c r="BU43" s="78">
        <v>0</v>
      </c>
      <c r="BV43" s="78">
        <v>1</v>
      </c>
      <c r="BW43" s="78">
        <v>0</v>
      </c>
      <c r="BX43" s="78">
        <v>0</v>
      </c>
      <c r="BY43" s="78">
        <v>0</v>
      </c>
      <c r="BZ43" s="76">
        <v>0</v>
      </c>
      <c r="CA43" s="1" t="s">
        <v>403</v>
      </c>
      <c r="CB43" s="78">
        <v>4</v>
      </c>
      <c r="CC43" s="78">
        <v>0</v>
      </c>
      <c r="CD43" s="78">
        <v>2</v>
      </c>
      <c r="CE43" s="78">
        <v>0</v>
      </c>
      <c r="CF43" s="78">
        <v>0</v>
      </c>
      <c r="CG43" s="78">
        <v>1</v>
      </c>
      <c r="CH43" s="78">
        <v>0</v>
      </c>
      <c r="CI43" s="78">
        <v>0</v>
      </c>
      <c r="CJ43" s="76">
        <v>3</v>
      </c>
      <c r="CK43" s="1" t="s">
        <v>405</v>
      </c>
      <c r="CL43" s="78">
        <v>4</v>
      </c>
      <c r="CM43" s="78">
        <v>1</v>
      </c>
      <c r="CN43" s="78">
        <v>1</v>
      </c>
      <c r="CO43" s="78">
        <v>1</v>
      </c>
      <c r="CP43" s="78">
        <v>0</v>
      </c>
      <c r="CQ43" s="78">
        <v>0</v>
      </c>
      <c r="CR43" s="78">
        <v>0</v>
      </c>
      <c r="CS43" s="78">
        <v>0</v>
      </c>
      <c r="CT43" s="76">
        <v>2</v>
      </c>
      <c r="CU43" s="1" t="s">
        <v>331</v>
      </c>
      <c r="CV43" s="78">
        <v>4</v>
      </c>
      <c r="CW43" s="78">
        <v>0</v>
      </c>
      <c r="CX43" s="78">
        <v>1</v>
      </c>
      <c r="CY43" s="78">
        <v>0</v>
      </c>
      <c r="CZ43" s="78">
        <v>0</v>
      </c>
      <c r="DA43" s="78">
        <v>1</v>
      </c>
      <c r="DB43" s="78">
        <v>0</v>
      </c>
      <c r="DC43" s="78">
        <v>0</v>
      </c>
      <c r="DD43" s="76">
        <v>1</v>
      </c>
      <c r="DE43" s="1" t="s">
        <v>336</v>
      </c>
      <c r="DF43" s="78">
        <v>3</v>
      </c>
      <c r="DG43" s="78">
        <v>0</v>
      </c>
      <c r="DH43" s="78">
        <v>1</v>
      </c>
      <c r="DI43" s="78">
        <v>2</v>
      </c>
      <c r="DJ43" s="78">
        <v>1</v>
      </c>
      <c r="DK43" s="78">
        <v>1</v>
      </c>
      <c r="DL43" s="78">
        <v>0</v>
      </c>
      <c r="DM43" s="78">
        <v>0</v>
      </c>
      <c r="DN43" s="76">
        <v>2</v>
      </c>
      <c r="DO43" s="1" t="s">
        <v>402</v>
      </c>
      <c r="DP43" s="78">
        <v>3</v>
      </c>
      <c r="DQ43" s="78">
        <v>0</v>
      </c>
      <c r="DR43" s="78">
        <v>0</v>
      </c>
      <c r="DS43" s="78">
        <v>0</v>
      </c>
      <c r="DT43" s="78">
        <v>0</v>
      </c>
      <c r="DU43" s="78">
        <v>1</v>
      </c>
      <c r="DV43" s="78">
        <v>1</v>
      </c>
      <c r="DW43" s="78">
        <v>0</v>
      </c>
      <c r="DX43" s="76">
        <v>0</v>
      </c>
      <c r="DY43" s="77">
        <v>0</v>
      </c>
      <c r="DZ43" s="43">
        <v>0</v>
      </c>
      <c r="EA43" s="43">
        <v>0</v>
      </c>
      <c r="EB43" s="45">
        <v>9</v>
      </c>
      <c r="EC43" s="43">
        <v>1</v>
      </c>
      <c r="ED43" s="44">
        <v>1</v>
      </c>
      <c r="EE43" s="71">
        <v>0</v>
      </c>
      <c r="EF43" s="43">
        <v>0</v>
      </c>
      <c r="EG43" s="43">
        <v>0</v>
      </c>
      <c r="EH43" s="43">
        <v>0</v>
      </c>
      <c r="EI43" s="43">
        <v>0</v>
      </c>
      <c r="EJ43" s="43">
        <v>0</v>
      </c>
      <c r="EK43" s="43">
        <v>0</v>
      </c>
      <c r="EL43" s="43">
        <v>0</v>
      </c>
      <c r="EM43" s="43">
        <v>3</v>
      </c>
      <c r="EN43" s="43"/>
      <c r="EO43" s="43"/>
      <c r="EP43" s="43"/>
      <c r="EQ43" s="44">
        <f t="shared" si="4"/>
        <v>3</v>
      </c>
      <c r="ER43" s="43">
        <v>0</v>
      </c>
      <c r="ES43" s="43">
        <v>1</v>
      </c>
      <c r="ET43" s="43">
        <v>0</v>
      </c>
      <c r="EU43" s="43">
        <v>0</v>
      </c>
      <c r="EV43" s="43">
        <v>1</v>
      </c>
      <c r="EW43" s="43">
        <v>1</v>
      </c>
      <c r="EX43" s="43">
        <v>1</v>
      </c>
      <c r="EY43" s="43">
        <v>1</v>
      </c>
      <c r="EZ43" s="43"/>
      <c r="FA43" s="43"/>
      <c r="FB43" s="43"/>
      <c r="FC43" s="43"/>
      <c r="FD43" s="43">
        <f t="shared" si="5"/>
        <v>5</v>
      </c>
      <c r="FE43" s="73">
        <f t="shared" si="6"/>
        <v>0</v>
      </c>
      <c r="FF43" s="73">
        <f t="shared" si="7"/>
        <v>0</v>
      </c>
      <c r="FG43" s="38"/>
    </row>
    <row r="44" spans="1:163" x14ac:dyDescent="0.25">
      <c r="A44" s="53">
        <v>40317</v>
      </c>
      <c r="B44" s="53" t="s">
        <v>133</v>
      </c>
      <c r="C44" s="53" t="s">
        <v>131</v>
      </c>
      <c r="D44" s="53" t="s">
        <v>354</v>
      </c>
      <c r="E44" s="54">
        <v>10300</v>
      </c>
      <c r="F44" s="58">
        <v>1</v>
      </c>
      <c r="G44" s="59" t="s">
        <v>397</v>
      </c>
      <c r="H44" s="6">
        <v>0</v>
      </c>
      <c r="I44" s="6">
        <v>1</v>
      </c>
      <c r="J44" s="60">
        <v>4</v>
      </c>
      <c r="K44" s="6">
        <v>7</v>
      </c>
      <c r="L44" s="6">
        <v>3</v>
      </c>
      <c r="M44" s="6">
        <v>3</v>
      </c>
      <c r="N44" s="6">
        <v>2</v>
      </c>
      <c r="O44" s="6">
        <v>6</v>
      </c>
      <c r="P44" s="6">
        <v>0</v>
      </c>
      <c r="Q44" s="6">
        <v>1</v>
      </c>
      <c r="R44" s="6">
        <v>22</v>
      </c>
      <c r="S44" s="6">
        <v>84</v>
      </c>
      <c r="T44" s="6">
        <v>57</v>
      </c>
      <c r="U44" s="6">
        <v>0</v>
      </c>
      <c r="V44" s="61">
        <v>0</v>
      </c>
      <c r="W44" s="62">
        <v>0</v>
      </c>
      <c r="X44" s="62">
        <v>0</v>
      </c>
      <c r="Y44" s="62">
        <v>0</v>
      </c>
      <c r="Z44" s="62">
        <v>0</v>
      </c>
      <c r="AA44" s="62">
        <v>0</v>
      </c>
      <c r="AB44" s="63">
        <v>4</v>
      </c>
      <c r="AC44" s="62">
        <v>5</v>
      </c>
      <c r="AD44" s="62">
        <v>2</v>
      </c>
      <c r="AE44" s="62">
        <v>1</v>
      </c>
      <c r="AF44" s="62">
        <v>0</v>
      </c>
      <c r="AG44" s="62">
        <v>1</v>
      </c>
      <c r="AH44" s="62">
        <v>0</v>
      </c>
      <c r="AI44" s="62">
        <v>0</v>
      </c>
      <c r="AJ44" s="62">
        <v>16</v>
      </c>
      <c r="AK44" s="62">
        <v>56</v>
      </c>
      <c r="AL44" s="62">
        <v>42</v>
      </c>
      <c r="AM44" s="1" t="s">
        <v>399</v>
      </c>
      <c r="AN44" s="78">
        <v>5</v>
      </c>
      <c r="AO44" s="78">
        <v>0</v>
      </c>
      <c r="AP44" s="78">
        <v>1</v>
      </c>
      <c r="AQ44" s="78">
        <v>0</v>
      </c>
      <c r="AR44" s="78">
        <v>0</v>
      </c>
      <c r="AS44" s="78">
        <v>1</v>
      </c>
      <c r="AT44" s="78">
        <v>0</v>
      </c>
      <c r="AU44" s="78">
        <v>0</v>
      </c>
      <c r="AV44" s="76">
        <v>2</v>
      </c>
      <c r="AW44" s="1" t="s">
        <v>330</v>
      </c>
      <c r="AX44" s="78">
        <v>5</v>
      </c>
      <c r="AY44" s="78">
        <v>0</v>
      </c>
      <c r="AZ44" s="78">
        <v>0</v>
      </c>
      <c r="BA44" s="78">
        <v>0</v>
      </c>
      <c r="BB44" s="78">
        <v>0</v>
      </c>
      <c r="BC44" s="78">
        <v>0</v>
      </c>
      <c r="BD44" s="78">
        <v>0</v>
      </c>
      <c r="BE44" s="78">
        <v>0</v>
      </c>
      <c r="BF44" s="76">
        <v>0</v>
      </c>
      <c r="BG44" s="1" t="s">
        <v>400</v>
      </c>
      <c r="BH44" s="78">
        <v>4</v>
      </c>
      <c r="BI44" s="78">
        <v>0</v>
      </c>
      <c r="BJ44" s="78">
        <v>2</v>
      </c>
      <c r="BK44" s="78">
        <v>1</v>
      </c>
      <c r="BL44" s="78">
        <v>1</v>
      </c>
      <c r="BM44" s="78">
        <v>1</v>
      </c>
      <c r="BN44" s="78">
        <v>0</v>
      </c>
      <c r="BO44" s="78">
        <v>0</v>
      </c>
      <c r="BP44" s="76">
        <v>2</v>
      </c>
      <c r="BQ44" s="1" t="s">
        <v>403</v>
      </c>
      <c r="BR44" s="78">
        <v>4</v>
      </c>
      <c r="BS44" s="78">
        <v>0</v>
      </c>
      <c r="BT44" s="78">
        <v>0</v>
      </c>
      <c r="BU44" s="78">
        <v>0</v>
      </c>
      <c r="BV44" s="78">
        <v>0</v>
      </c>
      <c r="BW44" s="78">
        <v>0</v>
      </c>
      <c r="BX44" s="78">
        <v>0</v>
      </c>
      <c r="BY44" s="78">
        <v>0</v>
      </c>
      <c r="BZ44" s="76">
        <v>0</v>
      </c>
      <c r="CA44" s="1" t="s">
        <v>331</v>
      </c>
      <c r="CB44" s="78">
        <v>4</v>
      </c>
      <c r="CC44" s="78">
        <v>0</v>
      </c>
      <c r="CD44" s="78">
        <v>0</v>
      </c>
      <c r="CE44" s="78">
        <v>0</v>
      </c>
      <c r="CF44" s="78">
        <v>0</v>
      </c>
      <c r="CG44" s="78">
        <v>0</v>
      </c>
      <c r="CH44" s="78">
        <v>0</v>
      </c>
      <c r="CI44" s="78">
        <v>0</v>
      </c>
      <c r="CJ44" s="76">
        <v>0</v>
      </c>
      <c r="CK44" s="1" t="s">
        <v>405</v>
      </c>
      <c r="CL44" s="78">
        <v>4</v>
      </c>
      <c r="CM44" s="78">
        <v>1</v>
      </c>
      <c r="CN44" s="78">
        <v>1</v>
      </c>
      <c r="CO44" s="78">
        <v>0</v>
      </c>
      <c r="CP44" s="78">
        <v>0</v>
      </c>
      <c r="CQ44" s="78">
        <v>0</v>
      </c>
      <c r="CR44" s="78">
        <v>0</v>
      </c>
      <c r="CS44" s="78">
        <v>0</v>
      </c>
      <c r="CT44" s="76">
        <v>2</v>
      </c>
      <c r="CU44" s="1" t="s">
        <v>345</v>
      </c>
      <c r="CV44" s="78">
        <v>3</v>
      </c>
      <c r="CW44" s="78">
        <v>0</v>
      </c>
      <c r="CX44" s="78">
        <v>1</v>
      </c>
      <c r="CY44" s="78">
        <v>0</v>
      </c>
      <c r="CZ44" s="78">
        <v>1</v>
      </c>
      <c r="DA44" s="78">
        <v>1</v>
      </c>
      <c r="DB44" s="78">
        <v>0</v>
      </c>
      <c r="DC44" s="78">
        <v>0</v>
      </c>
      <c r="DD44" s="76">
        <v>1</v>
      </c>
      <c r="DE44" s="1" t="s">
        <v>336</v>
      </c>
      <c r="DF44" s="78">
        <v>3</v>
      </c>
      <c r="DG44" s="78">
        <v>1</v>
      </c>
      <c r="DH44" s="78">
        <v>2</v>
      </c>
      <c r="DI44" s="78">
        <v>1</v>
      </c>
      <c r="DJ44" s="78">
        <v>1</v>
      </c>
      <c r="DK44" s="78">
        <v>0</v>
      </c>
      <c r="DL44" s="78">
        <v>0</v>
      </c>
      <c r="DM44" s="78">
        <v>0</v>
      </c>
      <c r="DN44" s="76">
        <v>2</v>
      </c>
      <c r="DO44" s="1" t="s">
        <v>407</v>
      </c>
      <c r="DP44" s="78">
        <v>4</v>
      </c>
      <c r="DQ44" s="78">
        <v>0</v>
      </c>
      <c r="DR44" s="78">
        <v>1</v>
      </c>
      <c r="DS44" s="78">
        <v>0</v>
      </c>
      <c r="DT44" s="78">
        <v>0</v>
      </c>
      <c r="DU44" s="78">
        <v>1</v>
      </c>
      <c r="DV44" s="78">
        <v>0</v>
      </c>
      <c r="DW44" s="78">
        <v>0</v>
      </c>
      <c r="DX44" s="76">
        <v>1</v>
      </c>
      <c r="DY44" s="77">
        <v>6</v>
      </c>
      <c r="DZ44" s="43">
        <v>1</v>
      </c>
      <c r="EA44" s="43">
        <v>0</v>
      </c>
      <c r="EB44" s="45">
        <v>3</v>
      </c>
      <c r="EC44" s="43">
        <v>0</v>
      </c>
      <c r="ED44" s="44">
        <v>0</v>
      </c>
      <c r="EE44" s="71">
        <v>0</v>
      </c>
      <c r="EF44" s="43">
        <v>0</v>
      </c>
      <c r="EG44" s="43">
        <v>1</v>
      </c>
      <c r="EH44" s="43">
        <v>0</v>
      </c>
      <c r="EI44" s="43">
        <v>0</v>
      </c>
      <c r="EJ44" s="43">
        <v>1</v>
      </c>
      <c r="EK44" s="43">
        <v>0</v>
      </c>
      <c r="EL44" s="43">
        <v>0</v>
      </c>
      <c r="EM44" s="43">
        <v>0</v>
      </c>
      <c r="EN44" s="43"/>
      <c r="EO44" s="43"/>
      <c r="EP44" s="43"/>
      <c r="EQ44" s="44">
        <f t="shared" si="4"/>
        <v>2</v>
      </c>
      <c r="ER44" s="43">
        <v>1</v>
      </c>
      <c r="ES44" s="43">
        <v>0</v>
      </c>
      <c r="ET44" s="43">
        <v>2</v>
      </c>
      <c r="EU44" s="43">
        <v>0</v>
      </c>
      <c r="EV44" s="43">
        <v>0</v>
      </c>
      <c r="EW44" s="43">
        <v>1</v>
      </c>
      <c r="EX44" s="43">
        <v>1</v>
      </c>
      <c r="EY44" s="43">
        <v>0</v>
      </c>
      <c r="EZ44" s="43"/>
      <c r="FA44" s="43"/>
      <c r="FB44" s="43"/>
      <c r="FC44" s="43"/>
      <c r="FD44" s="43">
        <f t="shared" si="5"/>
        <v>5</v>
      </c>
      <c r="FE44" s="73">
        <f t="shared" si="6"/>
        <v>0</v>
      </c>
      <c r="FF44" s="73">
        <f t="shared" si="7"/>
        <v>0</v>
      </c>
      <c r="FG44" s="38"/>
    </row>
    <row r="45" spans="1:163" x14ac:dyDescent="0.25">
      <c r="A45" s="53">
        <v>40318</v>
      </c>
      <c r="B45" s="53" t="s">
        <v>133</v>
      </c>
      <c r="C45" s="53" t="s">
        <v>131</v>
      </c>
      <c r="D45" s="53" t="s">
        <v>354</v>
      </c>
      <c r="E45" s="54">
        <v>6646</v>
      </c>
      <c r="F45" s="58">
        <v>2</v>
      </c>
      <c r="G45" s="59" t="s">
        <v>337</v>
      </c>
      <c r="H45" s="6">
        <v>0</v>
      </c>
      <c r="I45" s="6">
        <v>1</v>
      </c>
      <c r="J45" s="60">
        <v>6</v>
      </c>
      <c r="K45" s="6">
        <v>5</v>
      </c>
      <c r="L45" s="6">
        <v>3</v>
      </c>
      <c r="M45" s="6">
        <v>3</v>
      </c>
      <c r="N45" s="6">
        <v>3</v>
      </c>
      <c r="O45" s="6">
        <v>4</v>
      </c>
      <c r="P45" s="6">
        <v>1</v>
      </c>
      <c r="Q45" s="6">
        <v>0</v>
      </c>
      <c r="R45" s="6">
        <v>25</v>
      </c>
      <c r="S45" s="6">
        <v>93</v>
      </c>
      <c r="T45" s="6">
        <v>57</v>
      </c>
      <c r="U45" s="6">
        <v>0</v>
      </c>
      <c r="V45" s="61">
        <v>0</v>
      </c>
      <c r="W45" s="62">
        <v>0</v>
      </c>
      <c r="X45" s="62">
        <v>0</v>
      </c>
      <c r="Y45" s="62">
        <v>0</v>
      </c>
      <c r="Z45" s="62">
        <v>0</v>
      </c>
      <c r="AA45" s="62">
        <v>0</v>
      </c>
      <c r="AB45" s="63">
        <v>2</v>
      </c>
      <c r="AC45" s="62">
        <v>4</v>
      </c>
      <c r="AD45" s="62">
        <v>1</v>
      </c>
      <c r="AE45" s="62">
        <v>1</v>
      </c>
      <c r="AF45" s="62">
        <v>1</v>
      </c>
      <c r="AG45" s="62">
        <v>3</v>
      </c>
      <c r="AH45" s="62">
        <v>0</v>
      </c>
      <c r="AI45" s="62">
        <v>0</v>
      </c>
      <c r="AJ45" s="62">
        <v>10</v>
      </c>
      <c r="AK45" s="62">
        <v>47</v>
      </c>
      <c r="AL45" s="62">
        <v>28</v>
      </c>
      <c r="AM45" s="1" t="s">
        <v>399</v>
      </c>
      <c r="AN45" s="78">
        <v>4</v>
      </c>
      <c r="AO45" s="78">
        <v>0</v>
      </c>
      <c r="AP45" s="78">
        <v>0</v>
      </c>
      <c r="AQ45" s="78">
        <v>0</v>
      </c>
      <c r="AR45" s="78">
        <v>0</v>
      </c>
      <c r="AS45" s="78">
        <v>1</v>
      </c>
      <c r="AT45" s="78">
        <v>0</v>
      </c>
      <c r="AU45" s="78">
        <v>0</v>
      </c>
      <c r="AV45" s="76">
        <v>0</v>
      </c>
      <c r="AW45" s="1" t="s">
        <v>345</v>
      </c>
      <c r="AX45" s="78">
        <v>4</v>
      </c>
      <c r="AY45" s="78">
        <v>0</v>
      </c>
      <c r="AZ45" s="78">
        <v>1</v>
      </c>
      <c r="BA45" s="78">
        <v>0</v>
      </c>
      <c r="BB45" s="78">
        <v>0</v>
      </c>
      <c r="BC45" s="78">
        <v>2</v>
      </c>
      <c r="BD45" s="78">
        <v>0</v>
      </c>
      <c r="BE45" s="78">
        <v>0</v>
      </c>
      <c r="BF45" s="76">
        <v>1</v>
      </c>
      <c r="BG45" s="1" t="s">
        <v>400</v>
      </c>
      <c r="BH45" s="78">
        <v>4</v>
      </c>
      <c r="BI45" s="78">
        <v>0</v>
      </c>
      <c r="BJ45" s="78">
        <v>0</v>
      </c>
      <c r="BK45" s="78">
        <v>0</v>
      </c>
      <c r="BL45" s="78">
        <v>0</v>
      </c>
      <c r="BM45" s="78">
        <v>1</v>
      </c>
      <c r="BN45" s="78">
        <v>0</v>
      </c>
      <c r="BO45" s="78">
        <v>0</v>
      </c>
      <c r="BP45" s="76">
        <v>0</v>
      </c>
      <c r="BQ45" s="1" t="s">
        <v>332</v>
      </c>
      <c r="BR45" s="78">
        <v>2</v>
      </c>
      <c r="BS45" s="78">
        <v>0</v>
      </c>
      <c r="BT45" s="78">
        <v>0</v>
      </c>
      <c r="BU45" s="78">
        <v>0</v>
      </c>
      <c r="BV45" s="78">
        <v>1</v>
      </c>
      <c r="BW45" s="78">
        <v>2</v>
      </c>
      <c r="BX45" s="78">
        <v>0</v>
      </c>
      <c r="BY45" s="78">
        <v>0</v>
      </c>
      <c r="BZ45" s="76">
        <v>0</v>
      </c>
      <c r="CA45" s="1" t="s">
        <v>403</v>
      </c>
      <c r="CB45" s="78">
        <v>3</v>
      </c>
      <c r="CC45" s="78">
        <v>0</v>
      </c>
      <c r="CD45" s="78">
        <v>0</v>
      </c>
      <c r="CE45" s="78">
        <v>0</v>
      </c>
      <c r="CF45" s="78">
        <v>0</v>
      </c>
      <c r="CG45" s="78">
        <v>1</v>
      </c>
      <c r="CH45" s="78">
        <v>0</v>
      </c>
      <c r="CI45" s="78">
        <v>0</v>
      </c>
      <c r="CJ45" s="76">
        <v>0</v>
      </c>
      <c r="CK45" s="1" t="s">
        <v>402</v>
      </c>
      <c r="CL45" s="78">
        <v>3</v>
      </c>
      <c r="CM45" s="78">
        <v>0</v>
      </c>
      <c r="CN45" s="78">
        <v>1</v>
      </c>
      <c r="CO45" s="78">
        <v>0</v>
      </c>
      <c r="CP45" s="78">
        <v>0</v>
      </c>
      <c r="CQ45" s="78">
        <v>1</v>
      </c>
      <c r="CR45" s="78">
        <v>0</v>
      </c>
      <c r="CS45" s="78">
        <v>0</v>
      </c>
      <c r="CT45" s="76">
        <v>2</v>
      </c>
      <c r="CU45" s="1" t="s">
        <v>331</v>
      </c>
      <c r="CV45" s="78">
        <v>3</v>
      </c>
      <c r="CW45" s="78">
        <v>0</v>
      </c>
      <c r="CX45" s="78">
        <v>0</v>
      </c>
      <c r="CY45" s="78">
        <v>0</v>
      </c>
      <c r="CZ45" s="78">
        <v>0</v>
      </c>
      <c r="DA45" s="78">
        <v>0</v>
      </c>
      <c r="DB45" s="78">
        <v>0</v>
      </c>
      <c r="DC45" s="78">
        <v>0</v>
      </c>
      <c r="DD45" s="76">
        <v>0</v>
      </c>
      <c r="DE45" s="1" t="s">
        <v>407</v>
      </c>
      <c r="DF45" s="78">
        <v>3</v>
      </c>
      <c r="DG45" s="78">
        <v>0</v>
      </c>
      <c r="DH45" s="78">
        <v>0</v>
      </c>
      <c r="DI45" s="78">
        <v>0</v>
      </c>
      <c r="DJ45" s="78">
        <v>0</v>
      </c>
      <c r="DK45" s="78">
        <v>2</v>
      </c>
      <c r="DL45" s="78">
        <v>0</v>
      </c>
      <c r="DM45" s="78">
        <v>0</v>
      </c>
      <c r="DN45" s="76">
        <v>0</v>
      </c>
      <c r="DO45" s="1" t="s">
        <v>330</v>
      </c>
      <c r="DP45" s="78">
        <v>3</v>
      </c>
      <c r="DQ45" s="78">
        <v>0</v>
      </c>
      <c r="DR45" s="78">
        <v>0</v>
      </c>
      <c r="DS45" s="78">
        <v>0</v>
      </c>
      <c r="DT45" s="78">
        <v>0</v>
      </c>
      <c r="DU45" s="78">
        <v>0</v>
      </c>
      <c r="DV45" s="78">
        <v>0</v>
      </c>
      <c r="DW45" s="78">
        <v>0</v>
      </c>
      <c r="DX45" s="76">
        <v>0</v>
      </c>
      <c r="DY45" s="77">
        <v>0</v>
      </c>
      <c r="DZ45" s="43">
        <v>0</v>
      </c>
      <c r="EA45" s="43">
        <v>0</v>
      </c>
      <c r="EB45" s="45">
        <v>9</v>
      </c>
      <c r="EC45" s="43">
        <v>0</v>
      </c>
      <c r="ED45" s="44">
        <v>0</v>
      </c>
      <c r="EE45" s="71">
        <v>0</v>
      </c>
      <c r="EF45" s="43">
        <v>0</v>
      </c>
      <c r="EG45" s="43">
        <v>0</v>
      </c>
      <c r="EH45" s="43">
        <v>0</v>
      </c>
      <c r="EI45" s="43">
        <v>0</v>
      </c>
      <c r="EJ45" s="43">
        <v>0</v>
      </c>
      <c r="EK45" s="43">
        <v>0</v>
      </c>
      <c r="EL45" s="43">
        <v>0</v>
      </c>
      <c r="EM45" s="43">
        <v>0</v>
      </c>
      <c r="EN45" s="43"/>
      <c r="EO45" s="43"/>
      <c r="EP45" s="43"/>
      <c r="EQ45" s="44">
        <f t="shared" si="4"/>
        <v>0</v>
      </c>
      <c r="ER45" s="43">
        <v>0</v>
      </c>
      <c r="ES45" s="43">
        <v>0</v>
      </c>
      <c r="ET45" s="43">
        <v>0</v>
      </c>
      <c r="EU45" s="43">
        <v>0</v>
      </c>
      <c r="EV45" s="43">
        <v>0</v>
      </c>
      <c r="EW45" s="43">
        <v>3</v>
      </c>
      <c r="EX45" s="43">
        <v>1</v>
      </c>
      <c r="EY45" s="43">
        <v>0</v>
      </c>
      <c r="EZ45" s="43"/>
      <c r="FA45" s="43"/>
      <c r="FB45" s="43"/>
      <c r="FC45" s="43"/>
      <c r="FD45" s="43">
        <f t="shared" si="5"/>
        <v>4</v>
      </c>
      <c r="FE45" s="73">
        <f t="shared" si="6"/>
        <v>0</v>
      </c>
      <c r="FF45" s="73">
        <f t="shared" si="7"/>
        <v>0</v>
      </c>
      <c r="FG45" s="38" t="s">
        <v>353</v>
      </c>
    </row>
    <row r="46" spans="1:163" x14ac:dyDescent="0.25">
      <c r="A46" s="53">
        <v>40320</v>
      </c>
      <c r="B46" s="53" t="s">
        <v>19</v>
      </c>
      <c r="C46" s="53" t="s">
        <v>129</v>
      </c>
      <c r="D46" s="53" t="s">
        <v>350</v>
      </c>
      <c r="E46" s="54">
        <v>10405</v>
      </c>
      <c r="F46" s="58">
        <v>3</v>
      </c>
      <c r="G46" s="59" t="s">
        <v>341</v>
      </c>
      <c r="H46" s="6">
        <v>0</v>
      </c>
      <c r="I46" s="6">
        <v>0</v>
      </c>
      <c r="J46" s="60">
        <v>2</v>
      </c>
      <c r="K46" s="6">
        <v>0</v>
      </c>
      <c r="L46" s="6">
        <v>0</v>
      </c>
      <c r="M46" s="6">
        <v>0</v>
      </c>
      <c r="N46" s="6">
        <v>1</v>
      </c>
      <c r="O46" s="6">
        <v>0</v>
      </c>
      <c r="P46" s="6">
        <v>0</v>
      </c>
      <c r="Q46" s="6">
        <v>0</v>
      </c>
      <c r="R46" s="6">
        <v>7</v>
      </c>
      <c r="S46" s="6">
        <v>33</v>
      </c>
      <c r="T46" s="6">
        <v>18</v>
      </c>
      <c r="U46" s="6">
        <v>0</v>
      </c>
      <c r="V46" s="61">
        <v>0</v>
      </c>
      <c r="W46" s="62">
        <v>1</v>
      </c>
      <c r="X46" s="62">
        <v>0</v>
      </c>
      <c r="Y46" s="62">
        <v>0</v>
      </c>
      <c r="Z46" s="62">
        <v>0</v>
      </c>
      <c r="AA46" s="62">
        <v>0</v>
      </c>
      <c r="AB46" s="63">
        <v>7</v>
      </c>
      <c r="AC46" s="62">
        <v>7</v>
      </c>
      <c r="AD46" s="62">
        <v>1</v>
      </c>
      <c r="AE46" s="62">
        <v>1</v>
      </c>
      <c r="AF46" s="62">
        <v>2</v>
      </c>
      <c r="AG46" s="62">
        <v>6</v>
      </c>
      <c r="AH46" s="62">
        <v>0</v>
      </c>
      <c r="AI46" s="62">
        <v>0</v>
      </c>
      <c r="AJ46" s="62">
        <v>27</v>
      </c>
      <c r="AK46" s="62">
        <v>110</v>
      </c>
      <c r="AL46" s="62">
        <v>71</v>
      </c>
      <c r="AM46" s="1" t="s">
        <v>399</v>
      </c>
      <c r="AN46" s="78">
        <v>4</v>
      </c>
      <c r="AO46" s="78">
        <v>4</v>
      </c>
      <c r="AP46" s="78">
        <v>2</v>
      </c>
      <c r="AQ46" s="78">
        <v>0</v>
      </c>
      <c r="AR46" s="78">
        <v>1</v>
      </c>
      <c r="AS46" s="78">
        <v>0</v>
      </c>
      <c r="AT46" s="78">
        <v>0</v>
      </c>
      <c r="AU46" s="78">
        <v>0</v>
      </c>
      <c r="AV46" s="76">
        <v>3</v>
      </c>
      <c r="AW46" s="1" t="s">
        <v>345</v>
      </c>
      <c r="AX46" s="78">
        <v>5</v>
      </c>
      <c r="AY46" s="78">
        <v>3</v>
      </c>
      <c r="AZ46" s="78">
        <v>3</v>
      </c>
      <c r="BA46" s="78">
        <v>1</v>
      </c>
      <c r="BB46" s="78">
        <v>0</v>
      </c>
      <c r="BC46" s="78">
        <v>0</v>
      </c>
      <c r="BD46" s="78">
        <v>0</v>
      </c>
      <c r="BE46" s="78">
        <v>0</v>
      </c>
      <c r="BF46" s="76">
        <v>4</v>
      </c>
      <c r="BG46" s="1" t="s">
        <v>400</v>
      </c>
      <c r="BH46" s="78">
        <v>3</v>
      </c>
      <c r="BI46" s="78">
        <v>4</v>
      </c>
      <c r="BJ46" s="78">
        <v>2</v>
      </c>
      <c r="BK46" s="78">
        <v>0</v>
      </c>
      <c r="BL46" s="78">
        <v>0</v>
      </c>
      <c r="BM46" s="78">
        <v>0</v>
      </c>
      <c r="BN46" s="78">
        <v>2</v>
      </c>
      <c r="BO46" s="78">
        <v>0</v>
      </c>
      <c r="BP46" s="76">
        <v>3</v>
      </c>
      <c r="BQ46" s="1" t="s">
        <v>332</v>
      </c>
      <c r="BR46" s="78">
        <v>4</v>
      </c>
      <c r="BS46" s="78">
        <v>3</v>
      </c>
      <c r="BT46" s="78">
        <v>3</v>
      </c>
      <c r="BU46" s="78">
        <v>8</v>
      </c>
      <c r="BV46" s="78">
        <v>0</v>
      </c>
      <c r="BW46" s="78">
        <v>1</v>
      </c>
      <c r="BX46" s="78">
        <v>0</v>
      </c>
      <c r="BY46" s="78">
        <v>1</v>
      </c>
      <c r="BZ46" s="76">
        <v>9</v>
      </c>
      <c r="CA46" s="1" t="s">
        <v>403</v>
      </c>
      <c r="CB46" s="78">
        <v>4</v>
      </c>
      <c r="CC46" s="78">
        <v>3</v>
      </c>
      <c r="CD46" s="78">
        <v>3</v>
      </c>
      <c r="CE46" s="78">
        <v>3</v>
      </c>
      <c r="CF46" s="78">
        <v>1</v>
      </c>
      <c r="CG46" s="78">
        <v>0</v>
      </c>
      <c r="CH46" s="78">
        <v>0</v>
      </c>
      <c r="CI46" s="78">
        <v>0</v>
      </c>
      <c r="CJ46" s="76">
        <v>5</v>
      </c>
      <c r="CK46" s="1" t="s">
        <v>405</v>
      </c>
      <c r="CL46" s="78">
        <v>5</v>
      </c>
      <c r="CM46" s="78">
        <v>0</v>
      </c>
      <c r="CN46" s="78">
        <v>2</v>
      </c>
      <c r="CO46" s="78">
        <v>0</v>
      </c>
      <c r="CP46" s="78">
        <v>0</v>
      </c>
      <c r="CQ46" s="78">
        <v>2</v>
      </c>
      <c r="CR46" s="78">
        <v>0</v>
      </c>
      <c r="CS46" s="78">
        <v>0</v>
      </c>
      <c r="CT46" s="76">
        <v>2</v>
      </c>
      <c r="CU46" s="1" t="s">
        <v>331</v>
      </c>
      <c r="CV46" s="78">
        <v>4</v>
      </c>
      <c r="CW46" s="78">
        <v>0</v>
      </c>
      <c r="CX46" s="78">
        <v>0</v>
      </c>
      <c r="CY46" s="78">
        <v>2</v>
      </c>
      <c r="CZ46" s="78">
        <v>0</v>
      </c>
      <c r="DA46" s="78">
        <v>1</v>
      </c>
      <c r="DB46" s="78">
        <v>0</v>
      </c>
      <c r="DC46" s="78">
        <v>1</v>
      </c>
      <c r="DD46" s="76">
        <v>0</v>
      </c>
      <c r="DE46" s="1" t="s">
        <v>336</v>
      </c>
      <c r="DF46" s="78">
        <v>4</v>
      </c>
      <c r="DG46" s="78">
        <v>0</v>
      </c>
      <c r="DH46" s="78">
        <v>0</v>
      </c>
      <c r="DI46" s="78">
        <v>1</v>
      </c>
      <c r="DJ46" s="78">
        <v>0</v>
      </c>
      <c r="DK46" s="78">
        <v>3</v>
      </c>
      <c r="DL46" s="78">
        <v>0</v>
      </c>
      <c r="DM46" s="78">
        <v>1</v>
      </c>
      <c r="DN46" s="76">
        <v>0</v>
      </c>
      <c r="DO46" s="1" t="s">
        <v>330</v>
      </c>
      <c r="DP46" s="78">
        <v>5</v>
      </c>
      <c r="DQ46" s="78">
        <v>1</v>
      </c>
      <c r="DR46" s="78">
        <v>2</v>
      </c>
      <c r="DS46" s="78">
        <v>0</v>
      </c>
      <c r="DT46" s="78">
        <v>0</v>
      </c>
      <c r="DU46" s="78">
        <v>1</v>
      </c>
      <c r="DV46" s="78">
        <v>0</v>
      </c>
      <c r="DW46" s="78">
        <v>0</v>
      </c>
      <c r="DX46" s="76">
        <v>2</v>
      </c>
      <c r="DY46" s="77">
        <v>0</v>
      </c>
      <c r="DZ46" s="43">
        <v>0</v>
      </c>
      <c r="EA46" s="43">
        <v>0</v>
      </c>
      <c r="EB46" s="45">
        <v>8</v>
      </c>
      <c r="EC46" s="43">
        <v>4</v>
      </c>
      <c r="ED46" s="44">
        <v>0</v>
      </c>
      <c r="EE46" s="71">
        <v>4</v>
      </c>
      <c r="EF46" s="43">
        <v>6</v>
      </c>
      <c r="EG46" s="43">
        <v>4</v>
      </c>
      <c r="EH46" s="43">
        <v>0</v>
      </c>
      <c r="EI46" s="43">
        <v>2</v>
      </c>
      <c r="EJ46" s="43">
        <v>0</v>
      </c>
      <c r="EK46" s="43">
        <v>1</v>
      </c>
      <c r="EL46" s="43">
        <v>1</v>
      </c>
      <c r="EM46" s="43"/>
      <c r="EN46" s="43"/>
      <c r="EO46" s="43"/>
      <c r="EP46" s="43"/>
      <c r="EQ46" s="44">
        <f t="shared" si="4"/>
        <v>18</v>
      </c>
      <c r="ER46" s="43">
        <v>0</v>
      </c>
      <c r="ES46" s="43">
        <v>0</v>
      </c>
      <c r="ET46" s="43">
        <v>0</v>
      </c>
      <c r="EU46" s="43">
        <v>1</v>
      </c>
      <c r="EV46" s="43">
        <v>0</v>
      </c>
      <c r="EW46" s="43">
        <v>0</v>
      </c>
      <c r="EX46" s="43">
        <v>0</v>
      </c>
      <c r="EY46" s="43">
        <v>0</v>
      </c>
      <c r="EZ46" s="43">
        <v>0</v>
      </c>
      <c r="FA46" s="43"/>
      <c r="FB46" s="43"/>
      <c r="FC46" s="43"/>
      <c r="FD46" s="43">
        <f t="shared" si="5"/>
        <v>1</v>
      </c>
      <c r="FE46" s="73">
        <f t="shared" si="6"/>
        <v>0</v>
      </c>
      <c r="FF46" s="73">
        <f t="shared" si="7"/>
        <v>0</v>
      </c>
      <c r="FG46" s="38" t="s">
        <v>352</v>
      </c>
    </row>
    <row r="47" spans="1:163" x14ac:dyDescent="0.25">
      <c r="A47" s="53">
        <v>40321</v>
      </c>
      <c r="B47" s="53" t="s">
        <v>19</v>
      </c>
      <c r="C47" s="53" t="s">
        <v>131</v>
      </c>
      <c r="D47" s="53" t="s">
        <v>350</v>
      </c>
      <c r="E47" s="54">
        <v>8103</v>
      </c>
      <c r="F47" s="58">
        <v>5</v>
      </c>
      <c r="G47" s="59" t="s">
        <v>339</v>
      </c>
      <c r="H47" s="6">
        <v>0</v>
      </c>
      <c r="I47" s="6">
        <v>0</v>
      </c>
      <c r="J47" s="60">
        <v>2</v>
      </c>
      <c r="K47" s="6">
        <v>1</v>
      </c>
      <c r="L47" s="6">
        <v>0</v>
      </c>
      <c r="M47" s="6">
        <v>0</v>
      </c>
      <c r="N47" s="6">
        <v>1</v>
      </c>
      <c r="O47" s="6">
        <v>4</v>
      </c>
      <c r="P47" s="6">
        <v>0</v>
      </c>
      <c r="Q47" s="6">
        <v>0</v>
      </c>
      <c r="R47" s="6">
        <v>7</v>
      </c>
      <c r="S47" s="6">
        <v>32</v>
      </c>
      <c r="T47" s="6">
        <v>20</v>
      </c>
      <c r="U47" s="6">
        <v>0</v>
      </c>
      <c r="V47" s="61">
        <v>0</v>
      </c>
      <c r="W47" s="62">
        <v>0</v>
      </c>
      <c r="X47" s="62">
        <v>1</v>
      </c>
      <c r="Y47" s="62">
        <v>0</v>
      </c>
      <c r="Z47" s="62">
        <v>0</v>
      </c>
      <c r="AA47" s="62">
        <v>0</v>
      </c>
      <c r="AB47" s="63">
        <v>5</v>
      </c>
      <c r="AC47" s="62">
        <v>2</v>
      </c>
      <c r="AD47" s="62">
        <v>1</v>
      </c>
      <c r="AE47" s="62">
        <v>1</v>
      </c>
      <c r="AF47" s="62">
        <v>0</v>
      </c>
      <c r="AG47" s="62">
        <v>5</v>
      </c>
      <c r="AH47" s="62">
        <v>1</v>
      </c>
      <c r="AI47" s="62">
        <v>0</v>
      </c>
      <c r="AJ47" s="62">
        <v>17</v>
      </c>
      <c r="AK47" s="62">
        <v>77</v>
      </c>
      <c r="AL47" s="62">
        <v>53</v>
      </c>
      <c r="AM47" s="1" t="s">
        <v>330</v>
      </c>
      <c r="AN47" s="78">
        <v>3</v>
      </c>
      <c r="AO47" s="78">
        <v>0</v>
      </c>
      <c r="AP47" s="78">
        <v>0</v>
      </c>
      <c r="AQ47" s="78">
        <v>0</v>
      </c>
      <c r="AR47" s="78">
        <v>0</v>
      </c>
      <c r="AS47" s="78">
        <v>2</v>
      </c>
      <c r="AT47" s="78">
        <v>0</v>
      </c>
      <c r="AU47" s="78">
        <v>0</v>
      </c>
      <c r="AV47" s="76">
        <v>0</v>
      </c>
      <c r="AW47" s="1" t="s">
        <v>345</v>
      </c>
      <c r="AX47" s="78">
        <v>3</v>
      </c>
      <c r="AY47" s="78">
        <v>0</v>
      </c>
      <c r="AZ47" s="78">
        <v>0</v>
      </c>
      <c r="BA47" s="78">
        <v>0</v>
      </c>
      <c r="BB47" s="78">
        <v>0</v>
      </c>
      <c r="BC47" s="78">
        <v>1</v>
      </c>
      <c r="BD47" s="78">
        <v>0</v>
      </c>
      <c r="BE47" s="78">
        <v>0</v>
      </c>
      <c r="BF47" s="76">
        <v>0</v>
      </c>
      <c r="BG47" s="1" t="s">
        <v>400</v>
      </c>
      <c r="BH47" s="78">
        <v>3</v>
      </c>
      <c r="BI47" s="78">
        <v>0</v>
      </c>
      <c r="BJ47" s="78">
        <v>0</v>
      </c>
      <c r="BK47" s="78">
        <v>0</v>
      </c>
      <c r="BL47" s="78">
        <v>0</v>
      </c>
      <c r="BM47" s="78">
        <v>1</v>
      </c>
      <c r="BN47" s="78">
        <v>0</v>
      </c>
      <c r="BO47" s="78">
        <v>0</v>
      </c>
      <c r="BP47" s="76">
        <v>0</v>
      </c>
      <c r="BQ47" s="1" t="s">
        <v>332</v>
      </c>
      <c r="BR47" s="78">
        <v>2</v>
      </c>
      <c r="BS47" s="78">
        <v>0</v>
      </c>
      <c r="BT47" s="78">
        <v>1</v>
      </c>
      <c r="BU47" s="78">
        <v>0</v>
      </c>
      <c r="BV47" s="78">
        <v>1</v>
      </c>
      <c r="BW47" s="78">
        <v>0</v>
      </c>
      <c r="BX47" s="78">
        <v>0</v>
      </c>
      <c r="BY47" s="78">
        <v>0</v>
      </c>
      <c r="BZ47" s="76">
        <v>1</v>
      </c>
      <c r="CA47" s="1" t="s">
        <v>403</v>
      </c>
      <c r="CB47" s="78">
        <v>2</v>
      </c>
      <c r="CC47" s="78">
        <v>0</v>
      </c>
      <c r="CD47" s="78">
        <v>0</v>
      </c>
      <c r="CE47" s="78">
        <v>0</v>
      </c>
      <c r="CF47" s="78">
        <v>1</v>
      </c>
      <c r="CG47" s="78">
        <v>1</v>
      </c>
      <c r="CH47" s="78">
        <v>0</v>
      </c>
      <c r="CI47" s="78">
        <v>0</v>
      </c>
      <c r="CJ47" s="76">
        <v>0</v>
      </c>
      <c r="CK47" s="1" t="s">
        <v>344</v>
      </c>
      <c r="CL47" s="78">
        <v>2</v>
      </c>
      <c r="CM47" s="78">
        <v>0</v>
      </c>
      <c r="CN47" s="78">
        <v>0</v>
      </c>
      <c r="CO47" s="78">
        <v>0</v>
      </c>
      <c r="CP47" s="78">
        <v>1</v>
      </c>
      <c r="CQ47" s="78">
        <v>0</v>
      </c>
      <c r="CR47" s="78">
        <v>0</v>
      </c>
      <c r="CS47" s="78">
        <v>0</v>
      </c>
      <c r="CT47" s="76">
        <v>0</v>
      </c>
      <c r="CU47" s="1" t="s">
        <v>331</v>
      </c>
      <c r="CV47" s="78">
        <v>2</v>
      </c>
      <c r="CW47" s="78">
        <v>0</v>
      </c>
      <c r="CX47" s="78">
        <v>1</v>
      </c>
      <c r="CY47" s="78">
        <v>0</v>
      </c>
      <c r="CZ47" s="78">
        <v>1</v>
      </c>
      <c r="DA47" s="78">
        <v>0</v>
      </c>
      <c r="DB47" s="78">
        <v>0</v>
      </c>
      <c r="DC47" s="78">
        <v>0</v>
      </c>
      <c r="DD47" s="76">
        <v>1</v>
      </c>
      <c r="DE47" s="1" t="s">
        <v>407</v>
      </c>
      <c r="DF47" s="78">
        <v>3</v>
      </c>
      <c r="DG47" s="78">
        <v>0</v>
      </c>
      <c r="DH47" s="78">
        <v>0</v>
      </c>
      <c r="DI47" s="78">
        <v>0</v>
      </c>
      <c r="DJ47" s="78">
        <v>0</v>
      </c>
      <c r="DK47" s="78">
        <v>2</v>
      </c>
      <c r="DL47" s="78">
        <v>0</v>
      </c>
      <c r="DM47" s="78">
        <v>0</v>
      </c>
      <c r="DN47" s="76">
        <v>0</v>
      </c>
      <c r="DO47" s="1" t="s">
        <v>402</v>
      </c>
      <c r="DP47" s="78">
        <v>2</v>
      </c>
      <c r="DQ47" s="78">
        <v>0</v>
      </c>
      <c r="DR47" s="78">
        <v>0</v>
      </c>
      <c r="DS47" s="78">
        <v>0</v>
      </c>
      <c r="DT47" s="78">
        <v>0</v>
      </c>
      <c r="DU47" s="78">
        <v>0</v>
      </c>
      <c r="DV47" s="78">
        <v>0</v>
      </c>
      <c r="DW47" s="78">
        <v>0</v>
      </c>
      <c r="DX47" s="76">
        <v>0</v>
      </c>
      <c r="DY47" s="77">
        <v>1</v>
      </c>
      <c r="DZ47" s="43">
        <v>0</v>
      </c>
      <c r="EA47" s="43">
        <v>0</v>
      </c>
      <c r="EB47" s="45">
        <v>6</v>
      </c>
      <c r="EC47" s="43">
        <v>2</v>
      </c>
      <c r="ED47" s="44">
        <v>0</v>
      </c>
      <c r="EE47" s="71">
        <v>0</v>
      </c>
      <c r="EF47" s="43">
        <v>0</v>
      </c>
      <c r="EG47" s="43">
        <v>0</v>
      </c>
      <c r="EH47" s="43">
        <v>0</v>
      </c>
      <c r="EI47" s="43">
        <v>0</v>
      </c>
      <c r="EJ47" s="43">
        <v>0</v>
      </c>
      <c r="EK47" s="43">
        <v>0</v>
      </c>
      <c r="EL47" s="43"/>
      <c r="EM47" s="43"/>
      <c r="EN47" s="43"/>
      <c r="EO47" s="43"/>
      <c r="EP47" s="43"/>
      <c r="EQ47" s="44">
        <f t="shared" si="4"/>
        <v>0</v>
      </c>
      <c r="ER47" s="43">
        <v>0</v>
      </c>
      <c r="ES47" s="43">
        <v>0</v>
      </c>
      <c r="ET47" s="43">
        <v>0</v>
      </c>
      <c r="EU47" s="43">
        <v>0</v>
      </c>
      <c r="EV47" s="43">
        <v>1</v>
      </c>
      <c r="EW47" s="43">
        <v>0</v>
      </c>
      <c r="EX47" s="43">
        <v>0</v>
      </c>
      <c r="EY47" s="43"/>
      <c r="EZ47" s="43"/>
      <c r="FA47" s="43"/>
      <c r="FB47" s="43"/>
      <c r="FC47" s="43"/>
      <c r="FD47" s="43">
        <f t="shared" si="5"/>
        <v>1</v>
      </c>
      <c r="FE47" s="73">
        <f t="shared" si="6"/>
        <v>0</v>
      </c>
      <c r="FF47" s="73">
        <f t="shared" si="7"/>
        <v>0</v>
      </c>
      <c r="FG47" s="38" t="s">
        <v>351</v>
      </c>
    </row>
    <row r="48" spans="1:163" x14ac:dyDescent="0.25">
      <c r="A48" s="53">
        <v>40322</v>
      </c>
      <c r="B48" s="53" t="s">
        <v>19</v>
      </c>
      <c r="C48" s="53" t="s">
        <v>129</v>
      </c>
      <c r="D48" s="53" t="s">
        <v>350</v>
      </c>
      <c r="E48" s="54">
        <v>3404</v>
      </c>
      <c r="F48" s="58">
        <v>1</v>
      </c>
      <c r="G48" s="59" t="s">
        <v>397</v>
      </c>
      <c r="H48" s="6">
        <v>1</v>
      </c>
      <c r="I48" s="6">
        <v>0</v>
      </c>
      <c r="J48" s="60">
        <v>8</v>
      </c>
      <c r="K48" s="6">
        <v>1</v>
      </c>
      <c r="L48" s="6">
        <v>0</v>
      </c>
      <c r="M48" s="6">
        <v>0</v>
      </c>
      <c r="N48" s="6">
        <v>1</v>
      </c>
      <c r="O48" s="6">
        <v>5</v>
      </c>
      <c r="P48" s="6">
        <v>0</v>
      </c>
      <c r="Q48" s="6">
        <v>0</v>
      </c>
      <c r="R48" s="6">
        <v>26</v>
      </c>
      <c r="S48" s="6">
        <v>96</v>
      </c>
      <c r="T48" s="6">
        <v>63</v>
      </c>
      <c r="U48" s="6">
        <v>0</v>
      </c>
      <c r="V48" s="61">
        <v>0</v>
      </c>
      <c r="W48" s="62">
        <v>0</v>
      </c>
      <c r="X48" s="62">
        <v>0</v>
      </c>
      <c r="Y48" s="62">
        <v>0</v>
      </c>
      <c r="Z48" s="62">
        <v>1</v>
      </c>
      <c r="AA48" s="62">
        <v>0</v>
      </c>
      <c r="AB48" s="63">
        <v>1</v>
      </c>
      <c r="AC48" s="62">
        <v>0</v>
      </c>
      <c r="AD48" s="62">
        <v>0</v>
      </c>
      <c r="AE48" s="62">
        <v>0</v>
      </c>
      <c r="AF48" s="62">
        <v>0</v>
      </c>
      <c r="AG48" s="62">
        <v>3</v>
      </c>
      <c r="AH48" s="62">
        <v>0</v>
      </c>
      <c r="AI48" s="62">
        <v>0</v>
      </c>
      <c r="AJ48" s="62">
        <v>3</v>
      </c>
      <c r="AK48" s="62">
        <v>17</v>
      </c>
      <c r="AL48" s="62">
        <v>9</v>
      </c>
      <c r="AM48" s="1" t="s">
        <v>399</v>
      </c>
      <c r="AN48" s="78">
        <v>3</v>
      </c>
      <c r="AO48" s="78">
        <v>0</v>
      </c>
      <c r="AP48" s="78">
        <v>0</v>
      </c>
      <c r="AQ48" s="78">
        <v>0</v>
      </c>
      <c r="AR48" s="78">
        <v>0</v>
      </c>
      <c r="AS48" s="78">
        <v>0</v>
      </c>
      <c r="AT48" s="78">
        <v>0</v>
      </c>
      <c r="AU48" s="78">
        <v>0</v>
      </c>
      <c r="AV48" s="76">
        <v>0</v>
      </c>
      <c r="AW48" s="1" t="s">
        <v>345</v>
      </c>
      <c r="AX48" s="78">
        <v>3</v>
      </c>
      <c r="AY48" s="78">
        <v>0</v>
      </c>
      <c r="AZ48" s="78">
        <v>2</v>
      </c>
      <c r="BA48" s="78">
        <v>0</v>
      </c>
      <c r="BB48" s="78">
        <v>0</v>
      </c>
      <c r="BC48" s="78">
        <v>0</v>
      </c>
      <c r="BD48" s="78">
        <v>0</v>
      </c>
      <c r="BE48" s="78">
        <v>0</v>
      </c>
      <c r="BF48" s="76">
        <v>3</v>
      </c>
      <c r="BG48" s="1" t="s">
        <v>400</v>
      </c>
      <c r="BH48" s="78">
        <v>3</v>
      </c>
      <c r="BI48" s="78">
        <v>0</v>
      </c>
      <c r="BJ48" s="78">
        <v>0</v>
      </c>
      <c r="BK48" s="78">
        <v>0</v>
      </c>
      <c r="BL48" s="78">
        <v>0</v>
      </c>
      <c r="BM48" s="78">
        <v>3</v>
      </c>
      <c r="BN48" s="78">
        <v>0</v>
      </c>
      <c r="BO48" s="78">
        <v>0</v>
      </c>
      <c r="BP48" s="76">
        <v>0</v>
      </c>
      <c r="BQ48" s="1" t="s">
        <v>332</v>
      </c>
      <c r="BR48" s="78">
        <v>2</v>
      </c>
      <c r="BS48" s="78">
        <v>0</v>
      </c>
      <c r="BT48" s="78">
        <v>0</v>
      </c>
      <c r="BU48" s="78">
        <v>0</v>
      </c>
      <c r="BV48" s="78">
        <v>1</v>
      </c>
      <c r="BW48" s="78">
        <v>1</v>
      </c>
      <c r="BX48" s="78">
        <v>0</v>
      </c>
      <c r="BY48" s="78">
        <v>0</v>
      </c>
      <c r="BZ48" s="76">
        <v>0</v>
      </c>
      <c r="CA48" s="1" t="s">
        <v>403</v>
      </c>
      <c r="CB48" s="78">
        <v>3</v>
      </c>
      <c r="CC48" s="78">
        <v>0</v>
      </c>
      <c r="CD48" s="78">
        <v>0</v>
      </c>
      <c r="CE48" s="78">
        <v>0</v>
      </c>
      <c r="CF48" s="78">
        <v>0</v>
      </c>
      <c r="CG48" s="78">
        <v>1</v>
      </c>
      <c r="CH48" s="78">
        <v>0</v>
      </c>
      <c r="CI48" s="78">
        <v>0</v>
      </c>
      <c r="CJ48" s="76">
        <v>0</v>
      </c>
      <c r="CK48" s="1" t="s">
        <v>344</v>
      </c>
      <c r="CL48" s="78">
        <v>3</v>
      </c>
      <c r="CM48" s="78">
        <v>1</v>
      </c>
      <c r="CN48" s="78">
        <v>1</v>
      </c>
      <c r="CO48" s="78">
        <v>1</v>
      </c>
      <c r="CP48" s="78">
        <v>0</v>
      </c>
      <c r="CQ48" s="78">
        <v>0</v>
      </c>
      <c r="CR48" s="78">
        <v>0</v>
      </c>
      <c r="CS48" s="78">
        <v>0</v>
      </c>
      <c r="CT48" s="76">
        <v>4</v>
      </c>
      <c r="CU48" s="1" t="s">
        <v>331</v>
      </c>
      <c r="CV48" s="78">
        <v>2</v>
      </c>
      <c r="CW48" s="78">
        <v>0</v>
      </c>
      <c r="CX48" s="78">
        <v>0</v>
      </c>
      <c r="CY48" s="78">
        <v>0</v>
      </c>
      <c r="CZ48" s="78">
        <v>1</v>
      </c>
      <c r="DA48" s="78">
        <v>0</v>
      </c>
      <c r="DB48" s="78">
        <v>0</v>
      </c>
      <c r="DC48" s="78">
        <v>0</v>
      </c>
      <c r="DD48" s="76">
        <v>0</v>
      </c>
      <c r="DE48" s="1" t="s">
        <v>407</v>
      </c>
      <c r="DF48" s="78">
        <v>3</v>
      </c>
      <c r="DG48" s="78">
        <v>0</v>
      </c>
      <c r="DH48" s="78">
        <v>0</v>
      </c>
      <c r="DI48" s="78">
        <v>0</v>
      </c>
      <c r="DJ48" s="78">
        <v>0</v>
      </c>
      <c r="DK48" s="78">
        <v>1</v>
      </c>
      <c r="DL48" s="78">
        <v>0</v>
      </c>
      <c r="DM48" s="78">
        <v>0</v>
      </c>
      <c r="DN48" s="76">
        <v>0</v>
      </c>
      <c r="DO48" s="1" t="s">
        <v>330</v>
      </c>
      <c r="DP48" s="78">
        <v>3</v>
      </c>
      <c r="DQ48" s="78">
        <v>0</v>
      </c>
      <c r="DR48" s="78">
        <v>0</v>
      </c>
      <c r="DS48" s="78">
        <v>0</v>
      </c>
      <c r="DT48" s="78">
        <v>0</v>
      </c>
      <c r="DU48" s="78">
        <v>1</v>
      </c>
      <c r="DV48" s="78">
        <v>0</v>
      </c>
      <c r="DW48" s="78">
        <v>0</v>
      </c>
      <c r="DX48" s="76">
        <v>0</v>
      </c>
      <c r="DY48" s="77">
        <v>8</v>
      </c>
      <c r="DZ48" s="43">
        <v>0</v>
      </c>
      <c r="EA48" s="43">
        <v>1</v>
      </c>
      <c r="EB48" s="45">
        <v>0</v>
      </c>
      <c r="EC48" s="43">
        <v>0</v>
      </c>
      <c r="ED48" s="44">
        <v>0</v>
      </c>
      <c r="EE48" s="71">
        <v>0</v>
      </c>
      <c r="EF48" s="43">
        <v>1</v>
      </c>
      <c r="EG48" s="43">
        <v>0</v>
      </c>
      <c r="EH48" s="43">
        <v>0</v>
      </c>
      <c r="EI48" s="43">
        <v>0</v>
      </c>
      <c r="EJ48" s="43">
        <v>0</v>
      </c>
      <c r="EK48" s="43">
        <v>0</v>
      </c>
      <c r="EL48" s="43">
        <v>0</v>
      </c>
      <c r="EM48" s="43"/>
      <c r="EN48" s="43"/>
      <c r="EO48" s="43"/>
      <c r="EP48" s="43"/>
      <c r="EQ48" s="44">
        <f t="shared" si="4"/>
        <v>1</v>
      </c>
      <c r="ER48" s="43">
        <v>0</v>
      </c>
      <c r="ES48" s="43">
        <v>0</v>
      </c>
      <c r="ET48" s="43">
        <v>0</v>
      </c>
      <c r="EU48" s="43">
        <v>0</v>
      </c>
      <c r="EV48" s="43">
        <v>0</v>
      </c>
      <c r="EW48" s="43">
        <v>0</v>
      </c>
      <c r="EX48" s="43">
        <v>0</v>
      </c>
      <c r="EY48" s="43">
        <v>0</v>
      </c>
      <c r="EZ48" s="43">
        <v>0</v>
      </c>
      <c r="FA48" s="43"/>
      <c r="FB48" s="43"/>
      <c r="FC48" s="43"/>
      <c r="FD48" s="43">
        <f t="shared" si="5"/>
        <v>0</v>
      </c>
      <c r="FE48" s="73">
        <f t="shared" si="6"/>
        <v>0</v>
      </c>
      <c r="FF48" s="73">
        <f t="shared" si="7"/>
        <v>0</v>
      </c>
      <c r="FG48" s="38"/>
    </row>
    <row r="49" spans="1:163" x14ac:dyDescent="0.25">
      <c r="A49" s="53">
        <v>40323</v>
      </c>
      <c r="B49" s="53" t="s">
        <v>19</v>
      </c>
      <c r="C49" s="53" t="s">
        <v>129</v>
      </c>
      <c r="D49" s="53" t="s">
        <v>350</v>
      </c>
      <c r="E49" s="54">
        <v>4185</v>
      </c>
      <c r="F49" s="58">
        <v>2</v>
      </c>
      <c r="G49" s="59" t="s">
        <v>337</v>
      </c>
      <c r="H49" s="6">
        <v>0</v>
      </c>
      <c r="I49" s="6">
        <v>0</v>
      </c>
      <c r="J49" s="60">
        <v>5</v>
      </c>
      <c r="K49" s="6">
        <v>4</v>
      </c>
      <c r="L49" s="6">
        <v>2</v>
      </c>
      <c r="M49" s="6">
        <v>2</v>
      </c>
      <c r="N49" s="6">
        <v>2</v>
      </c>
      <c r="O49" s="6">
        <v>3</v>
      </c>
      <c r="P49" s="6">
        <v>1</v>
      </c>
      <c r="Q49" s="6">
        <v>0</v>
      </c>
      <c r="R49" s="6">
        <v>20</v>
      </c>
      <c r="S49" s="6">
        <v>82</v>
      </c>
      <c r="T49" s="6">
        <v>49</v>
      </c>
      <c r="U49" s="6">
        <v>0</v>
      </c>
      <c r="V49" s="61">
        <v>0</v>
      </c>
      <c r="W49" s="62">
        <v>1</v>
      </c>
      <c r="X49" s="62">
        <v>0</v>
      </c>
      <c r="Y49" s="62">
        <v>0</v>
      </c>
      <c r="Z49" s="62">
        <v>1</v>
      </c>
      <c r="AA49" s="62">
        <v>0</v>
      </c>
      <c r="AB49" s="63">
        <v>4</v>
      </c>
      <c r="AC49" s="62">
        <v>3</v>
      </c>
      <c r="AD49" s="62">
        <v>3</v>
      </c>
      <c r="AE49" s="62">
        <v>3</v>
      </c>
      <c r="AF49" s="62">
        <v>4</v>
      </c>
      <c r="AG49" s="62">
        <v>4</v>
      </c>
      <c r="AH49" s="62">
        <v>0</v>
      </c>
      <c r="AI49" s="62">
        <v>0</v>
      </c>
      <c r="AJ49" s="62">
        <v>19</v>
      </c>
      <c r="AK49" s="62">
        <v>75</v>
      </c>
      <c r="AL49" s="62">
        <v>47</v>
      </c>
      <c r="AM49" s="1" t="s">
        <v>399</v>
      </c>
      <c r="AN49" s="78">
        <v>5</v>
      </c>
      <c r="AO49" s="78">
        <v>0</v>
      </c>
      <c r="AP49" s="78">
        <v>1</v>
      </c>
      <c r="AQ49" s="78">
        <v>1</v>
      </c>
      <c r="AR49" s="78">
        <v>0</v>
      </c>
      <c r="AS49" s="78">
        <v>1</v>
      </c>
      <c r="AT49" s="78">
        <v>0</v>
      </c>
      <c r="AU49" s="78">
        <v>0</v>
      </c>
      <c r="AV49" s="76">
        <v>1</v>
      </c>
      <c r="AW49" s="1" t="s">
        <v>345</v>
      </c>
      <c r="AX49" s="78">
        <v>3</v>
      </c>
      <c r="AY49" s="78">
        <v>1</v>
      </c>
      <c r="AZ49" s="78">
        <v>1</v>
      </c>
      <c r="BA49" s="78">
        <v>0</v>
      </c>
      <c r="BB49" s="78">
        <v>1</v>
      </c>
      <c r="BC49" s="78">
        <v>1</v>
      </c>
      <c r="BD49" s="78">
        <v>1</v>
      </c>
      <c r="BE49" s="78">
        <v>0</v>
      </c>
      <c r="BF49" s="76">
        <v>3</v>
      </c>
      <c r="BG49" s="1" t="s">
        <v>400</v>
      </c>
      <c r="BH49" s="78">
        <v>4</v>
      </c>
      <c r="BI49" s="78">
        <v>0</v>
      </c>
      <c r="BJ49" s="78">
        <v>1</v>
      </c>
      <c r="BK49" s="78">
        <v>0</v>
      </c>
      <c r="BL49" s="78">
        <v>1</v>
      </c>
      <c r="BM49" s="78">
        <v>2</v>
      </c>
      <c r="BN49" s="78">
        <v>0</v>
      </c>
      <c r="BO49" s="78">
        <v>0</v>
      </c>
      <c r="BP49" s="76">
        <v>1</v>
      </c>
      <c r="BQ49" s="1" t="s">
        <v>332</v>
      </c>
      <c r="BR49" s="78">
        <v>4</v>
      </c>
      <c r="BS49" s="78">
        <v>3</v>
      </c>
      <c r="BT49" s="78">
        <v>2</v>
      </c>
      <c r="BU49" s="78">
        <v>2</v>
      </c>
      <c r="BV49" s="78">
        <v>1</v>
      </c>
      <c r="BW49" s="78">
        <v>1</v>
      </c>
      <c r="BX49" s="78">
        <v>0</v>
      </c>
      <c r="BY49" s="78">
        <v>0</v>
      </c>
      <c r="BZ49" s="76">
        <v>6</v>
      </c>
      <c r="CA49" s="1" t="s">
        <v>403</v>
      </c>
      <c r="CB49" s="78">
        <v>4</v>
      </c>
      <c r="CC49" s="78">
        <v>2</v>
      </c>
      <c r="CD49" s="78">
        <v>4</v>
      </c>
      <c r="CE49" s="78">
        <v>1</v>
      </c>
      <c r="CF49" s="78">
        <v>0</v>
      </c>
      <c r="CG49" s="78">
        <v>0</v>
      </c>
      <c r="CH49" s="78">
        <v>0</v>
      </c>
      <c r="CI49" s="78">
        <v>0</v>
      </c>
      <c r="CJ49" s="76">
        <v>7</v>
      </c>
      <c r="CK49" s="1" t="s">
        <v>405</v>
      </c>
      <c r="CL49" s="78">
        <v>3</v>
      </c>
      <c r="CM49" s="78">
        <v>1</v>
      </c>
      <c r="CN49" s="78">
        <v>0</v>
      </c>
      <c r="CO49" s="78">
        <v>0</v>
      </c>
      <c r="CP49" s="78">
        <v>1</v>
      </c>
      <c r="CQ49" s="78">
        <v>0</v>
      </c>
      <c r="CR49" s="78">
        <v>0</v>
      </c>
      <c r="CS49" s="78">
        <v>0</v>
      </c>
      <c r="CT49" s="76">
        <v>0</v>
      </c>
      <c r="CU49" s="1" t="s">
        <v>344</v>
      </c>
      <c r="CV49" s="78">
        <v>3</v>
      </c>
      <c r="CW49" s="78">
        <v>1</v>
      </c>
      <c r="CX49" s="78">
        <v>1</v>
      </c>
      <c r="CY49" s="78">
        <v>2</v>
      </c>
      <c r="CZ49" s="78">
        <v>1</v>
      </c>
      <c r="DA49" s="78">
        <v>0</v>
      </c>
      <c r="DB49" s="78">
        <v>0</v>
      </c>
      <c r="DC49" s="78">
        <v>0</v>
      </c>
      <c r="DD49" s="76">
        <v>2</v>
      </c>
      <c r="DE49" s="1" t="s">
        <v>331</v>
      </c>
      <c r="DF49" s="78">
        <v>4</v>
      </c>
      <c r="DG49" s="78">
        <v>0</v>
      </c>
      <c r="DH49" s="78">
        <v>1</v>
      </c>
      <c r="DI49" s="78">
        <v>1</v>
      </c>
      <c r="DJ49" s="78">
        <v>0</v>
      </c>
      <c r="DK49" s="78">
        <v>0</v>
      </c>
      <c r="DL49" s="78">
        <v>0</v>
      </c>
      <c r="DM49" s="78">
        <v>0</v>
      </c>
      <c r="DN49" s="76">
        <v>1</v>
      </c>
      <c r="DO49" s="1" t="s">
        <v>407</v>
      </c>
      <c r="DP49" s="78">
        <v>4</v>
      </c>
      <c r="DQ49" s="78">
        <v>0</v>
      </c>
      <c r="DR49" s="78">
        <v>0</v>
      </c>
      <c r="DS49" s="78">
        <v>0</v>
      </c>
      <c r="DT49" s="78">
        <v>0</v>
      </c>
      <c r="DU49" s="78">
        <v>1</v>
      </c>
      <c r="DV49" s="78">
        <v>0</v>
      </c>
      <c r="DW49" s="78">
        <v>0</v>
      </c>
      <c r="DX49" s="76">
        <v>0</v>
      </c>
      <c r="DY49" s="77">
        <f>2+1/3</f>
        <v>2.3333333333333335</v>
      </c>
      <c r="DZ49" s="43">
        <v>0</v>
      </c>
      <c r="EA49" s="43">
        <v>0</v>
      </c>
      <c r="EB49" s="45">
        <f>5+2/3</f>
        <v>5.666666666666667</v>
      </c>
      <c r="EC49" s="43">
        <v>1</v>
      </c>
      <c r="ED49" s="44">
        <v>1</v>
      </c>
      <c r="EE49" s="71">
        <v>2</v>
      </c>
      <c r="EF49" s="43">
        <v>0</v>
      </c>
      <c r="EG49" s="43">
        <v>0</v>
      </c>
      <c r="EH49" s="43">
        <v>0</v>
      </c>
      <c r="EI49" s="43">
        <v>0</v>
      </c>
      <c r="EJ49" s="43">
        <v>4</v>
      </c>
      <c r="EK49" s="43">
        <v>2</v>
      </c>
      <c r="EL49" s="43">
        <v>0</v>
      </c>
      <c r="EM49" s="43"/>
      <c r="EN49" s="43"/>
      <c r="EO49" s="43"/>
      <c r="EP49" s="43"/>
      <c r="EQ49" s="44">
        <f t="shared" si="4"/>
        <v>8</v>
      </c>
      <c r="ER49" s="43">
        <v>0</v>
      </c>
      <c r="ES49" s="43">
        <v>1</v>
      </c>
      <c r="ET49" s="43">
        <v>0</v>
      </c>
      <c r="EU49" s="43">
        <v>1</v>
      </c>
      <c r="EV49" s="43">
        <v>0</v>
      </c>
      <c r="EW49" s="43">
        <v>0</v>
      </c>
      <c r="EX49" s="43">
        <v>0</v>
      </c>
      <c r="EY49" s="43">
        <v>0</v>
      </c>
      <c r="EZ49" s="43">
        <v>3</v>
      </c>
      <c r="FA49" s="43"/>
      <c r="FB49" s="43"/>
      <c r="FC49" s="43"/>
      <c r="FD49" s="43">
        <f t="shared" si="5"/>
        <v>5</v>
      </c>
      <c r="FE49" s="73">
        <f t="shared" si="6"/>
        <v>0</v>
      </c>
      <c r="FF49" s="73">
        <f t="shared" si="7"/>
        <v>0</v>
      </c>
      <c r="FG49" s="38"/>
    </row>
    <row r="50" spans="1:163" x14ac:dyDescent="0.25">
      <c r="A50" s="53">
        <v>40325</v>
      </c>
      <c r="B50" s="53" t="s">
        <v>19</v>
      </c>
      <c r="C50" s="53" t="s">
        <v>131</v>
      </c>
      <c r="D50" s="53" t="s">
        <v>349</v>
      </c>
      <c r="E50" s="54">
        <v>6131</v>
      </c>
      <c r="F50" s="58">
        <v>3</v>
      </c>
      <c r="G50" s="59" t="s">
        <v>341</v>
      </c>
      <c r="H50" s="6">
        <v>0</v>
      </c>
      <c r="I50" s="6">
        <v>0</v>
      </c>
      <c r="J50" s="60">
        <f>5+2/3</f>
        <v>5.666666666666667</v>
      </c>
      <c r="K50" s="6">
        <v>5</v>
      </c>
      <c r="L50" s="6">
        <v>1</v>
      </c>
      <c r="M50" s="6">
        <v>0</v>
      </c>
      <c r="N50" s="6">
        <v>2</v>
      </c>
      <c r="O50" s="6">
        <v>4</v>
      </c>
      <c r="P50" s="6">
        <v>0</v>
      </c>
      <c r="Q50" s="6">
        <v>0</v>
      </c>
      <c r="R50" s="6">
        <v>23</v>
      </c>
      <c r="S50" s="6">
        <v>82</v>
      </c>
      <c r="T50" s="6">
        <v>51</v>
      </c>
      <c r="U50" s="6">
        <v>2</v>
      </c>
      <c r="V50" s="61">
        <v>0</v>
      </c>
      <c r="W50" s="62">
        <v>0</v>
      </c>
      <c r="X50" s="62">
        <v>1</v>
      </c>
      <c r="Y50" s="62">
        <v>1</v>
      </c>
      <c r="Z50" s="62">
        <v>0</v>
      </c>
      <c r="AA50" s="62">
        <v>1</v>
      </c>
      <c r="AB50" s="63">
        <f>3+1/3</f>
        <v>3.3333333333333335</v>
      </c>
      <c r="AC50" s="62">
        <v>3</v>
      </c>
      <c r="AD50" s="62">
        <v>3</v>
      </c>
      <c r="AE50" s="62">
        <v>0</v>
      </c>
      <c r="AF50" s="62">
        <v>3</v>
      </c>
      <c r="AG50" s="62">
        <v>2</v>
      </c>
      <c r="AH50" s="62">
        <v>0</v>
      </c>
      <c r="AI50" s="62">
        <v>0</v>
      </c>
      <c r="AJ50" s="62">
        <v>15</v>
      </c>
      <c r="AK50" s="62">
        <v>63</v>
      </c>
      <c r="AL50" s="62">
        <v>36</v>
      </c>
      <c r="AM50" s="1" t="s">
        <v>399</v>
      </c>
      <c r="AN50" s="78">
        <v>2</v>
      </c>
      <c r="AO50" s="78">
        <v>1</v>
      </c>
      <c r="AP50" s="78">
        <v>0</v>
      </c>
      <c r="AQ50" s="78">
        <v>0</v>
      </c>
      <c r="AR50" s="78">
        <v>2</v>
      </c>
      <c r="AS50" s="78">
        <v>0</v>
      </c>
      <c r="AT50" s="78">
        <v>1</v>
      </c>
      <c r="AU50" s="78">
        <v>0</v>
      </c>
      <c r="AV50" s="76">
        <v>0</v>
      </c>
      <c r="AW50" s="1" t="s">
        <v>345</v>
      </c>
      <c r="AX50" s="78">
        <v>4</v>
      </c>
      <c r="AY50" s="78">
        <v>1</v>
      </c>
      <c r="AZ50" s="78">
        <v>1</v>
      </c>
      <c r="BA50" s="78">
        <v>0</v>
      </c>
      <c r="BB50" s="78">
        <v>0</v>
      </c>
      <c r="BC50" s="78">
        <v>1</v>
      </c>
      <c r="BD50" s="78">
        <v>0</v>
      </c>
      <c r="BE50" s="78">
        <v>0</v>
      </c>
      <c r="BF50" s="76">
        <v>2</v>
      </c>
      <c r="BG50" s="1" t="s">
        <v>400</v>
      </c>
      <c r="BH50" s="78">
        <v>4</v>
      </c>
      <c r="BI50" s="78">
        <v>0</v>
      </c>
      <c r="BJ50" s="78">
        <v>1</v>
      </c>
      <c r="BK50" s="78">
        <v>2</v>
      </c>
      <c r="BL50" s="78">
        <v>0</v>
      </c>
      <c r="BM50" s="78">
        <v>2</v>
      </c>
      <c r="BN50" s="78">
        <v>0</v>
      </c>
      <c r="BO50" s="78">
        <v>0</v>
      </c>
      <c r="BP50" s="76">
        <v>1</v>
      </c>
      <c r="BQ50" s="1" t="s">
        <v>332</v>
      </c>
      <c r="BR50" s="78">
        <v>2</v>
      </c>
      <c r="BS50" s="78">
        <v>0</v>
      </c>
      <c r="BT50" s="78">
        <v>0</v>
      </c>
      <c r="BU50" s="78">
        <v>0</v>
      </c>
      <c r="BV50" s="78">
        <v>2</v>
      </c>
      <c r="BW50" s="78">
        <v>0</v>
      </c>
      <c r="BX50" s="78">
        <v>0</v>
      </c>
      <c r="BY50" s="78">
        <v>0</v>
      </c>
      <c r="BZ50" s="76">
        <v>0</v>
      </c>
      <c r="CA50" s="1" t="s">
        <v>403</v>
      </c>
      <c r="CB50" s="78">
        <v>4</v>
      </c>
      <c r="CC50" s="78">
        <v>1</v>
      </c>
      <c r="CD50" s="78">
        <v>1</v>
      </c>
      <c r="CE50" s="78">
        <v>0</v>
      </c>
      <c r="CF50" s="78">
        <v>0</v>
      </c>
      <c r="CG50" s="78">
        <v>1</v>
      </c>
      <c r="CH50" s="78">
        <v>0</v>
      </c>
      <c r="CI50" s="78">
        <v>0</v>
      </c>
      <c r="CJ50" s="76">
        <v>1</v>
      </c>
      <c r="CK50" s="1" t="s">
        <v>344</v>
      </c>
      <c r="CL50" s="78">
        <v>4</v>
      </c>
      <c r="CM50" s="78">
        <v>0</v>
      </c>
      <c r="CN50" s="78">
        <v>0</v>
      </c>
      <c r="CO50" s="78">
        <v>0</v>
      </c>
      <c r="CP50" s="78">
        <v>0</v>
      </c>
      <c r="CQ50" s="78">
        <v>4</v>
      </c>
      <c r="CR50" s="78">
        <v>0</v>
      </c>
      <c r="CS50" s="78">
        <v>0</v>
      </c>
      <c r="CT50" s="76">
        <v>0</v>
      </c>
      <c r="CU50" s="1" t="s">
        <v>331</v>
      </c>
      <c r="CV50" s="78">
        <v>4</v>
      </c>
      <c r="CW50" s="78">
        <v>0</v>
      </c>
      <c r="CX50" s="78">
        <v>1</v>
      </c>
      <c r="CY50" s="78">
        <v>1</v>
      </c>
      <c r="CZ50" s="78">
        <v>0</v>
      </c>
      <c r="DA50" s="78">
        <v>2</v>
      </c>
      <c r="DB50" s="78">
        <v>0</v>
      </c>
      <c r="DC50" s="78">
        <v>0</v>
      </c>
      <c r="DD50" s="76">
        <v>1</v>
      </c>
      <c r="DE50" s="1" t="s">
        <v>336</v>
      </c>
      <c r="DF50" s="78">
        <v>4</v>
      </c>
      <c r="DG50" s="78">
        <v>0</v>
      </c>
      <c r="DH50" s="78">
        <v>0</v>
      </c>
      <c r="DI50" s="78">
        <v>0</v>
      </c>
      <c r="DJ50" s="78">
        <v>0</v>
      </c>
      <c r="DK50" s="78">
        <v>2</v>
      </c>
      <c r="DL50" s="78">
        <v>0</v>
      </c>
      <c r="DM50" s="78">
        <v>0</v>
      </c>
      <c r="DN50" s="76">
        <v>0</v>
      </c>
      <c r="DO50" s="1" t="s">
        <v>330</v>
      </c>
      <c r="DP50" s="78">
        <v>3</v>
      </c>
      <c r="DQ50" s="78">
        <v>0</v>
      </c>
      <c r="DR50" s="78">
        <v>0</v>
      </c>
      <c r="DS50" s="78">
        <v>0</v>
      </c>
      <c r="DT50" s="78">
        <v>1</v>
      </c>
      <c r="DU50" s="78">
        <v>2</v>
      </c>
      <c r="DV50" s="78">
        <v>0</v>
      </c>
      <c r="DW50" s="78">
        <v>0</v>
      </c>
      <c r="DX50" s="76">
        <v>0</v>
      </c>
      <c r="DY50" s="77">
        <f>5+2/3</f>
        <v>5.666666666666667</v>
      </c>
      <c r="DZ50" s="43">
        <v>1</v>
      </c>
      <c r="EA50" s="43">
        <v>0</v>
      </c>
      <c r="EB50" s="45">
        <f>3+1/3</f>
        <v>3.3333333333333335</v>
      </c>
      <c r="EC50" s="43">
        <v>1</v>
      </c>
      <c r="ED50" s="44">
        <v>0</v>
      </c>
      <c r="EE50" s="71">
        <v>0</v>
      </c>
      <c r="EF50" s="43">
        <v>0</v>
      </c>
      <c r="EG50" s="43">
        <v>2</v>
      </c>
      <c r="EH50" s="43">
        <v>0</v>
      </c>
      <c r="EI50" s="43">
        <v>0</v>
      </c>
      <c r="EJ50" s="43">
        <v>1</v>
      </c>
      <c r="EK50" s="43">
        <v>0</v>
      </c>
      <c r="EL50" s="43">
        <v>0</v>
      </c>
      <c r="EM50" s="43">
        <v>0</v>
      </c>
      <c r="EN50" s="43"/>
      <c r="EO50" s="43"/>
      <c r="EP50" s="43"/>
      <c r="EQ50" s="44">
        <f t="shared" si="4"/>
        <v>3</v>
      </c>
      <c r="ER50" s="43">
        <v>1</v>
      </c>
      <c r="ES50" s="43">
        <v>0</v>
      </c>
      <c r="ET50" s="43">
        <v>0</v>
      </c>
      <c r="EU50" s="43">
        <v>0</v>
      </c>
      <c r="EV50" s="43">
        <v>0</v>
      </c>
      <c r="EW50" s="43">
        <v>0</v>
      </c>
      <c r="EX50" s="43">
        <v>3</v>
      </c>
      <c r="EY50" s="43">
        <v>0</v>
      </c>
      <c r="EZ50" s="43">
        <v>0</v>
      </c>
      <c r="FA50" s="43"/>
      <c r="FB50" s="43"/>
      <c r="FC50" s="43"/>
      <c r="FD50" s="43">
        <f t="shared" si="5"/>
        <v>4</v>
      </c>
      <c r="FE50" s="73">
        <f t="shared" si="6"/>
        <v>0</v>
      </c>
      <c r="FF50" s="73">
        <f t="shared" si="7"/>
        <v>0</v>
      </c>
      <c r="FG50" s="38"/>
    </row>
    <row r="51" spans="1:163" x14ac:dyDescent="0.25">
      <c r="A51" s="53">
        <v>40326</v>
      </c>
      <c r="B51" s="53" t="s">
        <v>19</v>
      </c>
      <c r="C51" s="53" t="s">
        <v>129</v>
      </c>
      <c r="D51" s="53" t="s">
        <v>349</v>
      </c>
      <c r="E51" s="54">
        <v>7956</v>
      </c>
      <c r="F51" s="58">
        <v>4</v>
      </c>
      <c r="G51" s="59" t="s">
        <v>334</v>
      </c>
      <c r="H51" s="6">
        <v>0</v>
      </c>
      <c r="I51" s="6">
        <v>0</v>
      </c>
      <c r="J51" s="60">
        <f>6+1/3</f>
        <v>6.333333333333333</v>
      </c>
      <c r="K51" s="6">
        <v>10</v>
      </c>
      <c r="L51" s="6">
        <v>2</v>
      </c>
      <c r="M51" s="6">
        <v>2</v>
      </c>
      <c r="N51" s="6">
        <v>1</v>
      </c>
      <c r="O51" s="6">
        <v>5</v>
      </c>
      <c r="P51" s="6">
        <v>0</v>
      </c>
      <c r="Q51" s="6">
        <v>0</v>
      </c>
      <c r="R51" s="6">
        <v>28</v>
      </c>
      <c r="S51" s="6">
        <v>85</v>
      </c>
      <c r="T51" s="6">
        <v>55</v>
      </c>
      <c r="U51" s="6">
        <v>2</v>
      </c>
      <c r="V51" s="61">
        <v>0</v>
      </c>
      <c r="W51" s="62">
        <v>1</v>
      </c>
      <c r="X51" s="62">
        <v>0</v>
      </c>
      <c r="Y51" s="62">
        <v>1</v>
      </c>
      <c r="Z51" s="62">
        <v>1</v>
      </c>
      <c r="AA51" s="62">
        <v>0</v>
      </c>
      <c r="AB51" s="63">
        <f>2+2/3</f>
        <v>2.6666666666666665</v>
      </c>
      <c r="AC51" s="62">
        <v>1</v>
      </c>
      <c r="AD51" s="62">
        <v>0</v>
      </c>
      <c r="AE51" s="62">
        <v>0</v>
      </c>
      <c r="AF51" s="62">
        <v>0</v>
      </c>
      <c r="AG51" s="62">
        <v>4</v>
      </c>
      <c r="AH51" s="62">
        <v>0</v>
      </c>
      <c r="AI51" s="62">
        <v>0</v>
      </c>
      <c r="AJ51" s="62">
        <v>9</v>
      </c>
      <c r="AK51" s="62">
        <v>41</v>
      </c>
      <c r="AL51" s="62">
        <v>27</v>
      </c>
      <c r="AM51" s="1" t="s">
        <v>399</v>
      </c>
      <c r="AN51" s="78">
        <v>4</v>
      </c>
      <c r="AO51" s="78">
        <v>0</v>
      </c>
      <c r="AP51" s="78">
        <v>0</v>
      </c>
      <c r="AQ51" s="78">
        <v>0</v>
      </c>
      <c r="AR51" s="78">
        <v>0</v>
      </c>
      <c r="AS51" s="78">
        <v>2</v>
      </c>
      <c r="AT51" s="78">
        <v>0</v>
      </c>
      <c r="AU51" s="78">
        <v>0</v>
      </c>
      <c r="AV51" s="76">
        <v>0</v>
      </c>
      <c r="AW51" s="1" t="s">
        <v>402</v>
      </c>
      <c r="AX51" s="78">
        <v>4</v>
      </c>
      <c r="AY51" s="78">
        <v>1</v>
      </c>
      <c r="AZ51" s="78">
        <v>1</v>
      </c>
      <c r="BA51" s="78">
        <v>0</v>
      </c>
      <c r="BB51" s="78">
        <v>0</v>
      </c>
      <c r="BC51" s="78">
        <v>0</v>
      </c>
      <c r="BD51" s="78">
        <v>0</v>
      </c>
      <c r="BE51" s="78">
        <v>0</v>
      </c>
      <c r="BF51" s="76">
        <v>2</v>
      </c>
      <c r="BG51" s="1" t="s">
        <v>345</v>
      </c>
      <c r="BH51" s="78">
        <v>4</v>
      </c>
      <c r="BI51" s="78">
        <v>0</v>
      </c>
      <c r="BJ51" s="78">
        <v>0</v>
      </c>
      <c r="BK51" s="78">
        <v>0</v>
      </c>
      <c r="BL51" s="78">
        <v>0</v>
      </c>
      <c r="BM51" s="78">
        <v>1</v>
      </c>
      <c r="BN51" s="78">
        <v>0</v>
      </c>
      <c r="BO51" s="78">
        <v>0</v>
      </c>
      <c r="BP51" s="76">
        <v>0</v>
      </c>
      <c r="BQ51" s="1" t="s">
        <v>332</v>
      </c>
      <c r="BR51" s="78">
        <v>4</v>
      </c>
      <c r="BS51" s="78">
        <v>0</v>
      </c>
      <c r="BT51" s="78">
        <v>0</v>
      </c>
      <c r="BU51" s="78">
        <v>0</v>
      </c>
      <c r="BV51" s="78">
        <v>0</v>
      </c>
      <c r="BW51" s="78">
        <v>2</v>
      </c>
      <c r="BX51" s="78">
        <v>0</v>
      </c>
      <c r="BY51" s="78">
        <v>0</v>
      </c>
      <c r="BZ51" s="76">
        <v>0</v>
      </c>
      <c r="CA51" s="1" t="s">
        <v>400</v>
      </c>
      <c r="CB51" s="78">
        <v>3</v>
      </c>
      <c r="CC51" s="78">
        <v>1</v>
      </c>
      <c r="CD51" s="78">
        <v>1</v>
      </c>
      <c r="CE51" s="78">
        <v>0</v>
      </c>
      <c r="CF51" s="78">
        <v>0</v>
      </c>
      <c r="CG51" s="78">
        <v>0</v>
      </c>
      <c r="CH51" s="78">
        <v>0</v>
      </c>
      <c r="CI51" s="78">
        <v>0</v>
      </c>
      <c r="CJ51" s="76">
        <v>1</v>
      </c>
      <c r="CK51" s="1" t="s">
        <v>405</v>
      </c>
      <c r="CL51" s="78">
        <v>3</v>
      </c>
      <c r="CM51" s="78">
        <v>1</v>
      </c>
      <c r="CN51" s="78">
        <v>2</v>
      </c>
      <c r="CO51" s="78">
        <v>0</v>
      </c>
      <c r="CP51" s="78">
        <v>0</v>
      </c>
      <c r="CQ51" s="78">
        <v>0</v>
      </c>
      <c r="CR51" s="78">
        <v>0</v>
      </c>
      <c r="CS51" s="78">
        <v>0</v>
      </c>
      <c r="CT51" s="76">
        <v>4</v>
      </c>
      <c r="CU51" s="1" t="s">
        <v>331</v>
      </c>
      <c r="CV51" s="78">
        <v>3</v>
      </c>
      <c r="CW51" s="78">
        <v>1</v>
      </c>
      <c r="CX51" s="78">
        <v>2</v>
      </c>
      <c r="CY51" s="78">
        <v>3</v>
      </c>
      <c r="CZ51" s="78">
        <v>0</v>
      </c>
      <c r="DA51" s="78">
        <v>0</v>
      </c>
      <c r="DB51" s="78">
        <v>0</v>
      </c>
      <c r="DC51" s="78">
        <v>0</v>
      </c>
      <c r="DD51" s="76">
        <v>6</v>
      </c>
      <c r="DE51" s="1" t="s">
        <v>407</v>
      </c>
      <c r="DF51" s="78">
        <v>3</v>
      </c>
      <c r="DG51" s="78">
        <v>0</v>
      </c>
      <c r="DH51" s="78">
        <v>0</v>
      </c>
      <c r="DI51" s="78">
        <v>0</v>
      </c>
      <c r="DJ51" s="78">
        <v>0</v>
      </c>
      <c r="DK51" s="78">
        <v>0</v>
      </c>
      <c r="DL51" s="78">
        <v>0</v>
      </c>
      <c r="DM51" s="78">
        <v>0</v>
      </c>
      <c r="DN51" s="76">
        <v>0</v>
      </c>
      <c r="DO51" s="1" t="s">
        <v>330</v>
      </c>
      <c r="DP51" s="78">
        <v>3</v>
      </c>
      <c r="DQ51" s="78">
        <v>0</v>
      </c>
      <c r="DR51" s="78">
        <v>1</v>
      </c>
      <c r="DS51" s="78">
        <v>0</v>
      </c>
      <c r="DT51" s="78">
        <v>0</v>
      </c>
      <c r="DU51" s="78">
        <v>1</v>
      </c>
      <c r="DV51" s="78">
        <v>0</v>
      </c>
      <c r="DW51" s="78">
        <v>0</v>
      </c>
      <c r="DX51" s="76">
        <v>1</v>
      </c>
      <c r="DY51" s="77">
        <f>1/3</f>
        <v>0.33333333333333331</v>
      </c>
      <c r="DZ51" s="43">
        <v>0</v>
      </c>
      <c r="EA51" s="43">
        <v>0</v>
      </c>
      <c r="EB51" s="45">
        <f>7+2/3</f>
        <v>7.666666666666667</v>
      </c>
      <c r="EC51" s="43">
        <v>1</v>
      </c>
      <c r="ED51" s="44">
        <v>1</v>
      </c>
      <c r="EE51" s="71">
        <v>0</v>
      </c>
      <c r="EF51" s="43">
        <v>0</v>
      </c>
      <c r="EG51" s="43">
        <v>0</v>
      </c>
      <c r="EH51" s="43">
        <v>0</v>
      </c>
      <c r="EI51" s="43">
        <v>0</v>
      </c>
      <c r="EJ51" s="43">
        <v>0</v>
      </c>
      <c r="EK51" s="43">
        <v>3</v>
      </c>
      <c r="EL51" s="43">
        <v>1</v>
      </c>
      <c r="EM51" s="43"/>
      <c r="EN51" s="43"/>
      <c r="EO51" s="43"/>
      <c r="EP51" s="43"/>
      <c r="EQ51" s="44">
        <f t="shared" si="4"/>
        <v>4</v>
      </c>
      <c r="ER51" s="43">
        <v>0</v>
      </c>
      <c r="ES51" s="43">
        <v>0</v>
      </c>
      <c r="ET51" s="43">
        <v>0</v>
      </c>
      <c r="EU51" s="43">
        <v>2</v>
      </c>
      <c r="EV51" s="43">
        <v>0</v>
      </c>
      <c r="EW51" s="43">
        <v>0</v>
      </c>
      <c r="EX51" s="43">
        <v>0</v>
      </c>
      <c r="EY51" s="43">
        <v>0</v>
      </c>
      <c r="EZ51" s="43">
        <v>0</v>
      </c>
      <c r="FA51" s="43"/>
      <c r="FB51" s="43"/>
      <c r="FC51" s="43"/>
      <c r="FD51" s="43">
        <f t="shared" si="5"/>
        <v>2</v>
      </c>
      <c r="FE51" s="73">
        <f t="shared" si="6"/>
        <v>0</v>
      </c>
      <c r="FF51" s="73">
        <f t="shared" si="7"/>
        <v>0</v>
      </c>
      <c r="FG51" s="38"/>
    </row>
    <row r="52" spans="1:163" x14ac:dyDescent="0.25">
      <c r="A52" s="53">
        <v>40327</v>
      </c>
      <c r="B52" s="53" t="s">
        <v>19</v>
      </c>
      <c r="C52" s="53" t="s">
        <v>131</v>
      </c>
      <c r="D52" s="53" t="s">
        <v>349</v>
      </c>
      <c r="E52" s="54">
        <v>8787</v>
      </c>
      <c r="F52" s="58">
        <v>5</v>
      </c>
      <c r="G52" s="59" t="s">
        <v>339</v>
      </c>
      <c r="H52" s="6">
        <v>0</v>
      </c>
      <c r="I52" s="6">
        <v>1</v>
      </c>
      <c r="J52" s="60">
        <f>4+1/3</f>
        <v>4.333333333333333</v>
      </c>
      <c r="K52" s="6">
        <v>8</v>
      </c>
      <c r="L52" s="6">
        <v>6</v>
      </c>
      <c r="M52" s="6">
        <v>5</v>
      </c>
      <c r="N52" s="6">
        <v>4</v>
      </c>
      <c r="O52" s="6">
        <v>3</v>
      </c>
      <c r="P52" s="6">
        <v>0</v>
      </c>
      <c r="Q52" s="6">
        <v>0</v>
      </c>
      <c r="R52" s="6">
        <v>25</v>
      </c>
      <c r="S52" s="6">
        <v>90</v>
      </c>
      <c r="T52" s="6">
        <v>50</v>
      </c>
      <c r="U52" s="6">
        <v>1</v>
      </c>
      <c r="V52" s="61">
        <v>0</v>
      </c>
      <c r="W52" s="62">
        <v>0</v>
      </c>
      <c r="X52" s="62">
        <v>0</v>
      </c>
      <c r="Y52" s="62">
        <v>0</v>
      </c>
      <c r="Z52" s="62">
        <v>0</v>
      </c>
      <c r="AA52" s="62">
        <v>0</v>
      </c>
      <c r="AB52" s="63">
        <f>4+2/3</f>
        <v>4.666666666666667</v>
      </c>
      <c r="AC52" s="62">
        <v>3</v>
      </c>
      <c r="AD52" s="62">
        <v>0</v>
      </c>
      <c r="AE52" s="62">
        <v>0</v>
      </c>
      <c r="AF52" s="62">
        <v>3</v>
      </c>
      <c r="AG52" s="62">
        <v>0</v>
      </c>
      <c r="AH52" s="62">
        <v>0</v>
      </c>
      <c r="AI52" s="62">
        <v>0</v>
      </c>
      <c r="AJ52" s="62">
        <v>17</v>
      </c>
      <c r="AK52" s="62">
        <v>65</v>
      </c>
      <c r="AL52" s="62">
        <v>40</v>
      </c>
      <c r="AM52" s="1" t="s">
        <v>399</v>
      </c>
      <c r="AN52" s="78">
        <v>6</v>
      </c>
      <c r="AO52" s="78">
        <v>0</v>
      </c>
      <c r="AP52" s="78">
        <v>0</v>
      </c>
      <c r="AQ52" s="78">
        <v>0</v>
      </c>
      <c r="AR52" s="78">
        <v>0</v>
      </c>
      <c r="AS52" s="78">
        <v>3</v>
      </c>
      <c r="AT52" s="78">
        <v>0</v>
      </c>
      <c r="AU52" s="78">
        <v>0</v>
      </c>
      <c r="AV52" s="76">
        <v>0</v>
      </c>
      <c r="AW52" s="1" t="s">
        <v>345</v>
      </c>
      <c r="AX52" s="78">
        <v>4</v>
      </c>
      <c r="AY52" s="78">
        <v>1</v>
      </c>
      <c r="AZ52" s="78">
        <v>2</v>
      </c>
      <c r="BA52" s="78">
        <v>0</v>
      </c>
      <c r="BB52" s="78">
        <v>1</v>
      </c>
      <c r="BC52" s="78">
        <v>1</v>
      </c>
      <c r="BD52" s="78">
        <v>0</v>
      </c>
      <c r="BE52" s="78">
        <v>0</v>
      </c>
      <c r="BF52" s="76">
        <v>2</v>
      </c>
      <c r="BG52" s="1" t="s">
        <v>331</v>
      </c>
      <c r="BH52" s="78">
        <v>4</v>
      </c>
      <c r="BI52" s="78">
        <v>0</v>
      </c>
      <c r="BJ52" s="78">
        <v>2</v>
      </c>
      <c r="BK52" s="78">
        <v>0</v>
      </c>
      <c r="BL52" s="78">
        <v>1</v>
      </c>
      <c r="BM52" s="78">
        <v>1</v>
      </c>
      <c r="BN52" s="78">
        <v>0</v>
      </c>
      <c r="BO52" s="78">
        <v>0</v>
      </c>
      <c r="BP52" s="76">
        <v>2</v>
      </c>
      <c r="BQ52" s="1" t="s">
        <v>332</v>
      </c>
      <c r="BR52" s="78">
        <v>5</v>
      </c>
      <c r="BS52" s="78">
        <v>1</v>
      </c>
      <c r="BT52" s="78">
        <v>2</v>
      </c>
      <c r="BU52" s="78">
        <v>1</v>
      </c>
      <c r="BV52" s="78">
        <v>0</v>
      </c>
      <c r="BW52" s="78">
        <v>0</v>
      </c>
      <c r="BX52" s="78">
        <v>0</v>
      </c>
      <c r="BY52" s="78">
        <v>0</v>
      </c>
      <c r="BZ52" s="76">
        <v>2</v>
      </c>
      <c r="CA52" s="1" t="s">
        <v>400</v>
      </c>
      <c r="CB52" s="78">
        <v>5</v>
      </c>
      <c r="CC52" s="78">
        <v>2</v>
      </c>
      <c r="CD52" s="78">
        <v>2</v>
      </c>
      <c r="CE52" s="78">
        <v>1</v>
      </c>
      <c r="CF52" s="78">
        <v>0</v>
      </c>
      <c r="CG52" s="78">
        <v>2</v>
      </c>
      <c r="CH52" s="78">
        <v>0</v>
      </c>
      <c r="CI52" s="78">
        <v>0</v>
      </c>
      <c r="CJ52" s="76">
        <v>3</v>
      </c>
      <c r="CK52" s="1" t="s">
        <v>405</v>
      </c>
      <c r="CL52" s="78">
        <v>5</v>
      </c>
      <c r="CM52" s="78">
        <v>0</v>
      </c>
      <c r="CN52" s="78">
        <v>5</v>
      </c>
      <c r="CO52" s="78">
        <v>1</v>
      </c>
      <c r="CP52" s="78">
        <v>0</v>
      </c>
      <c r="CQ52" s="78">
        <v>0</v>
      </c>
      <c r="CR52" s="78">
        <v>0</v>
      </c>
      <c r="CS52" s="78">
        <v>0</v>
      </c>
      <c r="CT52" s="76">
        <v>8</v>
      </c>
      <c r="CU52" s="1" t="s">
        <v>344</v>
      </c>
      <c r="CV52" s="78">
        <v>3</v>
      </c>
      <c r="CW52" s="78">
        <v>0</v>
      </c>
      <c r="CX52" s="78">
        <v>0</v>
      </c>
      <c r="CY52" s="78">
        <v>0</v>
      </c>
      <c r="CZ52" s="78">
        <v>2</v>
      </c>
      <c r="DA52" s="78">
        <v>2</v>
      </c>
      <c r="DB52" s="78">
        <v>0</v>
      </c>
      <c r="DC52" s="78">
        <v>0</v>
      </c>
      <c r="DD52" s="76">
        <v>0</v>
      </c>
      <c r="DE52" s="1" t="s">
        <v>336</v>
      </c>
      <c r="DF52" s="78">
        <v>5</v>
      </c>
      <c r="DG52" s="78">
        <v>0</v>
      </c>
      <c r="DH52" s="78">
        <v>1</v>
      </c>
      <c r="DI52" s="78">
        <v>1</v>
      </c>
      <c r="DJ52" s="78">
        <v>0</v>
      </c>
      <c r="DK52" s="78">
        <v>1</v>
      </c>
      <c r="DL52" s="78">
        <v>0</v>
      </c>
      <c r="DM52" s="78">
        <v>0</v>
      </c>
      <c r="DN52" s="76">
        <v>1</v>
      </c>
      <c r="DO52" s="1" t="s">
        <v>330</v>
      </c>
      <c r="DP52" s="78">
        <v>5</v>
      </c>
      <c r="DQ52" s="78">
        <v>0</v>
      </c>
      <c r="DR52" s="78">
        <v>1</v>
      </c>
      <c r="DS52" s="78">
        <v>0</v>
      </c>
      <c r="DT52" s="78">
        <v>0</v>
      </c>
      <c r="DU52" s="78">
        <v>2</v>
      </c>
      <c r="DV52" s="78">
        <v>0</v>
      </c>
      <c r="DW52" s="78">
        <v>0</v>
      </c>
      <c r="DX52" s="76">
        <v>1</v>
      </c>
      <c r="DY52" s="77">
        <v>0</v>
      </c>
      <c r="DZ52" s="43">
        <v>0</v>
      </c>
      <c r="EA52" s="43">
        <v>0</v>
      </c>
      <c r="EB52" s="45">
        <v>9</v>
      </c>
      <c r="EC52" s="43">
        <v>0</v>
      </c>
      <c r="ED52" s="44">
        <v>0</v>
      </c>
      <c r="EE52" s="71">
        <v>0</v>
      </c>
      <c r="EF52" s="43">
        <v>0</v>
      </c>
      <c r="EG52" s="43">
        <v>3</v>
      </c>
      <c r="EH52" s="43">
        <v>0</v>
      </c>
      <c r="EI52" s="43">
        <v>0</v>
      </c>
      <c r="EJ52" s="43">
        <v>0</v>
      </c>
      <c r="EK52" s="43">
        <v>1</v>
      </c>
      <c r="EL52" s="43">
        <v>0</v>
      </c>
      <c r="EM52" s="43">
        <v>0</v>
      </c>
      <c r="EN52" s="43"/>
      <c r="EO52" s="43"/>
      <c r="EP52" s="43"/>
      <c r="EQ52" s="44">
        <f t="shared" si="4"/>
        <v>4</v>
      </c>
      <c r="ER52" s="43">
        <v>1</v>
      </c>
      <c r="ES52" s="43">
        <v>4</v>
      </c>
      <c r="ET52" s="43">
        <v>0</v>
      </c>
      <c r="EU52" s="43">
        <v>0</v>
      </c>
      <c r="EV52" s="43">
        <v>1</v>
      </c>
      <c r="EW52" s="43">
        <v>0</v>
      </c>
      <c r="EX52" s="43">
        <v>0</v>
      </c>
      <c r="EY52" s="43">
        <v>0</v>
      </c>
      <c r="EZ52" s="43">
        <v>0</v>
      </c>
      <c r="FA52" s="43"/>
      <c r="FB52" s="43"/>
      <c r="FC52" s="43"/>
      <c r="FD52" s="43">
        <f t="shared" si="5"/>
        <v>6</v>
      </c>
      <c r="FE52" s="73">
        <f t="shared" si="6"/>
        <v>0</v>
      </c>
      <c r="FF52" s="73">
        <f t="shared" si="7"/>
        <v>0</v>
      </c>
      <c r="FG52" s="38"/>
    </row>
    <row r="53" spans="1:163" x14ac:dyDescent="0.25">
      <c r="A53" s="53">
        <v>40328</v>
      </c>
      <c r="B53" s="53" t="s">
        <v>19</v>
      </c>
      <c r="C53" s="53" t="s">
        <v>129</v>
      </c>
      <c r="D53" s="53" t="s">
        <v>349</v>
      </c>
      <c r="E53" s="54">
        <v>9887</v>
      </c>
      <c r="F53" s="58">
        <v>1</v>
      </c>
      <c r="G53" s="59" t="s">
        <v>397</v>
      </c>
      <c r="H53" s="6">
        <v>1</v>
      </c>
      <c r="I53" s="6">
        <v>0</v>
      </c>
      <c r="J53" s="60">
        <v>7</v>
      </c>
      <c r="K53" s="6">
        <v>4</v>
      </c>
      <c r="L53" s="6">
        <v>0</v>
      </c>
      <c r="M53" s="6">
        <v>0</v>
      </c>
      <c r="N53" s="6">
        <v>0</v>
      </c>
      <c r="O53" s="6">
        <v>7</v>
      </c>
      <c r="P53" s="6">
        <v>0</v>
      </c>
      <c r="Q53" s="6">
        <v>0</v>
      </c>
      <c r="R53" s="6">
        <v>24</v>
      </c>
      <c r="S53" s="6">
        <v>89</v>
      </c>
      <c r="T53" s="6">
        <v>66</v>
      </c>
      <c r="U53" s="6">
        <v>0</v>
      </c>
      <c r="V53" s="61">
        <v>0</v>
      </c>
      <c r="W53" s="62">
        <v>0</v>
      </c>
      <c r="X53" s="62">
        <v>0</v>
      </c>
      <c r="Y53" s="62">
        <v>0</v>
      </c>
      <c r="Z53" s="62">
        <v>0</v>
      </c>
      <c r="AA53" s="62">
        <v>0</v>
      </c>
      <c r="AB53" s="63">
        <v>2</v>
      </c>
      <c r="AC53" s="62">
        <v>1</v>
      </c>
      <c r="AD53" s="62">
        <v>0</v>
      </c>
      <c r="AE53" s="62">
        <v>0</v>
      </c>
      <c r="AF53" s="62">
        <v>0</v>
      </c>
      <c r="AG53" s="62">
        <v>0</v>
      </c>
      <c r="AH53" s="62">
        <v>0</v>
      </c>
      <c r="AI53" s="62">
        <v>0</v>
      </c>
      <c r="AJ53" s="62">
        <v>7</v>
      </c>
      <c r="AK53" s="62">
        <v>20</v>
      </c>
      <c r="AL53" s="62">
        <v>13</v>
      </c>
      <c r="AM53" s="1" t="s">
        <v>402</v>
      </c>
      <c r="AN53" s="78">
        <v>4</v>
      </c>
      <c r="AO53" s="78">
        <v>0</v>
      </c>
      <c r="AP53" s="78">
        <v>0</v>
      </c>
      <c r="AQ53" s="78">
        <v>0</v>
      </c>
      <c r="AR53" s="78">
        <v>0</v>
      </c>
      <c r="AS53" s="78">
        <v>0</v>
      </c>
      <c r="AT53" s="78">
        <v>0</v>
      </c>
      <c r="AU53" s="78">
        <v>0</v>
      </c>
      <c r="AV53" s="76">
        <v>0</v>
      </c>
      <c r="AW53" s="1" t="s">
        <v>401</v>
      </c>
      <c r="AX53" s="78">
        <v>4</v>
      </c>
      <c r="AY53" s="78">
        <v>0</v>
      </c>
      <c r="AZ53" s="78">
        <v>0</v>
      </c>
      <c r="BA53" s="78">
        <v>0</v>
      </c>
      <c r="BB53" s="78">
        <v>0</v>
      </c>
      <c r="BC53" s="78">
        <v>1</v>
      </c>
      <c r="BD53" s="78">
        <v>0</v>
      </c>
      <c r="BE53" s="78">
        <v>0</v>
      </c>
      <c r="BF53" s="76">
        <v>0</v>
      </c>
      <c r="BG53" s="1" t="s">
        <v>345</v>
      </c>
      <c r="BH53" s="78">
        <v>4</v>
      </c>
      <c r="BI53" s="78">
        <v>2</v>
      </c>
      <c r="BJ53" s="78">
        <v>3</v>
      </c>
      <c r="BK53" s="78">
        <v>2</v>
      </c>
      <c r="BL53" s="78">
        <v>0</v>
      </c>
      <c r="BM53" s="78">
        <v>0</v>
      </c>
      <c r="BN53" s="78">
        <v>0</v>
      </c>
      <c r="BO53" s="78">
        <v>0</v>
      </c>
      <c r="BP53" s="76">
        <v>9</v>
      </c>
      <c r="BQ53" s="1" t="s">
        <v>332</v>
      </c>
      <c r="BR53" s="78">
        <v>2</v>
      </c>
      <c r="BS53" s="78">
        <v>1</v>
      </c>
      <c r="BT53" s="78">
        <v>0</v>
      </c>
      <c r="BU53" s="78">
        <v>0</v>
      </c>
      <c r="BV53" s="78">
        <v>1</v>
      </c>
      <c r="BW53" s="78">
        <v>1</v>
      </c>
      <c r="BX53" s="78">
        <v>1</v>
      </c>
      <c r="BY53" s="78">
        <v>0</v>
      </c>
      <c r="BZ53" s="76">
        <v>0</v>
      </c>
      <c r="CA53" s="1" t="s">
        <v>400</v>
      </c>
      <c r="CB53" s="78">
        <v>4</v>
      </c>
      <c r="CC53" s="78">
        <v>0</v>
      </c>
      <c r="CD53" s="78">
        <v>1</v>
      </c>
      <c r="CE53" s="78">
        <v>0</v>
      </c>
      <c r="CF53" s="78">
        <v>0</v>
      </c>
      <c r="CG53" s="78">
        <v>3</v>
      </c>
      <c r="CH53" s="78">
        <v>0</v>
      </c>
      <c r="CI53" s="78">
        <v>0</v>
      </c>
      <c r="CJ53" s="76">
        <v>1</v>
      </c>
      <c r="CK53" s="1" t="s">
        <v>405</v>
      </c>
      <c r="CL53" s="78">
        <v>4</v>
      </c>
      <c r="CM53" s="78">
        <v>1</v>
      </c>
      <c r="CN53" s="78">
        <v>1</v>
      </c>
      <c r="CO53" s="78">
        <v>1</v>
      </c>
      <c r="CP53" s="78">
        <v>0</v>
      </c>
      <c r="CQ53" s="78">
        <v>2</v>
      </c>
      <c r="CR53" s="78">
        <v>0</v>
      </c>
      <c r="CS53" s="78">
        <v>0</v>
      </c>
      <c r="CT53" s="76">
        <v>4</v>
      </c>
      <c r="CU53" s="1" t="s">
        <v>331</v>
      </c>
      <c r="CV53" s="78">
        <v>4</v>
      </c>
      <c r="CW53" s="78">
        <v>1</v>
      </c>
      <c r="CX53" s="78">
        <v>1</v>
      </c>
      <c r="CY53" s="78">
        <v>0</v>
      </c>
      <c r="CZ53" s="78">
        <v>0</v>
      </c>
      <c r="DA53" s="78">
        <v>0</v>
      </c>
      <c r="DB53" s="78">
        <v>0</v>
      </c>
      <c r="DC53" s="78">
        <v>0</v>
      </c>
      <c r="DD53" s="76">
        <v>1</v>
      </c>
      <c r="DE53" s="1" t="s">
        <v>407</v>
      </c>
      <c r="DF53" s="78">
        <v>3</v>
      </c>
      <c r="DG53" s="78">
        <v>1</v>
      </c>
      <c r="DH53" s="78">
        <v>1</v>
      </c>
      <c r="DI53" s="78">
        <v>2</v>
      </c>
      <c r="DJ53" s="78">
        <v>0</v>
      </c>
      <c r="DK53" s="78">
        <v>1</v>
      </c>
      <c r="DL53" s="78">
        <v>0</v>
      </c>
      <c r="DM53" s="78">
        <v>0</v>
      </c>
      <c r="DN53" s="76">
        <v>4</v>
      </c>
      <c r="DO53" s="1" t="s">
        <v>330</v>
      </c>
      <c r="DP53" s="78">
        <v>3</v>
      </c>
      <c r="DQ53" s="78">
        <v>0</v>
      </c>
      <c r="DR53" s="78">
        <v>0</v>
      </c>
      <c r="DS53" s="78">
        <v>0</v>
      </c>
      <c r="DT53" s="78">
        <v>0</v>
      </c>
      <c r="DU53" s="78">
        <v>0</v>
      </c>
      <c r="DV53" s="78">
        <v>0</v>
      </c>
      <c r="DW53" s="78">
        <v>0</v>
      </c>
      <c r="DX53" s="76">
        <v>0</v>
      </c>
      <c r="DY53" s="77">
        <v>2</v>
      </c>
      <c r="DZ53" s="43">
        <v>0</v>
      </c>
      <c r="EA53" s="43">
        <v>0</v>
      </c>
      <c r="EB53" s="45">
        <v>6</v>
      </c>
      <c r="EC53" s="43">
        <v>0</v>
      </c>
      <c r="ED53" s="44">
        <v>0</v>
      </c>
      <c r="EE53" s="71">
        <v>0</v>
      </c>
      <c r="EF53" s="43">
        <v>3</v>
      </c>
      <c r="EG53" s="43">
        <v>2</v>
      </c>
      <c r="EH53" s="43">
        <v>0</v>
      </c>
      <c r="EI53" s="43">
        <v>1</v>
      </c>
      <c r="EJ53" s="43">
        <v>0</v>
      </c>
      <c r="EK53" s="43">
        <v>0</v>
      </c>
      <c r="EL53" s="43">
        <v>0</v>
      </c>
      <c r="EM53" s="43"/>
      <c r="EN53" s="43"/>
      <c r="EO53" s="43"/>
      <c r="EP53" s="43"/>
      <c r="EQ53" s="44">
        <f t="shared" si="4"/>
        <v>6</v>
      </c>
      <c r="ER53" s="43">
        <v>0</v>
      </c>
      <c r="ES53" s="43">
        <v>0</v>
      </c>
      <c r="ET53" s="43">
        <v>0</v>
      </c>
      <c r="EU53" s="43">
        <v>0</v>
      </c>
      <c r="EV53" s="43">
        <v>0</v>
      </c>
      <c r="EW53" s="43">
        <v>0</v>
      </c>
      <c r="EX53" s="43">
        <v>0</v>
      </c>
      <c r="EY53" s="43">
        <v>0</v>
      </c>
      <c r="EZ53" s="43">
        <v>0</v>
      </c>
      <c r="FA53" s="43"/>
      <c r="FB53" s="43"/>
      <c r="FC53" s="43"/>
      <c r="FD53" s="43">
        <f t="shared" si="5"/>
        <v>0</v>
      </c>
      <c r="FE53" s="73">
        <f t="shared" si="6"/>
        <v>0</v>
      </c>
      <c r="FF53" s="73">
        <f t="shared" si="7"/>
        <v>0</v>
      </c>
      <c r="FG53" s="38"/>
    </row>
    <row r="54" spans="1:163" x14ac:dyDescent="0.25">
      <c r="A54" s="53">
        <v>40329</v>
      </c>
      <c r="B54" s="53" t="s">
        <v>133</v>
      </c>
      <c r="C54" s="53" t="s">
        <v>129</v>
      </c>
      <c r="D54" s="53" t="s">
        <v>348</v>
      </c>
      <c r="E54" s="54">
        <v>2961</v>
      </c>
      <c r="F54" s="58">
        <v>2</v>
      </c>
      <c r="G54" s="59" t="s">
        <v>337</v>
      </c>
      <c r="H54" s="6">
        <v>1</v>
      </c>
      <c r="I54" s="6">
        <v>0</v>
      </c>
      <c r="J54" s="60">
        <f>5+2/3</f>
        <v>5.666666666666667</v>
      </c>
      <c r="K54" s="6">
        <v>4</v>
      </c>
      <c r="L54" s="6">
        <v>1</v>
      </c>
      <c r="M54" s="6">
        <v>1</v>
      </c>
      <c r="N54" s="6">
        <v>1</v>
      </c>
      <c r="O54" s="6">
        <v>2</v>
      </c>
      <c r="P54" s="6">
        <v>0</v>
      </c>
      <c r="Q54" s="6">
        <v>0</v>
      </c>
      <c r="R54" s="6">
        <v>22</v>
      </c>
      <c r="S54" s="6">
        <v>90</v>
      </c>
      <c r="T54" s="6">
        <v>56</v>
      </c>
      <c r="U54" s="6">
        <v>1</v>
      </c>
      <c r="V54" s="61">
        <v>0</v>
      </c>
      <c r="W54" s="62">
        <v>0</v>
      </c>
      <c r="X54" s="62">
        <v>0</v>
      </c>
      <c r="Y54" s="62">
        <v>0</v>
      </c>
      <c r="Z54" s="62">
        <v>0</v>
      </c>
      <c r="AA54" s="62">
        <v>0</v>
      </c>
      <c r="AB54" s="63">
        <f>3+1/3</f>
        <v>3.3333333333333335</v>
      </c>
      <c r="AC54" s="62">
        <v>2</v>
      </c>
      <c r="AD54" s="62">
        <v>0</v>
      </c>
      <c r="AE54" s="62">
        <v>0</v>
      </c>
      <c r="AF54" s="62">
        <v>3</v>
      </c>
      <c r="AG54" s="62">
        <v>3</v>
      </c>
      <c r="AH54" s="62">
        <v>0</v>
      </c>
      <c r="AI54" s="62">
        <v>0</v>
      </c>
      <c r="AJ54" s="62">
        <v>15</v>
      </c>
      <c r="AK54" s="62">
        <v>70</v>
      </c>
      <c r="AL54" s="62">
        <v>40</v>
      </c>
      <c r="AM54" s="1" t="s">
        <v>402</v>
      </c>
      <c r="AN54" s="78">
        <v>4</v>
      </c>
      <c r="AO54" s="78">
        <v>2</v>
      </c>
      <c r="AP54" s="78">
        <v>0</v>
      </c>
      <c r="AQ54" s="78">
        <v>0</v>
      </c>
      <c r="AR54" s="78">
        <v>2</v>
      </c>
      <c r="AS54" s="78">
        <v>0</v>
      </c>
      <c r="AT54" s="78">
        <v>0</v>
      </c>
      <c r="AU54" s="78">
        <v>0</v>
      </c>
      <c r="AV54" s="76">
        <v>0</v>
      </c>
      <c r="AW54" s="1" t="s">
        <v>345</v>
      </c>
      <c r="AX54" s="78">
        <v>5</v>
      </c>
      <c r="AY54" s="78">
        <v>1</v>
      </c>
      <c r="AZ54" s="78">
        <v>2</v>
      </c>
      <c r="BA54" s="78">
        <v>1</v>
      </c>
      <c r="BB54" s="78">
        <v>0</v>
      </c>
      <c r="BC54" s="78">
        <v>1</v>
      </c>
      <c r="BD54" s="78">
        <v>0</v>
      </c>
      <c r="BE54" s="78">
        <v>0</v>
      </c>
      <c r="BF54" s="76">
        <v>2</v>
      </c>
      <c r="BG54" s="1" t="s">
        <v>388</v>
      </c>
      <c r="BH54" s="78">
        <v>4</v>
      </c>
      <c r="BI54" s="78">
        <v>1</v>
      </c>
      <c r="BJ54" s="78">
        <v>2</v>
      </c>
      <c r="BK54" s="78">
        <v>3</v>
      </c>
      <c r="BL54" s="78">
        <v>1</v>
      </c>
      <c r="BM54" s="78">
        <v>2</v>
      </c>
      <c r="BN54" s="78">
        <v>0</v>
      </c>
      <c r="BO54" s="78">
        <v>0</v>
      </c>
      <c r="BP54" s="76">
        <v>2</v>
      </c>
      <c r="BQ54" s="1" t="s">
        <v>332</v>
      </c>
      <c r="BR54" s="78">
        <v>5</v>
      </c>
      <c r="BS54" s="78">
        <v>0</v>
      </c>
      <c r="BT54" s="78">
        <v>2</v>
      </c>
      <c r="BU54" s="78">
        <v>1</v>
      </c>
      <c r="BV54" s="78">
        <v>0</v>
      </c>
      <c r="BW54" s="78">
        <v>2</v>
      </c>
      <c r="BX54" s="78">
        <v>0</v>
      </c>
      <c r="BY54" s="78">
        <v>0</v>
      </c>
      <c r="BZ54" s="76">
        <v>2</v>
      </c>
      <c r="CA54" s="1" t="s">
        <v>344</v>
      </c>
      <c r="CB54" s="78">
        <v>5</v>
      </c>
      <c r="CC54" s="78">
        <v>1</v>
      </c>
      <c r="CD54" s="78">
        <v>2</v>
      </c>
      <c r="CE54" s="78">
        <v>1</v>
      </c>
      <c r="CF54" s="78">
        <v>0</v>
      </c>
      <c r="CG54" s="78">
        <v>1</v>
      </c>
      <c r="CH54" s="78">
        <v>0</v>
      </c>
      <c r="CI54" s="78">
        <v>0</v>
      </c>
      <c r="CJ54" s="76">
        <v>3</v>
      </c>
      <c r="CK54" s="1" t="s">
        <v>405</v>
      </c>
      <c r="CL54" s="78">
        <v>5</v>
      </c>
      <c r="CM54" s="78">
        <v>1</v>
      </c>
      <c r="CN54" s="78">
        <v>2</v>
      </c>
      <c r="CO54" s="78">
        <v>0</v>
      </c>
      <c r="CP54" s="78">
        <v>0</v>
      </c>
      <c r="CQ54" s="78">
        <v>2</v>
      </c>
      <c r="CR54" s="78">
        <v>0</v>
      </c>
      <c r="CS54" s="78">
        <v>0</v>
      </c>
      <c r="CT54" s="76">
        <v>2</v>
      </c>
      <c r="CU54" s="1" t="s">
        <v>399</v>
      </c>
      <c r="CV54" s="78">
        <v>4</v>
      </c>
      <c r="CW54" s="78">
        <v>1</v>
      </c>
      <c r="CX54" s="78">
        <v>3</v>
      </c>
      <c r="CY54" s="78">
        <v>0</v>
      </c>
      <c r="CZ54" s="78">
        <v>1</v>
      </c>
      <c r="DA54" s="78">
        <v>0</v>
      </c>
      <c r="DB54" s="78">
        <v>0</v>
      </c>
      <c r="DC54" s="78">
        <v>0</v>
      </c>
      <c r="DD54" s="76">
        <v>4</v>
      </c>
      <c r="DE54" s="1" t="s">
        <v>401</v>
      </c>
      <c r="DF54" s="78">
        <v>3</v>
      </c>
      <c r="DG54" s="78">
        <v>1</v>
      </c>
      <c r="DH54" s="78">
        <v>1</v>
      </c>
      <c r="DI54" s="78">
        <v>0</v>
      </c>
      <c r="DJ54" s="78">
        <v>2</v>
      </c>
      <c r="DK54" s="78">
        <v>1</v>
      </c>
      <c r="DL54" s="78">
        <v>0</v>
      </c>
      <c r="DM54" s="78">
        <v>0</v>
      </c>
      <c r="DN54" s="76">
        <v>1</v>
      </c>
      <c r="DO54" s="1" t="s">
        <v>330</v>
      </c>
      <c r="DP54" s="78">
        <v>4</v>
      </c>
      <c r="DQ54" s="78">
        <v>1</v>
      </c>
      <c r="DR54" s="78">
        <v>1</v>
      </c>
      <c r="DS54" s="78">
        <v>2</v>
      </c>
      <c r="DT54" s="78">
        <v>1</v>
      </c>
      <c r="DU54" s="78">
        <v>0</v>
      </c>
      <c r="DV54" s="78">
        <v>0</v>
      </c>
      <c r="DW54" s="78">
        <v>0</v>
      </c>
      <c r="DX54" s="76">
        <v>1</v>
      </c>
      <c r="DY54" s="77">
        <v>3</v>
      </c>
      <c r="DZ54" s="43">
        <v>0</v>
      </c>
      <c r="EA54" s="43">
        <v>0</v>
      </c>
      <c r="EB54" s="45">
        <v>6</v>
      </c>
      <c r="EC54" s="43">
        <v>2</v>
      </c>
      <c r="ED54" s="44">
        <v>0</v>
      </c>
      <c r="EE54" s="71">
        <v>0</v>
      </c>
      <c r="EF54" s="43">
        <v>0</v>
      </c>
      <c r="EG54" s="43">
        <v>0</v>
      </c>
      <c r="EH54" s="43">
        <v>0</v>
      </c>
      <c r="EI54" s="43">
        <v>4</v>
      </c>
      <c r="EJ54" s="43">
        <v>3</v>
      </c>
      <c r="EK54" s="43">
        <v>1</v>
      </c>
      <c r="EL54" s="43">
        <v>1</v>
      </c>
      <c r="EM54" s="43">
        <v>0</v>
      </c>
      <c r="EN54" s="43"/>
      <c r="EO54" s="43"/>
      <c r="EP54" s="43"/>
      <c r="EQ54" s="44">
        <f t="shared" si="4"/>
        <v>9</v>
      </c>
      <c r="ER54" s="43">
        <v>0</v>
      </c>
      <c r="ES54" s="43">
        <v>0</v>
      </c>
      <c r="ET54" s="43">
        <v>0</v>
      </c>
      <c r="EU54" s="43">
        <v>1</v>
      </c>
      <c r="EV54" s="43">
        <v>0</v>
      </c>
      <c r="EW54" s="43">
        <v>0</v>
      </c>
      <c r="EX54" s="43">
        <v>0</v>
      </c>
      <c r="EY54" s="43">
        <v>0</v>
      </c>
      <c r="EZ54" s="43">
        <v>0</v>
      </c>
      <c r="FA54" s="43"/>
      <c r="FB54" s="43"/>
      <c r="FC54" s="43"/>
      <c r="FD54" s="43">
        <f t="shared" si="5"/>
        <v>1</v>
      </c>
      <c r="FE54" s="73">
        <f t="shared" si="6"/>
        <v>0</v>
      </c>
      <c r="FF54" s="73">
        <f t="shared" si="7"/>
        <v>0</v>
      </c>
      <c r="FG54" s="38"/>
    </row>
    <row r="55" spans="1:163" x14ac:dyDescent="0.25">
      <c r="A55" s="53">
        <v>40330</v>
      </c>
      <c r="B55" s="53" t="s">
        <v>133</v>
      </c>
      <c r="C55" s="53" t="s">
        <v>131</v>
      </c>
      <c r="D55" s="53" t="s">
        <v>348</v>
      </c>
      <c r="E55" s="54">
        <v>2711</v>
      </c>
      <c r="F55" s="58">
        <v>3</v>
      </c>
      <c r="G55" s="59" t="s">
        <v>341</v>
      </c>
      <c r="H55" s="6">
        <v>0</v>
      </c>
      <c r="I55" s="6">
        <v>1</v>
      </c>
      <c r="J55" s="60">
        <v>4</v>
      </c>
      <c r="K55" s="6">
        <v>5</v>
      </c>
      <c r="L55" s="6">
        <v>4</v>
      </c>
      <c r="M55" s="6">
        <v>4</v>
      </c>
      <c r="N55" s="6">
        <v>4</v>
      </c>
      <c r="O55" s="6">
        <v>4</v>
      </c>
      <c r="P55" s="6">
        <v>0</v>
      </c>
      <c r="Q55" s="6">
        <v>0</v>
      </c>
      <c r="R55" s="6">
        <v>21</v>
      </c>
      <c r="S55" s="6">
        <v>89</v>
      </c>
      <c r="T55" s="6">
        <v>49</v>
      </c>
      <c r="U55" s="6">
        <v>0</v>
      </c>
      <c r="V55" s="61">
        <v>0</v>
      </c>
      <c r="W55" s="62">
        <v>0</v>
      </c>
      <c r="X55" s="62">
        <v>0</v>
      </c>
      <c r="Y55" s="62">
        <v>0</v>
      </c>
      <c r="Z55" s="62">
        <v>0</v>
      </c>
      <c r="AA55" s="62">
        <v>0</v>
      </c>
      <c r="AB55" s="63">
        <v>4</v>
      </c>
      <c r="AC55" s="62">
        <v>5</v>
      </c>
      <c r="AD55" s="62">
        <v>0</v>
      </c>
      <c r="AE55" s="62">
        <v>0</v>
      </c>
      <c r="AF55" s="62">
        <v>1</v>
      </c>
      <c r="AG55" s="62">
        <v>1</v>
      </c>
      <c r="AH55" s="62">
        <v>0</v>
      </c>
      <c r="AI55" s="62">
        <v>0</v>
      </c>
      <c r="AJ55" s="62">
        <v>15</v>
      </c>
      <c r="AK55" s="62">
        <v>59</v>
      </c>
      <c r="AL55" s="62">
        <v>37</v>
      </c>
      <c r="AM55" s="1" t="s">
        <v>401</v>
      </c>
      <c r="AN55" s="78">
        <v>4</v>
      </c>
      <c r="AO55" s="78">
        <v>0</v>
      </c>
      <c r="AP55" s="78">
        <v>1</v>
      </c>
      <c r="AQ55" s="78">
        <v>0</v>
      </c>
      <c r="AR55" s="78">
        <v>0</v>
      </c>
      <c r="AS55" s="78">
        <v>1</v>
      </c>
      <c r="AT55" s="78">
        <v>0</v>
      </c>
      <c r="AU55" s="78">
        <v>0</v>
      </c>
      <c r="AV55" s="76">
        <v>1</v>
      </c>
      <c r="AW55" s="1" t="s">
        <v>387</v>
      </c>
      <c r="AX55" s="78">
        <v>4</v>
      </c>
      <c r="AY55" s="78">
        <v>1</v>
      </c>
      <c r="AZ55" s="78">
        <v>1</v>
      </c>
      <c r="BA55" s="78">
        <v>0</v>
      </c>
      <c r="BB55" s="78">
        <v>0</v>
      </c>
      <c r="BC55" s="78">
        <v>0</v>
      </c>
      <c r="BD55" s="78">
        <v>0</v>
      </c>
      <c r="BE55" s="78">
        <v>0</v>
      </c>
      <c r="BF55" s="76">
        <v>2</v>
      </c>
      <c r="BG55" s="1" t="s">
        <v>388</v>
      </c>
      <c r="BH55" s="78">
        <v>4</v>
      </c>
      <c r="BI55" s="78">
        <v>0</v>
      </c>
      <c r="BJ55" s="78">
        <v>1</v>
      </c>
      <c r="BK55" s="78">
        <v>0</v>
      </c>
      <c r="BL55" s="78">
        <v>0</v>
      </c>
      <c r="BM55" s="78">
        <v>0</v>
      </c>
      <c r="BN55" s="78">
        <v>0</v>
      </c>
      <c r="BO55" s="78">
        <v>0</v>
      </c>
      <c r="BP55" s="76">
        <v>1</v>
      </c>
      <c r="BQ55" s="1" t="s">
        <v>332</v>
      </c>
      <c r="BR55" s="78">
        <v>2</v>
      </c>
      <c r="BS55" s="78">
        <v>0</v>
      </c>
      <c r="BT55" s="78">
        <v>1</v>
      </c>
      <c r="BU55" s="78">
        <v>1</v>
      </c>
      <c r="BV55" s="78">
        <v>1</v>
      </c>
      <c r="BW55" s="78">
        <v>0</v>
      </c>
      <c r="BX55" s="78">
        <v>0</v>
      </c>
      <c r="BY55" s="78">
        <v>1</v>
      </c>
      <c r="BZ55" s="76">
        <v>1</v>
      </c>
      <c r="CA55" s="1" t="s">
        <v>400</v>
      </c>
      <c r="CB55" s="78">
        <v>4</v>
      </c>
      <c r="CC55" s="78">
        <v>1</v>
      </c>
      <c r="CD55" s="78">
        <v>2</v>
      </c>
      <c r="CE55" s="78">
        <v>0</v>
      </c>
      <c r="CF55" s="78">
        <v>0</v>
      </c>
      <c r="CG55" s="78">
        <v>0</v>
      </c>
      <c r="CH55" s="78">
        <v>0</v>
      </c>
      <c r="CI55" s="78">
        <v>0</v>
      </c>
      <c r="CJ55" s="76">
        <v>2</v>
      </c>
      <c r="CK55" s="1" t="s">
        <v>344</v>
      </c>
      <c r="CL55" s="78">
        <v>4</v>
      </c>
      <c r="CM55" s="78">
        <v>0</v>
      </c>
      <c r="CN55" s="78">
        <v>1</v>
      </c>
      <c r="CO55" s="78">
        <v>1</v>
      </c>
      <c r="CP55" s="78">
        <v>0</v>
      </c>
      <c r="CQ55" s="78">
        <v>2</v>
      </c>
      <c r="CR55" s="78">
        <v>0</v>
      </c>
      <c r="CS55" s="78">
        <v>0</v>
      </c>
      <c r="CT55" s="76">
        <v>2</v>
      </c>
      <c r="CU55" s="1" t="s">
        <v>399</v>
      </c>
      <c r="CV55" s="78">
        <v>3</v>
      </c>
      <c r="CW55" s="78">
        <v>1</v>
      </c>
      <c r="CX55" s="78">
        <v>0</v>
      </c>
      <c r="CY55" s="78">
        <v>0</v>
      </c>
      <c r="CZ55" s="78">
        <v>0</v>
      </c>
      <c r="DA55" s="78">
        <v>1</v>
      </c>
      <c r="DB55" s="78">
        <v>1</v>
      </c>
      <c r="DC55" s="78">
        <v>0</v>
      </c>
      <c r="DD55" s="76">
        <v>0</v>
      </c>
      <c r="DE55" s="1" t="s">
        <v>331</v>
      </c>
      <c r="DF55" s="78">
        <v>3</v>
      </c>
      <c r="DG55" s="78">
        <v>0</v>
      </c>
      <c r="DH55" s="78">
        <v>0</v>
      </c>
      <c r="DI55" s="78">
        <v>0</v>
      </c>
      <c r="DJ55" s="78">
        <v>1</v>
      </c>
      <c r="DK55" s="78">
        <v>0</v>
      </c>
      <c r="DL55" s="78">
        <v>0</v>
      </c>
      <c r="DM55" s="78">
        <v>0</v>
      </c>
      <c r="DN55" s="76">
        <v>0</v>
      </c>
      <c r="DO55" s="1" t="s">
        <v>336</v>
      </c>
      <c r="DP55" s="78">
        <v>4</v>
      </c>
      <c r="DQ55" s="78">
        <v>0</v>
      </c>
      <c r="DR55" s="78">
        <v>1</v>
      </c>
      <c r="DS55" s="78">
        <v>1</v>
      </c>
      <c r="DT55" s="78">
        <v>0</v>
      </c>
      <c r="DU55" s="78">
        <v>1</v>
      </c>
      <c r="DV55" s="78">
        <v>0</v>
      </c>
      <c r="DW55" s="78">
        <v>0</v>
      </c>
      <c r="DX55" s="76">
        <v>1</v>
      </c>
      <c r="DY55" s="77">
        <f>1+1/3</f>
        <v>1.3333333333333333</v>
      </c>
      <c r="DZ55" s="43">
        <v>1</v>
      </c>
      <c r="EA55" s="43">
        <v>0</v>
      </c>
      <c r="EB55" s="45">
        <f>7+2/3</f>
        <v>7.666666666666667</v>
      </c>
      <c r="EC55" s="43">
        <v>4</v>
      </c>
      <c r="ED55" s="44">
        <v>1</v>
      </c>
      <c r="EE55" s="71">
        <v>0</v>
      </c>
      <c r="EF55" s="43">
        <v>1</v>
      </c>
      <c r="EG55" s="43">
        <v>0</v>
      </c>
      <c r="EH55" s="43">
        <v>0</v>
      </c>
      <c r="EI55" s="43">
        <v>0</v>
      </c>
      <c r="EJ55" s="43">
        <v>0</v>
      </c>
      <c r="EK55" s="43">
        <v>1</v>
      </c>
      <c r="EL55" s="43">
        <v>1</v>
      </c>
      <c r="EM55" s="43">
        <v>0</v>
      </c>
      <c r="EN55" s="43"/>
      <c r="EO55" s="43"/>
      <c r="EP55" s="43"/>
      <c r="EQ55" s="44">
        <f t="shared" si="4"/>
        <v>3</v>
      </c>
      <c r="ER55" s="43">
        <v>0</v>
      </c>
      <c r="ES55" s="43">
        <v>0</v>
      </c>
      <c r="ET55" s="43">
        <v>0</v>
      </c>
      <c r="EU55" s="43">
        <v>4</v>
      </c>
      <c r="EV55" s="43">
        <v>0</v>
      </c>
      <c r="EW55" s="43">
        <v>0</v>
      </c>
      <c r="EX55" s="43">
        <v>0</v>
      </c>
      <c r="EY55" s="43">
        <v>0</v>
      </c>
      <c r="EZ55" s="43"/>
      <c r="FA55" s="43"/>
      <c r="FB55" s="43"/>
      <c r="FC55" s="43"/>
      <c r="FD55" s="43">
        <f t="shared" si="5"/>
        <v>4</v>
      </c>
      <c r="FE55" s="73">
        <f t="shared" si="6"/>
        <v>0</v>
      </c>
      <c r="FF55" s="73">
        <f t="shared" si="7"/>
        <v>0</v>
      </c>
      <c r="FG55" s="38"/>
    </row>
    <row r="56" spans="1:163" x14ac:dyDescent="0.25">
      <c r="A56" s="53">
        <v>40331</v>
      </c>
      <c r="B56" s="53" t="s">
        <v>133</v>
      </c>
      <c r="C56" s="53" t="s">
        <v>129</v>
      </c>
      <c r="D56" s="53" t="s">
        <v>348</v>
      </c>
      <c r="E56" s="54">
        <v>3027</v>
      </c>
      <c r="F56" s="58">
        <v>4</v>
      </c>
      <c r="G56" s="59" t="s">
        <v>334</v>
      </c>
      <c r="H56" s="6">
        <v>1</v>
      </c>
      <c r="I56" s="6">
        <v>0</v>
      </c>
      <c r="J56" s="60">
        <v>7</v>
      </c>
      <c r="K56" s="6">
        <v>4</v>
      </c>
      <c r="L56" s="6">
        <v>0</v>
      </c>
      <c r="M56" s="6">
        <v>0</v>
      </c>
      <c r="N56" s="6">
        <v>2</v>
      </c>
      <c r="O56" s="6">
        <v>5</v>
      </c>
      <c r="P56" s="6">
        <v>0</v>
      </c>
      <c r="Q56" s="6">
        <v>0</v>
      </c>
      <c r="R56" s="6">
        <v>26</v>
      </c>
      <c r="S56" s="6">
        <v>90</v>
      </c>
      <c r="T56" s="6">
        <v>57</v>
      </c>
      <c r="U56" s="6">
        <v>0</v>
      </c>
      <c r="V56" s="61">
        <v>0</v>
      </c>
      <c r="W56" s="62">
        <v>0</v>
      </c>
      <c r="X56" s="62">
        <v>0</v>
      </c>
      <c r="Y56" s="62">
        <v>0</v>
      </c>
      <c r="Z56" s="62">
        <v>0</v>
      </c>
      <c r="AA56" s="62">
        <v>0</v>
      </c>
      <c r="AB56" s="63">
        <v>2</v>
      </c>
      <c r="AC56" s="62">
        <v>1</v>
      </c>
      <c r="AD56" s="62">
        <v>0</v>
      </c>
      <c r="AE56" s="62">
        <v>0</v>
      </c>
      <c r="AF56" s="62">
        <v>0</v>
      </c>
      <c r="AG56" s="62">
        <v>1</v>
      </c>
      <c r="AH56" s="62">
        <v>0</v>
      </c>
      <c r="AI56" s="62">
        <v>0</v>
      </c>
      <c r="AJ56" s="62">
        <v>7</v>
      </c>
      <c r="AK56" s="62">
        <v>36</v>
      </c>
      <c r="AL56" s="62">
        <v>25</v>
      </c>
      <c r="AM56" s="1" t="s">
        <v>345</v>
      </c>
      <c r="AN56" s="78">
        <v>5</v>
      </c>
      <c r="AO56" s="78">
        <v>1</v>
      </c>
      <c r="AP56" s="78">
        <v>1</v>
      </c>
      <c r="AQ56" s="78">
        <v>0</v>
      </c>
      <c r="AR56" s="78">
        <v>0</v>
      </c>
      <c r="AS56" s="78">
        <v>0</v>
      </c>
      <c r="AT56" s="78">
        <v>0</v>
      </c>
      <c r="AU56" s="78">
        <v>0</v>
      </c>
      <c r="AV56" s="76">
        <v>2</v>
      </c>
      <c r="AW56" s="1" t="s">
        <v>387</v>
      </c>
      <c r="AX56" s="78">
        <v>4</v>
      </c>
      <c r="AY56" s="78">
        <v>1</v>
      </c>
      <c r="AZ56" s="78">
        <v>1</v>
      </c>
      <c r="BA56" s="78">
        <v>0</v>
      </c>
      <c r="BB56" s="78">
        <v>1</v>
      </c>
      <c r="BC56" s="78">
        <v>0</v>
      </c>
      <c r="BD56" s="78">
        <v>0</v>
      </c>
      <c r="BE56" s="78">
        <v>0</v>
      </c>
      <c r="BF56" s="76">
        <v>1</v>
      </c>
      <c r="BG56" s="1" t="s">
        <v>400</v>
      </c>
      <c r="BH56" s="78">
        <v>5</v>
      </c>
      <c r="BI56" s="78">
        <v>0</v>
      </c>
      <c r="BJ56" s="78">
        <v>0</v>
      </c>
      <c r="BK56" s="78">
        <v>0</v>
      </c>
      <c r="BL56" s="78">
        <v>0</v>
      </c>
      <c r="BM56" s="78">
        <v>2</v>
      </c>
      <c r="BN56" s="78">
        <v>0</v>
      </c>
      <c r="BO56" s="78">
        <v>0</v>
      </c>
      <c r="BP56" s="76">
        <v>0</v>
      </c>
      <c r="BQ56" s="1" t="s">
        <v>332</v>
      </c>
      <c r="BR56" s="78">
        <v>4</v>
      </c>
      <c r="BS56" s="78">
        <v>1</v>
      </c>
      <c r="BT56" s="78">
        <v>2</v>
      </c>
      <c r="BU56" s="78">
        <v>3</v>
      </c>
      <c r="BV56" s="78">
        <v>0</v>
      </c>
      <c r="BW56" s="78">
        <v>1</v>
      </c>
      <c r="BX56" s="78">
        <v>0</v>
      </c>
      <c r="BY56" s="78">
        <v>0</v>
      </c>
      <c r="BZ56" s="76">
        <v>6</v>
      </c>
      <c r="CA56" s="1" t="s">
        <v>388</v>
      </c>
      <c r="CB56" s="78">
        <v>4</v>
      </c>
      <c r="CC56" s="78">
        <v>0</v>
      </c>
      <c r="CD56" s="78">
        <v>2</v>
      </c>
      <c r="CE56" s="78">
        <v>0</v>
      </c>
      <c r="CF56" s="78">
        <v>0</v>
      </c>
      <c r="CG56" s="78">
        <v>0</v>
      </c>
      <c r="CH56" s="78">
        <v>0</v>
      </c>
      <c r="CI56" s="78">
        <v>0</v>
      </c>
      <c r="CJ56" s="76">
        <v>2</v>
      </c>
      <c r="CK56" s="1" t="s">
        <v>405</v>
      </c>
      <c r="CL56" s="78">
        <v>4</v>
      </c>
      <c r="CM56" s="78">
        <v>0</v>
      </c>
      <c r="CN56" s="78">
        <v>1</v>
      </c>
      <c r="CO56" s="78">
        <v>0</v>
      </c>
      <c r="CP56" s="78">
        <v>0</v>
      </c>
      <c r="CQ56" s="78">
        <v>0</v>
      </c>
      <c r="CR56" s="78">
        <v>0</v>
      </c>
      <c r="CS56" s="78">
        <v>0</v>
      </c>
      <c r="CT56" s="76">
        <v>1</v>
      </c>
      <c r="CU56" s="1" t="s">
        <v>399</v>
      </c>
      <c r="CV56" s="78">
        <v>4</v>
      </c>
      <c r="CW56" s="78">
        <v>1</v>
      </c>
      <c r="CX56" s="78">
        <v>2</v>
      </c>
      <c r="CY56" s="78">
        <v>0</v>
      </c>
      <c r="CZ56" s="78">
        <v>0</v>
      </c>
      <c r="DA56" s="78">
        <v>1</v>
      </c>
      <c r="DB56" s="78">
        <v>0</v>
      </c>
      <c r="DC56" s="78">
        <v>0</v>
      </c>
      <c r="DD56" s="76">
        <v>2</v>
      </c>
      <c r="DE56" s="1" t="s">
        <v>331</v>
      </c>
      <c r="DF56" s="78">
        <v>3</v>
      </c>
      <c r="DG56" s="78">
        <v>0</v>
      </c>
      <c r="DH56" s="78">
        <v>1</v>
      </c>
      <c r="DI56" s="78">
        <v>0</v>
      </c>
      <c r="DJ56" s="78">
        <v>1</v>
      </c>
      <c r="DK56" s="78">
        <v>0</v>
      </c>
      <c r="DL56" s="78">
        <v>0</v>
      </c>
      <c r="DM56" s="78">
        <v>0</v>
      </c>
      <c r="DN56" s="76">
        <v>1</v>
      </c>
      <c r="DO56" s="1" t="s">
        <v>330</v>
      </c>
      <c r="DP56" s="78">
        <v>4</v>
      </c>
      <c r="DQ56" s="78">
        <v>0</v>
      </c>
      <c r="DR56" s="78">
        <v>2</v>
      </c>
      <c r="DS56" s="78">
        <v>1</v>
      </c>
      <c r="DT56" s="78">
        <v>0</v>
      </c>
      <c r="DU56" s="78">
        <v>1</v>
      </c>
      <c r="DV56" s="78">
        <v>0</v>
      </c>
      <c r="DW56" s="78">
        <v>0</v>
      </c>
      <c r="DX56" s="76">
        <v>2</v>
      </c>
      <c r="DY56" s="77">
        <v>1</v>
      </c>
      <c r="DZ56" s="43">
        <v>0</v>
      </c>
      <c r="EA56" s="43">
        <v>0</v>
      </c>
      <c r="EB56" s="45">
        <v>8</v>
      </c>
      <c r="EC56" s="43">
        <v>1</v>
      </c>
      <c r="ED56" s="44">
        <v>0</v>
      </c>
      <c r="EE56" s="71">
        <v>0</v>
      </c>
      <c r="EF56" s="43">
        <v>0</v>
      </c>
      <c r="EG56" s="43">
        <v>0</v>
      </c>
      <c r="EH56" s="43">
        <v>0</v>
      </c>
      <c r="EI56" s="43">
        <v>1</v>
      </c>
      <c r="EJ56" s="43">
        <v>2</v>
      </c>
      <c r="EK56" s="43">
        <v>1</v>
      </c>
      <c r="EL56" s="43">
        <v>0</v>
      </c>
      <c r="EM56" s="43">
        <v>0</v>
      </c>
      <c r="EN56" s="43"/>
      <c r="EO56" s="43"/>
      <c r="EP56" s="43"/>
      <c r="EQ56" s="44">
        <f t="shared" si="4"/>
        <v>4</v>
      </c>
      <c r="ER56" s="43">
        <v>0</v>
      </c>
      <c r="ES56" s="43">
        <v>0</v>
      </c>
      <c r="ET56" s="43">
        <v>0</v>
      </c>
      <c r="EU56" s="43">
        <v>0</v>
      </c>
      <c r="EV56" s="43">
        <v>0</v>
      </c>
      <c r="EW56" s="43">
        <v>0</v>
      </c>
      <c r="EX56" s="43">
        <v>0</v>
      </c>
      <c r="EY56" s="43">
        <v>0</v>
      </c>
      <c r="EZ56" s="43">
        <v>0</v>
      </c>
      <c r="FA56" s="43"/>
      <c r="FB56" s="43"/>
      <c r="FC56" s="43"/>
      <c r="FD56" s="43">
        <f t="shared" si="5"/>
        <v>0</v>
      </c>
      <c r="FE56" s="73">
        <f t="shared" si="6"/>
        <v>0</v>
      </c>
      <c r="FF56" s="73">
        <f t="shared" si="7"/>
        <v>0</v>
      </c>
      <c r="FG56" s="38"/>
    </row>
    <row r="57" spans="1:163" x14ac:dyDescent="0.25">
      <c r="A57" s="53">
        <v>40332</v>
      </c>
      <c r="B57" s="53" t="s">
        <v>133</v>
      </c>
      <c r="C57" s="53" t="s">
        <v>129</v>
      </c>
      <c r="D57" s="53" t="s">
        <v>348</v>
      </c>
      <c r="E57" s="54">
        <v>3082</v>
      </c>
      <c r="F57" s="58">
        <v>5</v>
      </c>
      <c r="G57" s="59" t="s">
        <v>339</v>
      </c>
      <c r="H57" s="6">
        <v>1</v>
      </c>
      <c r="I57" s="6">
        <v>0</v>
      </c>
      <c r="J57" s="60">
        <v>5</v>
      </c>
      <c r="K57" s="6">
        <v>6</v>
      </c>
      <c r="L57" s="6">
        <v>3</v>
      </c>
      <c r="M57" s="6">
        <v>3</v>
      </c>
      <c r="N57" s="6">
        <v>1</v>
      </c>
      <c r="O57" s="6">
        <v>4</v>
      </c>
      <c r="P57" s="6">
        <v>0</v>
      </c>
      <c r="Q57" s="6">
        <v>0</v>
      </c>
      <c r="R57" s="6">
        <v>22</v>
      </c>
      <c r="S57" s="6">
        <v>90</v>
      </c>
      <c r="T57" s="6">
        <v>57</v>
      </c>
      <c r="U57" s="6">
        <v>0</v>
      </c>
      <c r="V57" s="61">
        <v>0</v>
      </c>
      <c r="W57" s="62">
        <v>0</v>
      </c>
      <c r="X57" s="62">
        <v>0</v>
      </c>
      <c r="Y57" s="62">
        <v>1</v>
      </c>
      <c r="Z57" s="62">
        <v>0</v>
      </c>
      <c r="AA57" s="62">
        <v>0</v>
      </c>
      <c r="AB57" s="63">
        <v>4</v>
      </c>
      <c r="AC57" s="62">
        <v>2</v>
      </c>
      <c r="AD57" s="62">
        <v>0</v>
      </c>
      <c r="AE57" s="62">
        <v>0</v>
      </c>
      <c r="AF57" s="62">
        <v>0</v>
      </c>
      <c r="AG57" s="62">
        <v>2</v>
      </c>
      <c r="AH57" s="62">
        <v>0</v>
      </c>
      <c r="AI57" s="62">
        <v>0</v>
      </c>
      <c r="AJ57" s="62">
        <v>13</v>
      </c>
      <c r="AK57" s="62">
        <v>49</v>
      </c>
      <c r="AL57" s="62">
        <v>32</v>
      </c>
      <c r="AM57" s="1" t="s">
        <v>401</v>
      </c>
      <c r="AN57" s="78">
        <v>6</v>
      </c>
      <c r="AO57" s="78">
        <v>2</v>
      </c>
      <c r="AP57" s="78">
        <v>3</v>
      </c>
      <c r="AQ57" s="78">
        <v>0</v>
      </c>
      <c r="AR57" s="78">
        <v>0</v>
      </c>
      <c r="AS57" s="78">
        <v>1</v>
      </c>
      <c r="AT57" s="78">
        <v>0</v>
      </c>
      <c r="AU57" s="78">
        <v>0</v>
      </c>
      <c r="AV57" s="76">
        <v>3</v>
      </c>
      <c r="AW57" s="1" t="s">
        <v>345</v>
      </c>
      <c r="AX57" s="78">
        <v>4</v>
      </c>
      <c r="AY57" s="78">
        <v>1</v>
      </c>
      <c r="AZ57" s="78">
        <v>1</v>
      </c>
      <c r="BA57" s="78">
        <v>0</v>
      </c>
      <c r="BB57" s="78">
        <v>0</v>
      </c>
      <c r="BC57" s="78">
        <v>0</v>
      </c>
      <c r="BD57" s="78">
        <v>0</v>
      </c>
      <c r="BE57" s="78">
        <v>0</v>
      </c>
      <c r="BF57" s="76">
        <v>1</v>
      </c>
      <c r="BG57" s="1" t="s">
        <v>387</v>
      </c>
      <c r="BH57" s="78">
        <v>5</v>
      </c>
      <c r="BI57" s="78">
        <v>2</v>
      </c>
      <c r="BJ57" s="78">
        <v>2</v>
      </c>
      <c r="BK57" s="78">
        <v>5</v>
      </c>
      <c r="BL57" s="78">
        <v>0</v>
      </c>
      <c r="BM57" s="78">
        <v>1</v>
      </c>
      <c r="BN57" s="78">
        <v>0</v>
      </c>
      <c r="BO57" s="78">
        <v>0</v>
      </c>
      <c r="BP57" s="76">
        <v>5</v>
      </c>
      <c r="BQ57" s="1" t="s">
        <v>388</v>
      </c>
      <c r="BR57" s="78">
        <v>5</v>
      </c>
      <c r="BS57" s="78">
        <v>1</v>
      </c>
      <c r="BT57" s="78">
        <v>2</v>
      </c>
      <c r="BU57" s="78">
        <v>0</v>
      </c>
      <c r="BV57" s="78">
        <v>0</v>
      </c>
      <c r="BW57" s="78">
        <v>1</v>
      </c>
      <c r="BX57" s="78">
        <v>0</v>
      </c>
      <c r="BY57" s="78">
        <v>0</v>
      </c>
      <c r="BZ57" s="76">
        <v>2</v>
      </c>
      <c r="CA57" s="1" t="s">
        <v>405</v>
      </c>
      <c r="CB57" s="78">
        <v>5</v>
      </c>
      <c r="CC57" s="78">
        <v>2</v>
      </c>
      <c r="CD57" s="78">
        <v>3</v>
      </c>
      <c r="CE57" s="78">
        <v>3</v>
      </c>
      <c r="CF57" s="78">
        <v>0</v>
      </c>
      <c r="CG57" s="78">
        <v>0</v>
      </c>
      <c r="CH57" s="78">
        <v>0</v>
      </c>
      <c r="CI57" s="78">
        <v>0</v>
      </c>
      <c r="CJ57" s="76">
        <v>7</v>
      </c>
      <c r="CK57" s="1" t="s">
        <v>400</v>
      </c>
      <c r="CL57" s="78">
        <v>4</v>
      </c>
      <c r="CM57" s="78">
        <v>1</v>
      </c>
      <c r="CN57" s="78">
        <v>1</v>
      </c>
      <c r="CO57" s="78">
        <v>0</v>
      </c>
      <c r="CP57" s="78">
        <v>1</v>
      </c>
      <c r="CQ57" s="78">
        <v>0</v>
      </c>
      <c r="CR57" s="78">
        <v>0</v>
      </c>
      <c r="CS57" s="78">
        <v>0</v>
      </c>
      <c r="CT57" s="76">
        <v>1</v>
      </c>
      <c r="CU57" s="1" t="s">
        <v>331</v>
      </c>
      <c r="CV57" s="78">
        <v>5</v>
      </c>
      <c r="CW57" s="78">
        <v>0</v>
      </c>
      <c r="CX57" s="78">
        <v>1</v>
      </c>
      <c r="CY57" s="78">
        <v>0</v>
      </c>
      <c r="CZ57" s="78">
        <v>0</v>
      </c>
      <c r="DA57" s="78">
        <v>1</v>
      </c>
      <c r="DB57" s="78">
        <v>0</v>
      </c>
      <c r="DC57" s="78">
        <v>0</v>
      </c>
      <c r="DD57" s="76">
        <v>1</v>
      </c>
      <c r="DE57" s="1" t="s">
        <v>336</v>
      </c>
      <c r="DF57" s="78">
        <v>5</v>
      </c>
      <c r="DG57" s="78">
        <v>1</v>
      </c>
      <c r="DH57" s="78">
        <v>4</v>
      </c>
      <c r="DI57" s="78">
        <v>3</v>
      </c>
      <c r="DJ57" s="78">
        <v>0</v>
      </c>
      <c r="DK57" s="78">
        <v>1</v>
      </c>
      <c r="DL57" s="78">
        <v>0</v>
      </c>
      <c r="DM57" s="78">
        <v>0</v>
      </c>
      <c r="DN57" s="76">
        <v>7</v>
      </c>
      <c r="DO57" s="1" t="s">
        <v>330</v>
      </c>
      <c r="DP57" s="78">
        <v>5</v>
      </c>
      <c r="DQ57" s="78">
        <v>1</v>
      </c>
      <c r="DR57" s="78">
        <v>2</v>
      </c>
      <c r="DS57" s="78">
        <v>0</v>
      </c>
      <c r="DT57" s="78">
        <v>0</v>
      </c>
      <c r="DU57" s="78">
        <v>3</v>
      </c>
      <c r="DV57" s="78">
        <v>0</v>
      </c>
      <c r="DW57" s="78">
        <v>0</v>
      </c>
      <c r="DX57" s="76">
        <v>2</v>
      </c>
      <c r="DY57" s="77">
        <f>2/3</f>
        <v>0.66666666666666663</v>
      </c>
      <c r="DZ57" s="43">
        <v>0</v>
      </c>
      <c r="EA57" s="43">
        <v>0</v>
      </c>
      <c r="EB57" s="45">
        <f>7+1/3</f>
        <v>7.333333333333333</v>
      </c>
      <c r="EC57" s="43">
        <v>0</v>
      </c>
      <c r="ED57" s="44">
        <v>0</v>
      </c>
      <c r="EE57" s="71">
        <v>0</v>
      </c>
      <c r="EF57" s="43">
        <v>1</v>
      </c>
      <c r="EG57" s="43">
        <v>3</v>
      </c>
      <c r="EH57" s="43">
        <v>0</v>
      </c>
      <c r="EI57" s="43">
        <v>0</v>
      </c>
      <c r="EJ57" s="43">
        <v>0</v>
      </c>
      <c r="EK57" s="43">
        <v>7</v>
      </c>
      <c r="EL57" s="43">
        <v>0</v>
      </c>
      <c r="EM57" s="43">
        <v>0</v>
      </c>
      <c r="EN57" s="43"/>
      <c r="EO57" s="43"/>
      <c r="EP57" s="43"/>
      <c r="EQ57" s="44">
        <f t="shared" si="4"/>
        <v>11</v>
      </c>
      <c r="ER57" s="43">
        <v>0</v>
      </c>
      <c r="ES57" s="43">
        <v>0</v>
      </c>
      <c r="ET57" s="43">
        <v>3</v>
      </c>
      <c r="EU57" s="43">
        <v>0</v>
      </c>
      <c r="EV57" s="43">
        <v>0</v>
      </c>
      <c r="EW57" s="43">
        <v>0</v>
      </c>
      <c r="EX57" s="43">
        <v>0</v>
      </c>
      <c r="EY57" s="43">
        <v>0</v>
      </c>
      <c r="EZ57" s="43">
        <v>0</v>
      </c>
      <c r="FA57" s="43"/>
      <c r="FB57" s="43"/>
      <c r="FC57" s="43"/>
      <c r="FD57" s="43">
        <f t="shared" si="5"/>
        <v>3</v>
      </c>
      <c r="FE57" s="73">
        <f t="shared" si="6"/>
        <v>0</v>
      </c>
      <c r="FF57" s="73">
        <f t="shared" si="7"/>
        <v>0</v>
      </c>
      <c r="FG57" s="38"/>
    </row>
    <row r="58" spans="1:163" x14ac:dyDescent="0.25">
      <c r="A58" s="53">
        <v>40333</v>
      </c>
      <c r="B58" s="53" t="s">
        <v>133</v>
      </c>
      <c r="C58" s="53" t="s">
        <v>129</v>
      </c>
      <c r="D58" s="53" t="s">
        <v>347</v>
      </c>
      <c r="E58" s="54">
        <v>4950</v>
      </c>
      <c r="F58" s="58">
        <v>1</v>
      </c>
      <c r="G58" s="59" t="s">
        <v>397</v>
      </c>
      <c r="H58" s="6">
        <v>0</v>
      </c>
      <c r="I58" s="6">
        <v>0</v>
      </c>
      <c r="J58" s="60">
        <v>6</v>
      </c>
      <c r="K58" s="6">
        <v>5</v>
      </c>
      <c r="L58" s="6">
        <v>0</v>
      </c>
      <c r="M58" s="6">
        <v>0</v>
      </c>
      <c r="N58" s="6">
        <v>5</v>
      </c>
      <c r="O58" s="6">
        <v>4</v>
      </c>
      <c r="P58" s="6">
        <v>0</v>
      </c>
      <c r="Q58" s="6">
        <v>0</v>
      </c>
      <c r="R58" s="6">
        <v>25</v>
      </c>
      <c r="S58" s="6">
        <v>86</v>
      </c>
      <c r="T58" s="6">
        <v>50</v>
      </c>
      <c r="U58" s="6">
        <v>0</v>
      </c>
      <c r="V58" s="61">
        <v>0</v>
      </c>
      <c r="W58" s="62">
        <v>1</v>
      </c>
      <c r="X58" s="62">
        <v>0</v>
      </c>
      <c r="Y58" s="62">
        <v>0</v>
      </c>
      <c r="Z58" s="62">
        <v>0</v>
      </c>
      <c r="AA58" s="62">
        <v>0</v>
      </c>
      <c r="AB58" s="63">
        <v>3</v>
      </c>
      <c r="AC58" s="62">
        <v>1</v>
      </c>
      <c r="AD58" s="62">
        <v>0</v>
      </c>
      <c r="AE58" s="62">
        <v>0</v>
      </c>
      <c r="AF58" s="62">
        <v>4</v>
      </c>
      <c r="AG58" s="62">
        <v>3</v>
      </c>
      <c r="AH58" s="62">
        <v>0</v>
      </c>
      <c r="AI58" s="62">
        <v>0</v>
      </c>
      <c r="AJ58" s="62">
        <v>14</v>
      </c>
      <c r="AK58" s="62">
        <v>56</v>
      </c>
      <c r="AL58" s="62">
        <v>26</v>
      </c>
      <c r="AM58" s="1" t="s">
        <v>401</v>
      </c>
      <c r="AN58" s="78">
        <v>5</v>
      </c>
      <c r="AO58" s="78">
        <v>1</v>
      </c>
      <c r="AP58" s="78">
        <v>1</v>
      </c>
      <c r="AQ58" s="78">
        <v>2</v>
      </c>
      <c r="AR58" s="78">
        <v>1</v>
      </c>
      <c r="AS58" s="78">
        <v>1</v>
      </c>
      <c r="AT58" s="78">
        <v>0</v>
      </c>
      <c r="AU58" s="78">
        <v>0</v>
      </c>
      <c r="AV58" s="76">
        <v>2</v>
      </c>
      <c r="AW58" s="1" t="s">
        <v>345</v>
      </c>
      <c r="AX58" s="78">
        <v>6</v>
      </c>
      <c r="AY58" s="78">
        <v>1</v>
      </c>
      <c r="AZ58" s="78">
        <v>3</v>
      </c>
      <c r="BA58" s="78">
        <v>1</v>
      </c>
      <c r="BB58" s="78">
        <v>0</v>
      </c>
      <c r="BC58" s="78">
        <v>2</v>
      </c>
      <c r="BD58" s="78">
        <v>0</v>
      </c>
      <c r="BE58" s="78">
        <v>0</v>
      </c>
      <c r="BF58" s="76">
        <v>4</v>
      </c>
      <c r="BG58" s="1" t="s">
        <v>400</v>
      </c>
      <c r="BH58" s="78">
        <v>3</v>
      </c>
      <c r="BI58" s="78">
        <v>0</v>
      </c>
      <c r="BJ58" s="78">
        <v>1</v>
      </c>
      <c r="BK58" s="78">
        <v>0</v>
      </c>
      <c r="BL58" s="78">
        <v>1</v>
      </c>
      <c r="BM58" s="78">
        <v>0</v>
      </c>
      <c r="BN58" s="78">
        <v>1</v>
      </c>
      <c r="BO58" s="78">
        <v>0</v>
      </c>
      <c r="BP58" s="76">
        <v>1</v>
      </c>
      <c r="BQ58" s="1" t="s">
        <v>332</v>
      </c>
      <c r="BR58" s="78">
        <v>3</v>
      </c>
      <c r="BS58" s="78">
        <v>0</v>
      </c>
      <c r="BT58" s="78">
        <v>0</v>
      </c>
      <c r="BU58" s="78">
        <v>0</v>
      </c>
      <c r="BV58" s="78">
        <v>2</v>
      </c>
      <c r="BW58" s="78">
        <v>0</v>
      </c>
      <c r="BX58" s="78">
        <v>0</v>
      </c>
      <c r="BY58" s="78">
        <v>0</v>
      </c>
      <c r="BZ58" s="76">
        <v>0</v>
      </c>
      <c r="CA58" s="1" t="s">
        <v>344</v>
      </c>
      <c r="CB58" s="78">
        <v>2</v>
      </c>
      <c r="CC58" s="78">
        <v>0</v>
      </c>
      <c r="CD58" s="78">
        <v>0</v>
      </c>
      <c r="CE58" s="78">
        <v>0</v>
      </c>
      <c r="CF58" s="78">
        <v>3</v>
      </c>
      <c r="CG58" s="78">
        <v>2</v>
      </c>
      <c r="CH58" s="78">
        <v>0</v>
      </c>
      <c r="CI58" s="78">
        <v>0</v>
      </c>
      <c r="CJ58" s="76">
        <v>0</v>
      </c>
      <c r="CK58" s="1" t="s">
        <v>331</v>
      </c>
      <c r="CL58" s="78">
        <v>2</v>
      </c>
      <c r="CM58" s="78">
        <v>0</v>
      </c>
      <c r="CN58" s="78">
        <v>0</v>
      </c>
      <c r="CO58" s="78">
        <v>1</v>
      </c>
      <c r="CP58" s="78">
        <v>3</v>
      </c>
      <c r="CQ58" s="78">
        <v>1</v>
      </c>
      <c r="CR58" s="78">
        <v>0</v>
      </c>
      <c r="CS58" s="78">
        <v>0</v>
      </c>
      <c r="CT58" s="76">
        <v>0</v>
      </c>
      <c r="CU58" s="1" t="s">
        <v>399</v>
      </c>
      <c r="CV58" s="78">
        <v>5</v>
      </c>
      <c r="CW58" s="78">
        <v>1</v>
      </c>
      <c r="CX58" s="78">
        <v>1</v>
      </c>
      <c r="CY58" s="78">
        <v>0</v>
      </c>
      <c r="CZ58" s="78">
        <v>0</v>
      </c>
      <c r="DA58" s="78">
        <v>2</v>
      </c>
      <c r="DB58" s="78">
        <v>0</v>
      </c>
      <c r="DC58" s="78">
        <v>0</v>
      </c>
      <c r="DD58" s="76">
        <v>1</v>
      </c>
      <c r="DE58" s="1" t="s">
        <v>407</v>
      </c>
      <c r="DF58" s="78">
        <v>4</v>
      </c>
      <c r="DG58" s="78">
        <v>0</v>
      </c>
      <c r="DH58" s="78">
        <v>0</v>
      </c>
      <c r="DI58" s="78">
        <v>0</v>
      </c>
      <c r="DJ58" s="78">
        <v>0</v>
      </c>
      <c r="DK58" s="78">
        <v>1</v>
      </c>
      <c r="DL58" s="78">
        <v>0</v>
      </c>
      <c r="DM58" s="78">
        <v>0</v>
      </c>
      <c r="DN58" s="76">
        <v>0</v>
      </c>
      <c r="DO58" s="1" t="s">
        <v>330</v>
      </c>
      <c r="DP58" s="78">
        <v>3</v>
      </c>
      <c r="DQ58" s="78">
        <v>1</v>
      </c>
      <c r="DR58" s="78">
        <v>0</v>
      </c>
      <c r="DS58" s="78">
        <v>0</v>
      </c>
      <c r="DT58" s="78">
        <v>2</v>
      </c>
      <c r="DU58" s="78">
        <v>0</v>
      </c>
      <c r="DV58" s="78">
        <v>0</v>
      </c>
      <c r="DW58" s="78">
        <v>0</v>
      </c>
      <c r="DX58" s="76">
        <v>0</v>
      </c>
      <c r="DY58" s="77">
        <v>8</v>
      </c>
      <c r="DZ58" s="43">
        <v>1</v>
      </c>
      <c r="EA58" s="43">
        <v>1</v>
      </c>
      <c r="EB58" s="45">
        <v>1</v>
      </c>
      <c r="EC58" s="43">
        <v>1</v>
      </c>
      <c r="ED58" s="44">
        <v>0</v>
      </c>
      <c r="EE58" s="71">
        <v>0</v>
      </c>
      <c r="EF58" s="43">
        <v>0</v>
      </c>
      <c r="EG58" s="43">
        <v>0</v>
      </c>
      <c r="EH58" s="43">
        <v>0</v>
      </c>
      <c r="EI58" s="43">
        <v>0</v>
      </c>
      <c r="EJ58" s="43">
        <v>0</v>
      </c>
      <c r="EK58" s="43">
        <v>0</v>
      </c>
      <c r="EL58" s="43">
        <v>4</v>
      </c>
      <c r="EM58" s="43">
        <v>0</v>
      </c>
      <c r="EN58" s="43"/>
      <c r="EO58" s="43"/>
      <c r="EP58" s="43"/>
      <c r="EQ58" s="44">
        <f t="shared" si="4"/>
        <v>4</v>
      </c>
      <c r="ER58" s="43">
        <v>0</v>
      </c>
      <c r="ES58" s="43">
        <v>0</v>
      </c>
      <c r="ET58" s="43">
        <v>0</v>
      </c>
      <c r="EU58" s="43">
        <v>0</v>
      </c>
      <c r="EV58" s="43">
        <v>0</v>
      </c>
      <c r="EW58" s="43">
        <v>0</v>
      </c>
      <c r="EX58" s="43">
        <v>0</v>
      </c>
      <c r="EY58" s="43">
        <v>0</v>
      </c>
      <c r="EZ58" s="43">
        <v>0</v>
      </c>
      <c r="FA58" s="43"/>
      <c r="FB58" s="43"/>
      <c r="FC58" s="43"/>
      <c r="FD58" s="43">
        <f t="shared" si="5"/>
        <v>0</v>
      </c>
      <c r="FE58" s="73">
        <f t="shared" si="6"/>
        <v>0</v>
      </c>
      <c r="FF58" s="73">
        <f t="shared" si="7"/>
        <v>0</v>
      </c>
      <c r="FG58" s="38"/>
    </row>
    <row r="59" spans="1:163" x14ac:dyDescent="0.25">
      <c r="A59" s="53">
        <v>40334</v>
      </c>
      <c r="B59" s="53" t="s">
        <v>133</v>
      </c>
      <c r="C59" s="53" t="s">
        <v>129</v>
      </c>
      <c r="D59" s="53" t="s">
        <v>347</v>
      </c>
      <c r="E59" s="54">
        <v>6965</v>
      </c>
      <c r="F59" s="58">
        <v>2</v>
      </c>
      <c r="G59" s="59" t="s">
        <v>337</v>
      </c>
      <c r="H59" s="6">
        <v>1</v>
      </c>
      <c r="I59" s="6">
        <v>0</v>
      </c>
      <c r="J59" s="60">
        <v>6</v>
      </c>
      <c r="K59" s="6">
        <v>1</v>
      </c>
      <c r="L59" s="6">
        <v>1</v>
      </c>
      <c r="M59" s="6">
        <v>1</v>
      </c>
      <c r="N59" s="6">
        <v>2</v>
      </c>
      <c r="O59" s="6">
        <v>2</v>
      </c>
      <c r="P59" s="6">
        <v>1</v>
      </c>
      <c r="Q59" s="6">
        <v>1</v>
      </c>
      <c r="R59" s="6">
        <v>22</v>
      </c>
      <c r="S59" s="6">
        <v>94</v>
      </c>
      <c r="T59" s="6">
        <v>52</v>
      </c>
      <c r="U59" s="6">
        <v>0</v>
      </c>
      <c r="V59" s="61">
        <v>0</v>
      </c>
      <c r="W59" s="62">
        <v>0</v>
      </c>
      <c r="X59" s="62">
        <v>0</v>
      </c>
      <c r="Y59" s="62">
        <v>0</v>
      </c>
      <c r="Z59" s="62">
        <v>0</v>
      </c>
      <c r="AA59" s="62">
        <v>0</v>
      </c>
      <c r="AB59" s="63">
        <v>3</v>
      </c>
      <c r="AC59" s="62">
        <v>4</v>
      </c>
      <c r="AD59" s="62">
        <v>0</v>
      </c>
      <c r="AE59" s="62">
        <v>0</v>
      </c>
      <c r="AF59" s="62">
        <v>0</v>
      </c>
      <c r="AG59" s="62">
        <v>2</v>
      </c>
      <c r="AH59" s="62">
        <v>0</v>
      </c>
      <c r="AI59" s="62">
        <v>0</v>
      </c>
      <c r="AJ59" s="62">
        <v>13</v>
      </c>
      <c r="AK59" s="62">
        <v>60</v>
      </c>
      <c r="AL59" s="62">
        <v>40</v>
      </c>
      <c r="AM59" s="1" t="s">
        <v>401</v>
      </c>
      <c r="AN59" s="78">
        <v>3</v>
      </c>
      <c r="AO59" s="78">
        <v>1</v>
      </c>
      <c r="AP59" s="78">
        <v>0</v>
      </c>
      <c r="AQ59" s="78">
        <v>1</v>
      </c>
      <c r="AR59" s="78">
        <v>0</v>
      </c>
      <c r="AS59" s="78">
        <v>0</v>
      </c>
      <c r="AT59" s="78">
        <v>1</v>
      </c>
      <c r="AU59" s="78">
        <v>1</v>
      </c>
      <c r="AV59" s="76">
        <v>0</v>
      </c>
      <c r="AW59" s="1" t="s">
        <v>345</v>
      </c>
      <c r="AX59" s="78">
        <v>5</v>
      </c>
      <c r="AY59" s="78">
        <v>0</v>
      </c>
      <c r="AZ59" s="78">
        <v>2</v>
      </c>
      <c r="BA59" s="78">
        <v>1</v>
      </c>
      <c r="BB59" s="78">
        <v>0</v>
      </c>
      <c r="BC59" s="78">
        <v>1</v>
      </c>
      <c r="BD59" s="78">
        <v>0</v>
      </c>
      <c r="BE59" s="78">
        <v>0</v>
      </c>
      <c r="BF59" s="76">
        <v>2</v>
      </c>
      <c r="BG59" s="1" t="s">
        <v>387</v>
      </c>
      <c r="BH59" s="78">
        <v>5</v>
      </c>
      <c r="BI59" s="78">
        <v>0</v>
      </c>
      <c r="BJ59" s="78">
        <v>1</v>
      </c>
      <c r="BK59" s="78">
        <v>0</v>
      </c>
      <c r="BL59" s="78">
        <v>0</v>
      </c>
      <c r="BM59" s="78">
        <v>0</v>
      </c>
      <c r="BN59" s="78">
        <v>0</v>
      </c>
      <c r="BO59" s="78">
        <v>0</v>
      </c>
      <c r="BP59" s="76">
        <v>2</v>
      </c>
      <c r="BQ59" s="1" t="s">
        <v>332</v>
      </c>
      <c r="BR59" s="78">
        <v>4</v>
      </c>
      <c r="BS59" s="78">
        <v>2</v>
      </c>
      <c r="BT59" s="78">
        <v>3</v>
      </c>
      <c r="BU59" s="78">
        <v>1</v>
      </c>
      <c r="BV59" s="78">
        <v>1</v>
      </c>
      <c r="BW59" s="78">
        <v>0</v>
      </c>
      <c r="BX59" s="78">
        <v>0</v>
      </c>
      <c r="BY59" s="78">
        <v>0</v>
      </c>
      <c r="BZ59" s="76">
        <v>5</v>
      </c>
      <c r="CA59" s="1" t="s">
        <v>400</v>
      </c>
      <c r="CB59" s="78">
        <v>4</v>
      </c>
      <c r="CC59" s="78">
        <v>1</v>
      </c>
      <c r="CD59" s="78">
        <v>1</v>
      </c>
      <c r="CE59" s="78">
        <v>0</v>
      </c>
      <c r="CF59" s="78">
        <v>1</v>
      </c>
      <c r="CG59" s="78">
        <v>3</v>
      </c>
      <c r="CH59" s="78">
        <v>0</v>
      </c>
      <c r="CI59" s="78">
        <v>0</v>
      </c>
      <c r="CJ59" s="76">
        <v>1</v>
      </c>
      <c r="CK59" s="1" t="s">
        <v>405</v>
      </c>
      <c r="CL59" s="78">
        <v>4</v>
      </c>
      <c r="CM59" s="78">
        <v>1</v>
      </c>
      <c r="CN59" s="78">
        <v>2</v>
      </c>
      <c r="CO59" s="78">
        <v>1</v>
      </c>
      <c r="CP59" s="78">
        <v>1</v>
      </c>
      <c r="CQ59" s="78">
        <v>0</v>
      </c>
      <c r="CR59" s="78">
        <v>0</v>
      </c>
      <c r="CS59" s="78">
        <v>0</v>
      </c>
      <c r="CT59" s="76">
        <v>2</v>
      </c>
      <c r="CU59" s="1" t="s">
        <v>344</v>
      </c>
      <c r="CV59" s="78">
        <v>4</v>
      </c>
      <c r="CW59" s="78">
        <v>1</v>
      </c>
      <c r="CX59" s="78">
        <v>0</v>
      </c>
      <c r="CY59" s="78">
        <v>0</v>
      </c>
      <c r="CZ59" s="78">
        <v>1</v>
      </c>
      <c r="DA59" s="78">
        <v>0</v>
      </c>
      <c r="DB59" s="78">
        <v>0</v>
      </c>
      <c r="DC59" s="78">
        <v>0</v>
      </c>
      <c r="DD59" s="76">
        <v>0</v>
      </c>
      <c r="DE59" s="1" t="s">
        <v>399</v>
      </c>
      <c r="DF59" s="78">
        <v>4</v>
      </c>
      <c r="DG59" s="78">
        <v>2</v>
      </c>
      <c r="DH59" s="78">
        <v>0</v>
      </c>
      <c r="DI59" s="78">
        <v>0</v>
      </c>
      <c r="DJ59" s="78">
        <v>0</v>
      </c>
      <c r="DK59" s="78">
        <v>1</v>
      </c>
      <c r="DL59" s="78">
        <v>0</v>
      </c>
      <c r="DM59" s="78">
        <v>0</v>
      </c>
      <c r="DN59" s="76">
        <v>0</v>
      </c>
      <c r="DO59" s="1" t="s">
        <v>407</v>
      </c>
      <c r="DP59" s="78">
        <v>4</v>
      </c>
      <c r="DQ59" s="78">
        <v>0</v>
      </c>
      <c r="DR59" s="78">
        <v>1</v>
      </c>
      <c r="DS59" s="78">
        <v>2</v>
      </c>
      <c r="DT59" s="78">
        <v>0</v>
      </c>
      <c r="DU59" s="78">
        <v>1</v>
      </c>
      <c r="DV59" s="78">
        <v>0</v>
      </c>
      <c r="DW59" s="78">
        <v>0</v>
      </c>
      <c r="DX59" s="76">
        <v>2</v>
      </c>
      <c r="DY59" s="77">
        <v>0</v>
      </c>
      <c r="DZ59" s="43">
        <v>0</v>
      </c>
      <c r="EA59" s="43">
        <v>0</v>
      </c>
      <c r="EB59" s="45">
        <v>9</v>
      </c>
      <c r="EC59" s="43">
        <v>0</v>
      </c>
      <c r="ED59" s="44">
        <v>0</v>
      </c>
      <c r="EE59" s="71">
        <v>0</v>
      </c>
      <c r="EF59" s="43">
        <v>4</v>
      </c>
      <c r="EG59" s="43">
        <v>1</v>
      </c>
      <c r="EH59" s="43">
        <v>1</v>
      </c>
      <c r="EI59" s="43">
        <v>1</v>
      </c>
      <c r="EJ59" s="43">
        <v>1</v>
      </c>
      <c r="EK59" s="43">
        <v>0</v>
      </c>
      <c r="EL59" s="43">
        <v>0</v>
      </c>
      <c r="EM59" s="43">
        <v>0</v>
      </c>
      <c r="EN59" s="43"/>
      <c r="EO59" s="43"/>
      <c r="EP59" s="43"/>
      <c r="EQ59" s="44">
        <f t="shared" si="4"/>
        <v>8</v>
      </c>
      <c r="ER59" s="43">
        <v>0</v>
      </c>
      <c r="ES59" s="43">
        <v>1</v>
      </c>
      <c r="ET59" s="43">
        <v>0</v>
      </c>
      <c r="EU59" s="43">
        <v>0</v>
      </c>
      <c r="EV59" s="43">
        <v>0</v>
      </c>
      <c r="EW59" s="43">
        <v>0</v>
      </c>
      <c r="EX59" s="43">
        <v>0</v>
      </c>
      <c r="EY59" s="43">
        <v>0</v>
      </c>
      <c r="EZ59" s="43">
        <v>0</v>
      </c>
      <c r="FA59" s="43"/>
      <c r="FB59" s="43"/>
      <c r="FC59" s="43"/>
      <c r="FD59" s="43">
        <f t="shared" si="5"/>
        <v>1</v>
      </c>
      <c r="FE59" s="73">
        <f t="shared" si="6"/>
        <v>0</v>
      </c>
      <c r="FF59" s="73">
        <f t="shared" si="7"/>
        <v>0</v>
      </c>
      <c r="FG59" s="38"/>
    </row>
    <row r="60" spans="1:163" x14ac:dyDescent="0.25">
      <c r="A60" s="53">
        <v>40335</v>
      </c>
      <c r="B60" s="53" t="s">
        <v>133</v>
      </c>
      <c r="C60" s="53" t="s">
        <v>131</v>
      </c>
      <c r="D60" s="53" t="s">
        <v>347</v>
      </c>
      <c r="E60" s="54">
        <v>4431</v>
      </c>
      <c r="F60" s="58">
        <v>3</v>
      </c>
      <c r="G60" s="59" t="s">
        <v>341</v>
      </c>
      <c r="H60" s="6">
        <v>0</v>
      </c>
      <c r="I60" s="6">
        <v>1</v>
      </c>
      <c r="J60" s="60">
        <f>4+2/3</f>
        <v>4.666666666666667</v>
      </c>
      <c r="K60" s="6">
        <v>5</v>
      </c>
      <c r="L60" s="6">
        <v>3</v>
      </c>
      <c r="M60" s="6">
        <v>3</v>
      </c>
      <c r="N60" s="6">
        <v>4</v>
      </c>
      <c r="O60" s="6">
        <v>4</v>
      </c>
      <c r="P60" s="6">
        <v>1</v>
      </c>
      <c r="Q60" s="6">
        <v>0</v>
      </c>
      <c r="R60" s="6">
        <v>21</v>
      </c>
      <c r="S60" s="6">
        <v>96</v>
      </c>
      <c r="T60" s="6">
        <v>57</v>
      </c>
      <c r="U60" s="6">
        <v>1</v>
      </c>
      <c r="V60" s="61">
        <v>0</v>
      </c>
      <c r="W60" s="62">
        <v>0</v>
      </c>
      <c r="X60" s="62">
        <v>0</v>
      </c>
      <c r="Y60" s="62">
        <v>0</v>
      </c>
      <c r="Z60" s="62">
        <v>0</v>
      </c>
      <c r="AA60" s="62">
        <v>0</v>
      </c>
      <c r="AB60" s="63">
        <f>3+1/3</f>
        <v>3.3333333333333335</v>
      </c>
      <c r="AC60" s="62">
        <v>4</v>
      </c>
      <c r="AD60" s="62">
        <v>3</v>
      </c>
      <c r="AE60" s="62">
        <v>3</v>
      </c>
      <c r="AF60" s="62">
        <v>5</v>
      </c>
      <c r="AG60" s="62">
        <v>0</v>
      </c>
      <c r="AH60" s="62">
        <v>1</v>
      </c>
      <c r="AI60" s="62">
        <v>0</v>
      </c>
      <c r="AJ60" s="62">
        <v>19</v>
      </c>
      <c r="AK60" s="62">
        <v>77</v>
      </c>
      <c r="AL60" s="62">
        <v>41</v>
      </c>
      <c r="AM60" s="1" t="s">
        <v>345</v>
      </c>
      <c r="AN60" s="78">
        <v>2</v>
      </c>
      <c r="AO60" s="78">
        <v>0</v>
      </c>
      <c r="AP60" s="78">
        <v>0</v>
      </c>
      <c r="AQ60" s="78">
        <v>0</v>
      </c>
      <c r="AR60" s="78">
        <v>2</v>
      </c>
      <c r="AS60" s="78">
        <v>0</v>
      </c>
      <c r="AT60" s="78">
        <v>0</v>
      </c>
      <c r="AU60" s="78">
        <v>0</v>
      </c>
      <c r="AV60" s="76">
        <v>0</v>
      </c>
      <c r="AW60" s="1" t="s">
        <v>387</v>
      </c>
      <c r="AX60" s="78">
        <v>3</v>
      </c>
      <c r="AY60" s="78">
        <v>0</v>
      </c>
      <c r="AZ60" s="78">
        <v>2</v>
      </c>
      <c r="BA60" s="78">
        <v>0</v>
      </c>
      <c r="BB60" s="78">
        <v>1</v>
      </c>
      <c r="BC60" s="78">
        <v>0</v>
      </c>
      <c r="BD60" s="78">
        <v>0</v>
      </c>
      <c r="BE60" s="78">
        <v>0</v>
      </c>
      <c r="BF60" s="76">
        <v>2</v>
      </c>
      <c r="BG60" s="1" t="s">
        <v>331</v>
      </c>
      <c r="BH60" s="78">
        <v>4</v>
      </c>
      <c r="BI60" s="78">
        <v>0</v>
      </c>
      <c r="BJ60" s="78">
        <v>0</v>
      </c>
      <c r="BK60" s="78">
        <v>0</v>
      </c>
      <c r="BL60" s="78">
        <v>0</v>
      </c>
      <c r="BM60" s="78">
        <v>0</v>
      </c>
      <c r="BN60" s="78">
        <v>0</v>
      </c>
      <c r="BO60" s="78">
        <v>0</v>
      </c>
      <c r="BP60" s="76">
        <v>0</v>
      </c>
      <c r="BQ60" s="1" t="s">
        <v>332</v>
      </c>
      <c r="BR60" s="78">
        <v>3</v>
      </c>
      <c r="BS60" s="78">
        <v>1</v>
      </c>
      <c r="BT60" s="78">
        <v>1</v>
      </c>
      <c r="BU60" s="78">
        <v>1</v>
      </c>
      <c r="BV60" s="78">
        <v>1</v>
      </c>
      <c r="BW60" s="78">
        <v>0</v>
      </c>
      <c r="BX60" s="78">
        <v>0</v>
      </c>
      <c r="BY60" s="78">
        <v>0</v>
      </c>
      <c r="BZ60" s="76">
        <v>4</v>
      </c>
      <c r="CA60" s="1" t="s">
        <v>344</v>
      </c>
      <c r="CB60" s="78">
        <v>4</v>
      </c>
      <c r="CC60" s="78">
        <v>1</v>
      </c>
      <c r="CD60" s="78">
        <v>1</v>
      </c>
      <c r="CE60" s="78">
        <v>0</v>
      </c>
      <c r="CF60" s="78">
        <v>0</v>
      </c>
      <c r="CG60" s="78">
        <v>0</v>
      </c>
      <c r="CH60" s="78">
        <v>0</v>
      </c>
      <c r="CI60" s="78">
        <v>0</v>
      </c>
      <c r="CJ60" s="76">
        <v>1</v>
      </c>
      <c r="CK60" s="1" t="s">
        <v>405</v>
      </c>
      <c r="CL60" s="78">
        <v>4</v>
      </c>
      <c r="CM60" s="78">
        <v>0</v>
      </c>
      <c r="CN60" s="78">
        <v>1</v>
      </c>
      <c r="CO60" s="78">
        <v>0</v>
      </c>
      <c r="CP60" s="78">
        <v>0</v>
      </c>
      <c r="CQ60" s="78">
        <v>2</v>
      </c>
      <c r="CR60" s="78">
        <v>0</v>
      </c>
      <c r="CS60" s="78">
        <v>0</v>
      </c>
      <c r="CT60" s="76">
        <v>1</v>
      </c>
      <c r="CU60" s="1" t="s">
        <v>399</v>
      </c>
      <c r="CV60" s="78">
        <v>4</v>
      </c>
      <c r="CW60" s="78">
        <v>0</v>
      </c>
      <c r="CX60" s="78">
        <v>0</v>
      </c>
      <c r="CY60" s="78">
        <v>1</v>
      </c>
      <c r="CZ60" s="78">
        <v>0</v>
      </c>
      <c r="DA60" s="78">
        <v>1</v>
      </c>
      <c r="DB60" s="78">
        <v>0</v>
      </c>
      <c r="DC60" s="78">
        <v>0</v>
      </c>
      <c r="DD60" s="76">
        <v>0</v>
      </c>
      <c r="DE60" s="1" t="s">
        <v>336</v>
      </c>
      <c r="DF60" s="78">
        <v>4</v>
      </c>
      <c r="DG60" s="78">
        <v>0</v>
      </c>
      <c r="DH60" s="78">
        <v>0</v>
      </c>
      <c r="DI60" s="78">
        <v>0</v>
      </c>
      <c r="DJ60" s="78">
        <v>0</v>
      </c>
      <c r="DK60" s="78">
        <v>2</v>
      </c>
      <c r="DL60" s="78">
        <v>0</v>
      </c>
      <c r="DM60" s="78">
        <v>0</v>
      </c>
      <c r="DN60" s="76">
        <v>0</v>
      </c>
      <c r="DO60" s="1" t="s">
        <v>330</v>
      </c>
      <c r="DP60" s="78">
        <v>4</v>
      </c>
      <c r="DQ60" s="78">
        <v>0</v>
      </c>
      <c r="DR60" s="78">
        <v>0</v>
      </c>
      <c r="DS60" s="78">
        <v>0</v>
      </c>
      <c r="DT60" s="78">
        <v>0</v>
      </c>
      <c r="DU60" s="78">
        <v>3</v>
      </c>
      <c r="DV60" s="78">
        <v>0</v>
      </c>
      <c r="DW60" s="78">
        <v>0</v>
      </c>
      <c r="DX60" s="76">
        <v>0</v>
      </c>
      <c r="DY60" s="77">
        <v>3</v>
      </c>
      <c r="DZ60" s="43">
        <v>0</v>
      </c>
      <c r="EA60" s="43">
        <v>0</v>
      </c>
      <c r="EB60" s="45">
        <v>6</v>
      </c>
      <c r="EC60" s="43">
        <v>1</v>
      </c>
      <c r="ED60" s="44">
        <v>0</v>
      </c>
      <c r="EE60" s="71">
        <v>0</v>
      </c>
      <c r="EF60" s="43">
        <v>0</v>
      </c>
      <c r="EG60" s="43">
        <v>0</v>
      </c>
      <c r="EH60" s="43">
        <v>2</v>
      </c>
      <c r="EI60" s="43">
        <v>0</v>
      </c>
      <c r="EJ60" s="43">
        <v>0</v>
      </c>
      <c r="EK60" s="43">
        <v>0</v>
      </c>
      <c r="EL60" s="43">
        <v>0</v>
      </c>
      <c r="EM60" s="43">
        <v>0</v>
      </c>
      <c r="EN60" s="43"/>
      <c r="EO60" s="43"/>
      <c r="EP60" s="43"/>
      <c r="EQ60" s="44">
        <f t="shared" si="4"/>
        <v>2</v>
      </c>
      <c r="ER60" s="43">
        <v>0</v>
      </c>
      <c r="ES60" s="43">
        <v>0</v>
      </c>
      <c r="ET60" s="43">
        <v>2</v>
      </c>
      <c r="EU60" s="43">
        <v>1</v>
      </c>
      <c r="EV60" s="43">
        <v>0</v>
      </c>
      <c r="EW60" s="43">
        <v>2</v>
      </c>
      <c r="EX60" s="43">
        <v>0</v>
      </c>
      <c r="EY60" s="43">
        <v>1</v>
      </c>
      <c r="EZ60" s="43"/>
      <c r="FA60" s="43"/>
      <c r="FB60" s="43"/>
      <c r="FC60" s="43"/>
      <c r="FD60" s="43">
        <f t="shared" si="5"/>
        <v>6</v>
      </c>
      <c r="FE60" s="73">
        <f t="shared" si="6"/>
        <v>0</v>
      </c>
      <c r="FF60" s="73">
        <f t="shared" si="7"/>
        <v>0</v>
      </c>
      <c r="FG60" s="38"/>
    </row>
    <row r="61" spans="1:163" x14ac:dyDescent="0.25">
      <c r="A61" s="53">
        <v>40336</v>
      </c>
      <c r="B61" s="53" t="s">
        <v>133</v>
      </c>
      <c r="C61" s="53" t="s">
        <v>129</v>
      </c>
      <c r="D61" s="53" t="s">
        <v>347</v>
      </c>
      <c r="E61" s="54">
        <v>4214</v>
      </c>
      <c r="F61" s="58">
        <v>4</v>
      </c>
      <c r="G61" s="59" t="s">
        <v>334</v>
      </c>
      <c r="H61" s="6">
        <v>1</v>
      </c>
      <c r="I61" s="6">
        <v>0</v>
      </c>
      <c r="J61" s="60">
        <v>5</v>
      </c>
      <c r="K61" s="6">
        <v>4</v>
      </c>
      <c r="L61" s="6">
        <v>3</v>
      </c>
      <c r="M61" s="6">
        <v>3</v>
      </c>
      <c r="N61" s="6">
        <v>3</v>
      </c>
      <c r="O61" s="6">
        <v>2</v>
      </c>
      <c r="P61" s="6">
        <v>0</v>
      </c>
      <c r="Q61" s="6">
        <v>1</v>
      </c>
      <c r="R61" s="6">
        <v>22</v>
      </c>
      <c r="S61" s="6">
        <v>79</v>
      </c>
      <c r="T61" s="6">
        <v>44</v>
      </c>
      <c r="U61" s="6">
        <v>0</v>
      </c>
      <c r="V61" s="61">
        <v>0</v>
      </c>
      <c r="W61" s="62">
        <v>0</v>
      </c>
      <c r="X61" s="62">
        <v>0</v>
      </c>
      <c r="Y61" s="62">
        <v>0</v>
      </c>
      <c r="Z61" s="62">
        <v>0</v>
      </c>
      <c r="AA61" s="62">
        <v>0</v>
      </c>
      <c r="AB61" s="63">
        <v>4</v>
      </c>
      <c r="AC61" s="62">
        <v>2</v>
      </c>
      <c r="AD61" s="62">
        <v>0</v>
      </c>
      <c r="AE61" s="62">
        <v>0</v>
      </c>
      <c r="AF61" s="62">
        <v>1</v>
      </c>
      <c r="AG61" s="62">
        <v>6</v>
      </c>
      <c r="AH61" s="62">
        <v>0</v>
      </c>
      <c r="AI61" s="62">
        <v>0</v>
      </c>
      <c r="AJ61" s="62">
        <v>15</v>
      </c>
      <c r="AK61" s="62">
        <v>60</v>
      </c>
      <c r="AL61" s="62">
        <v>40</v>
      </c>
      <c r="AM61" s="1" t="s">
        <v>401</v>
      </c>
      <c r="AN61" s="78">
        <v>5</v>
      </c>
      <c r="AO61" s="78">
        <v>1</v>
      </c>
      <c r="AP61" s="78">
        <v>2</v>
      </c>
      <c r="AQ61" s="78">
        <v>0</v>
      </c>
      <c r="AR61" s="78">
        <v>1</v>
      </c>
      <c r="AS61" s="78">
        <v>2</v>
      </c>
      <c r="AT61" s="78">
        <v>0</v>
      </c>
      <c r="AU61" s="78">
        <v>0</v>
      </c>
      <c r="AV61" s="76">
        <v>2</v>
      </c>
      <c r="AW61" s="1" t="s">
        <v>399</v>
      </c>
      <c r="AX61" s="78">
        <v>5</v>
      </c>
      <c r="AY61" s="78">
        <v>1</v>
      </c>
      <c r="AZ61" s="78">
        <v>3</v>
      </c>
      <c r="BA61" s="78">
        <v>3</v>
      </c>
      <c r="BB61" s="78">
        <v>1</v>
      </c>
      <c r="BC61" s="78">
        <v>0</v>
      </c>
      <c r="BD61" s="78">
        <v>0</v>
      </c>
      <c r="BE61" s="78">
        <v>0</v>
      </c>
      <c r="BF61" s="76">
        <v>4</v>
      </c>
      <c r="BG61" s="1" t="s">
        <v>387</v>
      </c>
      <c r="BH61" s="78">
        <v>3</v>
      </c>
      <c r="BI61" s="78">
        <v>1</v>
      </c>
      <c r="BJ61" s="78">
        <v>0</v>
      </c>
      <c r="BK61" s="78">
        <v>0</v>
      </c>
      <c r="BL61" s="78">
        <v>3</v>
      </c>
      <c r="BM61" s="78">
        <v>0</v>
      </c>
      <c r="BN61" s="78">
        <v>0</v>
      </c>
      <c r="BO61" s="78">
        <v>0</v>
      </c>
      <c r="BP61" s="76">
        <v>0</v>
      </c>
      <c r="BQ61" s="1" t="s">
        <v>332</v>
      </c>
      <c r="BR61" s="78">
        <v>3</v>
      </c>
      <c r="BS61" s="78">
        <v>1</v>
      </c>
      <c r="BT61" s="78">
        <v>1</v>
      </c>
      <c r="BU61" s="78">
        <v>1</v>
      </c>
      <c r="BV61" s="78">
        <v>2</v>
      </c>
      <c r="BW61" s="78">
        <v>0</v>
      </c>
      <c r="BX61" s="78">
        <v>0</v>
      </c>
      <c r="BY61" s="78">
        <v>1</v>
      </c>
      <c r="BZ61" s="76">
        <v>2</v>
      </c>
      <c r="CA61" s="1" t="s">
        <v>400</v>
      </c>
      <c r="CB61" s="78">
        <v>5</v>
      </c>
      <c r="CC61" s="78">
        <v>1</v>
      </c>
      <c r="CD61" s="78">
        <v>1</v>
      </c>
      <c r="CE61" s="78">
        <v>1</v>
      </c>
      <c r="CF61" s="78">
        <v>0</v>
      </c>
      <c r="CG61" s="78">
        <v>1</v>
      </c>
      <c r="CH61" s="78">
        <v>1</v>
      </c>
      <c r="CI61" s="78">
        <v>0</v>
      </c>
      <c r="CJ61" s="76">
        <v>1</v>
      </c>
      <c r="CK61" s="1" t="s">
        <v>405</v>
      </c>
      <c r="CL61" s="78">
        <v>5</v>
      </c>
      <c r="CM61" s="78">
        <v>3</v>
      </c>
      <c r="CN61" s="78">
        <v>2</v>
      </c>
      <c r="CO61" s="78">
        <v>2</v>
      </c>
      <c r="CP61" s="78">
        <v>1</v>
      </c>
      <c r="CQ61" s="78">
        <v>1</v>
      </c>
      <c r="CR61" s="78">
        <v>0</v>
      </c>
      <c r="CS61" s="78">
        <v>0</v>
      </c>
      <c r="CT61" s="76">
        <v>5</v>
      </c>
      <c r="CU61" s="1" t="s">
        <v>331</v>
      </c>
      <c r="CV61" s="78">
        <v>4</v>
      </c>
      <c r="CW61" s="78">
        <v>2</v>
      </c>
      <c r="CX61" s="78">
        <v>1</v>
      </c>
      <c r="CY61" s="78">
        <v>3</v>
      </c>
      <c r="CZ61" s="78">
        <v>1</v>
      </c>
      <c r="DA61" s="78">
        <v>1</v>
      </c>
      <c r="DB61" s="78">
        <v>0</v>
      </c>
      <c r="DC61" s="78">
        <v>0</v>
      </c>
      <c r="DD61" s="76">
        <v>2</v>
      </c>
      <c r="DE61" s="1" t="s">
        <v>407</v>
      </c>
      <c r="DF61" s="78">
        <v>3</v>
      </c>
      <c r="DG61" s="78">
        <v>2</v>
      </c>
      <c r="DH61" s="78">
        <v>2</v>
      </c>
      <c r="DI61" s="78">
        <v>1</v>
      </c>
      <c r="DJ61" s="78">
        <v>2</v>
      </c>
      <c r="DK61" s="78">
        <v>1</v>
      </c>
      <c r="DL61" s="78">
        <v>0</v>
      </c>
      <c r="DM61" s="78">
        <v>0</v>
      </c>
      <c r="DN61" s="76">
        <v>5</v>
      </c>
      <c r="DO61" s="1" t="s">
        <v>330</v>
      </c>
      <c r="DP61" s="78">
        <v>5</v>
      </c>
      <c r="DQ61" s="78">
        <v>0</v>
      </c>
      <c r="DR61" s="78">
        <v>0</v>
      </c>
      <c r="DS61" s="78">
        <v>0</v>
      </c>
      <c r="DT61" s="78">
        <v>0</v>
      </c>
      <c r="DU61" s="78">
        <v>3</v>
      </c>
      <c r="DV61" s="78">
        <v>0</v>
      </c>
      <c r="DW61" s="78">
        <v>0</v>
      </c>
      <c r="DX61" s="76">
        <v>0</v>
      </c>
      <c r="DY61" s="77">
        <f>2+1/3</f>
        <v>2.3333333333333335</v>
      </c>
      <c r="DZ61" s="43">
        <v>0</v>
      </c>
      <c r="EA61" s="43">
        <v>0</v>
      </c>
      <c r="EB61" s="45">
        <f>6+2/3</f>
        <v>6.666666666666667</v>
      </c>
      <c r="EC61" s="43">
        <v>2</v>
      </c>
      <c r="ED61" s="44">
        <v>0</v>
      </c>
      <c r="EE61" s="71">
        <v>1</v>
      </c>
      <c r="EF61" s="43">
        <v>0</v>
      </c>
      <c r="EG61" s="43">
        <v>0</v>
      </c>
      <c r="EH61" s="43">
        <v>0</v>
      </c>
      <c r="EI61" s="43">
        <v>7</v>
      </c>
      <c r="EJ61" s="43">
        <v>0</v>
      </c>
      <c r="EK61" s="43">
        <v>3</v>
      </c>
      <c r="EL61" s="43">
        <v>1</v>
      </c>
      <c r="EM61" s="43">
        <v>0</v>
      </c>
      <c r="EN61" s="43"/>
      <c r="EO61" s="43"/>
      <c r="EP61" s="43"/>
      <c r="EQ61" s="44">
        <f t="shared" si="4"/>
        <v>12</v>
      </c>
      <c r="ER61" s="43">
        <v>0</v>
      </c>
      <c r="ES61" s="43">
        <v>0</v>
      </c>
      <c r="ET61" s="43">
        <v>0</v>
      </c>
      <c r="EU61" s="43">
        <v>0</v>
      </c>
      <c r="EV61" s="43">
        <v>3</v>
      </c>
      <c r="EW61" s="43">
        <v>0</v>
      </c>
      <c r="EX61" s="43">
        <v>0</v>
      </c>
      <c r="EY61" s="43">
        <v>0</v>
      </c>
      <c r="EZ61" s="43">
        <v>0</v>
      </c>
      <c r="FA61" s="43"/>
      <c r="FB61" s="43"/>
      <c r="FC61" s="43"/>
      <c r="FD61" s="43">
        <f t="shared" si="5"/>
        <v>3</v>
      </c>
      <c r="FE61" s="73">
        <f t="shared" si="6"/>
        <v>0</v>
      </c>
      <c r="FF61" s="73">
        <f t="shared" si="7"/>
        <v>0</v>
      </c>
      <c r="FG61" s="38"/>
    </row>
    <row r="62" spans="1:163" x14ac:dyDescent="0.25">
      <c r="A62" s="53">
        <v>40337</v>
      </c>
      <c r="B62" s="53" t="s">
        <v>19</v>
      </c>
      <c r="C62" s="53" t="s">
        <v>129</v>
      </c>
      <c r="D62" s="53" t="s">
        <v>346</v>
      </c>
      <c r="E62" s="54">
        <v>7507</v>
      </c>
      <c r="F62" s="58">
        <v>5</v>
      </c>
      <c r="G62" s="59" t="s">
        <v>339</v>
      </c>
      <c r="H62" s="6">
        <v>1</v>
      </c>
      <c r="I62" s="6">
        <v>0</v>
      </c>
      <c r="J62" s="60">
        <v>6</v>
      </c>
      <c r="K62" s="6">
        <v>1</v>
      </c>
      <c r="L62" s="6">
        <v>0</v>
      </c>
      <c r="M62" s="6">
        <v>0</v>
      </c>
      <c r="N62" s="6">
        <v>2</v>
      </c>
      <c r="O62" s="6">
        <v>8</v>
      </c>
      <c r="P62" s="6">
        <v>0</v>
      </c>
      <c r="Q62" s="6">
        <v>0</v>
      </c>
      <c r="R62" s="6">
        <v>21</v>
      </c>
      <c r="S62" s="6">
        <v>102</v>
      </c>
      <c r="T62" s="6">
        <v>66</v>
      </c>
      <c r="U62" s="6">
        <v>0</v>
      </c>
      <c r="V62" s="61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3">
        <v>3</v>
      </c>
      <c r="AC62" s="62">
        <v>0</v>
      </c>
      <c r="AD62" s="62">
        <v>0</v>
      </c>
      <c r="AE62" s="62">
        <v>0</v>
      </c>
      <c r="AF62" s="62">
        <v>1</v>
      </c>
      <c r="AG62" s="62">
        <v>2</v>
      </c>
      <c r="AH62" s="62">
        <v>0</v>
      </c>
      <c r="AI62" s="62">
        <v>0</v>
      </c>
      <c r="AJ62" s="62">
        <v>10</v>
      </c>
      <c r="AK62" s="62">
        <v>37</v>
      </c>
      <c r="AL62" s="62">
        <v>23</v>
      </c>
      <c r="AM62" s="1" t="s">
        <v>345</v>
      </c>
      <c r="AN62" s="78">
        <v>5</v>
      </c>
      <c r="AO62" s="78">
        <v>0</v>
      </c>
      <c r="AP62" s="78">
        <v>1</v>
      </c>
      <c r="AQ62" s="78">
        <v>1</v>
      </c>
      <c r="AR62" s="78">
        <v>0</v>
      </c>
      <c r="AS62" s="78">
        <v>1</v>
      </c>
      <c r="AT62" s="78">
        <v>0</v>
      </c>
      <c r="AU62" s="78">
        <v>0</v>
      </c>
      <c r="AV62" s="76">
        <v>1</v>
      </c>
      <c r="AW62" s="1" t="s">
        <v>399</v>
      </c>
      <c r="AX62" s="78">
        <v>5</v>
      </c>
      <c r="AY62" s="78">
        <v>0</v>
      </c>
      <c r="AZ62" s="78">
        <v>3</v>
      </c>
      <c r="BA62" s="78">
        <v>1</v>
      </c>
      <c r="BB62" s="78">
        <v>0</v>
      </c>
      <c r="BC62" s="78">
        <v>0</v>
      </c>
      <c r="BD62" s="78">
        <v>0</v>
      </c>
      <c r="BE62" s="78">
        <v>0</v>
      </c>
      <c r="BF62" s="76">
        <v>5</v>
      </c>
      <c r="BG62" s="1" t="s">
        <v>387</v>
      </c>
      <c r="BH62" s="78">
        <v>4</v>
      </c>
      <c r="BI62" s="78">
        <v>0</v>
      </c>
      <c r="BJ62" s="78">
        <v>1</v>
      </c>
      <c r="BK62" s="78">
        <v>0</v>
      </c>
      <c r="BL62" s="78">
        <v>1</v>
      </c>
      <c r="BM62" s="78">
        <v>1</v>
      </c>
      <c r="BN62" s="78">
        <v>0</v>
      </c>
      <c r="BO62" s="78">
        <v>0</v>
      </c>
      <c r="BP62" s="76">
        <v>1</v>
      </c>
      <c r="BQ62" s="1" t="s">
        <v>332</v>
      </c>
      <c r="BR62" s="78">
        <v>3</v>
      </c>
      <c r="BS62" s="78">
        <v>1</v>
      </c>
      <c r="BT62" s="78">
        <v>0</v>
      </c>
      <c r="BU62" s="78">
        <v>0</v>
      </c>
      <c r="BV62" s="78">
        <v>1</v>
      </c>
      <c r="BW62" s="78">
        <v>0</v>
      </c>
      <c r="BX62" s="78">
        <v>0</v>
      </c>
      <c r="BY62" s="78">
        <v>0</v>
      </c>
      <c r="BZ62" s="76">
        <v>0</v>
      </c>
      <c r="CA62" s="1" t="s">
        <v>400</v>
      </c>
      <c r="CB62" s="78">
        <v>3</v>
      </c>
      <c r="CC62" s="78">
        <v>1</v>
      </c>
      <c r="CD62" s="78">
        <v>0</v>
      </c>
      <c r="CE62" s="78">
        <v>0</v>
      </c>
      <c r="CF62" s="78">
        <v>1</v>
      </c>
      <c r="CG62" s="78">
        <v>2</v>
      </c>
      <c r="CH62" s="78">
        <v>0</v>
      </c>
      <c r="CI62" s="78">
        <v>0</v>
      </c>
      <c r="CJ62" s="76">
        <v>0</v>
      </c>
      <c r="CK62" s="1" t="s">
        <v>405</v>
      </c>
      <c r="CL62" s="78">
        <v>4</v>
      </c>
      <c r="CM62" s="78">
        <v>1</v>
      </c>
      <c r="CN62" s="78">
        <v>1</v>
      </c>
      <c r="CO62" s="78">
        <v>2</v>
      </c>
      <c r="CP62" s="78">
        <v>0</v>
      </c>
      <c r="CQ62" s="78">
        <v>1</v>
      </c>
      <c r="CR62" s="78">
        <v>0</v>
      </c>
      <c r="CS62" s="78">
        <v>0</v>
      </c>
      <c r="CT62" s="76">
        <v>4</v>
      </c>
      <c r="CU62" s="1" t="s">
        <v>344</v>
      </c>
      <c r="CV62" s="78">
        <v>2</v>
      </c>
      <c r="CW62" s="78">
        <v>1</v>
      </c>
      <c r="CX62" s="78">
        <v>1</v>
      </c>
      <c r="CY62" s="78">
        <v>2</v>
      </c>
      <c r="CZ62" s="78">
        <v>2</v>
      </c>
      <c r="DA62" s="78">
        <v>1</v>
      </c>
      <c r="DB62" s="78">
        <v>0</v>
      </c>
      <c r="DC62" s="78">
        <v>0</v>
      </c>
      <c r="DD62" s="76">
        <v>4</v>
      </c>
      <c r="DE62" s="1" t="s">
        <v>336</v>
      </c>
      <c r="DF62" s="78">
        <v>4</v>
      </c>
      <c r="DG62" s="78">
        <v>1</v>
      </c>
      <c r="DH62" s="78">
        <v>1</v>
      </c>
      <c r="DI62" s="78">
        <v>0</v>
      </c>
      <c r="DJ62" s="78">
        <v>0</v>
      </c>
      <c r="DK62" s="78">
        <v>0</v>
      </c>
      <c r="DL62" s="78">
        <v>0</v>
      </c>
      <c r="DM62" s="78">
        <v>0</v>
      </c>
      <c r="DN62" s="76">
        <v>1</v>
      </c>
      <c r="DO62" s="1" t="s">
        <v>401</v>
      </c>
      <c r="DP62" s="78">
        <v>4</v>
      </c>
      <c r="DQ62" s="78">
        <v>2</v>
      </c>
      <c r="DR62" s="78">
        <v>2</v>
      </c>
      <c r="DS62" s="78">
        <v>0</v>
      </c>
      <c r="DT62" s="78">
        <v>0</v>
      </c>
      <c r="DU62" s="78">
        <v>0</v>
      </c>
      <c r="DV62" s="78">
        <v>0</v>
      </c>
      <c r="DW62" s="78">
        <v>0</v>
      </c>
      <c r="DX62" s="76">
        <v>3</v>
      </c>
      <c r="DY62" s="77">
        <v>0</v>
      </c>
      <c r="DZ62" s="43">
        <v>0</v>
      </c>
      <c r="EA62" s="43">
        <v>0</v>
      </c>
      <c r="EB62" s="45">
        <v>8</v>
      </c>
      <c r="EC62" s="43">
        <v>0</v>
      </c>
      <c r="ED62" s="44">
        <v>0</v>
      </c>
      <c r="EE62" s="71">
        <v>0</v>
      </c>
      <c r="EF62" s="43">
        <v>0</v>
      </c>
      <c r="EG62" s="43">
        <v>0</v>
      </c>
      <c r="EH62" s="43">
        <v>4</v>
      </c>
      <c r="EI62" s="43">
        <v>2</v>
      </c>
      <c r="EJ62" s="43">
        <v>0</v>
      </c>
      <c r="EK62" s="43">
        <v>0</v>
      </c>
      <c r="EL62" s="43">
        <v>1</v>
      </c>
      <c r="EM62" s="43"/>
      <c r="EN62" s="43"/>
      <c r="EO62" s="43"/>
      <c r="EP62" s="43"/>
      <c r="EQ62" s="44">
        <f t="shared" si="4"/>
        <v>7</v>
      </c>
      <c r="ER62" s="43">
        <v>0</v>
      </c>
      <c r="ES62" s="43">
        <v>0</v>
      </c>
      <c r="ET62" s="43">
        <v>0</v>
      </c>
      <c r="EU62" s="43">
        <v>0</v>
      </c>
      <c r="EV62" s="43">
        <v>0</v>
      </c>
      <c r="EW62" s="43">
        <v>0</v>
      </c>
      <c r="EX62" s="43">
        <v>0</v>
      </c>
      <c r="EY62" s="43">
        <v>0</v>
      </c>
      <c r="EZ62" s="43">
        <v>0</v>
      </c>
      <c r="FA62" s="43"/>
      <c r="FB62" s="43"/>
      <c r="FC62" s="43"/>
      <c r="FD62" s="43">
        <f t="shared" si="5"/>
        <v>0</v>
      </c>
      <c r="FE62" s="73">
        <f t="shared" si="6"/>
        <v>0</v>
      </c>
      <c r="FF62" s="73">
        <f t="shared" si="7"/>
        <v>0</v>
      </c>
      <c r="FG62" s="38"/>
    </row>
    <row r="63" spans="1:163" x14ac:dyDescent="0.25">
      <c r="A63" s="53">
        <v>40338</v>
      </c>
      <c r="B63" s="53" t="s">
        <v>19</v>
      </c>
      <c r="C63" s="53" t="s">
        <v>129</v>
      </c>
      <c r="D63" s="53" t="s">
        <v>346</v>
      </c>
      <c r="E63" s="54">
        <v>4584</v>
      </c>
      <c r="F63" s="58">
        <v>1</v>
      </c>
      <c r="G63" s="59" t="s">
        <v>397</v>
      </c>
      <c r="H63" s="6">
        <v>0</v>
      </c>
      <c r="I63" s="6">
        <v>0</v>
      </c>
      <c r="J63" s="60">
        <f>4+2/3</f>
        <v>4.666666666666667</v>
      </c>
      <c r="K63" s="6">
        <v>7</v>
      </c>
      <c r="L63" s="6">
        <v>3</v>
      </c>
      <c r="M63" s="6">
        <v>3</v>
      </c>
      <c r="N63" s="6">
        <v>2</v>
      </c>
      <c r="O63" s="6">
        <v>8</v>
      </c>
      <c r="P63" s="6">
        <v>1</v>
      </c>
      <c r="Q63" s="6">
        <v>0</v>
      </c>
      <c r="R63" s="6">
        <v>23</v>
      </c>
      <c r="S63" s="6">
        <v>101</v>
      </c>
      <c r="T63" s="6">
        <v>64</v>
      </c>
      <c r="U63" s="6">
        <v>2</v>
      </c>
      <c r="V63" s="61">
        <v>0</v>
      </c>
      <c r="W63" s="62">
        <v>1</v>
      </c>
      <c r="X63" s="62">
        <v>0</v>
      </c>
      <c r="Y63" s="62">
        <v>1</v>
      </c>
      <c r="Z63" s="62">
        <v>1</v>
      </c>
      <c r="AA63" s="62">
        <v>0</v>
      </c>
      <c r="AB63" s="63">
        <f>4+1/3</f>
        <v>4.333333333333333</v>
      </c>
      <c r="AC63" s="62">
        <v>4</v>
      </c>
      <c r="AD63" s="62">
        <v>1</v>
      </c>
      <c r="AE63" s="62">
        <v>1</v>
      </c>
      <c r="AF63" s="62">
        <v>2</v>
      </c>
      <c r="AG63" s="62">
        <v>5</v>
      </c>
      <c r="AH63" s="62">
        <v>1</v>
      </c>
      <c r="AI63" s="62">
        <v>0</v>
      </c>
      <c r="AJ63" s="62">
        <v>19</v>
      </c>
      <c r="AK63" s="62">
        <v>68</v>
      </c>
      <c r="AL63" s="62">
        <v>44</v>
      </c>
      <c r="AM63" s="1" t="s">
        <v>401</v>
      </c>
      <c r="AN63" s="78">
        <v>5</v>
      </c>
      <c r="AO63" s="78">
        <v>2</v>
      </c>
      <c r="AP63" s="78">
        <v>3</v>
      </c>
      <c r="AQ63" s="78">
        <v>0</v>
      </c>
      <c r="AR63" s="78">
        <v>0</v>
      </c>
      <c r="AS63" s="78">
        <v>0</v>
      </c>
      <c r="AT63" s="78">
        <v>0</v>
      </c>
      <c r="AU63" s="78">
        <v>0</v>
      </c>
      <c r="AV63" s="76">
        <v>5</v>
      </c>
      <c r="AW63" s="1" t="s">
        <v>387</v>
      </c>
      <c r="AX63" s="78">
        <v>3</v>
      </c>
      <c r="AY63" s="78">
        <v>0</v>
      </c>
      <c r="AZ63" s="78">
        <v>2</v>
      </c>
      <c r="BA63" s="78">
        <v>1</v>
      </c>
      <c r="BB63" s="78">
        <v>2</v>
      </c>
      <c r="BC63" s="78">
        <v>0</v>
      </c>
      <c r="BD63" s="78">
        <v>0</v>
      </c>
      <c r="BE63" s="78">
        <v>0</v>
      </c>
      <c r="BF63" s="76">
        <v>2</v>
      </c>
      <c r="BG63" s="1" t="s">
        <v>400</v>
      </c>
      <c r="BH63" s="78">
        <v>5</v>
      </c>
      <c r="BI63" s="78">
        <v>1</v>
      </c>
      <c r="BJ63" s="78">
        <v>3</v>
      </c>
      <c r="BK63" s="78">
        <v>0</v>
      </c>
      <c r="BL63" s="78">
        <v>0</v>
      </c>
      <c r="BM63" s="78">
        <v>1</v>
      </c>
      <c r="BN63" s="78">
        <v>0</v>
      </c>
      <c r="BO63" s="78">
        <v>0</v>
      </c>
      <c r="BP63" s="76">
        <v>3</v>
      </c>
      <c r="BQ63" s="1" t="s">
        <v>332</v>
      </c>
      <c r="BR63" s="78">
        <v>5</v>
      </c>
      <c r="BS63" s="78">
        <v>1</v>
      </c>
      <c r="BT63" s="78">
        <v>1</v>
      </c>
      <c r="BU63" s="78">
        <v>0</v>
      </c>
      <c r="BV63" s="78">
        <v>0</v>
      </c>
      <c r="BW63" s="78">
        <v>1</v>
      </c>
      <c r="BX63" s="78">
        <v>0</v>
      </c>
      <c r="BY63" s="78">
        <v>0</v>
      </c>
      <c r="BZ63" s="76">
        <v>1</v>
      </c>
      <c r="CA63" s="1" t="s">
        <v>344</v>
      </c>
      <c r="CB63" s="78">
        <v>3</v>
      </c>
      <c r="CC63" s="78">
        <v>1</v>
      </c>
      <c r="CD63" s="78">
        <v>0</v>
      </c>
      <c r="CE63" s="78">
        <v>0</v>
      </c>
      <c r="CF63" s="78">
        <v>1</v>
      </c>
      <c r="CG63" s="78">
        <v>1</v>
      </c>
      <c r="CH63" s="78">
        <v>0</v>
      </c>
      <c r="CI63" s="78">
        <v>0</v>
      </c>
      <c r="CJ63" s="76">
        <v>0</v>
      </c>
      <c r="CK63" s="1" t="s">
        <v>405</v>
      </c>
      <c r="CL63" s="78">
        <v>3</v>
      </c>
      <c r="CM63" s="78">
        <v>1</v>
      </c>
      <c r="CN63" s="78">
        <v>1</v>
      </c>
      <c r="CO63" s="78">
        <v>1</v>
      </c>
      <c r="CP63" s="78">
        <v>1</v>
      </c>
      <c r="CQ63" s="78">
        <v>1</v>
      </c>
      <c r="CR63" s="78">
        <v>0</v>
      </c>
      <c r="CS63" s="78">
        <v>0</v>
      </c>
      <c r="CT63" s="76">
        <v>1</v>
      </c>
      <c r="CU63" s="1" t="s">
        <v>331</v>
      </c>
      <c r="CV63" s="78">
        <v>4</v>
      </c>
      <c r="CW63" s="78">
        <v>0</v>
      </c>
      <c r="CX63" s="78">
        <v>2</v>
      </c>
      <c r="CY63" s="78">
        <v>2</v>
      </c>
      <c r="CZ63" s="78">
        <v>0</v>
      </c>
      <c r="DA63" s="78">
        <v>0</v>
      </c>
      <c r="DB63" s="78">
        <v>0</v>
      </c>
      <c r="DC63" s="78">
        <v>0</v>
      </c>
      <c r="DD63" s="76">
        <v>2</v>
      </c>
      <c r="DE63" s="1" t="s">
        <v>407</v>
      </c>
      <c r="DF63" s="78">
        <v>4</v>
      </c>
      <c r="DG63" s="78">
        <v>0</v>
      </c>
      <c r="DH63" s="78">
        <v>2</v>
      </c>
      <c r="DI63" s="78">
        <v>1</v>
      </c>
      <c r="DJ63" s="78">
        <v>0</v>
      </c>
      <c r="DK63" s="78">
        <v>1</v>
      </c>
      <c r="DL63" s="78">
        <v>0</v>
      </c>
      <c r="DM63" s="78">
        <v>0</v>
      </c>
      <c r="DN63" s="76">
        <v>3</v>
      </c>
      <c r="DO63" s="1" t="s">
        <v>330</v>
      </c>
      <c r="DP63" s="78">
        <v>4</v>
      </c>
      <c r="DQ63" s="78">
        <v>0</v>
      </c>
      <c r="DR63" s="78">
        <v>0</v>
      </c>
      <c r="DS63" s="78">
        <v>0</v>
      </c>
      <c r="DT63" s="78">
        <v>0</v>
      </c>
      <c r="DU63" s="78">
        <v>3</v>
      </c>
      <c r="DV63" s="78">
        <v>0</v>
      </c>
      <c r="DW63" s="78">
        <v>0</v>
      </c>
      <c r="DX63" s="76">
        <v>0</v>
      </c>
      <c r="DY63" s="77">
        <v>0</v>
      </c>
      <c r="DZ63" s="43">
        <v>0</v>
      </c>
      <c r="EA63" s="43">
        <v>0</v>
      </c>
      <c r="EB63" s="45">
        <v>8</v>
      </c>
      <c r="EC63" s="43">
        <v>1</v>
      </c>
      <c r="ED63" s="44">
        <v>1</v>
      </c>
      <c r="EE63" s="71">
        <v>4</v>
      </c>
      <c r="EF63" s="43">
        <v>0</v>
      </c>
      <c r="EG63" s="43">
        <v>1</v>
      </c>
      <c r="EH63" s="43">
        <v>0</v>
      </c>
      <c r="EI63" s="43">
        <v>0</v>
      </c>
      <c r="EJ63" s="43">
        <v>1</v>
      </c>
      <c r="EK63" s="43">
        <v>0</v>
      </c>
      <c r="EL63" s="43">
        <v>0</v>
      </c>
      <c r="EM63" s="43"/>
      <c r="EN63" s="43"/>
      <c r="EO63" s="43"/>
      <c r="EP63" s="43"/>
      <c r="EQ63" s="44">
        <f t="shared" si="4"/>
        <v>6</v>
      </c>
      <c r="ER63" s="43">
        <v>0</v>
      </c>
      <c r="ES63" s="43">
        <v>1</v>
      </c>
      <c r="ET63" s="43">
        <v>0</v>
      </c>
      <c r="EU63" s="43">
        <v>0</v>
      </c>
      <c r="EV63" s="43">
        <v>2</v>
      </c>
      <c r="EW63" s="43">
        <v>0</v>
      </c>
      <c r="EX63" s="43">
        <v>1</v>
      </c>
      <c r="EY63" s="43">
        <v>0</v>
      </c>
      <c r="EZ63" s="43">
        <v>0</v>
      </c>
      <c r="FA63" s="43"/>
      <c r="FB63" s="43"/>
      <c r="FC63" s="43"/>
      <c r="FD63" s="43">
        <f t="shared" si="5"/>
        <v>4</v>
      </c>
      <c r="FE63" s="73">
        <f t="shared" si="6"/>
        <v>0</v>
      </c>
      <c r="FF63" s="73">
        <f t="shared" si="7"/>
        <v>0</v>
      </c>
      <c r="FG63" s="38"/>
    </row>
    <row r="64" spans="1:163" x14ac:dyDescent="0.25">
      <c r="A64" s="53">
        <v>40339</v>
      </c>
      <c r="B64" s="53" t="s">
        <v>19</v>
      </c>
      <c r="C64" s="53" t="s">
        <v>129</v>
      </c>
      <c r="D64" s="53" t="s">
        <v>346</v>
      </c>
      <c r="E64" s="54">
        <v>9711</v>
      </c>
      <c r="F64" s="58">
        <v>2</v>
      </c>
      <c r="G64" s="59" t="s">
        <v>337</v>
      </c>
      <c r="H64" s="6">
        <v>1</v>
      </c>
      <c r="I64" s="6">
        <v>0</v>
      </c>
      <c r="J64" s="60">
        <f>7+1/3</f>
        <v>7.333333333333333</v>
      </c>
      <c r="K64" s="6">
        <v>4</v>
      </c>
      <c r="L64" s="6">
        <v>1</v>
      </c>
      <c r="M64" s="6">
        <v>1</v>
      </c>
      <c r="N64" s="6">
        <v>2</v>
      </c>
      <c r="O64" s="6">
        <v>6</v>
      </c>
      <c r="P64" s="6">
        <v>0</v>
      </c>
      <c r="Q64" s="6">
        <v>0</v>
      </c>
      <c r="R64" s="6">
        <v>28</v>
      </c>
      <c r="S64" s="6">
        <v>86</v>
      </c>
      <c r="T64" s="6">
        <v>62</v>
      </c>
      <c r="U64" s="6">
        <v>0</v>
      </c>
      <c r="V64" s="61">
        <v>0</v>
      </c>
      <c r="W64" s="62">
        <v>0</v>
      </c>
      <c r="X64" s="62">
        <v>0</v>
      </c>
      <c r="Y64" s="62">
        <v>0</v>
      </c>
      <c r="Z64" s="62">
        <v>0</v>
      </c>
      <c r="AA64" s="62">
        <v>0</v>
      </c>
      <c r="AB64" s="63">
        <f>1+2/3</f>
        <v>1.6666666666666665</v>
      </c>
      <c r="AC64" s="62">
        <v>1</v>
      </c>
      <c r="AD64" s="62">
        <v>0</v>
      </c>
      <c r="AE64" s="62">
        <v>0</v>
      </c>
      <c r="AF64" s="62">
        <v>1</v>
      </c>
      <c r="AG64" s="62">
        <v>2</v>
      </c>
      <c r="AH64" s="62">
        <v>0</v>
      </c>
      <c r="AI64" s="62">
        <v>2</v>
      </c>
      <c r="AJ64" s="62">
        <v>9</v>
      </c>
      <c r="AK64" s="62">
        <v>37</v>
      </c>
      <c r="AL64" s="62">
        <v>20</v>
      </c>
      <c r="AM64" s="1" t="s">
        <v>401</v>
      </c>
      <c r="AN64" s="78">
        <v>4</v>
      </c>
      <c r="AO64" s="78">
        <v>1</v>
      </c>
      <c r="AP64" s="78">
        <v>0</v>
      </c>
      <c r="AQ64" s="78">
        <v>0</v>
      </c>
      <c r="AR64" s="78">
        <v>1</v>
      </c>
      <c r="AS64" s="78">
        <v>2</v>
      </c>
      <c r="AT64" s="78">
        <v>0</v>
      </c>
      <c r="AU64" s="78">
        <v>0</v>
      </c>
      <c r="AV64" s="76">
        <v>0</v>
      </c>
      <c r="AW64" s="1" t="s">
        <v>399</v>
      </c>
      <c r="AX64" s="78">
        <v>4</v>
      </c>
      <c r="AY64" s="78">
        <v>1</v>
      </c>
      <c r="AZ64" s="78">
        <v>1</v>
      </c>
      <c r="BA64" s="78">
        <v>1</v>
      </c>
      <c r="BB64" s="78">
        <v>0</v>
      </c>
      <c r="BC64" s="78">
        <v>1</v>
      </c>
      <c r="BD64" s="78">
        <v>0</v>
      </c>
      <c r="BE64" s="78">
        <v>0</v>
      </c>
      <c r="BF64" s="76">
        <v>2</v>
      </c>
      <c r="BG64" s="1" t="s">
        <v>387</v>
      </c>
      <c r="BH64" s="78">
        <v>3</v>
      </c>
      <c r="BI64" s="78">
        <v>0</v>
      </c>
      <c r="BJ64" s="78">
        <v>2</v>
      </c>
      <c r="BK64" s="78">
        <v>0</v>
      </c>
      <c r="BL64" s="78">
        <v>1</v>
      </c>
      <c r="BM64" s="78">
        <v>0</v>
      </c>
      <c r="BN64" s="78">
        <v>0</v>
      </c>
      <c r="BO64" s="78">
        <v>0</v>
      </c>
      <c r="BP64" s="76">
        <v>3</v>
      </c>
      <c r="BQ64" s="1" t="s">
        <v>332</v>
      </c>
      <c r="BR64" s="78">
        <v>4</v>
      </c>
      <c r="BS64" s="78">
        <v>0</v>
      </c>
      <c r="BT64" s="78">
        <v>1</v>
      </c>
      <c r="BU64" s="78">
        <v>1</v>
      </c>
      <c r="BV64" s="78">
        <v>0</v>
      </c>
      <c r="BW64" s="78">
        <v>1</v>
      </c>
      <c r="BX64" s="78">
        <v>0</v>
      </c>
      <c r="BY64" s="78">
        <v>0</v>
      </c>
      <c r="BZ64" s="76">
        <v>1</v>
      </c>
      <c r="CA64" s="1" t="s">
        <v>344</v>
      </c>
      <c r="CB64" s="78">
        <v>4</v>
      </c>
      <c r="CC64" s="78">
        <v>1</v>
      </c>
      <c r="CD64" s="78">
        <v>1</v>
      </c>
      <c r="CE64" s="78">
        <v>0</v>
      </c>
      <c r="CF64" s="78">
        <v>0</v>
      </c>
      <c r="CG64" s="78">
        <v>1</v>
      </c>
      <c r="CH64" s="78">
        <v>0</v>
      </c>
      <c r="CI64" s="78">
        <v>0</v>
      </c>
      <c r="CJ64" s="76">
        <v>1</v>
      </c>
      <c r="CK64" s="1" t="s">
        <v>405</v>
      </c>
      <c r="CL64" s="78">
        <v>3</v>
      </c>
      <c r="CM64" s="78">
        <v>1</v>
      </c>
      <c r="CN64" s="78">
        <v>0</v>
      </c>
      <c r="CO64" s="78">
        <v>0</v>
      </c>
      <c r="CP64" s="78">
        <v>1</v>
      </c>
      <c r="CQ64" s="78">
        <v>1</v>
      </c>
      <c r="CR64" s="78">
        <v>0</v>
      </c>
      <c r="CS64" s="78">
        <v>0</v>
      </c>
      <c r="CT64" s="76">
        <v>0</v>
      </c>
      <c r="CU64" s="1" t="s">
        <v>331</v>
      </c>
      <c r="CV64" s="78">
        <v>4</v>
      </c>
      <c r="CW64" s="78">
        <v>1</v>
      </c>
      <c r="CX64" s="78">
        <v>2</v>
      </c>
      <c r="CY64" s="78">
        <v>0</v>
      </c>
      <c r="CZ64" s="78">
        <v>0</v>
      </c>
      <c r="DA64" s="78">
        <v>1</v>
      </c>
      <c r="DB64" s="78">
        <v>0</v>
      </c>
      <c r="DC64" s="78">
        <v>0</v>
      </c>
      <c r="DD64" s="76">
        <v>3</v>
      </c>
      <c r="DE64" s="1" t="s">
        <v>407</v>
      </c>
      <c r="DF64" s="78">
        <v>3</v>
      </c>
      <c r="DG64" s="78">
        <v>1</v>
      </c>
      <c r="DH64" s="78">
        <v>2</v>
      </c>
      <c r="DI64" s="78">
        <v>4</v>
      </c>
      <c r="DJ64" s="78">
        <v>1</v>
      </c>
      <c r="DK64" s="78">
        <v>0</v>
      </c>
      <c r="DL64" s="78">
        <v>0</v>
      </c>
      <c r="DM64" s="78">
        <v>0</v>
      </c>
      <c r="DN64" s="76">
        <v>6</v>
      </c>
      <c r="DO64" s="1" t="s">
        <v>330</v>
      </c>
      <c r="DP64" s="78">
        <v>4</v>
      </c>
      <c r="DQ64" s="78">
        <v>0</v>
      </c>
      <c r="DR64" s="78">
        <v>0</v>
      </c>
      <c r="DS64" s="78">
        <v>0</v>
      </c>
      <c r="DT64" s="78">
        <v>0</v>
      </c>
      <c r="DU64" s="78">
        <v>1</v>
      </c>
      <c r="DV64" s="78">
        <v>0</v>
      </c>
      <c r="DW64" s="78">
        <v>0</v>
      </c>
      <c r="DX64" s="76">
        <v>0</v>
      </c>
      <c r="DY64" s="77">
        <v>1</v>
      </c>
      <c r="DZ64" s="43">
        <v>0</v>
      </c>
      <c r="EA64" s="43">
        <v>0</v>
      </c>
      <c r="EB64" s="45">
        <v>7</v>
      </c>
      <c r="EC64" s="43">
        <v>1</v>
      </c>
      <c r="ED64" s="44">
        <v>0</v>
      </c>
      <c r="EE64" s="71">
        <v>0</v>
      </c>
      <c r="EF64" s="43">
        <v>4</v>
      </c>
      <c r="EG64" s="43">
        <v>0</v>
      </c>
      <c r="EH64" s="43">
        <v>0</v>
      </c>
      <c r="EI64" s="43">
        <v>0</v>
      </c>
      <c r="EJ64" s="43">
        <v>0</v>
      </c>
      <c r="EK64" s="43">
        <v>2</v>
      </c>
      <c r="EL64" s="43">
        <v>0</v>
      </c>
      <c r="EM64" s="43"/>
      <c r="EN64" s="43"/>
      <c r="EO64" s="43"/>
      <c r="EP64" s="43"/>
      <c r="EQ64" s="44">
        <f t="shared" si="4"/>
        <v>6</v>
      </c>
      <c r="ER64" s="43">
        <v>1</v>
      </c>
      <c r="ES64" s="43">
        <v>0</v>
      </c>
      <c r="ET64" s="43">
        <v>0</v>
      </c>
      <c r="EU64" s="43">
        <v>0</v>
      </c>
      <c r="EV64" s="43">
        <v>0</v>
      </c>
      <c r="EW64" s="43">
        <v>0</v>
      </c>
      <c r="EX64" s="43">
        <v>0</v>
      </c>
      <c r="EY64" s="43">
        <v>0</v>
      </c>
      <c r="EZ64" s="43">
        <v>0</v>
      </c>
      <c r="FA64" s="43"/>
      <c r="FB64" s="43"/>
      <c r="FC64" s="43"/>
      <c r="FD64" s="43">
        <f t="shared" si="5"/>
        <v>1</v>
      </c>
      <c r="FE64" s="73">
        <f t="shared" si="6"/>
        <v>0</v>
      </c>
      <c r="FF64" s="73">
        <f t="shared" si="7"/>
        <v>0</v>
      </c>
      <c r="FG64" s="38"/>
    </row>
    <row r="65" spans="1:163" x14ac:dyDescent="0.25">
      <c r="A65" s="53">
        <v>40340</v>
      </c>
      <c r="B65" s="53" t="s">
        <v>19</v>
      </c>
      <c r="C65" s="53" t="s">
        <v>129</v>
      </c>
      <c r="D65" s="53" t="s">
        <v>346</v>
      </c>
      <c r="E65" s="54">
        <v>10662</v>
      </c>
      <c r="F65" s="58">
        <v>3</v>
      </c>
      <c r="G65" s="59" t="s">
        <v>341</v>
      </c>
      <c r="H65" s="6">
        <v>1</v>
      </c>
      <c r="I65" s="6">
        <v>0</v>
      </c>
      <c r="J65" s="60">
        <f>6+1/3</f>
        <v>6.333333333333333</v>
      </c>
      <c r="K65" s="6">
        <v>4</v>
      </c>
      <c r="L65" s="6">
        <v>2</v>
      </c>
      <c r="M65" s="6">
        <v>2</v>
      </c>
      <c r="N65" s="6">
        <v>1</v>
      </c>
      <c r="O65" s="6">
        <v>6</v>
      </c>
      <c r="P65" s="6">
        <v>0</v>
      </c>
      <c r="Q65" s="6">
        <v>1</v>
      </c>
      <c r="R65" s="6">
        <v>24</v>
      </c>
      <c r="S65" s="6">
        <v>100</v>
      </c>
      <c r="T65" s="6">
        <v>63</v>
      </c>
      <c r="U65" s="6">
        <v>3</v>
      </c>
      <c r="V65" s="61">
        <v>2</v>
      </c>
      <c r="W65" s="62">
        <v>0</v>
      </c>
      <c r="X65" s="62">
        <v>0</v>
      </c>
      <c r="Y65" s="62">
        <v>0</v>
      </c>
      <c r="Z65" s="62">
        <v>0</v>
      </c>
      <c r="AA65" s="62">
        <v>0</v>
      </c>
      <c r="AB65" s="63">
        <f>2+2/3</f>
        <v>2.6666666666666665</v>
      </c>
      <c r="AC65" s="62">
        <v>2</v>
      </c>
      <c r="AD65" s="62">
        <v>1</v>
      </c>
      <c r="AE65" s="62">
        <v>1</v>
      </c>
      <c r="AF65" s="62">
        <v>0</v>
      </c>
      <c r="AG65" s="62">
        <v>2</v>
      </c>
      <c r="AH65" s="62">
        <v>0</v>
      </c>
      <c r="AI65" s="62">
        <v>0</v>
      </c>
      <c r="AJ65" s="62">
        <v>10</v>
      </c>
      <c r="AK65" s="62">
        <v>38</v>
      </c>
      <c r="AL65" s="62">
        <v>26</v>
      </c>
      <c r="AM65" s="1" t="s">
        <v>401</v>
      </c>
      <c r="AN65" s="78">
        <v>5</v>
      </c>
      <c r="AO65" s="78">
        <v>0</v>
      </c>
      <c r="AP65" s="78">
        <v>1</v>
      </c>
      <c r="AQ65" s="78">
        <v>1</v>
      </c>
      <c r="AR65" s="78">
        <v>0</v>
      </c>
      <c r="AS65" s="78">
        <v>1</v>
      </c>
      <c r="AT65" s="78">
        <v>0</v>
      </c>
      <c r="AU65" s="78">
        <v>0</v>
      </c>
      <c r="AV65" s="76">
        <v>1</v>
      </c>
      <c r="AW65" s="1" t="s">
        <v>399</v>
      </c>
      <c r="AX65" s="78">
        <v>4</v>
      </c>
      <c r="AY65" s="78">
        <v>3</v>
      </c>
      <c r="AZ65" s="78">
        <v>3</v>
      </c>
      <c r="BA65" s="78">
        <v>2</v>
      </c>
      <c r="BB65" s="78">
        <v>1</v>
      </c>
      <c r="BC65" s="78">
        <v>1</v>
      </c>
      <c r="BD65" s="78">
        <v>0</v>
      </c>
      <c r="BE65" s="78">
        <v>0</v>
      </c>
      <c r="BF65" s="76">
        <v>7</v>
      </c>
      <c r="BG65" s="1" t="s">
        <v>345</v>
      </c>
      <c r="BH65" s="78">
        <v>2</v>
      </c>
      <c r="BI65" s="78">
        <v>1</v>
      </c>
      <c r="BJ65" s="78">
        <v>1</v>
      </c>
      <c r="BK65" s="78">
        <v>1</v>
      </c>
      <c r="BL65" s="78">
        <v>2</v>
      </c>
      <c r="BM65" s="78">
        <v>1</v>
      </c>
      <c r="BN65" s="78">
        <v>0</v>
      </c>
      <c r="BO65" s="78">
        <v>0</v>
      </c>
      <c r="BP65" s="76">
        <v>1</v>
      </c>
      <c r="BQ65" s="1" t="s">
        <v>387</v>
      </c>
      <c r="BR65" s="78">
        <v>5</v>
      </c>
      <c r="BS65" s="78">
        <v>1</v>
      </c>
      <c r="BT65" s="78">
        <v>1</v>
      </c>
      <c r="BU65" s="78">
        <v>1</v>
      </c>
      <c r="BV65" s="78">
        <v>0</v>
      </c>
      <c r="BW65" s="78">
        <v>1</v>
      </c>
      <c r="BX65" s="78">
        <v>0</v>
      </c>
      <c r="BY65" s="78">
        <v>0</v>
      </c>
      <c r="BZ65" s="76">
        <v>2</v>
      </c>
      <c r="CA65" s="1" t="s">
        <v>344</v>
      </c>
      <c r="CB65" s="78">
        <v>3</v>
      </c>
      <c r="CC65" s="78">
        <v>0</v>
      </c>
      <c r="CD65" s="78">
        <v>0</v>
      </c>
      <c r="CE65" s="78">
        <v>0</v>
      </c>
      <c r="CF65" s="78">
        <v>1</v>
      </c>
      <c r="CG65" s="78">
        <v>2</v>
      </c>
      <c r="CH65" s="78">
        <v>1</v>
      </c>
      <c r="CI65" s="78">
        <v>0</v>
      </c>
      <c r="CJ65" s="76">
        <v>0</v>
      </c>
      <c r="CK65" s="1" t="s">
        <v>331</v>
      </c>
      <c r="CL65" s="78">
        <v>4</v>
      </c>
      <c r="CM65" s="78">
        <v>1</v>
      </c>
      <c r="CN65" s="78">
        <v>4</v>
      </c>
      <c r="CO65" s="78">
        <v>3</v>
      </c>
      <c r="CP65" s="78">
        <v>0</v>
      </c>
      <c r="CQ65" s="78">
        <v>0</v>
      </c>
      <c r="CR65" s="78">
        <v>1</v>
      </c>
      <c r="CS65" s="78">
        <v>0</v>
      </c>
      <c r="CT65" s="76">
        <v>5</v>
      </c>
      <c r="CU65" s="1" t="s">
        <v>407</v>
      </c>
      <c r="CV65" s="78">
        <v>5</v>
      </c>
      <c r="CW65" s="78">
        <v>0</v>
      </c>
      <c r="CX65" s="78">
        <v>1</v>
      </c>
      <c r="CY65" s="78">
        <v>0</v>
      </c>
      <c r="CZ65" s="78">
        <v>0</v>
      </c>
      <c r="DA65" s="78">
        <v>2</v>
      </c>
      <c r="DB65" s="78">
        <v>0</v>
      </c>
      <c r="DC65" s="78">
        <v>0</v>
      </c>
      <c r="DD65" s="76">
        <v>1</v>
      </c>
      <c r="DE65" s="1" t="s">
        <v>336</v>
      </c>
      <c r="DF65" s="78">
        <v>5</v>
      </c>
      <c r="DG65" s="78">
        <v>2</v>
      </c>
      <c r="DH65" s="78">
        <v>2</v>
      </c>
      <c r="DI65" s="78">
        <v>0</v>
      </c>
      <c r="DJ65" s="78">
        <v>0</v>
      </c>
      <c r="DK65" s="78">
        <v>1</v>
      </c>
      <c r="DL65" s="78">
        <v>0</v>
      </c>
      <c r="DM65" s="78">
        <v>0</v>
      </c>
      <c r="DN65" s="76">
        <v>3</v>
      </c>
      <c r="DO65" s="1" t="s">
        <v>330</v>
      </c>
      <c r="DP65" s="78">
        <v>3</v>
      </c>
      <c r="DQ65" s="78">
        <v>0</v>
      </c>
      <c r="DR65" s="78">
        <v>0</v>
      </c>
      <c r="DS65" s="78">
        <v>0</v>
      </c>
      <c r="DT65" s="78">
        <v>1</v>
      </c>
      <c r="DU65" s="78">
        <v>1</v>
      </c>
      <c r="DV65" s="78">
        <v>0</v>
      </c>
      <c r="DW65" s="78">
        <v>0</v>
      </c>
      <c r="DX65" s="76">
        <v>0</v>
      </c>
      <c r="DY65" s="77">
        <f>6+1/3</f>
        <v>6.333333333333333</v>
      </c>
      <c r="DZ65" s="43">
        <v>0</v>
      </c>
      <c r="EA65" s="43">
        <v>0</v>
      </c>
      <c r="EB65" s="45">
        <f>1+2/3</f>
        <v>1.6666666666666665</v>
      </c>
      <c r="EC65" s="43">
        <v>0</v>
      </c>
      <c r="ED65" s="44">
        <v>0</v>
      </c>
      <c r="EE65" s="71">
        <v>0</v>
      </c>
      <c r="EF65" s="43">
        <v>0</v>
      </c>
      <c r="EG65" s="43">
        <v>3</v>
      </c>
      <c r="EH65" s="43">
        <v>0</v>
      </c>
      <c r="EI65" s="43">
        <v>1</v>
      </c>
      <c r="EJ65" s="43">
        <v>2</v>
      </c>
      <c r="EK65" s="43">
        <v>2</v>
      </c>
      <c r="EL65" s="43">
        <v>0</v>
      </c>
      <c r="EM65" s="43"/>
      <c r="EN65" s="43"/>
      <c r="EO65" s="43"/>
      <c r="EP65" s="43"/>
      <c r="EQ65" s="44">
        <f t="shared" si="4"/>
        <v>8</v>
      </c>
      <c r="ER65" s="43">
        <v>0</v>
      </c>
      <c r="ES65" s="43">
        <v>0</v>
      </c>
      <c r="ET65" s="43">
        <v>0</v>
      </c>
      <c r="EU65" s="43">
        <v>0</v>
      </c>
      <c r="EV65" s="43">
        <v>0</v>
      </c>
      <c r="EW65" s="43">
        <v>0</v>
      </c>
      <c r="EX65" s="43">
        <v>2</v>
      </c>
      <c r="EY65" s="43">
        <v>1</v>
      </c>
      <c r="EZ65" s="43">
        <v>0</v>
      </c>
      <c r="FA65" s="43"/>
      <c r="FB65" s="43"/>
      <c r="FC65" s="43"/>
      <c r="FD65" s="43">
        <f t="shared" si="5"/>
        <v>3</v>
      </c>
      <c r="FE65" s="73">
        <f t="shared" si="6"/>
        <v>0</v>
      </c>
      <c r="FF65" s="73">
        <f t="shared" si="7"/>
        <v>0</v>
      </c>
      <c r="FG65" s="38"/>
    </row>
    <row r="66" spans="1:163" x14ac:dyDescent="0.25">
      <c r="A66" s="53">
        <v>40341</v>
      </c>
      <c r="B66" s="53" t="s">
        <v>19</v>
      </c>
      <c r="C66" s="53" t="s">
        <v>131</v>
      </c>
      <c r="D66" s="53" t="s">
        <v>333</v>
      </c>
      <c r="E66" s="54">
        <v>7858</v>
      </c>
      <c r="F66" s="58">
        <v>4</v>
      </c>
      <c r="G66" s="59" t="s">
        <v>334</v>
      </c>
      <c r="H66" s="6">
        <v>0</v>
      </c>
      <c r="I66" s="6">
        <v>1</v>
      </c>
      <c r="J66" s="60">
        <f>5+1/3</f>
        <v>5.333333333333333</v>
      </c>
      <c r="K66" s="6">
        <v>11</v>
      </c>
      <c r="L66" s="6">
        <v>10</v>
      </c>
      <c r="M66" s="6">
        <v>8</v>
      </c>
      <c r="N66" s="6">
        <v>2</v>
      </c>
      <c r="O66" s="6">
        <v>7</v>
      </c>
      <c r="P66" s="6">
        <v>0</v>
      </c>
      <c r="Q66" s="6">
        <v>0</v>
      </c>
      <c r="R66" s="6">
        <v>29</v>
      </c>
      <c r="S66" s="6">
        <v>109</v>
      </c>
      <c r="T66" s="6">
        <v>74</v>
      </c>
      <c r="U66" s="6">
        <v>3</v>
      </c>
      <c r="V66" s="61">
        <v>3</v>
      </c>
      <c r="W66" s="62">
        <v>0</v>
      </c>
      <c r="X66" s="62">
        <v>0</v>
      </c>
      <c r="Y66" s="62">
        <v>0</v>
      </c>
      <c r="Z66" s="62">
        <v>0</v>
      </c>
      <c r="AA66" s="62">
        <v>0</v>
      </c>
      <c r="AB66" s="63">
        <f>3+2/3</f>
        <v>3.6666666666666665</v>
      </c>
      <c r="AC66" s="62">
        <v>7</v>
      </c>
      <c r="AD66" s="62">
        <v>1</v>
      </c>
      <c r="AE66" s="62">
        <v>1</v>
      </c>
      <c r="AF66" s="62">
        <v>2</v>
      </c>
      <c r="AG66" s="62">
        <v>5</v>
      </c>
      <c r="AH66" s="62">
        <v>0</v>
      </c>
      <c r="AI66" s="62">
        <v>0</v>
      </c>
      <c r="AJ66" s="62">
        <v>20</v>
      </c>
      <c r="AK66" s="62">
        <v>92</v>
      </c>
      <c r="AL66" s="62">
        <v>63</v>
      </c>
      <c r="AM66" s="1" t="s">
        <v>345</v>
      </c>
      <c r="AN66" s="78">
        <v>5</v>
      </c>
      <c r="AO66" s="78">
        <v>0</v>
      </c>
      <c r="AP66" s="78">
        <v>0</v>
      </c>
      <c r="AQ66" s="78">
        <v>0</v>
      </c>
      <c r="AR66" s="78">
        <v>0</v>
      </c>
      <c r="AS66" s="78">
        <v>1</v>
      </c>
      <c r="AT66" s="78">
        <v>0</v>
      </c>
      <c r="AU66" s="78">
        <v>0</v>
      </c>
      <c r="AV66" s="76">
        <v>0</v>
      </c>
      <c r="AW66" s="1" t="s">
        <v>399</v>
      </c>
      <c r="AX66" s="78">
        <v>4</v>
      </c>
      <c r="AY66" s="78">
        <v>1</v>
      </c>
      <c r="AZ66" s="78">
        <v>2</v>
      </c>
      <c r="BA66" s="78">
        <v>1</v>
      </c>
      <c r="BB66" s="78">
        <v>1</v>
      </c>
      <c r="BC66" s="78">
        <v>0</v>
      </c>
      <c r="BD66" s="78">
        <v>0</v>
      </c>
      <c r="BE66" s="78">
        <v>0</v>
      </c>
      <c r="BF66" s="76">
        <v>2</v>
      </c>
      <c r="BG66" s="1" t="s">
        <v>387</v>
      </c>
      <c r="BH66" s="78">
        <v>4</v>
      </c>
      <c r="BI66" s="78">
        <v>1</v>
      </c>
      <c r="BJ66" s="78">
        <v>0</v>
      </c>
      <c r="BK66" s="78">
        <v>0</v>
      </c>
      <c r="BL66" s="78">
        <v>1</v>
      </c>
      <c r="BM66" s="78">
        <v>2</v>
      </c>
      <c r="BN66" s="78">
        <v>0</v>
      </c>
      <c r="BO66" s="78">
        <v>0</v>
      </c>
      <c r="BP66" s="76">
        <v>0</v>
      </c>
      <c r="BQ66" s="1" t="s">
        <v>332</v>
      </c>
      <c r="BR66" s="78">
        <v>4</v>
      </c>
      <c r="BS66" s="78">
        <v>0</v>
      </c>
      <c r="BT66" s="78">
        <v>1</v>
      </c>
      <c r="BU66" s="78">
        <v>1</v>
      </c>
      <c r="BV66" s="78">
        <v>0</v>
      </c>
      <c r="BW66" s="78">
        <v>1</v>
      </c>
      <c r="BX66" s="78">
        <v>0</v>
      </c>
      <c r="BY66" s="78">
        <v>0</v>
      </c>
      <c r="BZ66" s="76">
        <v>2</v>
      </c>
      <c r="CA66" s="1" t="s">
        <v>344</v>
      </c>
      <c r="CB66" s="78">
        <v>4</v>
      </c>
      <c r="CC66" s="78">
        <v>1</v>
      </c>
      <c r="CD66" s="78">
        <v>2</v>
      </c>
      <c r="CE66" s="78">
        <v>1</v>
      </c>
      <c r="CF66" s="78">
        <v>0</v>
      </c>
      <c r="CG66" s="78">
        <v>0</v>
      </c>
      <c r="CH66" s="78">
        <v>0</v>
      </c>
      <c r="CI66" s="78">
        <v>0</v>
      </c>
      <c r="CJ66" s="76">
        <v>6</v>
      </c>
      <c r="CK66" s="1" t="s">
        <v>405</v>
      </c>
      <c r="CL66" s="78">
        <v>4</v>
      </c>
      <c r="CM66" s="78">
        <v>0</v>
      </c>
      <c r="CN66" s="78">
        <v>0</v>
      </c>
      <c r="CO66" s="78">
        <v>0</v>
      </c>
      <c r="CP66" s="78">
        <v>0</v>
      </c>
      <c r="CQ66" s="78">
        <v>2</v>
      </c>
      <c r="CR66" s="78">
        <v>0</v>
      </c>
      <c r="CS66" s="78">
        <v>0</v>
      </c>
      <c r="CT66" s="76">
        <v>0</v>
      </c>
      <c r="CU66" s="1" t="s">
        <v>331</v>
      </c>
      <c r="CV66" s="78">
        <v>3</v>
      </c>
      <c r="CW66" s="78">
        <v>1</v>
      </c>
      <c r="CX66" s="78">
        <v>1</v>
      </c>
      <c r="CY66" s="78">
        <v>0</v>
      </c>
      <c r="CZ66" s="78">
        <v>1</v>
      </c>
      <c r="DA66" s="78">
        <v>0</v>
      </c>
      <c r="DB66" s="78">
        <v>0</v>
      </c>
      <c r="DC66" s="78">
        <v>0</v>
      </c>
      <c r="DD66" s="76">
        <v>2</v>
      </c>
      <c r="DE66" s="1" t="s">
        <v>407</v>
      </c>
      <c r="DF66" s="78">
        <v>2</v>
      </c>
      <c r="DG66" s="78">
        <v>0</v>
      </c>
      <c r="DH66" s="78">
        <v>0</v>
      </c>
      <c r="DI66" s="78">
        <v>0</v>
      </c>
      <c r="DJ66" s="78">
        <v>2</v>
      </c>
      <c r="DK66" s="78">
        <v>0</v>
      </c>
      <c r="DL66" s="78">
        <v>0</v>
      </c>
      <c r="DM66" s="78">
        <v>0</v>
      </c>
      <c r="DN66" s="76">
        <v>0</v>
      </c>
      <c r="DO66" s="1" t="s">
        <v>330</v>
      </c>
      <c r="DP66" s="78">
        <v>3</v>
      </c>
      <c r="DQ66" s="78">
        <v>0</v>
      </c>
      <c r="DR66" s="78">
        <v>1</v>
      </c>
      <c r="DS66" s="78">
        <v>0</v>
      </c>
      <c r="DT66" s="78">
        <v>0</v>
      </c>
      <c r="DU66" s="78">
        <v>0</v>
      </c>
      <c r="DV66" s="78">
        <v>1</v>
      </c>
      <c r="DW66" s="78">
        <v>0</v>
      </c>
      <c r="DX66" s="76">
        <v>1</v>
      </c>
      <c r="DY66" s="77">
        <v>1</v>
      </c>
      <c r="DZ66" s="43">
        <v>0</v>
      </c>
      <c r="EA66" s="43">
        <v>0</v>
      </c>
      <c r="EB66" s="45">
        <v>8</v>
      </c>
      <c r="EC66" s="43">
        <v>1</v>
      </c>
      <c r="ED66" s="44">
        <v>0</v>
      </c>
      <c r="EE66" s="71">
        <v>2</v>
      </c>
      <c r="EF66" s="43">
        <v>0</v>
      </c>
      <c r="EG66" s="43">
        <v>0</v>
      </c>
      <c r="EH66" s="43">
        <v>0</v>
      </c>
      <c r="EI66" s="43">
        <v>0</v>
      </c>
      <c r="EJ66" s="43">
        <v>1</v>
      </c>
      <c r="EK66" s="43">
        <v>0</v>
      </c>
      <c r="EL66" s="43">
        <v>0</v>
      </c>
      <c r="EM66" s="43">
        <v>1</v>
      </c>
      <c r="EN66" s="43"/>
      <c r="EO66" s="43"/>
      <c r="EP66" s="43"/>
      <c r="EQ66" s="44">
        <f t="shared" si="4"/>
        <v>4</v>
      </c>
      <c r="ER66" s="43">
        <v>0</v>
      </c>
      <c r="ES66" s="43">
        <v>0</v>
      </c>
      <c r="ET66" s="43">
        <v>4</v>
      </c>
      <c r="EU66" s="43">
        <v>0</v>
      </c>
      <c r="EV66" s="43">
        <v>2</v>
      </c>
      <c r="EW66" s="43">
        <v>4</v>
      </c>
      <c r="EX66" s="43">
        <v>1</v>
      </c>
      <c r="EY66" s="43">
        <v>0</v>
      </c>
      <c r="EZ66" s="43">
        <v>0</v>
      </c>
      <c r="FA66" s="43"/>
      <c r="FB66" s="43"/>
      <c r="FC66" s="43"/>
      <c r="FD66" s="43">
        <f t="shared" si="5"/>
        <v>11</v>
      </c>
      <c r="FE66" s="73">
        <f t="shared" si="6"/>
        <v>0</v>
      </c>
      <c r="FF66" s="73">
        <f t="shared" si="7"/>
        <v>0</v>
      </c>
      <c r="FG66" s="38"/>
    </row>
    <row r="67" spans="1:163" x14ac:dyDescent="0.25">
      <c r="A67" s="53">
        <v>40342</v>
      </c>
      <c r="B67" s="53" t="s">
        <v>19</v>
      </c>
      <c r="C67" s="53" t="s">
        <v>129</v>
      </c>
      <c r="D67" s="53" t="s">
        <v>333</v>
      </c>
      <c r="E67" s="54">
        <v>7636</v>
      </c>
      <c r="F67" s="58">
        <v>5</v>
      </c>
      <c r="G67" s="59" t="s">
        <v>339</v>
      </c>
      <c r="H67" s="6">
        <v>1</v>
      </c>
      <c r="I67" s="6">
        <v>0</v>
      </c>
      <c r="J67" s="60">
        <v>5</v>
      </c>
      <c r="K67" s="6">
        <v>7</v>
      </c>
      <c r="L67" s="6">
        <v>5</v>
      </c>
      <c r="M67" s="6">
        <v>5</v>
      </c>
      <c r="N67" s="6">
        <v>1</v>
      </c>
      <c r="O67" s="6">
        <v>4</v>
      </c>
      <c r="P67" s="6">
        <v>1</v>
      </c>
      <c r="Q67" s="6">
        <v>0</v>
      </c>
      <c r="R67" s="6">
        <v>23</v>
      </c>
      <c r="S67" s="6">
        <v>89</v>
      </c>
      <c r="T67" s="6">
        <v>53</v>
      </c>
      <c r="U67" s="6">
        <v>0</v>
      </c>
      <c r="V67" s="61">
        <v>0</v>
      </c>
      <c r="W67" s="62">
        <v>0</v>
      </c>
      <c r="X67" s="62">
        <v>0</v>
      </c>
      <c r="Y67" s="62">
        <v>0</v>
      </c>
      <c r="Z67" s="62">
        <v>0</v>
      </c>
      <c r="AA67" s="62">
        <v>0</v>
      </c>
      <c r="AB67" s="63">
        <v>4</v>
      </c>
      <c r="AC67" s="62">
        <v>2</v>
      </c>
      <c r="AD67" s="62">
        <v>1</v>
      </c>
      <c r="AE67" s="62">
        <v>1</v>
      </c>
      <c r="AF67" s="62">
        <v>0</v>
      </c>
      <c r="AG67" s="62">
        <v>3</v>
      </c>
      <c r="AH67" s="62">
        <v>1</v>
      </c>
      <c r="AI67" s="62">
        <v>0</v>
      </c>
      <c r="AJ67" s="62">
        <v>14</v>
      </c>
      <c r="AK67" s="62">
        <v>47</v>
      </c>
      <c r="AL67" s="62">
        <v>36</v>
      </c>
      <c r="AM67" s="1" t="s">
        <v>401</v>
      </c>
      <c r="AN67" s="78">
        <v>5</v>
      </c>
      <c r="AO67" s="78">
        <v>3</v>
      </c>
      <c r="AP67" s="78">
        <v>3</v>
      </c>
      <c r="AQ67" s="78">
        <v>0</v>
      </c>
      <c r="AR67" s="78">
        <v>1</v>
      </c>
      <c r="AS67" s="78">
        <v>1</v>
      </c>
      <c r="AT67" s="78">
        <v>0</v>
      </c>
      <c r="AU67" s="78">
        <v>0</v>
      </c>
      <c r="AV67" s="76">
        <v>4</v>
      </c>
      <c r="AW67" s="1" t="s">
        <v>399</v>
      </c>
      <c r="AX67" s="78">
        <v>4</v>
      </c>
      <c r="AY67" s="78">
        <v>3</v>
      </c>
      <c r="AZ67" s="78">
        <v>2</v>
      </c>
      <c r="BA67" s="78">
        <v>3</v>
      </c>
      <c r="BB67" s="78">
        <v>1</v>
      </c>
      <c r="BC67" s="78">
        <v>0</v>
      </c>
      <c r="BD67" s="78">
        <v>0</v>
      </c>
      <c r="BE67" s="78">
        <v>1</v>
      </c>
      <c r="BF67" s="76">
        <v>4</v>
      </c>
      <c r="BG67" s="1" t="s">
        <v>387</v>
      </c>
      <c r="BH67" s="78">
        <v>5</v>
      </c>
      <c r="BI67" s="78">
        <v>3</v>
      </c>
      <c r="BJ67" s="78">
        <v>5</v>
      </c>
      <c r="BK67" s="78">
        <v>2</v>
      </c>
      <c r="BL67" s="78">
        <v>0</v>
      </c>
      <c r="BM67" s="78">
        <v>0</v>
      </c>
      <c r="BN67" s="78">
        <v>0</v>
      </c>
      <c r="BO67" s="78">
        <v>0</v>
      </c>
      <c r="BP67" s="76">
        <v>8</v>
      </c>
      <c r="BQ67" s="1" t="s">
        <v>332</v>
      </c>
      <c r="BR67" s="78">
        <v>4</v>
      </c>
      <c r="BS67" s="78">
        <v>1</v>
      </c>
      <c r="BT67" s="78">
        <v>1</v>
      </c>
      <c r="BU67" s="78">
        <v>2</v>
      </c>
      <c r="BV67" s="78">
        <v>1</v>
      </c>
      <c r="BW67" s="78">
        <v>0</v>
      </c>
      <c r="BX67" s="78">
        <v>0</v>
      </c>
      <c r="BY67" s="78">
        <v>0</v>
      </c>
      <c r="BZ67" s="76">
        <v>1</v>
      </c>
      <c r="CA67" s="1" t="s">
        <v>344</v>
      </c>
      <c r="CB67" s="78">
        <v>4</v>
      </c>
      <c r="CC67" s="78">
        <v>0</v>
      </c>
      <c r="CD67" s="78">
        <v>2</v>
      </c>
      <c r="CE67" s="78">
        <v>3</v>
      </c>
      <c r="CF67" s="78">
        <v>1</v>
      </c>
      <c r="CG67" s="78">
        <v>1</v>
      </c>
      <c r="CH67" s="78">
        <v>0</v>
      </c>
      <c r="CI67" s="78">
        <v>0</v>
      </c>
      <c r="CJ67" s="76">
        <v>5</v>
      </c>
      <c r="CK67" s="1" t="s">
        <v>405</v>
      </c>
      <c r="CL67" s="78">
        <v>5</v>
      </c>
      <c r="CM67" s="78">
        <v>0</v>
      </c>
      <c r="CN67" s="78">
        <v>0</v>
      </c>
      <c r="CO67" s="78">
        <v>0</v>
      </c>
      <c r="CP67" s="78">
        <v>0</v>
      </c>
      <c r="CQ67" s="78">
        <v>2</v>
      </c>
      <c r="CR67" s="78">
        <v>0</v>
      </c>
      <c r="CS67" s="78">
        <v>0</v>
      </c>
      <c r="CT67" s="76">
        <v>0</v>
      </c>
      <c r="CU67" s="1" t="s">
        <v>331</v>
      </c>
      <c r="CV67" s="78">
        <v>5</v>
      </c>
      <c r="CW67" s="78">
        <v>0</v>
      </c>
      <c r="CX67" s="78">
        <v>1</v>
      </c>
      <c r="CY67" s="78">
        <v>2</v>
      </c>
      <c r="CZ67" s="78">
        <v>0</v>
      </c>
      <c r="DA67" s="78">
        <v>1</v>
      </c>
      <c r="DB67" s="78">
        <v>0</v>
      </c>
      <c r="DC67" s="78">
        <v>0</v>
      </c>
      <c r="DD67" s="76">
        <v>1</v>
      </c>
      <c r="DE67" s="1" t="s">
        <v>336</v>
      </c>
      <c r="DF67" s="78">
        <v>5</v>
      </c>
      <c r="DG67" s="78">
        <v>2</v>
      </c>
      <c r="DH67" s="78">
        <v>3</v>
      </c>
      <c r="DI67" s="78">
        <v>1</v>
      </c>
      <c r="DJ67" s="78">
        <v>0</v>
      </c>
      <c r="DK67" s="78">
        <v>1</v>
      </c>
      <c r="DL67" s="78">
        <v>0</v>
      </c>
      <c r="DM67" s="78">
        <v>0</v>
      </c>
      <c r="DN67" s="76">
        <v>6</v>
      </c>
      <c r="DO67" s="1" t="s">
        <v>330</v>
      </c>
      <c r="DP67" s="78">
        <v>5</v>
      </c>
      <c r="DQ67" s="78">
        <v>1</v>
      </c>
      <c r="DR67" s="78">
        <v>2</v>
      </c>
      <c r="DS67" s="78">
        <v>0</v>
      </c>
      <c r="DT67" s="78">
        <v>0</v>
      </c>
      <c r="DU67" s="78">
        <v>1</v>
      </c>
      <c r="DV67" s="78">
        <v>0</v>
      </c>
      <c r="DW67" s="78">
        <v>0</v>
      </c>
      <c r="DX67" s="76">
        <v>2</v>
      </c>
      <c r="DY67" s="77">
        <f>3+1/3</f>
        <v>3.3333333333333335</v>
      </c>
      <c r="DZ67" s="43">
        <v>0</v>
      </c>
      <c r="EA67" s="43">
        <v>0</v>
      </c>
      <c r="EB67" s="45">
        <f>4+2/3</f>
        <v>4.666666666666667</v>
      </c>
      <c r="EC67" s="43">
        <v>0</v>
      </c>
      <c r="ED67" s="44">
        <v>0</v>
      </c>
      <c r="EE67" s="71">
        <v>2</v>
      </c>
      <c r="EF67" s="43">
        <v>0</v>
      </c>
      <c r="EG67" s="43">
        <v>1</v>
      </c>
      <c r="EH67" s="43">
        <v>6</v>
      </c>
      <c r="EI67" s="43">
        <v>0</v>
      </c>
      <c r="EJ67" s="43">
        <v>2</v>
      </c>
      <c r="EK67" s="43">
        <v>1</v>
      </c>
      <c r="EL67" s="43">
        <v>1</v>
      </c>
      <c r="EM67" s="43"/>
      <c r="EN67" s="43"/>
      <c r="EO67" s="43"/>
      <c r="EP67" s="43"/>
      <c r="EQ67" s="44">
        <f t="shared" si="4"/>
        <v>13</v>
      </c>
      <c r="ER67" s="43">
        <v>4</v>
      </c>
      <c r="ES67" s="43">
        <v>0</v>
      </c>
      <c r="ET67" s="43">
        <v>0</v>
      </c>
      <c r="EU67" s="43">
        <v>1</v>
      </c>
      <c r="EV67" s="43">
        <v>0</v>
      </c>
      <c r="EW67" s="43">
        <v>0</v>
      </c>
      <c r="EX67" s="43">
        <v>1</v>
      </c>
      <c r="EY67" s="43">
        <v>0</v>
      </c>
      <c r="EZ67" s="43">
        <v>0</v>
      </c>
      <c r="FA67" s="43"/>
      <c r="FB67" s="43"/>
      <c r="FC67" s="43"/>
      <c r="FD67" s="43">
        <f t="shared" si="5"/>
        <v>6</v>
      </c>
      <c r="FE67" s="73">
        <f t="shared" si="6"/>
        <v>0</v>
      </c>
      <c r="FF67" s="73">
        <f t="shared" si="7"/>
        <v>0</v>
      </c>
      <c r="FG67" s="38"/>
    </row>
    <row r="68" spans="1:163" x14ac:dyDescent="0.25">
      <c r="A68" s="53">
        <v>40343</v>
      </c>
      <c r="B68" s="53" t="s">
        <v>133</v>
      </c>
      <c r="C68" s="53" t="s">
        <v>131</v>
      </c>
      <c r="D68" s="53" t="s">
        <v>333</v>
      </c>
      <c r="E68" s="54">
        <v>4162</v>
      </c>
      <c r="F68" s="58">
        <v>1</v>
      </c>
      <c r="G68" s="59" t="s">
        <v>397</v>
      </c>
      <c r="H68" s="6">
        <v>0</v>
      </c>
      <c r="I68" s="6">
        <v>0</v>
      </c>
      <c r="J68" s="60">
        <v>6</v>
      </c>
      <c r="K68" s="6">
        <v>2</v>
      </c>
      <c r="L68" s="6">
        <v>1</v>
      </c>
      <c r="M68" s="6">
        <v>1</v>
      </c>
      <c r="N68" s="6">
        <v>1</v>
      </c>
      <c r="O68" s="6">
        <v>5</v>
      </c>
      <c r="P68" s="6">
        <v>0</v>
      </c>
      <c r="Q68" s="6">
        <v>3</v>
      </c>
      <c r="R68" s="6">
        <v>22</v>
      </c>
      <c r="S68" s="6">
        <v>81</v>
      </c>
      <c r="T68" s="6">
        <v>55</v>
      </c>
      <c r="U68" s="6">
        <v>0</v>
      </c>
      <c r="V68" s="61">
        <v>0</v>
      </c>
      <c r="W68" s="62">
        <v>0</v>
      </c>
      <c r="X68" s="62">
        <v>1</v>
      </c>
      <c r="Y68" s="62">
        <v>0</v>
      </c>
      <c r="Z68" s="62">
        <v>0</v>
      </c>
      <c r="AA68" s="62">
        <v>1</v>
      </c>
      <c r="AB68" s="63">
        <v>2</v>
      </c>
      <c r="AC68" s="62">
        <v>8</v>
      </c>
      <c r="AD68" s="62">
        <v>6</v>
      </c>
      <c r="AE68" s="62">
        <v>6</v>
      </c>
      <c r="AF68" s="62">
        <v>2</v>
      </c>
      <c r="AG68" s="62">
        <v>0</v>
      </c>
      <c r="AH68" s="62">
        <v>0</v>
      </c>
      <c r="AI68" s="62">
        <v>1</v>
      </c>
      <c r="AJ68" s="62">
        <v>17</v>
      </c>
      <c r="AK68" s="62">
        <v>48</v>
      </c>
      <c r="AL68" s="62">
        <v>29</v>
      </c>
      <c r="AM68" s="1" t="s">
        <v>384</v>
      </c>
      <c r="AN68" s="78">
        <v>5</v>
      </c>
      <c r="AO68" s="78">
        <v>0</v>
      </c>
      <c r="AP68" s="78">
        <v>2</v>
      </c>
      <c r="AQ68" s="78">
        <v>0</v>
      </c>
      <c r="AR68" s="78">
        <v>1</v>
      </c>
      <c r="AS68" s="78">
        <v>1</v>
      </c>
      <c r="AT68" s="78">
        <v>0</v>
      </c>
      <c r="AU68" s="78">
        <v>0</v>
      </c>
      <c r="AV68" s="76">
        <v>3</v>
      </c>
      <c r="AW68" s="1" t="s">
        <v>399</v>
      </c>
      <c r="AX68" s="78">
        <v>5</v>
      </c>
      <c r="AY68" s="78">
        <v>1</v>
      </c>
      <c r="AZ68" s="78">
        <v>2</v>
      </c>
      <c r="BA68" s="78">
        <v>0</v>
      </c>
      <c r="BB68" s="78">
        <v>0</v>
      </c>
      <c r="BC68" s="78">
        <v>2</v>
      </c>
      <c r="BD68" s="78">
        <v>0</v>
      </c>
      <c r="BE68" s="78">
        <v>0</v>
      </c>
      <c r="BF68" s="76">
        <v>3</v>
      </c>
      <c r="BG68" s="1" t="s">
        <v>387</v>
      </c>
      <c r="BH68" s="78">
        <v>3</v>
      </c>
      <c r="BI68" s="78">
        <v>1</v>
      </c>
      <c r="BJ68" s="78">
        <v>3</v>
      </c>
      <c r="BK68" s="78">
        <v>0</v>
      </c>
      <c r="BL68" s="78">
        <v>2</v>
      </c>
      <c r="BM68" s="78">
        <v>0</v>
      </c>
      <c r="BN68" s="78">
        <v>0</v>
      </c>
      <c r="BO68" s="78">
        <v>0</v>
      </c>
      <c r="BP68" s="76">
        <v>3</v>
      </c>
      <c r="BQ68" s="1" t="s">
        <v>332</v>
      </c>
      <c r="BR68" s="78">
        <v>5</v>
      </c>
      <c r="BS68" s="78">
        <v>0</v>
      </c>
      <c r="BT68" s="78">
        <v>1</v>
      </c>
      <c r="BU68" s="78">
        <v>1</v>
      </c>
      <c r="BV68" s="78">
        <v>0</v>
      </c>
      <c r="BW68" s="78">
        <v>2</v>
      </c>
      <c r="BX68" s="78">
        <v>0</v>
      </c>
      <c r="BY68" s="78">
        <v>0</v>
      </c>
      <c r="BZ68" s="76">
        <v>1</v>
      </c>
      <c r="CA68" s="1" t="s">
        <v>336</v>
      </c>
      <c r="CB68" s="78">
        <v>5</v>
      </c>
      <c r="CC68" s="78">
        <v>0</v>
      </c>
      <c r="CD68" s="78">
        <v>1</v>
      </c>
      <c r="CE68" s="78">
        <v>0</v>
      </c>
      <c r="CF68" s="78">
        <v>0</v>
      </c>
      <c r="CG68" s="78">
        <v>1</v>
      </c>
      <c r="CH68" s="78">
        <v>0</v>
      </c>
      <c r="CI68" s="78">
        <v>0</v>
      </c>
      <c r="CJ68" s="76">
        <v>1</v>
      </c>
      <c r="CK68" s="1" t="s">
        <v>405</v>
      </c>
      <c r="CL68" s="78">
        <v>4</v>
      </c>
      <c r="CM68" s="78">
        <v>0</v>
      </c>
      <c r="CN68" s="78">
        <v>0</v>
      </c>
      <c r="CO68" s="78">
        <v>0</v>
      </c>
      <c r="CP68" s="78">
        <v>1</v>
      </c>
      <c r="CQ68" s="78">
        <v>0</v>
      </c>
      <c r="CR68" s="78">
        <v>0</v>
      </c>
      <c r="CS68" s="78">
        <v>0</v>
      </c>
      <c r="CT68" s="76">
        <v>0</v>
      </c>
      <c r="CU68" s="1" t="s">
        <v>401</v>
      </c>
      <c r="CV68" s="78">
        <v>4</v>
      </c>
      <c r="CW68" s="78">
        <v>0</v>
      </c>
      <c r="CX68" s="78">
        <v>3</v>
      </c>
      <c r="CY68" s="78">
        <v>0</v>
      </c>
      <c r="CZ68" s="78">
        <v>1</v>
      </c>
      <c r="DA68" s="78">
        <v>0</v>
      </c>
      <c r="DB68" s="78">
        <v>0</v>
      </c>
      <c r="DC68" s="78">
        <v>0</v>
      </c>
      <c r="DD68" s="76">
        <v>3</v>
      </c>
      <c r="DE68" s="1" t="s">
        <v>407</v>
      </c>
      <c r="DF68" s="78">
        <v>3</v>
      </c>
      <c r="DG68" s="78">
        <v>0</v>
      </c>
      <c r="DH68" s="78">
        <v>1</v>
      </c>
      <c r="DI68" s="78">
        <v>1</v>
      </c>
      <c r="DJ68" s="78">
        <v>2</v>
      </c>
      <c r="DK68" s="78">
        <v>0</v>
      </c>
      <c r="DL68" s="78">
        <v>0</v>
      </c>
      <c r="DM68" s="78">
        <v>0</v>
      </c>
      <c r="DN68" s="76">
        <v>1</v>
      </c>
      <c r="DO68" s="1" t="s">
        <v>330</v>
      </c>
      <c r="DP68" s="78">
        <v>4</v>
      </c>
      <c r="DQ68" s="78">
        <v>0</v>
      </c>
      <c r="DR68" s="78">
        <v>0</v>
      </c>
      <c r="DS68" s="78">
        <v>0</v>
      </c>
      <c r="DT68" s="78">
        <v>1</v>
      </c>
      <c r="DU68" s="78">
        <v>2</v>
      </c>
      <c r="DV68" s="78">
        <v>0</v>
      </c>
      <c r="DW68" s="78">
        <v>0</v>
      </c>
      <c r="DX68" s="76">
        <v>0</v>
      </c>
      <c r="DY68" s="77">
        <v>4</v>
      </c>
      <c r="DZ68" s="43">
        <v>0</v>
      </c>
      <c r="EA68" s="43">
        <v>1</v>
      </c>
      <c r="EB68" s="45">
        <v>5</v>
      </c>
      <c r="EC68" s="43">
        <v>0</v>
      </c>
      <c r="ED68" s="44">
        <v>0</v>
      </c>
      <c r="EE68" s="71">
        <v>0</v>
      </c>
      <c r="EF68" s="43">
        <v>0</v>
      </c>
      <c r="EG68" s="43">
        <v>2</v>
      </c>
      <c r="EH68" s="43">
        <v>0</v>
      </c>
      <c r="EI68" s="43">
        <v>0</v>
      </c>
      <c r="EJ68" s="43">
        <v>0</v>
      </c>
      <c r="EK68" s="43">
        <v>0</v>
      </c>
      <c r="EL68" s="43">
        <v>0</v>
      </c>
      <c r="EM68" s="43">
        <v>0</v>
      </c>
      <c r="EN68" s="43"/>
      <c r="EO68" s="43"/>
      <c r="EP68" s="43"/>
      <c r="EQ68" s="44">
        <f t="shared" ref="EQ68:EQ86" si="8">SUM(EE68:EP68)</f>
        <v>2</v>
      </c>
      <c r="ER68" s="43">
        <v>0</v>
      </c>
      <c r="ES68" s="43">
        <v>0</v>
      </c>
      <c r="ET68" s="43">
        <v>0</v>
      </c>
      <c r="EU68" s="43">
        <v>0</v>
      </c>
      <c r="EV68" s="43">
        <v>0</v>
      </c>
      <c r="EW68" s="43">
        <v>1</v>
      </c>
      <c r="EX68" s="43">
        <v>1</v>
      </c>
      <c r="EY68" s="43">
        <v>5</v>
      </c>
      <c r="EZ68" s="43"/>
      <c r="FA68" s="43"/>
      <c r="FB68" s="43"/>
      <c r="FC68" s="43"/>
      <c r="FD68" s="43">
        <f t="shared" ref="FD68:FD86" si="9">SUM(ER68:FC68)</f>
        <v>7</v>
      </c>
      <c r="FE68" s="73">
        <f t="shared" ref="FE68:FE86" si="10">((SUM(L68,AD68))-(FD68))</f>
        <v>0</v>
      </c>
      <c r="FF68" s="73">
        <f t="shared" ref="FF68:FF86" si="11">((SUM(AO68,AY68,BI68,BS68,CC68,CM68,CW68,DG68,DQ68))-(EQ68))</f>
        <v>0</v>
      </c>
      <c r="FG68" s="38" t="s">
        <v>343</v>
      </c>
    </row>
    <row r="69" spans="1:163" x14ac:dyDescent="0.25">
      <c r="A69" s="53">
        <v>40346</v>
      </c>
      <c r="B69" s="53" t="s">
        <v>133</v>
      </c>
      <c r="C69" s="53" t="s">
        <v>131</v>
      </c>
      <c r="D69" s="53" t="s">
        <v>338</v>
      </c>
      <c r="E69" s="54">
        <v>8373</v>
      </c>
      <c r="F69" s="58">
        <v>2</v>
      </c>
      <c r="G69" s="59" t="s">
        <v>337</v>
      </c>
      <c r="H69" s="6">
        <v>0</v>
      </c>
      <c r="I69" s="6">
        <v>1</v>
      </c>
      <c r="J69" s="60">
        <v>7</v>
      </c>
      <c r="K69" s="6">
        <v>4</v>
      </c>
      <c r="L69" s="6">
        <v>1</v>
      </c>
      <c r="M69" s="6">
        <v>1</v>
      </c>
      <c r="N69" s="6">
        <v>0</v>
      </c>
      <c r="O69" s="6">
        <v>5</v>
      </c>
      <c r="P69" s="6">
        <v>0</v>
      </c>
      <c r="Q69" s="6">
        <v>0</v>
      </c>
      <c r="R69" s="6">
        <v>25</v>
      </c>
      <c r="S69" s="6">
        <v>93</v>
      </c>
      <c r="T69" s="6">
        <v>64</v>
      </c>
      <c r="U69" s="6">
        <v>0</v>
      </c>
      <c r="V69" s="61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3">
        <v>1</v>
      </c>
      <c r="AC69" s="62">
        <v>2</v>
      </c>
      <c r="AD69" s="62">
        <v>1</v>
      </c>
      <c r="AE69" s="62">
        <v>1</v>
      </c>
      <c r="AF69" s="62">
        <v>0</v>
      </c>
      <c r="AG69" s="62">
        <v>1</v>
      </c>
      <c r="AH69" s="62">
        <v>0</v>
      </c>
      <c r="AI69" s="62">
        <v>0</v>
      </c>
      <c r="AJ69" s="62">
        <v>5</v>
      </c>
      <c r="AK69" s="62">
        <v>19</v>
      </c>
      <c r="AL69" s="62">
        <v>10</v>
      </c>
      <c r="AM69" s="1" t="s">
        <v>330</v>
      </c>
      <c r="AN69" s="78">
        <v>4</v>
      </c>
      <c r="AO69" s="78">
        <v>0</v>
      </c>
      <c r="AP69" s="78">
        <v>0</v>
      </c>
      <c r="AQ69" s="78">
        <v>0</v>
      </c>
      <c r="AR69" s="78">
        <v>0</v>
      </c>
      <c r="AS69" s="78">
        <v>0</v>
      </c>
      <c r="AT69" s="78">
        <v>0</v>
      </c>
      <c r="AU69" s="78">
        <v>0</v>
      </c>
      <c r="AV69" s="76">
        <v>0</v>
      </c>
      <c r="AW69" s="1" t="s">
        <v>399</v>
      </c>
      <c r="AX69" s="78">
        <v>4</v>
      </c>
      <c r="AY69" s="78">
        <v>0</v>
      </c>
      <c r="AZ69" s="78">
        <v>0</v>
      </c>
      <c r="BA69" s="78">
        <v>0</v>
      </c>
      <c r="BB69" s="78">
        <v>0</v>
      </c>
      <c r="BC69" s="78">
        <v>1</v>
      </c>
      <c r="BD69" s="78">
        <v>0</v>
      </c>
      <c r="BE69" s="78">
        <v>0</v>
      </c>
      <c r="BF69" s="76">
        <v>0</v>
      </c>
      <c r="BG69" s="1" t="s">
        <v>387</v>
      </c>
      <c r="BH69" s="78">
        <v>3</v>
      </c>
      <c r="BI69" s="78">
        <v>0</v>
      </c>
      <c r="BJ69" s="78">
        <v>0</v>
      </c>
      <c r="BK69" s="78">
        <v>0</v>
      </c>
      <c r="BL69" s="78">
        <v>1</v>
      </c>
      <c r="BM69" s="78">
        <v>1</v>
      </c>
      <c r="BN69" s="78">
        <v>0</v>
      </c>
      <c r="BO69" s="78">
        <v>0</v>
      </c>
      <c r="BP69" s="76">
        <v>0</v>
      </c>
      <c r="BQ69" s="1" t="s">
        <v>332</v>
      </c>
      <c r="BR69" s="78">
        <v>4</v>
      </c>
      <c r="BS69" s="78">
        <v>0</v>
      </c>
      <c r="BT69" s="78">
        <v>0</v>
      </c>
      <c r="BU69" s="78">
        <v>0</v>
      </c>
      <c r="BV69" s="78">
        <v>0</v>
      </c>
      <c r="BW69" s="78">
        <v>0</v>
      </c>
      <c r="BX69" s="78">
        <v>0</v>
      </c>
      <c r="BY69" s="78">
        <v>0</v>
      </c>
      <c r="BZ69" s="76">
        <v>0</v>
      </c>
      <c r="CA69" s="1" t="s">
        <v>400</v>
      </c>
      <c r="CB69" s="78">
        <v>4</v>
      </c>
      <c r="CC69" s="78">
        <v>0</v>
      </c>
      <c r="CD69" s="78">
        <v>2</v>
      </c>
      <c r="CE69" s="78">
        <v>0</v>
      </c>
      <c r="CF69" s="78">
        <v>0</v>
      </c>
      <c r="CG69" s="78">
        <v>1</v>
      </c>
      <c r="CH69" s="78">
        <v>0</v>
      </c>
      <c r="CI69" s="78">
        <v>0</v>
      </c>
      <c r="CJ69" s="76">
        <v>2</v>
      </c>
      <c r="CK69" s="1" t="s">
        <v>405</v>
      </c>
      <c r="CL69" s="78">
        <v>4</v>
      </c>
      <c r="CM69" s="78">
        <v>0</v>
      </c>
      <c r="CN69" s="78">
        <v>1</v>
      </c>
      <c r="CO69" s="78">
        <v>0</v>
      </c>
      <c r="CP69" s="78">
        <v>0</v>
      </c>
      <c r="CQ69" s="78">
        <v>0</v>
      </c>
      <c r="CR69" s="78">
        <v>0</v>
      </c>
      <c r="CS69" s="78">
        <v>0</v>
      </c>
      <c r="CT69" s="76">
        <v>2</v>
      </c>
      <c r="CU69" s="1" t="s">
        <v>331</v>
      </c>
      <c r="CV69" s="78">
        <v>4</v>
      </c>
      <c r="CW69" s="78">
        <v>0</v>
      </c>
      <c r="CX69" s="78">
        <v>0</v>
      </c>
      <c r="CY69" s="78">
        <v>0</v>
      </c>
      <c r="CZ69" s="78">
        <v>0</v>
      </c>
      <c r="DA69" s="78">
        <v>0</v>
      </c>
      <c r="DB69" s="78">
        <v>0</v>
      </c>
      <c r="DC69" s="78">
        <v>0</v>
      </c>
      <c r="DD69" s="76">
        <v>0</v>
      </c>
      <c r="DE69" s="1" t="s">
        <v>407</v>
      </c>
      <c r="DF69" s="78">
        <v>3</v>
      </c>
      <c r="DG69" s="78">
        <v>0</v>
      </c>
      <c r="DH69" s="78">
        <v>1</v>
      </c>
      <c r="DI69" s="78">
        <v>0</v>
      </c>
      <c r="DJ69" s="78">
        <v>0</v>
      </c>
      <c r="DK69" s="78">
        <v>0</v>
      </c>
      <c r="DL69" s="78">
        <v>0</v>
      </c>
      <c r="DM69" s="78">
        <v>0</v>
      </c>
      <c r="DN69" s="76">
        <v>1</v>
      </c>
      <c r="DO69" s="1" t="s">
        <v>335</v>
      </c>
      <c r="DP69" s="78">
        <v>3</v>
      </c>
      <c r="DQ69" s="78">
        <v>0</v>
      </c>
      <c r="DR69" s="78">
        <v>1</v>
      </c>
      <c r="DS69" s="78">
        <v>0</v>
      </c>
      <c r="DT69" s="78">
        <v>0</v>
      </c>
      <c r="DU69" s="78">
        <v>0</v>
      </c>
      <c r="DV69" s="78">
        <v>0</v>
      </c>
      <c r="DW69" s="78">
        <v>0</v>
      </c>
      <c r="DX69" s="76">
        <v>1</v>
      </c>
      <c r="DY69" s="77">
        <v>1</v>
      </c>
      <c r="DZ69" s="43">
        <v>0</v>
      </c>
      <c r="EA69" s="43">
        <v>0</v>
      </c>
      <c r="EB69" s="45">
        <v>8</v>
      </c>
      <c r="EC69" s="43">
        <v>0</v>
      </c>
      <c r="ED69" s="44">
        <v>0</v>
      </c>
      <c r="EE69" s="71">
        <v>0</v>
      </c>
      <c r="EF69" s="43">
        <v>0</v>
      </c>
      <c r="EG69" s="43">
        <v>0</v>
      </c>
      <c r="EH69" s="43">
        <v>0</v>
      </c>
      <c r="EI69" s="43">
        <v>0</v>
      </c>
      <c r="EJ69" s="43">
        <v>0</v>
      </c>
      <c r="EK69" s="43">
        <v>0</v>
      </c>
      <c r="EL69" s="43">
        <v>0</v>
      </c>
      <c r="EM69" s="43">
        <v>0</v>
      </c>
      <c r="EN69" s="43"/>
      <c r="EO69" s="43"/>
      <c r="EP69" s="43"/>
      <c r="EQ69" s="44">
        <f t="shared" si="8"/>
        <v>0</v>
      </c>
      <c r="ER69" s="43">
        <v>1</v>
      </c>
      <c r="ES69" s="43">
        <v>0</v>
      </c>
      <c r="ET69" s="43">
        <v>0</v>
      </c>
      <c r="EU69" s="43">
        <v>0</v>
      </c>
      <c r="EV69" s="43">
        <v>0</v>
      </c>
      <c r="EW69" s="43">
        <v>0</v>
      </c>
      <c r="EX69" s="43">
        <v>0</v>
      </c>
      <c r="EY69" s="43">
        <v>1</v>
      </c>
      <c r="EZ69" s="43"/>
      <c r="FA69" s="43"/>
      <c r="FB69" s="43"/>
      <c r="FC69" s="43"/>
      <c r="FD69" s="43">
        <f t="shared" si="9"/>
        <v>2</v>
      </c>
      <c r="FE69" s="73">
        <f t="shared" si="10"/>
        <v>0</v>
      </c>
      <c r="FF69" s="73">
        <f t="shared" si="11"/>
        <v>0</v>
      </c>
      <c r="FG69" s="38"/>
    </row>
    <row r="70" spans="1:163" x14ac:dyDescent="0.25">
      <c r="A70" s="53">
        <v>40347</v>
      </c>
      <c r="B70" s="53" t="s">
        <v>133</v>
      </c>
      <c r="C70" s="53" t="s">
        <v>129</v>
      </c>
      <c r="D70" s="53" t="s">
        <v>338</v>
      </c>
      <c r="E70" s="54">
        <v>11474</v>
      </c>
      <c r="F70" s="58">
        <v>4</v>
      </c>
      <c r="G70" s="59" t="s">
        <v>334</v>
      </c>
      <c r="H70" s="6">
        <v>1</v>
      </c>
      <c r="I70" s="6">
        <v>0</v>
      </c>
      <c r="J70" s="60">
        <v>6</v>
      </c>
      <c r="K70" s="6">
        <v>6</v>
      </c>
      <c r="L70" s="6">
        <v>2</v>
      </c>
      <c r="M70" s="6">
        <v>2</v>
      </c>
      <c r="N70" s="6">
        <v>2</v>
      </c>
      <c r="O70" s="6">
        <v>3</v>
      </c>
      <c r="P70" s="6">
        <v>0</v>
      </c>
      <c r="Q70" s="6">
        <v>0</v>
      </c>
      <c r="R70" s="6">
        <v>25</v>
      </c>
      <c r="S70" s="6">
        <v>75</v>
      </c>
      <c r="T70" s="6">
        <v>43</v>
      </c>
      <c r="U70" s="6">
        <v>0</v>
      </c>
      <c r="V70" s="61">
        <v>0</v>
      </c>
      <c r="W70" s="62">
        <v>0</v>
      </c>
      <c r="X70" s="62">
        <v>0</v>
      </c>
      <c r="Y70" s="62">
        <v>1</v>
      </c>
      <c r="Z70" s="62">
        <v>0</v>
      </c>
      <c r="AA70" s="62">
        <v>0</v>
      </c>
      <c r="AB70" s="63">
        <v>3</v>
      </c>
      <c r="AC70" s="62">
        <v>2</v>
      </c>
      <c r="AD70" s="62">
        <v>0</v>
      </c>
      <c r="AE70" s="62">
        <v>0</v>
      </c>
      <c r="AF70" s="62">
        <v>0</v>
      </c>
      <c r="AG70" s="62">
        <v>2</v>
      </c>
      <c r="AH70" s="62">
        <v>0</v>
      </c>
      <c r="AI70" s="62">
        <v>0</v>
      </c>
      <c r="AJ70" s="62">
        <v>10</v>
      </c>
      <c r="AK70" s="62">
        <v>29</v>
      </c>
      <c r="AL70" s="62">
        <v>26</v>
      </c>
      <c r="AM70" s="1" t="s">
        <v>330</v>
      </c>
      <c r="AN70" s="78">
        <v>4</v>
      </c>
      <c r="AO70" s="78">
        <v>0</v>
      </c>
      <c r="AP70" s="78">
        <v>1</v>
      </c>
      <c r="AQ70" s="78">
        <v>1</v>
      </c>
      <c r="AR70" s="78">
        <v>1</v>
      </c>
      <c r="AS70" s="78">
        <v>1</v>
      </c>
      <c r="AT70" s="78">
        <v>0</v>
      </c>
      <c r="AU70" s="78">
        <v>0</v>
      </c>
      <c r="AV70" s="76">
        <v>1</v>
      </c>
      <c r="AW70" s="1" t="s">
        <v>399</v>
      </c>
      <c r="AX70" s="78">
        <v>5</v>
      </c>
      <c r="AY70" s="78">
        <v>1</v>
      </c>
      <c r="AZ70" s="78">
        <v>1</v>
      </c>
      <c r="BA70" s="78">
        <v>0</v>
      </c>
      <c r="BB70" s="78">
        <v>0</v>
      </c>
      <c r="BC70" s="78">
        <v>0</v>
      </c>
      <c r="BD70" s="78">
        <v>0</v>
      </c>
      <c r="BE70" s="78">
        <v>0</v>
      </c>
      <c r="BF70" s="76">
        <v>2</v>
      </c>
      <c r="BG70" s="1" t="s">
        <v>387</v>
      </c>
      <c r="BH70" s="78">
        <v>4</v>
      </c>
      <c r="BI70" s="78">
        <v>1</v>
      </c>
      <c r="BJ70" s="78">
        <v>1</v>
      </c>
      <c r="BK70" s="78">
        <v>1</v>
      </c>
      <c r="BL70" s="78">
        <v>1</v>
      </c>
      <c r="BM70" s="78">
        <v>1</v>
      </c>
      <c r="BN70" s="78">
        <v>0</v>
      </c>
      <c r="BO70" s="78">
        <v>0</v>
      </c>
      <c r="BP70" s="76">
        <v>4</v>
      </c>
      <c r="BQ70" s="1" t="s">
        <v>400</v>
      </c>
      <c r="BR70" s="78">
        <v>4</v>
      </c>
      <c r="BS70" s="78">
        <v>1</v>
      </c>
      <c r="BT70" s="78">
        <v>1</v>
      </c>
      <c r="BU70" s="78">
        <v>0</v>
      </c>
      <c r="BV70" s="78">
        <v>1</v>
      </c>
      <c r="BW70" s="78">
        <v>1</v>
      </c>
      <c r="BX70" s="78">
        <v>0</v>
      </c>
      <c r="BY70" s="78">
        <v>0</v>
      </c>
      <c r="BZ70" s="76">
        <v>1</v>
      </c>
      <c r="CA70" s="1" t="s">
        <v>332</v>
      </c>
      <c r="CB70" s="78">
        <v>3</v>
      </c>
      <c r="CC70" s="78">
        <v>1</v>
      </c>
      <c r="CD70" s="78">
        <v>1</v>
      </c>
      <c r="CE70" s="78">
        <v>2</v>
      </c>
      <c r="CF70" s="78">
        <v>2</v>
      </c>
      <c r="CG70" s="78">
        <v>2</v>
      </c>
      <c r="CH70" s="78">
        <v>0</v>
      </c>
      <c r="CI70" s="78">
        <v>0</v>
      </c>
      <c r="CJ70" s="76">
        <v>1</v>
      </c>
      <c r="CK70" s="1" t="s">
        <v>331</v>
      </c>
      <c r="CL70" s="78">
        <v>4</v>
      </c>
      <c r="CM70" s="78">
        <v>1</v>
      </c>
      <c r="CN70" s="78">
        <v>1</v>
      </c>
      <c r="CO70" s="78">
        <v>0</v>
      </c>
      <c r="CP70" s="78">
        <v>1</v>
      </c>
      <c r="CQ70" s="78">
        <v>1</v>
      </c>
      <c r="CR70" s="78">
        <v>0</v>
      </c>
      <c r="CS70" s="78">
        <v>0</v>
      </c>
      <c r="CT70" s="76">
        <v>2</v>
      </c>
      <c r="CU70" s="1" t="s">
        <v>405</v>
      </c>
      <c r="CV70" s="78">
        <v>4</v>
      </c>
      <c r="CW70" s="78">
        <v>1</v>
      </c>
      <c r="CX70" s="78">
        <v>1</v>
      </c>
      <c r="CY70" s="78">
        <v>2</v>
      </c>
      <c r="CZ70" s="78">
        <v>0</v>
      </c>
      <c r="DA70" s="78">
        <v>1</v>
      </c>
      <c r="DB70" s="78">
        <v>0</v>
      </c>
      <c r="DC70" s="78">
        <v>0</v>
      </c>
      <c r="DD70" s="76">
        <v>1</v>
      </c>
      <c r="DE70" s="1" t="s">
        <v>407</v>
      </c>
      <c r="DF70" s="78">
        <v>3</v>
      </c>
      <c r="DG70" s="78">
        <v>1</v>
      </c>
      <c r="DH70" s="78">
        <v>0</v>
      </c>
      <c r="DI70" s="78">
        <v>0</v>
      </c>
      <c r="DJ70" s="78">
        <v>1</v>
      </c>
      <c r="DK70" s="78">
        <v>1</v>
      </c>
      <c r="DL70" s="78">
        <v>0</v>
      </c>
      <c r="DM70" s="78">
        <v>0</v>
      </c>
      <c r="DN70" s="76">
        <v>0</v>
      </c>
      <c r="DO70" s="1" t="s">
        <v>335</v>
      </c>
      <c r="DP70" s="78">
        <v>3</v>
      </c>
      <c r="DQ70" s="78">
        <v>1</v>
      </c>
      <c r="DR70" s="78">
        <v>1</v>
      </c>
      <c r="DS70" s="78">
        <v>0</v>
      </c>
      <c r="DT70" s="78">
        <v>1</v>
      </c>
      <c r="DU70" s="78">
        <v>0</v>
      </c>
      <c r="DV70" s="78">
        <v>0</v>
      </c>
      <c r="DW70" s="78">
        <v>0</v>
      </c>
      <c r="DX70" s="76">
        <v>1</v>
      </c>
      <c r="DY70" s="77">
        <f>6+1/3</f>
        <v>6.333333333333333</v>
      </c>
      <c r="DZ70" s="43">
        <v>1</v>
      </c>
      <c r="EA70" s="43">
        <v>1</v>
      </c>
      <c r="EB70" s="45">
        <f>2+2/3</f>
        <v>2.6666666666666665</v>
      </c>
      <c r="EC70" s="43">
        <v>0</v>
      </c>
      <c r="ED70" s="44">
        <v>0</v>
      </c>
      <c r="EE70" s="71">
        <v>1</v>
      </c>
      <c r="EF70" s="43">
        <v>0</v>
      </c>
      <c r="EG70" s="43">
        <v>0</v>
      </c>
      <c r="EH70" s="43">
        <v>0</v>
      </c>
      <c r="EI70" s="43">
        <v>1</v>
      </c>
      <c r="EJ70" s="43">
        <v>0</v>
      </c>
      <c r="EK70" s="43">
        <v>2</v>
      </c>
      <c r="EL70" s="43">
        <v>2</v>
      </c>
      <c r="EM70" s="43">
        <v>2</v>
      </c>
      <c r="EN70" s="43"/>
      <c r="EO70" s="43"/>
      <c r="EP70" s="43"/>
      <c r="EQ70" s="44">
        <f t="shared" si="8"/>
        <v>8</v>
      </c>
      <c r="ER70" s="43">
        <v>0</v>
      </c>
      <c r="ES70" s="43">
        <v>1</v>
      </c>
      <c r="ET70" s="43">
        <v>0</v>
      </c>
      <c r="EU70" s="43">
        <v>0</v>
      </c>
      <c r="EV70" s="43">
        <v>0</v>
      </c>
      <c r="EW70" s="43">
        <v>1</v>
      </c>
      <c r="EX70" s="43">
        <v>0</v>
      </c>
      <c r="EY70" s="43">
        <v>0</v>
      </c>
      <c r="EZ70" s="43">
        <v>0</v>
      </c>
      <c r="FA70" s="43"/>
      <c r="FB70" s="43"/>
      <c r="FC70" s="43"/>
      <c r="FD70" s="43">
        <f t="shared" si="9"/>
        <v>2</v>
      </c>
      <c r="FE70" s="73">
        <f t="shared" si="10"/>
        <v>0</v>
      </c>
      <c r="FF70" s="73">
        <f t="shared" si="11"/>
        <v>0</v>
      </c>
      <c r="FG70" s="38"/>
    </row>
    <row r="71" spans="1:163" x14ac:dyDescent="0.25">
      <c r="A71" s="53">
        <v>40348</v>
      </c>
      <c r="B71" s="53" t="s">
        <v>133</v>
      </c>
      <c r="C71" s="53" t="s">
        <v>131</v>
      </c>
      <c r="D71" s="53" t="s">
        <v>338</v>
      </c>
      <c r="E71" s="54">
        <v>8513</v>
      </c>
      <c r="F71" s="58">
        <v>5</v>
      </c>
      <c r="G71" s="59" t="s">
        <v>341</v>
      </c>
      <c r="H71" s="6">
        <v>0</v>
      </c>
      <c r="I71" s="6">
        <v>0</v>
      </c>
      <c r="J71" s="60">
        <f>4+1/3</f>
        <v>4.333333333333333</v>
      </c>
      <c r="K71" s="6">
        <v>9</v>
      </c>
      <c r="L71" s="6">
        <v>4</v>
      </c>
      <c r="M71" s="6">
        <v>4</v>
      </c>
      <c r="N71" s="6">
        <v>1</v>
      </c>
      <c r="O71" s="6">
        <v>4</v>
      </c>
      <c r="P71" s="6">
        <v>0</v>
      </c>
      <c r="Q71" s="6">
        <v>0</v>
      </c>
      <c r="R71" s="6">
        <v>23</v>
      </c>
      <c r="S71" s="6">
        <v>86</v>
      </c>
      <c r="T71" s="6">
        <v>53</v>
      </c>
      <c r="U71" s="6">
        <v>1</v>
      </c>
      <c r="V71" s="61">
        <v>0</v>
      </c>
      <c r="W71" s="62">
        <v>0</v>
      </c>
      <c r="X71" s="62">
        <v>1</v>
      </c>
      <c r="Y71" s="62">
        <v>0</v>
      </c>
      <c r="Z71" s="62">
        <v>0</v>
      </c>
      <c r="AA71" s="62">
        <v>0</v>
      </c>
      <c r="AB71" s="63">
        <f>4+1/3</f>
        <v>4.333333333333333</v>
      </c>
      <c r="AC71" s="62">
        <v>2</v>
      </c>
      <c r="AD71" s="62">
        <v>1</v>
      </c>
      <c r="AE71" s="62">
        <v>0</v>
      </c>
      <c r="AF71" s="62">
        <v>0</v>
      </c>
      <c r="AG71" s="62">
        <v>2</v>
      </c>
      <c r="AH71" s="62">
        <v>0</v>
      </c>
      <c r="AI71" s="62">
        <v>1</v>
      </c>
      <c r="AJ71" s="62">
        <v>17</v>
      </c>
      <c r="AK71" s="62">
        <v>56</v>
      </c>
      <c r="AL71" s="62">
        <v>43</v>
      </c>
      <c r="AM71" s="1" t="s">
        <v>330</v>
      </c>
      <c r="AN71" s="78">
        <v>4</v>
      </c>
      <c r="AO71" s="78">
        <v>0</v>
      </c>
      <c r="AP71" s="78">
        <v>1</v>
      </c>
      <c r="AQ71" s="78">
        <v>0</v>
      </c>
      <c r="AR71" s="78">
        <v>0</v>
      </c>
      <c r="AS71" s="78">
        <v>1</v>
      </c>
      <c r="AT71" s="78">
        <v>0</v>
      </c>
      <c r="AU71" s="78">
        <v>0</v>
      </c>
      <c r="AV71" s="76">
        <v>1</v>
      </c>
      <c r="AW71" s="1" t="s">
        <v>399</v>
      </c>
      <c r="AX71" s="78">
        <v>3</v>
      </c>
      <c r="AY71" s="78">
        <v>1</v>
      </c>
      <c r="AZ71" s="78">
        <v>0</v>
      </c>
      <c r="BA71" s="78">
        <v>0</v>
      </c>
      <c r="BB71" s="78">
        <v>2</v>
      </c>
      <c r="BC71" s="78">
        <v>0</v>
      </c>
      <c r="BD71" s="78">
        <v>0</v>
      </c>
      <c r="BE71" s="78">
        <v>0</v>
      </c>
      <c r="BF71" s="76">
        <v>0</v>
      </c>
      <c r="BG71" s="1" t="s">
        <v>387</v>
      </c>
      <c r="BH71" s="78">
        <v>2</v>
      </c>
      <c r="BI71" s="78">
        <v>1</v>
      </c>
      <c r="BJ71" s="78">
        <v>0</v>
      </c>
      <c r="BK71" s="78">
        <v>0</v>
      </c>
      <c r="BL71" s="78">
        <v>2</v>
      </c>
      <c r="BM71" s="78">
        <v>0</v>
      </c>
      <c r="BN71" s="78">
        <v>0</v>
      </c>
      <c r="BO71" s="78">
        <v>0</v>
      </c>
      <c r="BP71" s="76">
        <v>0</v>
      </c>
      <c r="BQ71" s="1" t="s">
        <v>400</v>
      </c>
      <c r="BR71" s="78">
        <v>4</v>
      </c>
      <c r="BS71" s="78">
        <v>1</v>
      </c>
      <c r="BT71" s="78">
        <v>2</v>
      </c>
      <c r="BU71" s="78">
        <v>1</v>
      </c>
      <c r="BV71" s="78">
        <v>0</v>
      </c>
      <c r="BW71" s="78">
        <v>1</v>
      </c>
      <c r="BX71" s="78">
        <v>0</v>
      </c>
      <c r="BY71" s="78">
        <v>0</v>
      </c>
      <c r="BZ71" s="76">
        <v>5</v>
      </c>
      <c r="CA71" s="1" t="s">
        <v>332</v>
      </c>
      <c r="CB71" s="78">
        <v>3</v>
      </c>
      <c r="CC71" s="78">
        <v>0</v>
      </c>
      <c r="CD71" s="78">
        <v>0</v>
      </c>
      <c r="CE71" s="78">
        <v>0</v>
      </c>
      <c r="CF71" s="78">
        <v>1</v>
      </c>
      <c r="CG71" s="78">
        <v>3</v>
      </c>
      <c r="CH71" s="78">
        <v>0</v>
      </c>
      <c r="CI71" s="78">
        <v>0</v>
      </c>
      <c r="CJ71" s="76">
        <v>0</v>
      </c>
      <c r="CK71" s="1" t="s">
        <v>403</v>
      </c>
      <c r="CL71" s="78">
        <v>4</v>
      </c>
      <c r="CM71" s="78">
        <v>0</v>
      </c>
      <c r="CN71" s="78">
        <v>1</v>
      </c>
      <c r="CO71" s="78">
        <v>2</v>
      </c>
      <c r="CP71" s="78">
        <v>0</v>
      </c>
      <c r="CQ71" s="78">
        <v>3</v>
      </c>
      <c r="CR71" s="78">
        <v>0</v>
      </c>
      <c r="CS71" s="78">
        <v>0</v>
      </c>
      <c r="CT71" s="76">
        <v>1</v>
      </c>
      <c r="CU71" s="1" t="s">
        <v>331</v>
      </c>
      <c r="CV71" s="78">
        <v>4</v>
      </c>
      <c r="CW71" s="78">
        <v>0</v>
      </c>
      <c r="CX71" s="78">
        <v>0</v>
      </c>
      <c r="CY71" s="78">
        <v>0</v>
      </c>
      <c r="CZ71" s="78">
        <v>0</v>
      </c>
      <c r="DA71" s="78">
        <v>2</v>
      </c>
      <c r="DB71" s="78">
        <v>0</v>
      </c>
      <c r="DC71" s="78">
        <v>0</v>
      </c>
      <c r="DD71" s="76">
        <v>0</v>
      </c>
      <c r="DE71" s="1" t="s">
        <v>336</v>
      </c>
      <c r="DF71" s="78">
        <v>4</v>
      </c>
      <c r="DG71" s="78">
        <v>1</v>
      </c>
      <c r="DH71" s="78">
        <v>1</v>
      </c>
      <c r="DI71" s="78">
        <v>1</v>
      </c>
      <c r="DJ71" s="78">
        <v>0</v>
      </c>
      <c r="DK71" s="78">
        <v>1</v>
      </c>
      <c r="DL71" s="78">
        <v>0</v>
      </c>
      <c r="DM71" s="78">
        <v>0</v>
      </c>
      <c r="DN71" s="76">
        <v>4</v>
      </c>
      <c r="DO71" s="1" t="s">
        <v>335</v>
      </c>
      <c r="DP71" s="78">
        <v>4</v>
      </c>
      <c r="DQ71" s="78">
        <v>0</v>
      </c>
      <c r="DR71" s="78">
        <v>1</v>
      </c>
      <c r="DS71" s="78">
        <v>0</v>
      </c>
      <c r="DT71" s="78">
        <v>0</v>
      </c>
      <c r="DU71" s="78">
        <v>2</v>
      </c>
      <c r="DV71" s="78">
        <v>0</v>
      </c>
      <c r="DW71" s="78">
        <v>0</v>
      </c>
      <c r="DX71" s="76">
        <v>1</v>
      </c>
      <c r="DY71" s="77">
        <f>5+2/3</f>
        <v>5.666666666666667</v>
      </c>
      <c r="DZ71" s="43">
        <v>3</v>
      </c>
      <c r="EA71" s="43">
        <v>0</v>
      </c>
      <c r="EB71" s="45">
        <f>3+1/3</f>
        <v>3.3333333333333335</v>
      </c>
      <c r="EC71" s="43">
        <v>0</v>
      </c>
      <c r="ED71" s="44">
        <v>0</v>
      </c>
      <c r="EE71" s="71">
        <v>2</v>
      </c>
      <c r="EF71" s="43">
        <v>0</v>
      </c>
      <c r="EG71" s="43">
        <v>0</v>
      </c>
      <c r="EH71" s="43">
        <v>1</v>
      </c>
      <c r="EI71" s="43">
        <v>1</v>
      </c>
      <c r="EJ71" s="43">
        <v>0</v>
      </c>
      <c r="EK71" s="43">
        <v>0</v>
      </c>
      <c r="EL71" s="43">
        <v>0</v>
      </c>
      <c r="EM71" s="43">
        <v>0</v>
      </c>
      <c r="EN71" s="43"/>
      <c r="EO71" s="43"/>
      <c r="EP71" s="43"/>
      <c r="EQ71" s="44">
        <f t="shared" si="8"/>
        <v>4</v>
      </c>
      <c r="ER71" s="43">
        <v>1</v>
      </c>
      <c r="ES71" s="43">
        <v>1</v>
      </c>
      <c r="ET71" s="43">
        <v>0</v>
      </c>
      <c r="EU71" s="43">
        <v>0</v>
      </c>
      <c r="EV71" s="43">
        <v>2</v>
      </c>
      <c r="EW71" s="43">
        <v>0</v>
      </c>
      <c r="EX71" s="43">
        <v>0</v>
      </c>
      <c r="EY71" s="43">
        <v>0</v>
      </c>
      <c r="EZ71" s="43">
        <v>1</v>
      </c>
      <c r="FA71" s="43"/>
      <c r="FB71" s="43"/>
      <c r="FC71" s="43"/>
      <c r="FD71" s="43">
        <f t="shared" si="9"/>
        <v>5</v>
      </c>
      <c r="FE71" s="73">
        <f t="shared" si="10"/>
        <v>0</v>
      </c>
      <c r="FF71" s="73">
        <f t="shared" si="11"/>
        <v>0</v>
      </c>
      <c r="FG71" s="38"/>
    </row>
    <row r="72" spans="1:163" x14ac:dyDescent="0.25">
      <c r="A72" s="53">
        <v>40349</v>
      </c>
      <c r="B72" s="53" t="s">
        <v>133</v>
      </c>
      <c r="C72" s="53" t="s">
        <v>129</v>
      </c>
      <c r="D72" s="53" t="s">
        <v>338</v>
      </c>
      <c r="E72" s="54">
        <v>7862</v>
      </c>
      <c r="F72" s="58">
        <v>1</v>
      </c>
      <c r="G72" s="59" t="s">
        <v>397</v>
      </c>
      <c r="H72" s="6">
        <v>1</v>
      </c>
      <c r="I72" s="6">
        <v>0</v>
      </c>
      <c r="J72" s="60">
        <v>7</v>
      </c>
      <c r="K72" s="6">
        <v>5</v>
      </c>
      <c r="L72" s="6">
        <v>1</v>
      </c>
      <c r="M72" s="6">
        <v>1</v>
      </c>
      <c r="N72" s="6">
        <v>1</v>
      </c>
      <c r="O72" s="6">
        <v>6</v>
      </c>
      <c r="P72" s="6">
        <v>0</v>
      </c>
      <c r="Q72" s="6">
        <v>0</v>
      </c>
      <c r="R72" s="6">
        <v>27</v>
      </c>
      <c r="S72" s="6">
        <v>99</v>
      </c>
      <c r="T72" s="6">
        <v>72</v>
      </c>
      <c r="U72" s="6">
        <v>0</v>
      </c>
      <c r="V72" s="61">
        <v>0</v>
      </c>
      <c r="W72" s="62">
        <v>0</v>
      </c>
      <c r="X72" s="62">
        <v>0</v>
      </c>
      <c r="Y72" s="62">
        <v>0</v>
      </c>
      <c r="Z72" s="62">
        <v>0</v>
      </c>
      <c r="AA72" s="62">
        <v>0</v>
      </c>
      <c r="AB72" s="63">
        <v>2</v>
      </c>
      <c r="AC72" s="62">
        <v>2</v>
      </c>
      <c r="AD72" s="62">
        <v>0</v>
      </c>
      <c r="AE72" s="62">
        <v>0</v>
      </c>
      <c r="AF72" s="62">
        <v>0</v>
      </c>
      <c r="AG72" s="62">
        <v>0</v>
      </c>
      <c r="AH72" s="62">
        <v>0</v>
      </c>
      <c r="AI72" s="62">
        <v>0</v>
      </c>
      <c r="AJ72" s="62">
        <v>8</v>
      </c>
      <c r="AK72" s="62">
        <v>18</v>
      </c>
      <c r="AL72" s="62">
        <v>15</v>
      </c>
      <c r="AM72" s="1" t="s">
        <v>400</v>
      </c>
      <c r="AN72" s="78">
        <v>5</v>
      </c>
      <c r="AO72" s="78">
        <v>1</v>
      </c>
      <c r="AP72" s="78">
        <v>2</v>
      </c>
      <c r="AQ72" s="78">
        <v>2</v>
      </c>
      <c r="AR72" s="78">
        <v>0</v>
      </c>
      <c r="AS72" s="78">
        <v>2</v>
      </c>
      <c r="AT72" s="78">
        <v>0</v>
      </c>
      <c r="AU72" s="78">
        <v>0</v>
      </c>
      <c r="AV72" s="76">
        <v>3</v>
      </c>
      <c r="AW72" s="1" t="s">
        <v>399</v>
      </c>
      <c r="AX72" s="78">
        <v>4</v>
      </c>
      <c r="AY72" s="78">
        <v>1</v>
      </c>
      <c r="AZ72" s="78">
        <v>1</v>
      </c>
      <c r="BA72" s="78">
        <v>0</v>
      </c>
      <c r="BB72" s="78">
        <v>0</v>
      </c>
      <c r="BC72" s="78">
        <v>0</v>
      </c>
      <c r="BD72" s="78">
        <v>0</v>
      </c>
      <c r="BE72" s="78">
        <v>0</v>
      </c>
      <c r="BF72" s="76">
        <v>1</v>
      </c>
      <c r="BG72" s="1" t="s">
        <v>387</v>
      </c>
      <c r="BH72" s="78">
        <v>5</v>
      </c>
      <c r="BI72" s="78">
        <v>0</v>
      </c>
      <c r="BJ72" s="78">
        <v>0</v>
      </c>
      <c r="BK72" s="78">
        <v>0</v>
      </c>
      <c r="BL72" s="78">
        <v>0</v>
      </c>
      <c r="BM72" s="78">
        <v>2</v>
      </c>
      <c r="BN72" s="78">
        <v>0</v>
      </c>
      <c r="BO72" s="78">
        <v>0</v>
      </c>
      <c r="BP72" s="76">
        <v>0</v>
      </c>
      <c r="BQ72" s="1" t="s">
        <v>403</v>
      </c>
      <c r="BR72" s="78">
        <v>5</v>
      </c>
      <c r="BS72" s="78">
        <v>0</v>
      </c>
      <c r="BT72" s="78">
        <v>1</v>
      </c>
      <c r="BU72" s="78">
        <v>1</v>
      </c>
      <c r="BV72" s="78">
        <v>0</v>
      </c>
      <c r="BW72" s="78">
        <v>1</v>
      </c>
      <c r="BX72" s="78">
        <v>0</v>
      </c>
      <c r="BY72" s="78">
        <v>0</v>
      </c>
      <c r="BZ72" s="76">
        <v>1</v>
      </c>
      <c r="CA72" s="1" t="s">
        <v>331</v>
      </c>
      <c r="CB72" s="78">
        <v>4</v>
      </c>
      <c r="CC72" s="78">
        <v>0</v>
      </c>
      <c r="CD72" s="78">
        <v>2</v>
      </c>
      <c r="CE72" s="78">
        <v>0</v>
      </c>
      <c r="CF72" s="78">
        <v>1</v>
      </c>
      <c r="CG72" s="78">
        <v>1</v>
      </c>
      <c r="CH72" s="78">
        <v>0</v>
      </c>
      <c r="CI72" s="78">
        <v>0</v>
      </c>
      <c r="CJ72" s="76">
        <v>2</v>
      </c>
      <c r="CK72" s="1" t="s">
        <v>405</v>
      </c>
      <c r="CL72" s="78">
        <v>4</v>
      </c>
      <c r="CM72" s="78">
        <v>0</v>
      </c>
      <c r="CN72" s="78">
        <v>2</v>
      </c>
      <c r="CO72" s="78">
        <v>1</v>
      </c>
      <c r="CP72" s="78">
        <v>0</v>
      </c>
      <c r="CQ72" s="78">
        <v>0</v>
      </c>
      <c r="CR72" s="78">
        <v>0</v>
      </c>
      <c r="CS72" s="78">
        <v>0</v>
      </c>
      <c r="CT72" s="76">
        <v>2</v>
      </c>
      <c r="CU72" s="1" t="s">
        <v>336</v>
      </c>
      <c r="CV72" s="78">
        <v>3</v>
      </c>
      <c r="CW72" s="78">
        <v>1</v>
      </c>
      <c r="CX72" s="78">
        <v>0</v>
      </c>
      <c r="CY72" s="78">
        <v>0</v>
      </c>
      <c r="CZ72" s="78">
        <v>1</v>
      </c>
      <c r="DA72" s="78">
        <v>1</v>
      </c>
      <c r="DB72" s="78">
        <v>0</v>
      </c>
      <c r="DC72" s="78">
        <v>0</v>
      </c>
      <c r="DD72" s="76">
        <v>0</v>
      </c>
      <c r="DE72" s="1" t="s">
        <v>407</v>
      </c>
      <c r="DF72" s="78">
        <v>3</v>
      </c>
      <c r="DG72" s="78">
        <v>1</v>
      </c>
      <c r="DH72" s="78">
        <v>0</v>
      </c>
      <c r="DI72" s="78">
        <v>0</v>
      </c>
      <c r="DJ72" s="78">
        <v>1</v>
      </c>
      <c r="DK72" s="78">
        <v>1</v>
      </c>
      <c r="DL72" s="78">
        <v>0</v>
      </c>
      <c r="DM72" s="78">
        <v>0</v>
      </c>
      <c r="DN72" s="76">
        <v>0</v>
      </c>
      <c r="DO72" s="1" t="s">
        <v>335</v>
      </c>
      <c r="DP72" s="78">
        <v>4</v>
      </c>
      <c r="DQ72" s="78">
        <v>1</v>
      </c>
      <c r="DR72" s="78">
        <v>4</v>
      </c>
      <c r="DS72" s="78">
        <v>1</v>
      </c>
      <c r="DT72" s="78">
        <v>0</v>
      </c>
      <c r="DU72" s="78">
        <v>0</v>
      </c>
      <c r="DV72" s="78">
        <v>0</v>
      </c>
      <c r="DW72" s="78">
        <v>0</v>
      </c>
      <c r="DX72" s="76">
        <v>6</v>
      </c>
      <c r="DY72" s="77">
        <f>6+2/3</f>
        <v>6.666666666666667</v>
      </c>
      <c r="DZ72" s="43">
        <v>0</v>
      </c>
      <c r="EA72" s="43">
        <v>0</v>
      </c>
      <c r="EB72" s="45">
        <f>2+1/3</f>
        <v>2.3333333333333335</v>
      </c>
      <c r="EC72" s="43">
        <v>1</v>
      </c>
      <c r="ED72" s="44">
        <v>0</v>
      </c>
      <c r="EE72" s="71">
        <v>2</v>
      </c>
      <c r="EF72" s="43">
        <v>0</v>
      </c>
      <c r="EG72" s="43">
        <v>0</v>
      </c>
      <c r="EH72" s="43">
        <v>0</v>
      </c>
      <c r="EI72" s="43">
        <v>0</v>
      </c>
      <c r="EJ72" s="43">
        <v>0</v>
      </c>
      <c r="EK72" s="43">
        <v>0</v>
      </c>
      <c r="EL72" s="43">
        <v>3</v>
      </c>
      <c r="EM72" s="43">
        <v>0</v>
      </c>
      <c r="EN72" s="43"/>
      <c r="EO72" s="43"/>
      <c r="EP72" s="43"/>
      <c r="EQ72" s="44">
        <f t="shared" si="8"/>
        <v>5</v>
      </c>
      <c r="ER72" s="43">
        <v>0</v>
      </c>
      <c r="ES72" s="43">
        <v>0</v>
      </c>
      <c r="ET72" s="43">
        <v>0</v>
      </c>
      <c r="EU72" s="43">
        <v>0</v>
      </c>
      <c r="EV72" s="43">
        <v>0</v>
      </c>
      <c r="EW72" s="43">
        <v>1</v>
      </c>
      <c r="EX72" s="43">
        <v>0</v>
      </c>
      <c r="EY72" s="43">
        <v>0</v>
      </c>
      <c r="EZ72" s="43">
        <v>0</v>
      </c>
      <c r="FA72" s="43"/>
      <c r="FB72" s="43"/>
      <c r="FC72" s="43"/>
      <c r="FD72" s="43">
        <f t="shared" si="9"/>
        <v>1</v>
      </c>
      <c r="FE72" s="73">
        <f t="shared" si="10"/>
        <v>0</v>
      </c>
      <c r="FF72" s="73">
        <f t="shared" si="11"/>
        <v>0</v>
      </c>
      <c r="FG72" s="38"/>
    </row>
    <row r="73" spans="1:163" x14ac:dyDescent="0.25">
      <c r="A73" s="53">
        <v>40350</v>
      </c>
      <c r="B73" s="53" t="s">
        <v>133</v>
      </c>
      <c r="C73" s="53" t="s">
        <v>129</v>
      </c>
      <c r="D73" s="53" t="s">
        <v>342</v>
      </c>
      <c r="E73" s="54">
        <v>8957</v>
      </c>
      <c r="F73" s="58">
        <v>2</v>
      </c>
      <c r="G73" s="59" t="s">
        <v>398</v>
      </c>
      <c r="H73" s="6">
        <v>1</v>
      </c>
      <c r="I73" s="6">
        <v>0</v>
      </c>
      <c r="J73" s="60">
        <v>5</v>
      </c>
      <c r="K73" s="6">
        <v>0</v>
      </c>
      <c r="L73" s="6">
        <v>0</v>
      </c>
      <c r="M73" s="6">
        <v>0</v>
      </c>
      <c r="N73" s="6">
        <v>1</v>
      </c>
      <c r="O73" s="6">
        <v>5</v>
      </c>
      <c r="P73" s="6">
        <v>0</v>
      </c>
      <c r="Q73" s="6">
        <v>0</v>
      </c>
      <c r="R73" s="6">
        <v>16</v>
      </c>
      <c r="S73" s="6">
        <v>72</v>
      </c>
      <c r="T73" s="6">
        <v>42</v>
      </c>
      <c r="U73" s="6">
        <v>0</v>
      </c>
      <c r="V73" s="61">
        <v>0</v>
      </c>
      <c r="W73" s="62">
        <v>0</v>
      </c>
      <c r="X73" s="62">
        <v>0</v>
      </c>
      <c r="Y73" s="62">
        <v>1</v>
      </c>
      <c r="Z73" s="62">
        <v>1</v>
      </c>
      <c r="AA73" s="62">
        <v>0</v>
      </c>
      <c r="AB73" s="63">
        <v>4</v>
      </c>
      <c r="AC73" s="62">
        <v>1</v>
      </c>
      <c r="AD73" s="62">
        <v>0</v>
      </c>
      <c r="AE73" s="62">
        <v>0</v>
      </c>
      <c r="AF73" s="62">
        <v>0</v>
      </c>
      <c r="AG73" s="62">
        <v>2</v>
      </c>
      <c r="AH73" s="62">
        <v>0</v>
      </c>
      <c r="AI73" s="62">
        <v>0</v>
      </c>
      <c r="AJ73" s="62">
        <v>12</v>
      </c>
      <c r="AK73" s="62">
        <v>48</v>
      </c>
      <c r="AL73" s="62">
        <v>33</v>
      </c>
      <c r="AM73" s="1" t="s">
        <v>330</v>
      </c>
      <c r="AN73" s="78">
        <v>4</v>
      </c>
      <c r="AO73" s="78">
        <v>0</v>
      </c>
      <c r="AP73" s="78">
        <v>1</v>
      </c>
      <c r="AQ73" s="78">
        <v>0</v>
      </c>
      <c r="AR73" s="78">
        <v>0</v>
      </c>
      <c r="AS73" s="78">
        <v>1</v>
      </c>
      <c r="AT73" s="78">
        <v>0</v>
      </c>
      <c r="AU73" s="78">
        <v>0</v>
      </c>
      <c r="AV73" s="76">
        <v>1</v>
      </c>
      <c r="AW73" s="1" t="s">
        <v>387</v>
      </c>
      <c r="AX73" s="78">
        <v>3</v>
      </c>
      <c r="AY73" s="78">
        <v>1</v>
      </c>
      <c r="AZ73" s="78">
        <v>1</v>
      </c>
      <c r="BA73" s="78">
        <v>1</v>
      </c>
      <c r="BB73" s="78">
        <v>1</v>
      </c>
      <c r="BC73" s="78">
        <v>0</v>
      </c>
      <c r="BD73" s="78">
        <v>0</v>
      </c>
      <c r="BE73" s="78">
        <v>0</v>
      </c>
      <c r="BF73" s="76">
        <v>4</v>
      </c>
      <c r="BG73" s="1" t="s">
        <v>400</v>
      </c>
      <c r="BH73" s="78">
        <v>3</v>
      </c>
      <c r="BI73" s="78">
        <v>0</v>
      </c>
      <c r="BJ73" s="78">
        <v>0</v>
      </c>
      <c r="BK73" s="78">
        <v>0</v>
      </c>
      <c r="BL73" s="78">
        <v>1</v>
      </c>
      <c r="BM73" s="78">
        <v>1</v>
      </c>
      <c r="BN73" s="78">
        <v>0</v>
      </c>
      <c r="BO73" s="78">
        <v>0</v>
      </c>
      <c r="BP73" s="76">
        <v>0</v>
      </c>
      <c r="BQ73" s="1" t="s">
        <v>332</v>
      </c>
      <c r="BR73" s="78">
        <v>4</v>
      </c>
      <c r="BS73" s="78">
        <v>0</v>
      </c>
      <c r="BT73" s="78">
        <v>1</v>
      </c>
      <c r="BU73" s="78">
        <v>0</v>
      </c>
      <c r="BV73" s="78">
        <v>0</v>
      </c>
      <c r="BW73" s="78">
        <v>0</v>
      </c>
      <c r="BX73" s="78">
        <v>0</v>
      </c>
      <c r="BY73" s="78">
        <v>0</v>
      </c>
      <c r="BZ73" s="76">
        <v>2</v>
      </c>
      <c r="CA73" s="1" t="s">
        <v>403</v>
      </c>
      <c r="CB73" s="78">
        <v>4</v>
      </c>
      <c r="CC73" s="78">
        <v>1</v>
      </c>
      <c r="CD73" s="78">
        <v>1</v>
      </c>
      <c r="CE73" s="78">
        <v>0</v>
      </c>
      <c r="CF73" s="78">
        <v>0</v>
      </c>
      <c r="CG73" s="78">
        <v>1</v>
      </c>
      <c r="CH73" s="78">
        <v>0</v>
      </c>
      <c r="CI73" s="78">
        <v>0</v>
      </c>
      <c r="CJ73" s="76">
        <v>2</v>
      </c>
      <c r="CK73" s="1" t="s">
        <v>405</v>
      </c>
      <c r="CL73" s="78">
        <v>4</v>
      </c>
      <c r="CM73" s="78">
        <v>0</v>
      </c>
      <c r="CN73" s="78">
        <v>1</v>
      </c>
      <c r="CO73" s="78">
        <v>0</v>
      </c>
      <c r="CP73" s="78">
        <v>0</v>
      </c>
      <c r="CQ73" s="78">
        <v>1</v>
      </c>
      <c r="CR73" s="78">
        <v>0</v>
      </c>
      <c r="CS73" s="78">
        <v>0</v>
      </c>
      <c r="CT73" s="76">
        <v>2</v>
      </c>
      <c r="CU73" s="1" t="s">
        <v>336</v>
      </c>
      <c r="CV73" s="78">
        <v>4</v>
      </c>
      <c r="CW73" s="78">
        <v>0</v>
      </c>
      <c r="CX73" s="78">
        <v>0</v>
      </c>
      <c r="CY73" s="78">
        <v>0</v>
      </c>
      <c r="CZ73" s="78">
        <v>0</v>
      </c>
      <c r="DA73" s="78">
        <v>1</v>
      </c>
      <c r="DB73" s="78">
        <v>0</v>
      </c>
      <c r="DC73" s="78">
        <v>0</v>
      </c>
      <c r="DD73" s="76">
        <v>0</v>
      </c>
      <c r="DE73" s="1" t="s">
        <v>407</v>
      </c>
      <c r="DF73" s="78">
        <v>3</v>
      </c>
      <c r="DG73" s="78">
        <v>0</v>
      </c>
      <c r="DH73" s="78">
        <v>1</v>
      </c>
      <c r="DI73" s="78">
        <v>0</v>
      </c>
      <c r="DJ73" s="78">
        <v>0</v>
      </c>
      <c r="DK73" s="78">
        <v>1</v>
      </c>
      <c r="DL73" s="78">
        <v>0</v>
      </c>
      <c r="DM73" s="78">
        <v>0</v>
      </c>
      <c r="DN73" s="76">
        <v>1</v>
      </c>
      <c r="DO73" s="1" t="s">
        <v>335</v>
      </c>
      <c r="DP73" s="78">
        <v>3</v>
      </c>
      <c r="DQ73" s="78">
        <v>0</v>
      </c>
      <c r="DR73" s="78">
        <v>2</v>
      </c>
      <c r="DS73" s="78">
        <v>0</v>
      </c>
      <c r="DT73" s="78">
        <v>0</v>
      </c>
      <c r="DU73" s="78">
        <v>1</v>
      </c>
      <c r="DV73" s="78">
        <v>0</v>
      </c>
      <c r="DW73" s="78">
        <v>0</v>
      </c>
      <c r="DX73" s="76">
        <v>2</v>
      </c>
      <c r="DY73" s="77">
        <v>1</v>
      </c>
      <c r="DZ73" s="43">
        <v>0</v>
      </c>
      <c r="EA73" s="43">
        <v>0</v>
      </c>
      <c r="EB73" s="45">
        <v>8</v>
      </c>
      <c r="EC73" s="43">
        <v>1</v>
      </c>
      <c r="ED73" s="44">
        <v>2</v>
      </c>
      <c r="EE73" s="71">
        <v>0</v>
      </c>
      <c r="EF73" s="43">
        <v>0</v>
      </c>
      <c r="EG73" s="43">
        <v>0</v>
      </c>
      <c r="EH73" s="43">
        <v>0</v>
      </c>
      <c r="EI73" s="43">
        <v>1</v>
      </c>
      <c r="EJ73" s="43">
        <v>1</v>
      </c>
      <c r="EK73" s="43">
        <v>0</v>
      </c>
      <c r="EL73" s="43">
        <v>0</v>
      </c>
      <c r="EM73" s="43">
        <v>0</v>
      </c>
      <c r="EN73" s="43"/>
      <c r="EO73" s="43"/>
      <c r="EP73" s="43"/>
      <c r="EQ73" s="44">
        <f t="shared" si="8"/>
        <v>2</v>
      </c>
      <c r="ER73" s="43">
        <v>0</v>
      </c>
      <c r="ES73" s="43">
        <v>0</v>
      </c>
      <c r="ET73" s="43">
        <v>0</v>
      </c>
      <c r="EU73" s="43">
        <v>0</v>
      </c>
      <c r="EV73" s="43">
        <v>0</v>
      </c>
      <c r="EW73" s="43">
        <v>0</v>
      </c>
      <c r="EX73" s="43">
        <v>0</v>
      </c>
      <c r="EY73" s="43">
        <v>0</v>
      </c>
      <c r="EZ73" s="43">
        <v>0</v>
      </c>
      <c r="FA73" s="43"/>
      <c r="FB73" s="43"/>
      <c r="FC73" s="43"/>
      <c r="FD73" s="43">
        <f t="shared" si="9"/>
        <v>0</v>
      </c>
      <c r="FE73" s="73">
        <f t="shared" si="10"/>
        <v>0</v>
      </c>
      <c r="FF73" s="73">
        <f t="shared" si="11"/>
        <v>0</v>
      </c>
      <c r="FG73" s="38"/>
    </row>
    <row r="74" spans="1:163" x14ac:dyDescent="0.25">
      <c r="A74" s="53">
        <v>40351</v>
      </c>
      <c r="B74" s="53" t="s">
        <v>133</v>
      </c>
      <c r="C74" s="53" t="s">
        <v>131</v>
      </c>
      <c r="D74" s="53" t="s">
        <v>342</v>
      </c>
      <c r="E74" s="54">
        <v>5922</v>
      </c>
      <c r="F74" s="58">
        <v>3</v>
      </c>
      <c r="G74" s="59" t="s">
        <v>337</v>
      </c>
      <c r="H74" s="6">
        <v>0</v>
      </c>
      <c r="I74" s="6">
        <v>1</v>
      </c>
      <c r="J74" s="60">
        <f>5+1/3</f>
        <v>5.333333333333333</v>
      </c>
      <c r="K74" s="6">
        <v>10</v>
      </c>
      <c r="L74" s="6">
        <v>8</v>
      </c>
      <c r="M74" s="6">
        <v>8</v>
      </c>
      <c r="N74" s="6">
        <v>3</v>
      </c>
      <c r="O74" s="6">
        <v>4</v>
      </c>
      <c r="P74" s="6">
        <v>4</v>
      </c>
      <c r="Q74" s="6">
        <v>0</v>
      </c>
      <c r="R74" s="6">
        <v>27</v>
      </c>
      <c r="S74" s="6">
        <v>102</v>
      </c>
      <c r="T74" s="6">
        <v>64</v>
      </c>
      <c r="U74" s="6">
        <v>1</v>
      </c>
      <c r="V74" s="61">
        <v>0</v>
      </c>
      <c r="W74" s="62">
        <v>0</v>
      </c>
      <c r="X74" s="62">
        <v>0</v>
      </c>
      <c r="Y74" s="62">
        <v>0</v>
      </c>
      <c r="Z74" s="62">
        <v>0</v>
      </c>
      <c r="AA74" s="62">
        <v>0</v>
      </c>
      <c r="AB74" s="63">
        <f>2+2/3</f>
        <v>2.6666666666666665</v>
      </c>
      <c r="AC74" s="62">
        <v>2</v>
      </c>
      <c r="AD74" s="62">
        <v>1</v>
      </c>
      <c r="AE74" s="62">
        <v>1</v>
      </c>
      <c r="AF74" s="62">
        <v>0</v>
      </c>
      <c r="AG74" s="62">
        <v>3</v>
      </c>
      <c r="AH74" s="62">
        <v>0</v>
      </c>
      <c r="AI74" s="62">
        <v>1</v>
      </c>
      <c r="AJ74" s="62">
        <v>11</v>
      </c>
      <c r="AK74" s="62">
        <v>48</v>
      </c>
      <c r="AL74" s="62">
        <v>32</v>
      </c>
      <c r="AM74" s="1" t="s">
        <v>399</v>
      </c>
      <c r="AN74" s="78">
        <v>5</v>
      </c>
      <c r="AO74" s="78">
        <v>0</v>
      </c>
      <c r="AP74" s="78">
        <v>2</v>
      </c>
      <c r="AQ74" s="78">
        <v>0</v>
      </c>
      <c r="AR74" s="78">
        <v>0</v>
      </c>
      <c r="AS74" s="78">
        <v>0</v>
      </c>
      <c r="AT74" s="78">
        <v>0</v>
      </c>
      <c r="AU74" s="78">
        <v>0</v>
      </c>
      <c r="AV74" s="76">
        <v>4</v>
      </c>
      <c r="AW74" s="1" t="s">
        <v>387</v>
      </c>
      <c r="AX74" s="78">
        <v>4</v>
      </c>
      <c r="AY74" s="78">
        <v>0</v>
      </c>
      <c r="AZ74" s="78">
        <v>1</v>
      </c>
      <c r="BA74" s="78">
        <v>0</v>
      </c>
      <c r="BB74" s="78">
        <v>1</v>
      </c>
      <c r="BC74" s="78">
        <v>2</v>
      </c>
      <c r="BD74" s="78">
        <v>0</v>
      </c>
      <c r="BE74" s="78">
        <v>0</v>
      </c>
      <c r="BF74" s="76">
        <v>1</v>
      </c>
      <c r="BG74" s="1" t="s">
        <v>400</v>
      </c>
      <c r="BH74" s="78">
        <v>4</v>
      </c>
      <c r="BI74" s="78">
        <v>0</v>
      </c>
      <c r="BJ74" s="78">
        <v>0</v>
      </c>
      <c r="BK74" s="78">
        <v>0</v>
      </c>
      <c r="BL74" s="78">
        <v>0</v>
      </c>
      <c r="BM74" s="78">
        <v>2</v>
      </c>
      <c r="BN74" s="78">
        <v>0</v>
      </c>
      <c r="BO74" s="78">
        <v>0</v>
      </c>
      <c r="BP74" s="76">
        <v>0</v>
      </c>
      <c r="BQ74" s="1" t="s">
        <v>332</v>
      </c>
      <c r="BR74" s="78">
        <v>3</v>
      </c>
      <c r="BS74" s="78">
        <v>1</v>
      </c>
      <c r="BT74" s="78">
        <v>1</v>
      </c>
      <c r="BU74" s="78">
        <v>0</v>
      </c>
      <c r="BV74" s="78">
        <v>1</v>
      </c>
      <c r="BW74" s="78">
        <v>1</v>
      </c>
      <c r="BX74" s="78">
        <v>0</v>
      </c>
      <c r="BY74" s="78">
        <v>0</v>
      </c>
      <c r="BZ74" s="76">
        <v>1</v>
      </c>
      <c r="CA74" s="1" t="s">
        <v>403</v>
      </c>
      <c r="CB74" s="78">
        <v>3</v>
      </c>
      <c r="CC74" s="78">
        <v>0</v>
      </c>
      <c r="CD74" s="78">
        <v>2</v>
      </c>
      <c r="CE74" s="78">
        <v>0</v>
      </c>
      <c r="CF74" s="78">
        <v>0</v>
      </c>
      <c r="CG74" s="78">
        <v>0</v>
      </c>
      <c r="CH74" s="78">
        <v>1</v>
      </c>
      <c r="CI74" s="78">
        <v>0</v>
      </c>
      <c r="CJ74" s="76">
        <v>2</v>
      </c>
      <c r="CK74" s="1" t="s">
        <v>405</v>
      </c>
      <c r="CL74" s="78">
        <v>3</v>
      </c>
      <c r="CM74" s="78">
        <v>0</v>
      </c>
      <c r="CN74" s="78">
        <v>0</v>
      </c>
      <c r="CO74" s="78">
        <v>0</v>
      </c>
      <c r="CP74" s="78">
        <v>1</v>
      </c>
      <c r="CQ74" s="78">
        <v>1</v>
      </c>
      <c r="CR74" s="78">
        <v>0</v>
      </c>
      <c r="CS74" s="78">
        <v>0</v>
      </c>
      <c r="CT74" s="76">
        <v>0</v>
      </c>
      <c r="CU74" s="1" t="s">
        <v>331</v>
      </c>
      <c r="CV74" s="78">
        <v>4</v>
      </c>
      <c r="CW74" s="78">
        <v>0</v>
      </c>
      <c r="CX74" s="78">
        <v>0</v>
      </c>
      <c r="CY74" s="78">
        <v>0</v>
      </c>
      <c r="CZ74" s="78">
        <v>0</v>
      </c>
      <c r="DA74" s="78">
        <v>2</v>
      </c>
      <c r="DB74" s="78">
        <v>0</v>
      </c>
      <c r="DC74" s="78">
        <v>0</v>
      </c>
      <c r="DD74" s="76">
        <v>0</v>
      </c>
      <c r="DE74" s="1" t="s">
        <v>407</v>
      </c>
      <c r="DF74" s="78">
        <v>4</v>
      </c>
      <c r="DG74" s="78">
        <v>0</v>
      </c>
      <c r="DH74" s="78">
        <v>1</v>
      </c>
      <c r="DI74" s="78">
        <v>0</v>
      </c>
      <c r="DJ74" s="78">
        <v>0</v>
      </c>
      <c r="DK74" s="78">
        <v>2</v>
      </c>
      <c r="DL74" s="78">
        <v>0</v>
      </c>
      <c r="DM74" s="78">
        <v>0</v>
      </c>
      <c r="DN74" s="76">
        <v>2</v>
      </c>
      <c r="DO74" s="1" t="s">
        <v>330</v>
      </c>
      <c r="DP74" s="78">
        <v>3</v>
      </c>
      <c r="DQ74" s="78">
        <v>0</v>
      </c>
      <c r="DR74" s="78">
        <v>0</v>
      </c>
      <c r="DS74" s="78">
        <v>0</v>
      </c>
      <c r="DT74" s="78">
        <v>0</v>
      </c>
      <c r="DU74" s="78">
        <v>1</v>
      </c>
      <c r="DV74" s="78">
        <v>0</v>
      </c>
      <c r="DW74" s="78">
        <v>0</v>
      </c>
      <c r="DX74" s="76">
        <v>0</v>
      </c>
      <c r="DY74" s="77">
        <v>2</v>
      </c>
      <c r="DZ74" s="43">
        <v>0</v>
      </c>
      <c r="EA74" s="43">
        <v>0</v>
      </c>
      <c r="EB74" s="45">
        <v>7</v>
      </c>
      <c r="EC74" s="43">
        <v>0</v>
      </c>
      <c r="ED74" s="44">
        <v>0</v>
      </c>
      <c r="EE74" s="71">
        <v>0</v>
      </c>
      <c r="EF74" s="43">
        <v>0</v>
      </c>
      <c r="EG74" s="43">
        <v>0</v>
      </c>
      <c r="EH74" s="43">
        <v>1</v>
      </c>
      <c r="EI74" s="43">
        <v>0</v>
      </c>
      <c r="EJ74" s="43">
        <v>0</v>
      </c>
      <c r="EK74" s="43">
        <v>0</v>
      </c>
      <c r="EL74" s="43">
        <v>0</v>
      </c>
      <c r="EM74" s="43">
        <v>0</v>
      </c>
      <c r="EN74" s="43"/>
      <c r="EO74" s="43"/>
      <c r="EP74" s="43"/>
      <c r="EQ74" s="44">
        <f t="shared" si="8"/>
        <v>1</v>
      </c>
      <c r="ER74" s="43">
        <v>0</v>
      </c>
      <c r="ES74" s="43">
        <v>3</v>
      </c>
      <c r="ET74" s="43">
        <v>2</v>
      </c>
      <c r="EU74" s="43">
        <v>0</v>
      </c>
      <c r="EV74" s="43">
        <v>1</v>
      </c>
      <c r="EW74" s="43">
        <v>2</v>
      </c>
      <c r="EX74" s="43">
        <v>1</v>
      </c>
      <c r="EY74" s="43">
        <v>0</v>
      </c>
      <c r="EZ74" s="43"/>
      <c r="FA74" s="43"/>
      <c r="FB74" s="43"/>
      <c r="FC74" s="43"/>
      <c r="FD74" s="43">
        <f t="shared" si="9"/>
        <v>9</v>
      </c>
      <c r="FE74" s="73">
        <f t="shared" si="10"/>
        <v>0</v>
      </c>
      <c r="FF74" s="73">
        <f t="shared" si="11"/>
        <v>0</v>
      </c>
      <c r="FG74" s="38"/>
    </row>
    <row r="75" spans="1:163" x14ac:dyDescent="0.25">
      <c r="A75" s="53">
        <v>40352</v>
      </c>
      <c r="B75" s="53" t="s">
        <v>133</v>
      </c>
      <c r="C75" s="53" t="s">
        <v>129</v>
      </c>
      <c r="D75" s="53" t="s">
        <v>342</v>
      </c>
      <c r="E75" s="54">
        <v>7146</v>
      </c>
      <c r="F75" s="58">
        <v>4</v>
      </c>
      <c r="G75" s="59" t="s">
        <v>334</v>
      </c>
      <c r="H75" s="6">
        <v>0</v>
      </c>
      <c r="I75" s="6">
        <v>0</v>
      </c>
      <c r="J75" s="60">
        <f>2+2/3</f>
        <v>2.6666666666666665</v>
      </c>
      <c r="K75" s="6">
        <v>5</v>
      </c>
      <c r="L75" s="6">
        <v>3</v>
      </c>
      <c r="M75" s="6">
        <v>3</v>
      </c>
      <c r="N75" s="6">
        <v>3</v>
      </c>
      <c r="O75" s="6">
        <v>3</v>
      </c>
      <c r="P75" s="6">
        <v>1</v>
      </c>
      <c r="Q75" s="6">
        <v>1</v>
      </c>
      <c r="R75" s="6">
        <v>16</v>
      </c>
      <c r="S75" s="6">
        <v>68</v>
      </c>
      <c r="T75" s="6">
        <v>37</v>
      </c>
      <c r="U75" s="6">
        <v>1</v>
      </c>
      <c r="V75" s="61">
        <v>0</v>
      </c>
      <c r="W75" s="62">
        <v>1</v>
      </c>
      <c r="X75" s="62">
        <v>0</v>
      </c>
      <c r="Y75" s="62">
        <v>1</v>
      </c>
      <c r="Z75" s="62">
        <v>1</v>
      </c>
      <c r="AA75" s="62">
        <v>0</v>
      </c>
      <c r="AB75" s="63">
        <f>6+1/3</f>
        <v>6.333333333333333</v>
      </c>
      <c r="AC75" s="62">
        <v>5</v>
      </c>
      <c r="AD75" s="62">
        <v>3</v>
      </c>
      <c r="AE75" s="62">
        <v>2</v>
      </c>
      <c r="AF75" s="62">
        <v>6</v>
      </c>
      <c r="AG75" s="62">
        <v>7</v>
      </c>
      <c r="AH75" s="62">
        <v>0</v>
      </c>
      <c r="AI75" s="62">
        <v>1</v>
      </c>
      <c r="AJ75" s="62">
        <v>30</v>
      </c>
      <c r="AK75" s="62">
        <v>126</v>
      </c>
      <c r="AL75" s="62">
        <v>78</v>
      </c>
      <c r="AM75" s="1" t="s">
        <v>399</v>
      </c>
      <c r="AN75" s="78">
        <v>4</v>
      </c>
      <c r="AO75" s="78">
        <v>3</v>
      </c>
      <c r="AP75" s="78">
        <v>2</v>
      </c>
      <c r="AQ75" s="78">
        <v>0</v>
      </c>
      <c r="AR75" s="78">
        <v>0</v>
      </c>
      <c r="AS75" s="78">
        <v>0</v>
      </c>
      <c r="AT75" s="78">
        <v>1</v>
      </c>
      <c r="AU75" s="78">
        <v>0</v>
      </c>
      <c r="AV75" s="76">
        <v>3</v>
      </c>
      <c r="AW75" s="1" t="s">
        <v>387</v>
      </c>
      <c r="AX75" s="78">
        <v>4</v>
      </c>
      <c r="AY75" s="78">
        <v>1</v>
      </c>
      <c r="AZ75" s="78">
        <v>1</v>
      </c>
      <c r="BA75" s="78">
        <v>0</v>
      </c>
      <c r="BB75" s="78">
        <v>1</v>
      </c>
      <c r="BC75" s="78">
        <v>2</v>
      </c>
      <c r="BD75" s="78">
        <v>0</v>
      </c>
      <c r="BE75" s="78">
        <v>0</v>
      </c>
      <c r="BF75" s="76">
        <v>1</v>
      </c>
      <c r="BG75" s="1" t="s">
        <v>400</v>
      </c>
      <c r="BH75" s="78">
        <v>4</v>
      </c>
      <c r="BI75" s="78">
        <v>2</v>
      </c>
      <c r="BJ75" s="78">
        <v>1</v>
      </c>
      <c r="BK75" s="78">
        <v>1</v>
      </c>
      <c r="BL75" s="78">
        <v>1</v>
      </c>
      <c r="BM75" s="78">
        <v>1</v>
      </c>
      <c r="BN75" s="78">
        <v>0</v>
      </c>
      <c r="BO75" s="78">
        <v>0</v>
      </c>
      <c r="BP75" s="76">
        <v>2</v>
      </c>
      <c r="BQ75" s="1" t="s">
        <v>332</v>
      </c>
      <c r="BR75" s="78">
        <v>3</v>
      </c>
      <c r="BS75" s="78">
        <v>1</v>
      </c>
      <c r="BT75" s="78">
        <v>1</v>
      </c>
      <c r="BU75" s="78">
        <v>4</v>
      </c>
      <c r="BV75" s="78">
        <v>1</v>
      </c>
      <c r="BW75" s="78">
        <v>2</v>
      </c>
      <c r="BX75" s="78">
        <v>0</v>
      </c>
      <c r="BY75" s="78">
        <v>0</v>
      </c>
      <c r="BZ75" s="76">
        <v>4</v>
      </c>
      <c r="CA75" s="1" t="s">
        <v>403</v>
      </c>
      <c r="CB75" s="78">
        <v>4</v>
      </c>
      <c r="CC75" s="78">
        <v>0</v>
      </c>
      <c r="CD75" s="78">
        <v>2</v>
      </c>
      <c r="CE75" s="78">
        <v>2</v>
      </c>
      <c r="CF75" s="78">
        <v>0</v>
      </c>
      <c r="CG75" s="78">
        <v>0</v>
      </c>
      <c r="CH75" s="78">
        <v>0</v>
      </c>
      <c r="CI75" s="78">
        <v>0</v>
      </c>
      <c r="CJ75" s="76">
        <v>2</v>
      </c>
      <c r="CK75" s="1" t="s">
        <v>331</v>
      </c>
      <c r="CL75" s="78">
        <v>4</v>
      </c>
      <c r="CM75" s="78">
        <v>0</v>
      </c>
      <c r="CN75" s="78">
        <v>1</v>
      </c>
      <c r="CO75" s="78">
        <v>0</v>
      </c>
      <c r="CP75" s="78">
        <v>0</v>
      </c>
      <c r="CQ75" s="78">
        <v>1</v>
      </c>
      <c r="CR75" s="78">
        <v>0</v>
      </c>
      <c r="CS75" s="78">
        <v>0</v>
      </c>
      <c r="CT75" s="76">
        <v>1</v>
      </c>
      <c r="CU75" s="1" t="s">
        <v>336</v>
      </c>
      <c r="CV75" s="78">
        <v>4</v>
      </c>
      <c r="CW75" s="78">
        <v>0</v>
      </c>
      <c r="CX75" s="78">
        <v>1</v>
      </c>
      <c r="CY75" s="78">
        <v>0</v>
      </c>
      <c r="CZ75" s="78">
        <v>0</v>
      </c>
      <c r="DA75" s="78">
        <v>1</v>
      </c>
      <c r="DB75" s="78">
        <v>0</v>
      </c>
      <c r="DC75" s="78">
        <v>0</v>
      </c>
      <c r="DD75" s="76">
        <v>1</v>
      </c>
      <c r="DE75" s="1" t="s">
        <v>335</v>
      </c>
      <c r="DF75" s="78">
        <v>4</v>
      </c>
      <c r="DG75" s="78">
        <v>0</v>
      </c>
      <c r="DH75" s="78">
        <v>0</v>
      </c>
      <c r="DI75" s="78">
        <v>0</v>
      </c>
      <c r="DJ75" s="78">
        <v>0</v>
      </c>
      <c r="DK75" s="78">
        <v>0</v>
      </c>
      <c r="DL75" s="78">
        <v>0</v>
      </c>
      <c r="DM75" s="78">
        <v>0</v>
      </c>
      <c r="DN75" s="76">
        <v>0</v>
      </c>
      <c r="DO75" s="1" t="s">
        <v>330</v>
      </c>
      <c r="DP75" s="78">
        <v>4</v>
      </c>
      <c r="DQ75" s="78">
        <v>0</v>
      </c>
      <c r="DR75" s="78">
        <v>0</v>
      </c>
      <c r="DS75" s="78">
        <v>0</v>
      </c>
      <c r="DT75" s="78">
        <v>0</v>
      </c>
      <c r="DU75" s="78">
        <v>1</v>
      </c>
      <c r="DV75" s="78">
        <v>0</v>
      </c>
      <c r="DW75" s="78">
        <v>0</v>
      </c>
      <c r="DX75" s="76">
        <v>0</v>
      </c>
      <c r="DY75" s="77">
        <f>6+1/3</f>
        <v>6.333333333333333</v>
      </c>
      <c r="DZ75" s="43">
        <v>0</v>
      </c>
      <c r="EA75" s="43">
        <v>1</v>
      </c>
      <c r="EB75" s="45">
        <f>2+2/3</f>
        <v>2.6666666666666665</v>
      </c>
      <c r="EC75" s="43">
        <v>1</v>
      </c>
      <c r="ED75" s="44">
        <v>0</v>
      </c>
      <c r="EE75" s="71">
        <v>1</v>
      </c>
      <c r="EF75" s="43">
        <v>0</v>
      </c>
      <c r="EG75" s="43">
        <v>3</v>
      </c>
      <c r="EH75" s="43">
        <v>0</v>
      </c>
      <c r="EI75" s="43">
        <v>0</v>
      </c>
      <c r="EJ75" s="43">
        <v>0</v>
      </c>
      <c r="EK75" s="43">
        <v>3</v>
      </c>
      <c r="EL75" s="43">
        <v>0</v>
      </c>
      <c r="EM75" s="43">
        <v>0</v>
      </c>
      <c r="EN75" s="43"/>
      <c r="EO75" s="43"/>
      <c r="EP75" s="43"/>
      <c r="EQ75" s="44">
        <f t="shared" si="8"/>
        <v>7</v>
      </c>
      <c r="ER75" s="43">
        <v>1</v>
      </c>
      <c r="ES75" s="43">
        <v>0</v>
      </c>
      <c r="ET75" s="43">
        <v>2</v>
      </c>
      <c r="EU75" s="43">
        <v>2</v>
      </c>
      <c r="EV75" s="43">
        <v>0</v>
      </c>
      <c r="EW75" s="43">
        <v>0</v>
      </c>
      <c r="EX75" s="43">
        <v>0</v>
      </c>
      <c r="EY75" s="43">
        <v>1</v>
      </c>
      <c r="EZ75" s="43">
        <v>0</v>
      </c>
      <c r="FA75" s="43"/>
      <c r="FB75" s="43"/>
      <c r="FC75" s="43"/>
      <c r="FD75" s="43">
        <f t="shared" si="9"/>
        <v>6</v>
      </c>
      <c r="FE75" s="73">
        <f t="shared" si="10"/>
        <v>0</v>
      </c>
      <c r="FF75" s="73">
        <f t="shared" si="11"/>
        <v>0</v>
      </c>
      <c r="FG75" s="38"/>
    </row>
    <row r="76" spans="1:163" x14ac:dyDescent="0.25">
      <c r="A76" s="53">
        <v>40353</v>
      </c>
      <c r="B76" s="53" t="s">
        <v>133</v>
      </c>
      <c r="C76" s="53" t="s">
        <v>131</v>
      </c>
      <c r="D76" s="53" t="s">
        <v>342</v>
      </c>
      <c r="E76" s="54">
        <v>8370</v>
      </c>
      <c r="F76" s="58">
        <v>5</v>
      </c>
      <c r="G76" s="59" t="s">
        <v>341</v>
      </c>
      <c r="H76" s="6">
        <v>0</v>
      </c>
      <c r="I76" s="6">
        <v>1</v>
      </c>
      <c r="J76" s="60">
        <v>5</v>
      </c>
      <c r="K76" s="6">
        <v>4</v>
      </c>
      <c r="L76" s="6">
        <v>2</v>
      </c>
      <c r="M76" s="6">
        <v>2</v>
      </c>
      <c r="N76" s="6">
        <v>3</v>
      </c>
      <c r="O76" s="6">
        <v>4</v>
      </c>
      <c r="P76" s="6">
        <v>0</v>
      </c>
      <c r="Q76" s="6">
        <v>0</v>
      </c>
      <c r="R76" s="6">
        <v>22</v>
      </c>
      <c r="S76" s="6">
        <v>107</v>
      </c>
      <c r="T76" s="6">
        <v>58</v>
      </c>
      <c r="U76" s="6">
        <v>0</v>
      </c>
      <c r="V76" s="61">
        <v>0</v>
      </c>
      <c r="W76" s="62">
        <v>0</v>
      </c>
      <c r="X76" s="62">
        <v>0</v>
      </c>
      <c r="Y76" s="62">
        <v>0</v>
      </c>
      <c r="Z76" s="62">
        <v>0</v>
      </c>
      <c r="AA76" s="62">
        <v>0</v>
      </c>
      <c r="AB76" s="63">
        <v>3</v>
      </c>
      <c r="AC76" s="62">
        <v>5</v>
      </c>
      <c r="AD76" s="62">
        <v>7</v>
      </c>
      <c r="AE76" s="62">
        <v>7</v>
      </c>
      <c r="AF76" s="62">
        <v>5</v>
      </c>
      <c r="AG76" s="62">
        <v>2</v>
      </c>
      <c r="AH76" s="62">
        <v>1</v>
      </c>
      <c r="AI76" s="62">
        <v>0</v>
      </c>
      <c r="AJ76" s="62">
        <v>19</v>
      </c>
      <c r="AK76" s="62">
        <v>77</v>
      </c>
      <c r="AL76" s="62">
        <v>38</v>
      </c>
      <c r="AM76" s="1" t="s">
        <v>399</v>
      </c>
      <c r="AN76" s="78">
        <v>4</v>
      </c>
      <c r="AO76" s="78">
        <v>0</v>
      </c>
      <c r="AP76" s="78">
        <v>1</v>
      </c>
      <c r="AQ76" s="78">
        <v>1</v>
      </c>
      <c r="AR76" s="78">
        <v>0</v>
      </c>
      <c r="AS76" s="78">
        <v>0</v>
      </c>
      <c r="AT76" s="78">
        <v>0</v>
      </c>
      <c r="AU76" s="78">
        <v>0</v>
      </c>
      <c r="AV76" s="76">
        <v>1</v>
      </c>
      <c r="AW76" s="1" t="s">
        <v>335</v>
      </c>
      <c r="AX76" s="78">
        <v>4</v>
      </c>
      <c r="AY76" s="78">
        <v>0</v>
      </c>
      <c r="AZ76" s="78">
        <v>0</v>
      </c>
      <c r="BA76" s="78">
        <v>0</v>
      </c>
      <c r="BB76" s="78">
        <v>0</v>
      </c>
      <c r="BC76" s="78">
        <v>0</v>
      </c>
      <c r="BD76" s="78">
        <v>0</v>
      </c>
      <c r="BE76" s="78">
        <v>0</v>
      </c>
      <c r="BF76" s="76">
        <v>0</v>
      </c>
      <c r="BG76" s="1" t="s">
        <v>400</v>
      </c>
      <c r="BH76" s="78">
        <v>4</v>
      </c>
      <c r="BI76" s="78">
        <v>0</v>
      </c>
      <c r="BJ76" s="78">
        <v>0</v>
      </c>
      <c r="BK76" s="78">
        <v>0</v>
      </c>
      <c r="BL76" s="78">
        <v>0</v>
      </c>
      <c r="BM76" s="78">
        <v>1</v>
      </c>
      <c r="BN76" s="78">
        <v>0</v>
      </c>
      <c r="BO76" s="78">
        <v>0</v>
      </c>
      <c r="BP76" s="76">
        <v>0</v>
      </c>
      <c r="BQ76" s="1" t="s">
        <v>332</v>
      </c>
      <c r="BR76" s="78">
        <v>3</v>
      </c>
      <c r="BS76" s="78">
        <v>0</v>
      </c>
      <c r="BT76" s="78">
        <v>0</v>
      </c>
      <c r="BU76" s="78">
        <v>0</v>
      </c>
      <c r="BV76" s="78">
        <v>0</v>
      </c>
      <c r="BW76" s="78">
        <v>1</v>
      </c>
      <c r="BX76" s="78">
        <v>0</v>
      </c>
      <c r="BY76" s="78">
        <v>0</v>
      </c>
      <c r="BZ76" s="76">
        <v>0</v>
      </c>
      <c r="CA76" s="1" t="s">
        <v>336</v>
      </c>
      <c r="CB76" s="78">
        <v>3</v>
      </c>
      <c r="CC76" s="78">
        <v>0</v>
      </c>
      <c r="CD76" s="78">
        <v>0</v>
      </c>
      <c r="CE76" s="78">
        <v>0</v>
      </c>
      <c r="CF76" s="78">
        <v>0</v>
      </c>
      <c r="CG76" s="78">
        <v>2</v>
      </c>
      <c r="CH76" s="78">
        <v>0</v>
      </c>
      <c r="CI76" s="78">
        <v>0</v>
      </c>
      <c r="CJ76" s="76">
        <v>0</v>
      </c>
      <c r="CK76" s="1" t="s">
        <v>405</v>
      </c>
      <c r="CL76" s="78">
        <v>3</v>
      </c>
      <c r="CM76" s="78">
        <v>0</v>
      </c>
      <c r="CN76" s="78">
        <v>0</v>
      </c>
      <c r="CO76" s="78">
        <v>0</v>
      </c>
      <c r="CP76" s="78">
        <v>0</v>
      </c>
      <c r="CQ76" s="78">
        <v>0</v>
      </c>
      <c r="CR76" s="78">
        <v>0</v>
      </c>
      <c r="CS76" s="78">
        <v>0</v>
      </c>
      <c r="CT76" s="76">
        <v>0</v>
      </c>
      <c r="CU76" s="1" t="s">
        <v>331</v>
      </c>
      <c r="CV76" s="78">
        <v>2</v>
      </c>
      <c r="CW76" s="78">
        <v>1</v>
      </c>
      <c r="CX76" s="78">
        <v>1</v>
      </c>
      <c r="CY76" s="78">
        <v>0</v>
      </c>
      <c r="CZ76" s="78">
        <v>1</v>
      </c>
      <c r="DA76" s="78">
        <v>0</v>
      </c>
      <c r="DB76" s="78">
        <v>0</v>
      </c>
      <c r="DC76" s="78">
        <v>0</v>
      </c>
      <c r="DD76" s="76">
        <v>1</v>
      </c>
      <c r="DE76" s="1" t="s">
        <v>401</v>
      </c>
      <c r="DF76" s="78">
        <v>2</v>
      </c>
      <c r="DG76" s="78">
        <v>0</v>
      </c>
      <c r="DH76" s="78">
        <v>0</v>
      </c>
      <c r="DI76" s="78">
        <v>0</v>
      </c>
      <c r="DJ76" s="78">
        <v>0</v>
      </c>
      <c r="DK76" s="78">
        <v>0</v>
      </c>
      <c r="DL76" s="78">
        <v>1</v>
      </c>
      <c r="DM76" s="78">
        <v>0</v>
      </c>
      <c r="DN76" s="76">
        <v>0</v>
      </c>
      <c r="DO76" s="1" t="s">
        <v>330</v>
      </c>
      <c r="DP76" s="78">
        <v>3</v>
      </c>
      <c r="DQ76" s="78">
        <v>0</v>
      </c>
      <c r="DR76" s="78">
        <v>0</v>
      </c>
      <c r="DS76" s="78">
        <v>0</v>
      </c>
      <c r="DT76" s="78">
        <v>0</v>
      </c>
      <c r="DU76" s="78">
        <v>0</v>
      </c>
      <c r="DV76" s="78">
        <v>0</v>
      </c>
      <c r="DW76" s="78">
        <v>0</v>
      </c>
      <c r="DX76" s="76">
        <v>0</v>
      </c>
      <c r="DY76" s="77">
        <v>0</v>
      </c>
      <c r="DZ76" s="43">
        <v>0</v>
      </c>
      <c r="EA76" s="43">
        <v>0</v>
      </c>
      <c r="EB76" s="45">
        <v>9</v>
      </c>
      <c r="EC76" s="43">
        <v>0</v>
      </c>
      <c r="ED76" s="44">
        <v>0</v>
      </c>
      <c r="EE76" s="71">
        <v>0</v>
      </c>
      <c r="EF76" s="43">
        <v>0</v>
      </c>
      <c r="EG76" s="43">
        <v>1</v>
      </c>
      <c r="EH76" s="43">
        <v>0</v>
      </c>
      <c r="EI76" s="43">
        <v>0</v>
      </c>
      <c r="EJ76" s="43">
        <v>0</v>
      </c>
      <c r="EK76" s="43">
        <v>0</v>
      </c>
      <c r="EL76" s="43">
        <v>0</v>
      </c>
      <c r="EM76" s="43">
        <v>0</v>
      </c>
      <c r="EN76" s="43"/>
      <c r="EO76" s="43"/>
      <c r="EP76" s="43"/>
      <c r="EQ76" s="44">
        <f t="shared" si="8"/>
        <v>1</v>
      </c>
      <c r="ER76" s="43">
        <v>0</v>
      </c>
      <c r="ES76" s="43">
        <v>1</v>
      </c>
      <c r="ET76" s="43">
        <v>1</v>
      </c>
      <c r="EU76" s="43">
        <v>0</v>
      </c>
      <c r="EV76" s="43">
        <v>0</v>
      </c>
      <c r="EW76" s="43">
        <v>2</v>
      </c>
      <c r="EX76" s="43">
        <v>0</v>
      </c>
      <c r="EY76" s="43">
        <v>5</v>
      </c>
      <c r="EZ76" s="43"/>
      <c r="FA76" s="43"/>
      <c r="FB76" s="43"/>
      <c r="FC76" s="43"/>
      <c r="FD76" s="43">
        <f t="shared" si="9"/>
        <v>9</v>
      </c>
      <c r="FE76" s="73">
        <f t="shared" si="10"/>
        <v>0</v>
      </c>
      <c r="FF76" s="73">
        <f t="shared" si="11"/>
        <v>0</v>
      </c>
      <c r="FG76" s="38"/>
    </row>
    <row r="77" spans="1:163" x14ac:dyDescent="0.25">
      <c r="A77" s="53">
        <v>40354</v>
      </c>
      <c r="B77" s="53" t="s">
        <v>19</v>
      </c>
      <c r="C77" s="53" t="s">
        <v>129</v>
      </c>
      <c r="D77" s="53" t="s">
        <v>340</v>
      </c>
      <c r="E77" s="54">
        <v>10410</v>
      </c>
      <c r="F77" s="58">
        <v>1</v>
      </c>
      <c r="G77" s="59" t="s">
        <v>397</v>
      </c>
      <c r="H77" s="6">
        <v>1</v>
      </c>
      <c r="I77" s="6">
        <v>0</v>
      </c>
      <c r="J77" s="60">
        <v>6</v>
      </c>
      <c r="K77" s="6">
        <v>4</v>
      </c>
      <c r="L77" s="6">
        <v>1</v>
      </c>
      <c r="M77" s="6">
        <v>0</v>
      </c>
      <c r="N77" s="6">
        <v>1</v>
      </c>
      <c r="O77" s="6">
        <v>7</v>
      </c>
      <c r="P77" s="6">
        <v>0</v>
      </c>
      <c r="Q77" s="6">
        <v>0</v>
      </c>
      <c r="R77" s="6">
        <v>24</v>
      </c>
      <c r="S77" s="6">
        <v>91</v>
      </c>
      <c r="T77" s="6">
        <v>60</v>
      </c>
      <c r="U77" s="6">
        <v>0</v>
      </c>
      <c r="V77" s="61">
        <v>0</v>
      </c>
      <c r="W77" s="62">
        <v>0</v>
      </c>
      <c r="X77" s="62">
        <v>0</v>
      </c>
      <c r="Y77" s="62">
        <v>1</v>
      </c>
      <c r="Z77" s="62">
        <v>1</v>
      </c>
      <c r="AA77" s="62">
        <v>0</v>
      </c>
      <c r="AB77" s="63">
        <v>3</v>
      </c>
      <c r="AC77" s="62">
        <v>0</v>
      </c>
      <c r="AD77" s="62">
        <v>0</v>
      </c>
      <c r="AE77" s="62">
        <v>0</v>
      </c>
      <c r="AF77" s="62">
        <v>0</v>
      </c>
      <c r="AG77" s="62">
        <v>4</v>
      </c>
      <c r="AH77" s="62">
        <v>0</v>
      </c>
      <c r="AI77" s="62">
        <v>0</v>
      </c>
      <c r="AJ77" s="62">
        <v>9</v>
      </c>
      <c r="AK77" s="62">
        <v>36</v>
      </c>
      <c r="AL77" s="62">
        <v>27</v>
      </c>
      <c r="AM77" s="1" t="s">
        <v>399</v>
      </c>
      <c r="AN77" s="78">
        <v>3</v>
      </c>
      <c r="AO77" s="78">
        <v>1</v>
      </c>
      <c r="AP77" s="78">
        <v>1</v>
      </c>
      <c r="AQ77" s="78">
        <v>0</v>
      </c>
      <c r="AR77" s="78">
        <v>1</v>
      </c>
      <c r="AS77" s="78">
        <v>0</v>
      </c>
      <c r="AT77" s="78">
        <v>0</v>
      </c>
      <c r="AU77" s="78">
        <v>0</v>
      </c>
      <c r="AV77" s="76">
        <v>1</v>
      </c>
      <c r="AW77" s="1" t="s">
        <v>401</v>
      </c>
      <c r="AX77" s="78">
        <v>4</v>
      </c>
      <c r="AY77" s="78">
        <v>1</v>
      </c>
      <c r="AZ77" s="78">
        <v>1</v>
      </c>
      <c r="BA77" s="78">
        <v>0</v>
      </c>
      <c r="BB77" s="78">
        <v>0</v>
      </c>
      <c r="BC77" s="78">
        <v>0</v>
      </c>
      <c r="BD77" s="78">
        <v>0</v>
      </c>
      <c r="BE77" s="78">
        <v>0</v>
      </c>
      <c r="BF77" s="76">
        <v>1</v>
      </c>
      <c r="BG77" s="1" t="s">
        <v>400</v>
      </c>
      <c r="BH77" s="78">
        <v>4</v>
      </c>
      <c r="BI77" s="78">
        <v>0</v>
      </c>
      <c r="BJ77" s="78">
        <v>2</v>
      </c>
      <c r="BK77" s="78">
        <v>1</v>
      </c>
      <c r="BL77" s="78">
        <v>0</v>
      </c>
      <c r="BM77" s="78">
        <v>0</v>
      </c>
      <c r="BN77" s="78">
        <v>0</v>
      </c>
      <c r="BO77" s="78">
        <v>0</v>
      </c>
      <c r="BP77" s="76">
        <v>2</v>
      </c>
      <c r="BQ77" s="1" t="s">
        <v>332</v>
      </c>
      <c r="BR77" s="78">
        <v>3</v>
      </c>
      <c r="BS77" s="78">
        <v>0</v>
      </c>
      <c r="BT77" s="78">
        <v>1</v>
      </c>
      <c r="BU77" s="78">
        <v>1</v>
      </c>
      <c r="BV77" s="78">
        <v>0</v>
      </c>
      <c r="BW77" s="78">
        <v>0</v>
      </c>
      <c r="BX77" s="78">
        <v>0</v>
      </c>
      <c r="BY77" s="78">
        <v>0</v>
      </c>
      <c r="BZ77" s="76">
        <v>1</v>
      </c>
      <c r="CA77" s="1" t="s">
        <v>403</v>
      </c>
      <c r="CB77" s="78">
        <v>3</v>
      </c>
      <c r="CC77" s="78">
        <v>0</v>
      </c>
      <c r="CD77" s="78">
        <v>1</v>
      </c>
      <c r="CE77" s="78">
        <v>0</v>
      </c>
      <c r="CF77" s="78">
        <v>0</v>
      </c>
      <c r="CG77" s="78">
        <v>0</v>
      </c>
      <c r="CH77" s="78">
        <v>0</v>
      </c>
      <c r="CI77" s="78">
        <v>0</v>
      </c>
      <c r="CJ77" s="76">
        <v>1</v>
      </c>
      <c r="CK77" s="1" t="s">
        <v>405</v>
      </c>
      <c r="CL77" s="78">
        <v>3</v>
      </c>
      <c r="CM77" s="78">
        <v>0</v>
      </c>
      <c r="CN77" s="78">
        <v>0</v>
      </c>
      <c r="CO77" s="78">
        <v>0</v>
      </c>
      <c r="CP77" s="78">
        <v>0</v>
      </c>
      <c r="CQ77" s="78">
        <v>0</v>
      </c>
      <c r="CR77" s="78">
        <v>0</v>
      </c>
      <c r="CS77" s="78">
        <v>0</v>
      </c>
      <c r="CT77" s="76">
        <v>0</v>
      </c>
      <c r="CU77" s="1" t="s">
        <v>331</v>
      </c>
      <c r="CV77" s="78">
        <v>3</v>
      </c>
      <c r="CW77" s="78">
        <v>0</v>
      </c>
      <c r="CX77" s="78">
        <v>0</v>
      </c>
      <c r="CY77" s="78">
        <v>0</v>
      </c>
      <c r="CZ77" s="78">
        <v>0</v>
      </c>
      <c r="DA77" s="78">
        <v>0</v>
      </c>
      <c r="DB77" s="78">
        <v>0</v>
      </c>
      <c r="DC77" s="78">
        <v>0</v>
      </c>
      <c r="DD77" s="76">
        <v>0</v>
      </c>
      <c r="DE77" s="1" t="s">
        <v>336</v>
      </c>
      <c r="DF77" s="78">
        <v>3</v>
      </c>
      <c r="DG77" s="78">
        <v>0</v>
      </c>
      <c r="DH77" s="78">
        <v>0</v>
      </c>
      <c r="DI77" s="78">
        <v>0</v>
      </c>
      <c r="DJ77" s="78">
        <v>0</v>
      </c>
      <c r="DK77" s="78">
        <v>0</v>
      </c>
      <c r="DL77" s="78">
        <v>0</v>
      </c>
      <c r="DM77" s="78">
        <v>0</v>
      </c>
      <c r="DN77" s="76">
        <v>0</v>
      </c>
      <c r="DO77" s="1" t="s">
        <v>330</v>
      </c>
      <c r="DP77" s="78">
        <v>3</v>
      </c>
      <c r="DQ77" s="78">
        <v>0</v>
      </c>
      <c r="DR77" s="78">
        <v>1</v>
      </c>
      <c r="DS77" s="78">
        <v>0</v>
      </c>
      <c r="DT77" s="78">
        <v>0</v>
      </c>
      <c r="DU77" s="78">
        <v>0</v>
      </c>
      <c r="DV77" s="78">
        <v>0</v>
      </c>
      <c r="DW77" s="78">
        <v>0</v>
      </c>
      <c r="DX77" s="76">
        <v>3</v>
      </c>
      <c r="DY77" s="77">
        <v>0</v>
      </c>
      <c r="DZ77" s="43">
        <v>0</v>
      </c>
      <c r="EA77" s="43">
        <v>0</v>
      </c>
      <c r="EB77" s="45">
        <v>8</v>
      </c>
      <c r="EC77" s="43">
        <v>2</v>
      </c>
      <c r="ED77" s="44">
        <v>0</v>
      </c>
      <c r="EE77" s="71">
        <v>2</v>
      </c>
      <c r="EF77" s="43">
        <v>0</v>
      </c>
      <c r="EG77" s="43">
        <v>0</v>
      </c>
      <c r="EH77" s="43">
        <v>0</v>
      </c>
      <c r="EI77" s="43">
        <v>0</v>
      </c>
      <c r="EJ77" s="43">
        <v>0</v>
      </c>
      <c r="EK77" s="43">
        <v>0</v>
      </c>
      <c r="EL77" s="43">
        <v>0</v>
      </c>
      <c r="EM77" s="43"/>
      <c r="EN77" s="43"/>
      <c r="EO77" s="43"/>
      <c r="EP77" s="43"/>
      <c r="EQ77" s="44">
        <f t="shared" si="8"/>
        <v>2</v>
      </c>
      <c r="ER77" s="43">
        <v>0</v>
      </c>
      <c r="ES77" s="43">
        <v>0</v>
      </c>
      <c r="ET77" s="43">
        <v>0</v>
      </c>
      <c r="EU77" s="43">
        <v>0</v>
      </c>
      <c r="EV77" s="43">
        <v>1</v>
      </c>
      <c r="EW77" s="43">
        <v>0</v>
      </c>
      <c r="EX77" s="43">
        <v>0</v>
      </c>
      <c r="EY77" s="43">
        <v>0</v>
      </c>
      <c r="EZ77" s="43">
        <v>0</v>
      </c>
      <c r="FA77" s="43"/>
      <c r="FB77" s="43"/>
      <c r="FC77" s="43"/>
      <c r="FD77" s="43">
        <f t="shared" si="9"/>
        <v>1</v>
      </c>
      <c r="FE77" s="73">
        <f t="shared" si="10"/>
        <v>0</v>
      </c>
      <c r="FF77" s="73">
        <f t="shared" si="11"/>
        <v>0</v>
      </c>
      <c r="FG77" s="38"/>
    </row>
    <row r="78" spans="1:163" x14ac:dyDescent="0.25">
      <c r="A78" s="53">
        <v>40355</v>
      </c>
      <c r="B78" s="53" t="s">
        <v>19</v>
      </c>
      <c r="C78" s="53" t="s">
        <v>129</v>
      </c>
      <c r="D78" s="53" t="s">
        <v>340</v>
      </c>
      <c r="E78" s="54">
        <v>8723</v>
      </c>
      <c r="F78" s="58">
        <v>2</v>
      </c>
      <c r="G78" s="59" t="s">
        <v>398</v>
      </c>
      <c r="H78" s="6">
        <v>1</v>
      </c>
      <c r="I78" s="6">
        <v>0</v>
      </c>
      <c r="J78" s="60">
        <v>5</v>
      </c>
      <c r="K78" s="6">
        <v>2</v>
      </c>
      <c r="L78" s="6">
        <v>0</v>
      </c>
      <c r="M78" s="6">
        <v>0</v>
      </c>
      <c r="N78" s="6">
        <v>2</v>
      </c>
      <c r="O78" s="6">
        <v>3</v>
      </c>
      <c r="P78" s="6">
        <v>0</v>
      </c>
      <c r="Q78" s="6">
        <v>0</v>
      </c>
      <c r="R78" s="6">
        <v>19</v>
      </c>
      <c r="S78" s="6">
        <v>62</v>
      </c>
      <c r="T78" s="6">
        <v>36</v>
      </c>
      <c r="U78" s="6">
        <v>0</v>
      </c>
      <c r="V78" s="61">
        <v>0</v>
      </c>
      <c r="W78" s="62">
        <v>0</v>
      </c>
      <c r="X78" s="62">
        <v>0</v>
      </c>
      <c r="Y78" s="62">
        <v>0</v>
      </c>
      <c r="Z78" s="62">
        <v>0</v>
      </c>
      <c r="AA78" s="62">
        <v>0</v>
      </c>
      <c r="AB78" s="63">
        <v>4</v>
      </c>
      <c r="AC78" s="62">
        <v>5</v>
      </c>
      <c r="AD78" s="62">
        <v>3</v>
      </c>
      <c r="AE78" s="62">
        <v>3</v>
      </c>
      <c r="AF78" s="62">
        <v>3</v>
      </c>
      <c r="AG78" s="62">
        <v>4</v>
      </c>
      <c r="AH78" s="62">
        <v>0</v>
      </c>
      <c r="AI78" s="62">
        <v>0</v>
      </c>
      <c r="AJ78" s="62">
        <v>20</v>
      </c>
      <c r="AK78" s="62">
        <v>95</v>
      </c>
      <c r="AL78" s="62">
        <v>55</v>
      </c>
      <c r="AM78" s="1" t="s">
        <v>399</v>
      </c>
      <c r="AN78" s="78">
        <v>4</v>
      </c>
      <c r="AO78" s="78">
        <v>1</v>
      </c>
      <c r="AP78" s="78">
        <v>2</v>
      </c>
      <c r="AQ78" s="78">
        <v>1</v>
      </c>
      <c r="AR78" s="78">
        <v>1</v>
      </c>
      <c r="AS78" s="78">
        <v>1</v>
      </c>
      <c r="AT78" s="78">
        <v>0</v>
      </c>
      <c r="AU78" s="78">
        <v>0</v>
      </c>
      <c r="AV78" s="76">
        <v>2</v>
      </c>
      <c r="AW78" s="1" t="s">
        <v>401</v>
      </c>
      <c r="AX78" s="78">
        <v>5</v>
      </c>
      <c r="AY78" s="78">
        <v>1</v>
      </c>
      <c r="AZ78" s="78">
        <v>1</v>
      </c>
      <c r="BA78" s="78">
        <v>0</v>
      </c>
      <c r="BB78" s="78">
        <v>0</v>
      </c>
      <c r="BC78" s="78">
        <v>1</v>
      </c>
      <c r="BD78" s="78">
        <v>0</v>
      </c>
      <c r="BE78" s="78">
        <v>0</v>
      </c>
      <c r="BF78" s="76">
        <v>1</v>
      </c>
      <c r="BG78" s="1" t="s">
        <v>400</v>
      </c>
      <c r="BH78" s="78">
        <v>4</v>
      </c>
      <c r="BI78" s="78">
        <v>2</v>
      </c>
      <c r="BJ78" s="78">
        <v>2</v>
      </c>
      <c r="BK78" s="78">
        <v>2</v>
      </c>
      <c r="BL78" s="78">
        <v>1</v>
      </c>
      <c r="BM78" s="78">
        <v>1</v>
      </c>
      <c r="BN78" s="78">
        <v>0</v>
      </c>
      <c r="BO78" s="78">
        <v>0</v>
      </c>
      <c r="BP78" s="76">
        <v>6</v>
      </c>
      <c r="BQ78" s="1" t="s">
        <v>332</v>
      </c>
      <c r="BR78" s="78">
        <v>4</v>
      </c>
      <c r="BS78" s="78">
        <v>1</v>
      </c>
      <c r="BT78" s="78">
        <v>1</v>
      </c>
      <c r="BU78" s="78">
        <v>1</v>
      </c>
      <c r="BV78" s="78">
        <v>1</v>
      </c>
      <c r="BW78" s="78">
        <v>2</v>
      </c>
      <c r="BX78" s="78">
        <v>0</v>
      </c>
      <c r="BY78" s="78">
        <v>0</v>
      </c>
      <c r="BZ78" s="76">
        <v>4</v>
      </c>
      <c r="CA78" s="1" t="s">
        <v>403</v>
      </c>
      <c r="CB78" s="78">
        <v>4</v>
      </c>
      <c r="CC78" s="78">
        <v>1</v>
      </c>
      <c r="CD78" s="78">
        <v>2</v>
      </c>
      <c r="CE78" s="78">
        <v>2</v>
      </c>
      <c r="CF78" s="78">
        <v>0</v>
      </c>
      <c r="CG78" s="78">
        <v>1</v>
      </c>
      <c r="CH78" s="78">
        <v>0</v>
      </c>
      <c r="CI78" s="78">
        <v>1</v>
      </c>
      <c r="CJ78" s="76">
        <v>2</v>
      </c>
      <c r="CK78" s="1" t="s">
        <v>405</v>
      </c>
      <c r="CL78" s="78">
        <v>4</v>
      </c>
      <c r="CM78" s="78">
        <v>0</v>
      </c>
      <c r="CN78" s="78">
        <v>1</v>
      </c>
      <c r="CO78" s="78">
        <v>1</v>
      </c>
      <c r="CP78" s="78">
        <v>1</v>
      </c>
      <c r="CQ78" s="78">
        <v>0</v>
      </c>
      <c r="CR78" s="78">
        <v>0</v>
      </c>
      <c r="CS78" s="78">
        <v>0</v>
      </c>
      <c r="CT78" s="76">
        <v>2</v>
      </c>
      <c r="CU78" s="1" t="s">
        <v>331</v>
      </c>
      <c r="CV78" s="78">
        <v>3</v>
      </c>
      <c r="CW78" s="78">
        <v>1</v>
      </c>
      <c r="CX78" s="78">
        <v>1</v>
      </c>
      <c r="CY78" s="78">
        <v>0</v>
      </c>
      <c r="CZ78" s="78">
        <v>0</v>
      </c>
      <c r="DA78" s="78">
        <v>0</v>
      </c>
      <c r="DB78" s="78">
        <v>1</v>
      </c>
      <c r="DC78" s="78">
        <v>0</v>
      </c>
      <c r="DD78" s="76">
        <v>1</v>
      </c>
      <c r="DE78" s="1" t="s">
        <v>336</v>
      </c>
      <c r="DF78" s="78">
        <v>3</v>
      </c>
      <c r="DG78" s="78">
        <v>1</v>
      </c>
      <c r="DH78" s="78">
        <v>1</v>
      </c>
      <c r="DI78" s="78">
        <v>0</v>
      </c>
      <c r="DJ78" s="78">
        <v>0</v>
      </c>
      <c r="DK78" s="78">
        <v>0</v>
      </c>
      <c r="DL78" s="78">
        <v>1</v>
      </c>
      <c r="DM78" s="78">
        <v>0</v>
      </c>
      <c r="DN78" s="76">
        <v>2</v>
      </c>
      <c r="DO78" s="1" t="s">
        <v>330</v>
      </c>
      <c r="DP78" s="78">
        <v>3</v>
      </c>
      <c r="DQ78" s="78">
        <v>2</v>
      </c>
      <c r="DR78" s="78">
        <v>1</v>
      </c>
      <c r="DS78" s="78">
        <v>2</v>
      </c>
      <c r="DT78" s="78">
        <v>1</v>
      </c>
      <c r="DU78" s="78">
        <v>0</v>
      </c>
      <c r="DV78" s="78">
        <v>0</v>
      </c>
      <c r="DW78" s="78">
        <v>0</v>
      </c>
      <c r="DX78" s="76">
        <v>4</v>
      </c>
      <c r="DY78" s="77">
        <v>5</v>
      </c>
      <c r="DZ78" s="43">
        <v>0</v>
      </c>
      <c r="EA78" s="43">
        <v>0</v>
      </c>
      <c r="EB78" s="45">
        <v>3</v>
      </c>
      <c r="EC78" s="43">
        <v>0</v>
      </c>
      <c r="ED78" s="44">
        <v>0</v>
      </c>
      <c r="EE78" s="71">
        <v>2</v>
      </c>
      <c r="EF78" s="43">
        <v>0</v>
      </c>
      <c r="EG78" s="43">
        <v>0</v>
      </c>
      <c r="EH78" s="43">
        <v>1</v>
      </c>
      <c r="EI78" s="43">
        <v>1</v>
      </c>
      <c r="EJ78" s="43">
        <v>4</v>
      </c>
      <c r="EK78" s="43">
        <v>1</v>
      </c>
      <c r="EL78" s="43">
        <v>1</v>
      </c>
      <c r="EM78" s="43"/>
      <c r="EN78" s="43"/>
      <c r="EO78" s="43"/>
      <c r="EP78" s="43"/>
      <c r="EQ78" s="44">
        <f t="shared" si="8"/>
        <v>10</v>
      </c>
      <c r="ER78" s="43">
        <v>0</v>
      </c>
      <c r="ES78" s="43">
        <v>0</v>
      </c>
      <c r="ET78" s="43">
        <v>0</v>
      </c>
      <c r="EU78" s="43">
        <v>0</v>
      </c>
      <c r="EV78" s="43">
        <v>0</v>
      </c>
      <c r="EW78" s="43">
        <v>0</v>
      </c>
      <c r="EX78" s="43">
        <v>0</v>
      </c>
      <c r="EY78" s="43">
        <v>3</v>
      </c>
      <c r="EZ78" s="43">
        <v>0</v>
      </c>
      <c r="FA78" s="43"/>
      <c r="FB78" s="43"/>
      <c r="FC78" s="43"/>
      <c r="FD78" s="43">
        <f t="shared" si="9"/>
        <v>3</v>
      </c>
      <c r="FE78" s="73">
        <f t="shared" si="10"/>
        <v>0</v>
      </c>
      <c r="FF78" s="73">
        <f t="shared" si="11"/>
        <v>0</v>
      </c>
      <c r="FG78" s="38"/>
    </row>
    <row r="79" spans="1:163" x14ac:dyDescent="0.25">
      <c r="A79" s="53">
        <v>40356</v>
      </c>
      <c r="B79" s="53" t="s">
        <v>19</v>
      </c>
      <c r="C79" s="53" t="s">
        <v>131</v>
      </c>
      <c r="D79" s="53" t="s">
        <v>340</v>
      </c>
      <c r="E79" s="54">
        <v>8130</v>
      </c>
      <c r="F79" s="58">
        <v>3</v>
      </c>
      <c r="G79" s="59" t="s">
        <v>337</v>
      </c>
      <c r="H79" s="6">
        <v>0</v>
      </c>
      <c r="I79" s="6">
        <v>0</v>
      </c>
      <c r="J79" s="60">
        <v>6</v>
      </c>
      <c r="K79" s="6">
        <v>7</v>
      </c>
      <c r="L79" s="6">
        <v>2</v>
      </c>
      <c r="M79" s="6">
        <v>1</v>
      </c>
      <c r="N79" s="6">
        <v>2</v>
      </c>
      <c r="O79" s="6">
        <v>5</v>
      </c>
      <c r="P79" s="6">
        <v>0</v>
      </c>
      <c r="Q79" s="6">
        <v>0</v>
      </c>
      <c r="R79" s="6">
        <v>26</v>
      </c>
      <c r="S79" s="6">
        <v>92</v>
      </c>
      <c r="T79" s="6">
        <v>57</v>
      </c>
      <c r="U79" s="6">
        <v>0</v>
      </c>
      <c r="V79" s="61">
        <v>0</v>
      </c>
      <c r="W79" s="62">
        <v>0</v>
      </c>
      <c r="X79" s="62">
        <v>1</v>
      </c>
      <c r="Y79" s="62">
        <v>0</v>
      </c>
      <c r="Z79" s="62">
        <v>0</v>
      </c>
      <c r="AA79" s="62">
        <v>0</v>
      </c>
      <c r="AB79" s="63">
        <v>3</v>
      </c>
      <c r="AC79" s="62">
        <v>4</v>
      </c>
      <c r="AD79" s="62">
        <v>2</v>
      </c>
      <c r="AE79" s="62">
        <v>1</v>
      </c>
      <c r="AF79" s="62">
        <v>0</v>
      </c>
      <c r="AG79" s="62">
        <v>1</v>
      </c>
      <c r="AH79" s="62">
        <v>0</v>
      </c>
      <c r="AI79" s="62">
        <v>0</v>
      </c>
      <c r="AJ79" s="62">
        <v>13</v>
      </c>
      <c r="AK79" s="62">
        <v>41</v>
      </c>
      <c r="AL79" s="62">
        <v>30</v>
      </c>
      <c r="AM79" s="1" t="s">
        <v>399</v>
      </c>
      <c r="AN79" s="78">
        <v>5</v>
      </c>
      <c r="AO79" s="78">
        <v>0</v>
      </c>
      <c r="AP79" s="78">
        <v>2</v>
      </c>
      <c r="AQ79" s="78">
        <v>0</v>
      </c>
      <c r="AR79" s="78">
        <v>0</v>
      </c>
      <c r="AS79" s="78">
        <v>1</v>
      </c>
      <c r="AT79" s="78">
        <v>0</v>
      </c>
      <c r="AU79" s="78">
        <v>0</v>
      </c>
      <c r="AV79" s="76">
        <v>3</v>
      </c>
      <c r="AW79" s="1" t="s">
        <v>401</v>
      </c>
      <c r="AX79" s="78">
        <v>5</v>
      </c>
      <c r="AY79" s="78">
        <v>0</v>
      </c>
      <c r="AZ79" s="78">
        <v>2</v>
      </c>
      <c r="BA79" s="78">
        <v>0</v>
      </c>
      <c r="BB79" s="78">
        <v>0</v>
      </c>
      <c r="BC79" s="78">
        <v>1</v>
      </c>
      <c r="BD79" s="78">
        <v>0</v>
      </c>
      <c r="BE79" s="78">
        <v>0</v>
      </c>
      <c r="BF79" s="76">
        <v>2</v>
      </c>
      <c r="BG79" s="1" t="s">
        <v>400</v>
      </c>
      <c r="BH79" s="78">
        <v>4</v>
      </c>
      <c r="BI79" s="78">
        <v>0</v>
      </c>
      <c r="BJ79" s="78">
        <v>0</v>
      </c>
      <c r="BK79" s="78">
        <v>0</v>
      </c>
      <c r="BL79" s="78">
        <v>0</v>
      </c>
      <c r="BM79" s="78">
        <v>1</v>
      </c>
      <c r="BN79" s="78">
        <v>0</v>
      </c>
      <c r="BO79" s="78">
        <v>0</v>
      </c>
      <c r="BP79" s="76">
        <v>0</v>
      </c>
      <c r="BQ79" s="1" t="s">
        <v>332</v>
      </c>
      <c r="BR79" s="78">
        <v>4</v>
      </c>
      <c r="BS79" s="78">
        <v>0</v>
      </c>
      <c r="BT79" s="78">
        <v>2</v>
      </c>
      <c r="BU79" s="78">
        <v>0</v>
      </c>
      <c r="BV79" s="78">
        <v>0</v>
      </c>
      <c r="BW79" s="78">
        <v>0</v>
      </c>
      <c r="BX79" s="78">
        <v>0</v>
      </c>
      <c r="BY79" s="78">
        <v>0</v>
      </c>
      <c r="BZ79" s="76">
        <v>2</v>
      </c>
      <c r="CA79" s="1" t="s">
        <v>403</v>
      </c>
      <c r="CB79" s="78">
        <v>3</v>
      </c>
      <c r="CC79" s="78">
        <v>0</v>
      </c>
      <c r="CD79" s="78">
        <v>0</v>
      </c>
      <c r="CE79" s="78">
        <v>0</v>
      </c>
      <c r="CF79" s="78">
        <v>1</v>
      </c>
      <c r="CG79" s="78">
        <v>0</v>
      </c>
      <c r="CH79" s="78">
        <v>0</v>
      </c>
      <c r="CI79" s="78">
        <v>0</v>
      </c>
      <c r="CJ79" s="76">
        <v>0</v>
      </c>
      <c r="CK79" s="1" t="s">
        <v>331</v>
      </c>
      <c r="CL79" s="78">
        <v>3</v>
      </c>
      <c r="CM79" s="78">
        <v>0</v>
      </c>
      <c r="CN79" s="78">
        <v>1</v>
      </c>
      <c r="CO79" s="78">
        <v>0</v>
      </c>
      <c r="CP79" s="78">
        <v>1</v>
      </c>
      <c r="CQ79" s="78">
        <v>0</v>
      </c>
      <c r="CR79" s="78">
        <v>0</v>
      </c>
      <c r="CS79" s="78">
        <v>0</v>
      </c>
      <c r="CT79" s="76">
        <v>1</v>
      </c>
      <c r="CU79" s="1" t="s">
        <v>407</v>
      </c>
      <c r="CV79" s="78">
        <v>4</v>
      </c>
      <c r="CW79" s="78">
        <v>1</v>
      </c>
      <c r="CX79" s="78">
        <v>0</v>
      </c>
      <c r="CY79" s="78">
        <v>0</v>
      </c>
      <c r="CZ79" s="78">
        <v>0</v>
      </c>
      <c r="DA79" s="78">
        <v>2</v>
      </c>
      <c r="DB79" s="78">
        <v>0</v>
      </c>
      <c r="DC79" s="78">
        <v>0</v>
      </c>
      <c r="DD79" s="76">
        <v>0</v>
      </c>
      <c r="DE79" s="1" t="s">
        <v>330</v>
      </c>
      <c r="DF79" s="78">
        <v>4</v>
      </c>
      <c r="DG79" s="78">
        <v>1</v>
      </c>
      <c r="DH79" s="78">
        <v>2</v>
      </c>
      <c r="DI79" s="78">
        <v>2</v>
      </c>
      <c r="DJ79" s="78">
        <v>0</v>
      </c>
      <c r="DK79" s="78">
        <v>1</v>
      </c>
      <c r="DL79" s="78">
        <v>0</v>
      </c>
      <c r="DM79" s="78">
        <v>0</v>
      </c>
      <c r="DN79" s="76">
        <v>5</v>
      </c>
      <c r="DO79" s="1" t="s">
        <v>335</v>
      </c>
      <c r="DP79" s="78">
        <v>4</v>
      </c>
      <c r="DQ79" s="78">
        <v>0</v>
      </c>
      <c r="DR79" s="78">
        <v>0</v>
      </c>
      <c r="DS79" s="78">
        <v>0</v>
      </c>
      <c r="DT79" s="78">
        <v>0</v>
      </c>
      <c r="DU79" s="78">
        <v>0</v>
      </c>
      <c r="DV79" s="78">
        <v>0</v>
      </c>
      <c r="DW79" s="78">
        <v>0</v>
      </c>
      <c r="DX79" s="76">
        <v>0</v>
      </c>
      <c r="DY79" s="77">
        <v>7</v>
      </c>
      <c r="DZ79" s="43">
        <v>2</v>
      </c>
      <c r="EA79" s="43">
        <v>0</v>
      </c>
      <c r="EB79" s="45">
        <v>2</v>
      </c>
      <c r="EC79" s="43">
        <v>0</v>
      </c>
      <c r="ED79" s="44">
        <v>0</v>
      </c>
      <c r="EE79" s="71">
        <v>0</v>
      </c>
      <c r="EF79" s="43">
        <v>0</v>
      </c>
      <c r="EG79" s="43">
        <v>0</v>
      </c>
      <c r="EH79" s="43">
        <v>0</v>
      </c>
      <c r="EI79" s="43">
        <v>0</v>
      </c>
      <c r="EJ79" s="43">
        <v>0</v>
      </c>
      <c r="EK79" s="43">
        <v>2</v>
      </c>
      <c r="EL79" s="43">
        <v>0</v>
      </c>
      <c r="EM79" s="43">
        <v>0</v>
      </c>
      <c r="EN79" s="43"/>
      <c r="EO79" s="43"/>
      <c r="EP79" s="43"/>
      <c r="EQ79" s="44">
        <f t="shared" si="8"/>
        <v>2</v>
      </c>
      <c r="ER79" s="43">
        <v>0</v>
      </c>
      <c r="ES79" s="43">
        <v>0</v>
      </c>
      <c r="ET79" s="43">
        <v>0</v>
      </c>
      <c r="EU79" s="43">
        <v>1</v>
      </c>
      <c r="EV79" s="43">
        <v>0</v>
      </c>
      <c r="EW79" s="43">
        <v>1</v>
      </c>
      <c r="EX79" s="43">
        <v>0</v>
      </c>
      <c r="EY79" s="43">
        <v>1</v>
      </c>
      <c r="EZ79" s="43">
        <v>1</v>
      </c>
      <c r="FA79" s="43"/>
      <c r="FB79" s="43"/>
      <c r="FC79" s="43"/>
      <c r="FD79" s="43">
        <f t="shared" si="9"/>
        <v>4</v>
      </c>
      <c r="FE79" s="73">
        <f t="shared" si="10"/>
        <v>0</v>
      </c>
      <c r="FF79" s="73">
        <f t="shared" si="11"/>
        <v>0</v>
      </c>
      <c r="FG79" s="38"/>
    </row>
    <row r="80" spans="1:163" x14ac:dyDescent="0.25">
      <c r="A80" s="53">
        <v>40357</v>
      </c>
      <c r="B80" s="53" t="s">
        <v>19</v>
      </c>
      <c r="C80" s="53" t="s">
        <v>129</v>
      </c>
      <c r="D80" s="53" t="s">
        <v>340</v>
      </c>
      <c r="E80" s="54">
        <v>5344</v>
      </c>
      <c r="F80" s="58">
        <v>4</v>
      </c>
      <c r="G80" s="59" t="s">
        <v>334</v>
      </c>
      <c r="H80" s="6">
        <v>0</v>
      </c>
      <c r="I80" s="6">
        <v>0</v>
      </c>
      <c r="J80" s="60">
        <f>7+1/3</f>
        <v>7.333333333333333</v>
      </c>
      <c r="K80" s="6">
        <v>6</v>
      </c>
      <c r="L80" s="6">
        <v>2</v>
      </c>
      <c r="M80" s="6">
        <v>1</v>
      </c>
      <c r="N80" s="6">
        <v>2</v>
      </c>
      <c r="O80" s="6">
        <v>3</v>
      </c>
      <c r="P80" s="6">
        <v>0</v>
      </c>
      <c r="Q80" s="6">
        <v>0</v>
      </c>
      <c r="R80" s="6">
        <v>28</v>
      </c>
      <c r="S80" s="6">
        <v>88</v>
      </c>
      <c r="T80" s="6">
        <v>55</v>
      </c>
      <c r="U80" s="6">
        <v>1</v>
      </c>
      <c r="V80" s="61">
        <v>0</v>
      </c>
      <c r="W80" s="62">
        <v>1</v>
      </c>
      <c r="X80" s="62">
        <v>0</v>
      </c>
      <c r="Y80" s="62">
        <v>0</v>
      </c>
      <c r="Z80" s="62">
        <v>0</v>
      </c>
      <c r="AA80" s="62">
        <v>0</v>
      </c>
      <c r="AB80" s="63">
        <f>1+2/3</f>
        <v>1.6666666666666665</v>
      </c>
      <c r="AC80" s="62">
        <v>1</v>
      </c>
      <c r="AD80" s="62">
        <v>0</v>
      </c>
      <c r="AE80" s="62">
        <v>0</v>
      </c>
      <c r="AF80" s="62">
        <v>2</v>
      </c>
      <c r="AG80" s="62">
        <v>1</v>
      </c>
      <c r="AH80" s="62">
        <v>0</v>
      </c>
      <c r="AI80" s="62">
        <v>0</v>
      </c>
      <c r="AJ80" s="62">
        <v>7</v>
      </c>
      <c r="AK80" s="62">
        <v>29</v>
      </c>
      <c r="AL80" s="62">
        <v>13</v>
      </c>
      <c r="AM80" s="1" t="s">
        <v>399</v>
      </c>
      <c r="AN80" s="78">
        <v>5</v>
      </c>
      <c r="AO80" s="78">
        <v>2</v>
      </c>
      <c r="AP80" s="78">
        <v>3</v>
      </c>
      <c r="AQ80" s="78">
        <v>0</v>
      </c>
      <c r="AR80" s="78">
        <v>0</v>
      </c>
      <c r="AS80" s="78">
        <v>0</v>
      </c>
      <c r="AT80" s="78">
        <v>0</v>
      </c>
      <c r="AU80" s="78">
        <v>0</v>
      </c>
      <c r="AV80" s="76">
        <v>4</v>
      </c>
      <c r="AW80" s="1" t="s">
        <v>401</v>
      </c>
      <c r="AX80" s="78">
        <v>5</v>
      </c>
      <c r="AY80" s="78">
        <v>0</v>
      </c>
      <c r="AZ80" s="78">
        <v>2</v>
      </c>
      <c r="BA80" s="78">
        <v>3</v>
      </c>
      <c r="BB80" s="78">
        <v>0</v>
      </c>
      <c r="BC80" s="78">
        <v>0</v>
      </c>
      <c r="BD80" s="78">
        <v>0</v>
      </c>
      <c r="BE80" s="78">
        <v>0</v>
      </c>
      <c r="BF80" s="76">
        <v>3</v>
      </c>
      <c r="BG80" s="1" t="s">
        <v>400</v>
      </c>
      <c r="BH80" s="78">
        <v>4</v>
      </c>
      <c r="BI80" s="78">
        <v>0</v>
      </c>
      <c r="BJ80" s="78">
        <v>1</v>
      </c>
      <c r="BK80" s="78">
        <v>0</v>
      </c>
      <c r="BL80" s="78">
        <v>0</v>
      </c>
      <c r="BM80" s="78">
        <v>1</v>
      </c>
      <c r="BN80" s="78">
        <v>0</v>
      </c>
      <c r="BO80" s="78">
        <v>0</v>
      </c>
      <c r="BP80" s="76">
        <v>2</v>
      </c>
      <c r="BQ80" s="1" t="s">
        <v>332</v>
      </c>
      <c r="BR80" s="78">
        <v>2</v>
      </c>
      <c r="BS80" s="78">
        <v>0</v>
      </c>
      <c r="BT80" s="78">
        <v>0</v>
      </c>
      <c r="BU80" s="78">
        <v>0</v>
      </c>
      <c r="BV80" s="78">
        <v>2</v>
      </c>
      <c r="BW80" s="78">
        <v>2</v>
      </c>
      <c r="BX80" s="78">
        <v>0</v>
      </c>
      <c r="BY80" s="78">
        <v>0</v>
      </c>
      <c r="BZ80" s="76">
        <v>0</v>
      </c>
      <c r="CA80" s="1" t="s">
        <v>403</v>
      </c>
      <c r="CB80" s="78">
        <v>3</v>
      </c>
      <c r="CC80" s="78">
        <v>0</v>
      </c>
      <c r="CD80" s="78">
        <v>0</v>
      </c>
      <c r="CE80" s="78">
        <v>0</v>
      </c>
      <c r="CF80" s="78">
        <v>1</v>
      </c>
      <c r="CG80" s="78">
        <v>0</v>
      </c>
      <c r="CH80" s="78">
        <v>0</v>
      </c>
      <c r="CI80" s="78">
        <v>0</v>
      </c>
      <c r="CJ80" s="76">
        <v>0</v>
      </c>
      <c r="CK80" s="1" t="s">
        <v>405</v>
      </c>
      <c r="CL80" s="78">
        <v>4</v>
      </c>
      <c r="CM80" s="78">
        <v>0</v>
      </c>
      <c r="CN80" s="78">
        <v>2</v>
      </c>
      <c r="CO80" s="78">
        <v>0</v>
      </c>
      <c r="CP80" s="78">
        <v>0</v>
      </c>
      <c r="CQ80" s="78">
        <v>1</v>
      </c>
      <c r="CR80" s="78">
        <v>0</v>
      </c>
      <c r="CS80" s="78">
        <v>0</v>
      </c>
      <c r="CT80" s="76">
        <v>2</v>
      </c>
      <c r="CU80" s="1" t="s">
        <v>336</v>
      </c>
      <c r="CV80" s="78">
        <v>4</v>
      </c>
      <c r="CW80" s="78">
        <v>0</v>
      </c>
      <c r="CX80" s="78">
        <v>0</v>
      </c>
      <c r="CY80" s="78">
        <v>0</v>
      </c>
      <c r="CZ80" s="78">
        <v>0</v>
      </c>
      <c r="DA80" s="78">
        <v>2</v>
      </c>
      <c r="DB80" s="78">
        <v>0</v>
      </c>
      <c r="DC80" s="78">
        <v>0</v>
      </c>
      <c r="DD80" s="76">
        <v>0</v>
      </c>
      <c r="DE80" s="1" t="s">
        <v>330</v>
      </c>
      <c r="DF80" s="78">
        <v>4</v>
      </c>
      <c r="DG80" s="78">
        <v>0</v>
      </c>
      <c r="DH80" s="78">
        <v>2</v>
      </c>
      <c r="DI80" s="78">
        <v>0</v>
      </c>
      <c r="DJ80" s="78">
        <v>0</v>
      </c>
      <c r="DK80" s="78">
        <v>2</v>
      </c>
      <c r="DL80" s="78">
        <v>0</v>
      </c>
      <c r="DM80" s="78">
        <v>0</v>
      </c>
      <c r="DN80" s="76">
        <v>2</v>
      </c>
      <c r="DO80" s="1" t="s">
        <v>335</v>
      </c>
      <c r="DP80" s="78">
        <v>4</v>
      </c>
      <c r="DQ80" s="78">
        <v>1</v>
      </c>
      <c r="DR80" s="78">
        <v>1</v>
      </c>
      <c r="DS80" s="78">
        <v>0</v>
      </c>
      <c r="DT80" s="78">
        <v>0</v>
      </c>
      <c r="DU80" s="78">
        <v>1</v>
      </c>
      <c r="DV80" s="78">
        <v>0</v>
      </c>
      <c r="DW80" s="78">
        <v>0</v>
      </c>
      <c r="DX80" s="76">
        <v>1</v>
      </c>
      <c r="DY80" s="77">
        <v>0</v>
      </c>
      <c r="DZ80" s="43">
        <v>0</v>
      </c>
      <c r="EA80" s="43">
        <v>0</v>
      </c>
      <c r="EB80" s="45">
        <f>8+1/3</f>
        <v>8.3333333333333339</v>
      </c>
      <c r="EC80" s="43">
        <v>1</v>
      </c>
      <c r="ED80" s="44">
        <v>0</v>
      </c>
      <c r="EE80" s="71">
        <v>0</v>
      </c>
      <c r="EF80" s="43">
        <v>0</v>
      </c>
      <c r="EG80" s="43">
        <v>0</v>
      </c>
      <c r="EH80" s="43">
        <v>0</v>
      </c>
      <c r="EI80" s="43">
        <v>0</v>
      </c>
      <c r="EJ80" s="43">
        <v>0</v>
      </c>
      <c r="EK80" s="43">
        <v>1</v>
      </c>
      <c r="EL80" s="43">
        <v>0</v>
      </c>
      <c r="EM80" s="43">
        <v>2</v>
      </c>
      <c r="EN80" s="43"/>
      <c r="EO80" s="43"/>
      <c r="EP80" s="43"/>
      <c r="EQ80" s="44">
        <f t="shared" si="8"/>
        <v>3</v>
      </c>
      <c r="ER80" s="43">
        <v>0</v>
      </c>
      <c r="ES80" s="43">
        <v>0</v>
      </c>
      <c r="ET80" s="43">
        <v>0</v>
      </c>
      <c r="EU80" s="43">
        <v>2</v>
      </c>
      <c r="EV80" s="43">
        <v>0</v>
      </c>
      <c r="EW80" s="43">
        <v>0</v>
      </c>
      <c r="EX80" s="43">
        <v>0</v>
      </c>
      <c r="EY80" s="43">
        <v>0</v>
      </c>
      <c r="EZ80" s="43">
        <v>0</v>
      </c>
      <c r="FA80" s="43"/>
      <c r="FB80" s="43"/>
      <c r="FC80" s="43"/>
      <c r="FD80" s="43">
        <f t="shared" si="9"/>
        <v>2</v>
      </c>
      <c r="FE80" s="73">
        <f t="shared" si="10"/>
        <v>0</v>
      </c>
      <c r="FF80" s="73">
        <f t="shared" si="11"/>
        <v>0</v>
      </c>
      <c r="FG80" s="38"/>
    </row>
    <row r="81" spans="1:163" x14ac:dyDescent="0.25">
      <c r="A81" s="53">
        <v>40358</v>
      </c>
      <c r="B81" s="53" t="s">
        <v>19</v>
      </c>
      <c r="C81" s="53" t="s">
        <v>129</v>
      </c>
      <c r="D81" s="53" t="s">
        <v>338</v>
      </c>
      <c r="E81" s="54">
        <v>4410</v>
      </c>
      <c r="F81" s="58">
        <v>5</v>
      </c>
      <c r="G81" s="59" t="s">
        <v>326</v>
      </c>
      <c r="H81" s="6">
        <v>0</v>
      </c>
      <c r="I81" s="6">
        <v>0</v>
      </c>
      <c r="J81" s="60">
        <v>5</v>
      </c>
      <c r="K81" s="6">
        <v>7</v>
      </c>
      <c r="L81" s="6">
        <v>3</v>
      </c>
      <c r="M81" s="6">
        <v>3</v>
      </c>
      <c r="N81" s="6">
        <v>0</v>
      </c>
      <c r="O81" s="6">
        <v>4</v>
      </c>
      <c r="P81" s="6">
        <v>0</v>
      </c>
      <c r="Q81" s="6">
        <v>1</v>
      </c>
      <c r="R81" s="6">
        <v>22</v>
      </c>
      <c r="S81" s="6">
        <v>79</v>
      </c>
      <c r="T81" s="6">
        <v>52</v>
      </c>
      <c r="U81" s="6">
        <v>0</v>
      </c>
      <c r="V81" s="61">
        <v>0</v>
      </c>
      <c r="W81" s="62">
        <v>1</v>
      </c>
      <c r="X81" s="62">
        <v>0</v>
      </c>
      <c r="Y81" s="62">
        <v>0</v>
      </c>
      <c r="Z81" s="62">
        <v>1</v>
      </c>
      <c r="AA81" s="62">
        <v>0</v>
      </c>
      <c r="AB81" s="63">
        <v>4</v>
      </c>
      <c r="AC81" s="62">
        <v>5</v>
      </c>
      <c r="AD81" s="62">
        <v>2</v>
      </c>
      <c r="AE81" s="62">
        <v>2</v>
      </c>
      <c r="AF81" s="62">
        <v>1</v>
      </c>
      <c r="AG81" s="62">
        <v>5</v>
      </c>
      <c r="AH81" s="62">
        <v>1</v>
      </c>
      <c r="AI81" s="62">
        <v>1</v>
      </c>
      <c r="AJ81" s="62">
        <v>19</v>
      </c>
      <c r="AK81" s="62">
        <v>72</v>
      </c>
      <c r="AL81" s="62">
        <v>43</v>
      </c>
      <c r="AM81" s="1" t="s">
        <v>399</v>
      </c>
      <c r="AN81" s="78">
        <v>5</v>
      </c>
      <c r="AO81" s="78">
        <v>2</v>
      </c>
      <c r="AP81" s="78">
        <v>2</v>
      </c>
      <c r="AQ81" s="78">
        <v>1</v>
      </c>
      <c r="AR81" s="78">
        <v>0</v>
      </c>
      <c r="AS81" s="78">
        <v>3</v>
      </c>
      <c r="AT81" s="78">
        <v>0</v>
      </c>
      <c r="AU81" s="78">
        <v>0</v>
      </c>
      <c r="AV81" s="76">
        <v>5</v>
      </c>
      <c r="AW81" s="1" t="s">
        <v>401</v>
      </c>
      <c r="AX81" s="78">
        <v>4</v>
      </c>
      <c r="AY81" s="78">
        <v>1</v>
      </c>
      <c r="AZ81" s="78">
        <v>1</v>
      </c>
      <c r="BA81" s="78">
        <v>0</v>
      </c>
      <c r="BB81" s="78">
        <v>0</v>
      </c>
      <c r="BC81" s="78">
        <v>0</v>
      </c>
      <c r="BD81" s="78">
        <v>0</v>
      </c>
      <c r="BE81" s="78">
        <v>0</v>
      </c>
      <c r="BF81" s="76">
        <v>1</v>
      </c>
      <c r="BG81" s="1" t="s">
        <v>400</v>
      </c>
      <c r="BH81" s="78">
        <v>4</v>
      </c>
      <c r="BI81" s="78">
        <v>0</v>
      </c>
      <c r="BJ81" s="78">
        <v>1</v>
      </c>
      <c r="BK81" s="78">
        <v>1</v>
      </c>
      <c r="BL81" s="78">
        <v>0</v>
      </c>
      <c r="BM81" s="78">
        <v>2</v>
      </c>
      <c r="BN81" s="78">
        <v>0</v>
      </c>
      <c r="BO81" s="78">
        <v>0</v>
      </c>
      <c r="BP81" s="76">
        <v>2</v>
      </c>
      <c r="BQ81" s="1" t="s">
        <v>332</v>
      </c>
      <c r="BR81" s="78">
        <v>2</v>
      </c>
      <c r="BS81" s="78">
        <v>1</v>
      </c>
      <c r="BT81" s="78">
        <v>0</v>
      </c>
      <c r="BU81" s="78">
        <v>0</v>
      </c>
      <c r="BV81" s="78">
        <v>1</v>
      </c>
      <c r="BW81" s="78">
        <v>1</v>
      </c>
      <c r="BX81" s="78">
        <v>1</v>
      </c>
      <c r="BY81" s="78">
        <v>0</v>
      </c>
      <c r="BZ81" s="76">
        <v>0</v>
      </c>
      <c r="CA81" s="1" t="s">
        <v>403</v>
      </c>
      <c r="CB81" s="78">
        <v>4</v>
      </c>
      <c r="CC81" s="78">
        <v>0</v>
      </c>
      <c r="CD81" s="78">
        <v>0</v>
      </c>
      <c r="CE81" s="78">
        <v>0</v>
      </c>
      <c r="CF81" s="78">
        <v>0</v>
      </c>
      <c r="CG81" s="78">
        <v>2</v>
      </c>
      <c r="CH81" s="78">
        <v>0</v>
      </c>
      <c r="CI81" s="78">
        <v>0</v>
      </c>
      <c r="CJ81" s="76">
        <v>0</v>
      </c>
      <c r="CK81" s="1" t="s">
        <v>405</v>
      </c>
      <c r="CL81" s="78">
        <v>4</v>
      </c>
      <c r="CM81" s="78">
        <v>1</v>
      </c>
      <c r="CN81" s="78">
        <v>1</v>
      </c>
      <c r="CO81" s="78">
        <v>1</v>
      </c>
      <c r="CP81" s="78">
        <v>0</v>
      </c>
      <c r="CQ81" s="78">
        <v>2</v>
      </c>
      <c r="CR81" s="78">
        <v>0</v>
      </c>
      <c r="CS81" s="78">
        <v>0</v>
      </c>
      <c r="CT81" s="76">
        <v>1</v>
      </c>
      <c r="CU81" s="1" t="s">
        <v>406</v>
      </c>
      <c r="CV81" s="78">
        <v>1</v>
      </c>
      <c r="CW81" s="78">
        <v>2</v>
      </c>
      <c r="CX81" s="78">
        <v>0</v>
      </c>
      <c r="CY81" s="78">
        <v>0</v>
      </c>
      <c r="CZ81" s="78">
        <v>2</v>
      </c>
      <c r="DA81" s="78">
        <v>0</v>
      </c>
      <c r="DB81" s="78">
        <v>1</v>
      </c>
      <c r="DC81" s="78">
        <v>0</v>
      </c>
      <c r="DD81" s="76">
        <v>0</v>
      </c>
      <c r="DE81" s="1" t="s">
        <v>331</v>
      </c>
      <c r="DF81" s="78">
        <v>4</v>
      </c>
      <c r="DG81" s="78">
        <v>0</v>
      </c>
      <c r="DH81" s="78">
        <v>1</v>
      </c>
      <c r="DI81" s="78">
        <v>1</v>
      </c>
      <c r="DJ81" s="78">
        <v>0</v>
      </c>
      <c r="DK81" s="78">
        <v>1</v>
      </c>
      <c r="DL81" s="78">
        <v>0</v>
      </c>
      <c r="DM81" s="78">
        <v>0</v>
      </c>
      <c r="DN81" s="76">
        <v>1</v>
      </c>
      <c r="DO81" s="1" t="s">
        <v>330</v>
      </c>
      <c r="DP81" s="78">
        <v>4</v>
      </c>
      <c r="DQ81" s="78">
        <v>0</v>
      </c>
      <c r="DR81" s="78">
        <v>1</v>
      </c>
      <c r="DS81" s="78">
        <v>1</v>
      </c>
      <c r="DT81" s="78">
        <v>0</v>
      </c>
      <c r="DU81" s="78">
        <v>0</v>
      </c>
      <c r="DV81" s="78">
        <v>0</v>
      </c>
      <c r="DW81" s="78">
        <v>0</v>
      </c>
      <c r="DX81" s="76">
        <v>2</v>
      </c>
      <c r="DY81" s="77">
        <f>1+2/3</f>
        <v>1.6666666666666665</v>
      </c>
      <c r="DZ81" s="43">
        <v>0</v>
      </c>
      <c r="EA81" s="43">
        <v>0</v>
      </c>
      <c r="EB81" s="45">
        <f>6+1/3</f>
        <v>6.333333333333333</v>
      </c>
      <c r="EC81" s="43">
        <v>1</v>
      </c>
      <c r="ED81" s="44">
        <v>0</v>
      </c>
      <c r="EE81" s="71">
        <v>0</v>
      </c>
      <c r="EF81" s="43">
        <v>0</v>
      </c>
      <c r="EG81" s="43">
        <v>0</v>
      </c>
      <c r="EH81" s="43">
        <v>1</v>
      </c>
      <c r="EI81" s="43">
        <v>0</v>
      </c>
      <c r="EJ81" s="43">
        <v>1</v>
      </c>
      <c r="EK81" s="43">
        <v>1</v>
      </c>
      <c r="EL81" s="43">
        <v>4</v>
      </c>
      <c r="EM81" s="43"/>
      <c r="EN81" s="43"/>
      <c r="EO81" s="43"/>
      <c r="EP81" s="43"/>
      <c r="EQ81" s="44">
        <f t="shared" si="8"/>
        <v>7</v>
      </c>
      <c r="ER81" s="43">
        <v>0</v>
      </c>
      <c r="ES81" s="43">
        <v>0</v>
      </c>
      <c r="ET81" s="43">
        <v>3</v>
      </c>
      <c r="EU81" s="43">
        <v>0</v>
      </c>
      <c r="EV81" s="43">
        <v>0</v>
      </c>
      <c r="EW81" s="43">
        <v>0</v>
      </c>
      <c r="EX81" s="43">
        <v>1</v>
      </c>
      <c r="EY81" s="43">
        <v>1</v>
      </c>
      <c r="EZ81" s="43">
        <v>0</v>
      </c>
      <c r="FA81" s="43"/>
      <c r="FB81" s="43"/>
      <c r="FC81" s="43"/>
      <c r="FD81" s="43">
        <f t="shared" si="9"/>
        <v>5</v>
      </c>
      <c r="FE81" s="73">
        <f t="shared" si="10"/>
        <v>0</v>
      </c>
      <c r="FF81" s="73">
        <f t="shared" si="11"/>
        <v>0</v>
      </c>
      <c r="FG81" s="38"/>
    </row>
    <row r="82" spans="1:163" x14ac:dyDescent="0.25">
      <c r="A82" s="53">
        <v>40359</v>
      </c>
      <c r="B82" s="53" t="s">
        <v>19</v>
      </c>
      <c r="C82" s="53" t="s">
        <v>129</v>
      </c>
      <c r="D82" s="53" t="s">
        <v>338</v>
      </c>
      <c r="E82" s="54">
        <v>4797</v>
      </c>
      <c r="F82" s="58">
        <v>1</v>
      </c>
      <c r="G82" s="59" t="s">
        <v>397</v>
      </c>
      <c r="H82" s="6">
        <v>0</v>
      </c>
      <c r="I82" s="6">
        <v>0</v>
      </c>
      <c r="J82" s="60">
        <v>5</v>
      </c>
      <c r="K82" s="6">
        <v>9</v>
      </c>
      <c r="L82" s="6">
        <v>3</v>
      </c>
      <c r="M82" s="6">
        <v>3</v>
      </c>
      <c r="N82" s="6">
        <v>0</v>
      </c>
      <c r="O82" s="6">
        <v>4</v>
      </c>
      <c r="P82" s="6">
        <v>1</v>
      </c>
      <c r="Q82" s="6">
        <v>0</v>
      </c>
      <c r="R82" s="6">
        <v>23</v>
      </c>
      <c r="S82" s="6">
        <v>95</v>
      </c>
      <c r="T82" s="6">
        <v>64</v>
      </c>
      <c r="U82" s="6">
        <v>0</v>
      </c>
      <c r="V82" s="61">
        <v>0</v>
      </c>
      <c r="W82" s="62">
        <v>1</v>
      </c>
      <c r="X82" s="62">
        <v>0</v>
      </c>
      <c r="Y82" s="62">
        <v>0</v>
      </c>
      <c r="Z82" s="62">
        <v>0</v>
      </c>
      <c r="AA82" s="62">
        <v>0</v>
      </c>
      <c r="AB82" s="63">
        <v>5</v>
      </c>
      <c r="AC82" s="62">
        <v>3</v>
      </c>
      <c r="AD82" s="62">
        <v>1</v>
      </c>
      <c r="AE82" s="62">
        <v>0</v>
      </c>
      <c r="AF82" s="62">
        <v>1</v>
      </c>
      <c r="AG82" s="62">
        <v>7</v>
      </c>
      <c r="AH82" s="62">
        <v>0</v>
      </c>
      <c r="AI82" s="62">
        <v>0</v>
      </c>
      <c r="AJ82" s="62">
        <v>18</v>
      </c>
      <c r="AK82" s="62">
        <v>91</v>
      </c>
      <c r="AL82" s="62">
        <v>57</v>
      </c>
      <c r="AM82" s="1" t="s">
        <v>330</v>
      </c>
      <c r="AN82" s="78">
        <v>4</v>
      </c>
      <c r="AO82" s="78">
        <v>1</v>
      </c>
      <c r="AP82" s="78">
        <v>0</v>
      </c>
      <c r="AQ82" s="78">
        <v>0</v>
      </c>
      <c r="AR82" s="78">
        <v>1</v>
      </c>
      <c r="AS82" s="78">
        <v>0</v>
      </c>
      <c r="AT82" s="78">
        <v>0</v>
      </c>
      <c r="AU82" s="78">
        <v>0</v>
      </c>
      <c r="AV82" s="76">
        <v>0</v>
      </c>
      <c r="AW82" s="1" t="s">
        <v>401</v>
      </c>
      <c r="AX82" s="78">
        <v>4</v>
      </c>
      <c r="AY82" s="78">
        <v>0</v>
      </c>
      <c r="AZ82" s="78">
        <v>0</v>
      </c>
      <c r="BA82" s="78">
        <v>0</v>
      </c>
      <c r="BB82" s="78">
        <v>1</v>
      </c>
      <c r="BC82" s="78">
        <v>2</v>
      </c>
      <c r="BD82" s="78">
        <v>0</v>
      </c>
      <c r="BE82" s="78">
        <v>0</v>
      </c>
      <c r="BF82" s="76">
        <v>0</v>
      </c>
      <c r="BG82" s="1" t="s">
        <v>400</v>
      </c>
      <c r="BH82" s="78">
        <v>5</v>
      </c>
      <c r="BI82" s="78">
        <v>1</v>
      </c>
      <c r="BJ82" s="78">
        <v>3</v>
      </c>
      <c r="BK82" s="78">
        <v>1</v>
      </c>
      <c r="BL82" s="78">
        <v>0</v>
      </c>
      <c r="BM82" s="78">
        <v>2</v>
      </c>
      <c r="BN82" s="78">
        <v>0</v>
      </c>
      <c r="BO82" s="78">
        <v>0</v>
      </c>
      <c r="BP82" s="76">
        <v>4</v>
      </c>
      <c r="BQ82" s="1" t="s">
        <v>332</v>
      </c>
      <c r="BR82" s="78">
        <v>4</v>
      </c>
      <c r="BS82" s="78">
        <v>0</v>
      </c>
      <c r="BT82" s="78">
        <v>2</v>
      </c>
      <c r="BU82" s="78">
        <v>2</v>
      </c>
      <c r="BV82" s="78">
        <v>1</v>
      </c>
      <c r="BW82" s="78">
        <v>1</v>
      </c>
      <c r="BX82" s="78">
        <v>0</v>
      </c>
      <c r="BY82" s="78">
        <v>0</v>
      </c>
      <c r="BZ82" s="76">
        <v>2</v>
      </c>
      <c r="CA82" s="1" t="s">
        <v>403</v>
      </c>
      <c r="CB82" s="78">
        <v>5</v>
      </c>
      <c r="CC82" s="78">
        <v>1</v>
      </c>
      <c r="CD82" s="78">
        <v>1</v>
      </c>
      <c r="CE82" s="78">
        <v>0</v>
      </c>
      <c r="CF82" s="78">
        <v>0</v>
      </c>
      <c r="CG82" s="78">
        <v>1</v>
      </c>
      <c r="CH82" s="78">
        <v>0</v>
      </c>
      <c r="CI82" s="78">
        <v>0</v>
      </c>
      <c r="CJ82" s="76">
        <v>1</v>
      </c>
      <c r="CK82" s="1" t="s">
        <v>406</v>
      </c>
      <c r="CL82" s="78">
        <v>4</v>
      </c>
      <c r="CM82" s="78">
        <v>1</v>
      </c>
      <c r="CN82" s="78">
        <v>1</v>
      </c>
      <c r="CO82" s="78">
        <v>0</v>
      </c>
      <c r="CP82" s="78">
        <v>1</v>
      </c>
      <c r="CQ82" s="78">
        <v>0</v>
      </c>
      <c r="CR82" s="78">
        <v>0</v>
      </c>
      <c r="CS82" s="78">
        <v>0</v>
      </c>
      <c r="CT82" s="76">
        <v>1</v>
      </c>
      <c r="CU82" s="1" t="s">
        <v>405</v>
      </c>
      <c r="CV82" s="78">
        <v>4</v>
      </c>
      <c r="CW82" s="78">
        <v>0</v>
      </c>
      <c r="CX82" s="78">
        <v>2</v>
      </c>
      <c r="CY82" s="78">
        <v>1</v>
      </c>
      <c r="CZ82" s="78">
        <v>1</v>
      </c>
      <c r="DA82" s="78">
        <v>1</v>
      </c>
      <c r="DB82" s="78">
        <v>0</v>
      </c>
      <c r="DC82" s="78">
        <v>0</v>
      </c>
      <c r="DD82" s="76">
        <v>3</v>
      </c>
      <c r="DE82" s="1" t="s">
        <v>331</v>
      </c>
      <c r="DF82" s="78">
        <v>5</v>
      </c>
      <c r="DG82" s="78">
        <v>0</v>
      </c>
      <c r="DH82" s="78">
        <v>0</v>
      </c>
      <c r="DI82" s="78">
        <v>0</v>
      </c>
      <c r="DJ82" s="78">
        <v>0</v>
      </c>
      <c r="DK82" s="78">
        <v>1</v>
      </c>
      <c r="DL82" s="78">
        <v>0</v>
      </c>
      <c r="DM82" s="78">
        <v>0</v>
      </c>
      <c r="DN82" s="76">
        <v>0</v>
      </c>
      <c r="DO82" s="1" t="s">
        <v>407</v>
      </c>
      <c r="DP82" s="78">
        <v>4</v>
      </c>
      <c r="DQ82" s="78">
        <v>1</v>
      </c>
      <c r="DR82" s="78">
        <v>1</v>
      </c>
      <c r="DS82" s="78">
        <v>1</v>
      </c>
      <c r="DT82" s="78">
        <v>1</v>
      </c>
      <c r="DU82" s="78">
        <v>0</v>
      </c>
      <c r="DV82" s="78">
        <v>0</v>
      </c>
      <c r="DW82" s="78">
        <v>0</v>
      </c>
      <c r="DX82" s="76">
        <v>1</v>
      </c>
      <c r="DY82" s="77">
        <v>6</v>
      </c>
      <c r="DZ82" s="43">
        <v>0</v>
      </c>
      <c r="EA82" s="43">
        <v>1</v>
      </c>
      <c r="EB82" s="45">
        <f>3+2/3</f>
        <v>3.6666666666666665</v>
      </c>
      <c r="EC82" s="43">
        <v>0</v>
      </c>
      <c r="ED82" s="44">
        <v>0</v>
      </c>
      <c r="EE82" s="71">
        <v>0</v>
      </c>
      <c r="EF82" s="43">
        <v>0</v>
      </c>
      <c r="EG82" s="43">
        <v>2</v>
      </c>
      <c r="EH82" s="43">
        <v>0</v>
      </c>
      <c r="EI82" s="43">
        <v>1</v>
      </c>
      <c r="EJ82" s="43">
        <v>0</v>
      </c>
      <c r="EK82" s="43">
        <v>0</v>
      </c>
      <c r="EL82" s="43">
        <v>1</v>
      </c>
      <c r="EM82" s="43">
        <v>0</v>
      </c>
      <c r="EN82" s="43">
        <v>1</v>
      </c>
      <c r="EO82" s="43"/>
      <c r="EP82" s="43"/>
      <c r="EQ82" s="44">
        <f t="shared" si="8"/>
        <v>5</v>
      </c>
      <c r="ER82" s="43">
        <v>1</v>
      </c>
      <c r="ES82" s="43">
        <v>1</v>
      </c>
      <c r="ET82" s="43">
        <v>1</v>
      </c>
      <c r="EU82" s="43">
        <v>0</v>
      </c>
      <c r="EV82" s="43">
        <v>0</v>
      </c>
      <c r="EW82" s="43">
        <v>0</v>
      </c>
      <c r="EX82" s="43">
        <v>1</v>
      </c>
      <c r="EY82" s="43">
        <v>0</v>
      </c>
      <c r="EZ82" s="43">
        <v>0</v>
      </c>
      <c r="FA82" s="43">
        <v>0</v>
      </c>
      <c r="FB82" s="43"/>
      <c r="FC82" s="43"/>
      <c r="FD82" s="43">
        <f t="shared" si="9"/>
        <v>4</v>
      </c>
      <c r="FE82" s="73">
        <f t="shared" si="10"/>
        <v>0</v>
      </c>
      <c r="FF82" s="73">
        <f t="shared" si="11"/>
        <v>0</v>
      </c>
      <c r="FG82" s="38"/>
    </row>
    <row r="83" spans="1:163" x14ac:dyDescent="0.25">
      <c r="A83" s="53">
        <v>40360</v>
      </c>
      <c r="B83" s="53" t="s">
        <v>19</v>
      </c>
      <c r="C83" s="53" t="s">
        <v>129</v>
      </c>
      <c r="D83" s="53" t="s">
        <v>338</v>
      </c>
      <c r="E83" s="54">
        <v>8257</v>
      </c>
      <c r="F83" s="58">
        <v>2</v>
      </c>
      <c r="G83" s="59" t="s">
        <v>339</v>
      </c>
      <c r="H83" s="6">
        <v>0</v>
      </c>
      <c r="I83" s="6">
        <v>0</v>
      </c>
      <c r="J83" s="60">
        <f>4+2/3</f>
        <v>4.666666666666667</v>
      </c>
      <c r="K83" s="6">
        <v>5</v>
      </c>
      <c r="L83" s="6">
        <v>0</v>
      </c>
      <c r="M83" s="6">
        <v>0</v>
      </c>
      <c r="N83" s="6">
        <v>2</v>
      </c>
      <c r="O83" s="6">
        <v>6</v>
      </c>
      <c r="P83" s="6">
        <v>0</v>
      </c>
      <c r="Q83" s="6">
        <v>0</v>
      </c>
      <c r="R83" s="6">
        <v>21</v>
      </c>
      <c r="S83" s="6">
        <v>99</v>
      </c>
      <c r="T83" s="6">
        <v>61</v>
      </c>
      <c r="U83" s="6">
        <v>2</v>
      </c>
      <c r="V83" s="61">
        <v>0</v>
      </c>
      <c r="W83" s="62">
        <v>1</v>
      </c>
      <c r="X83" s="62">
        <v>0</v>
      </c>
      <c r="Y83" s="62">
        <v>0</v>
      </c>
      <c r="Z83" s="62">
        <v>0</v>
      </c>
      <c r="AA83" s="62">
        <v>0</v>
      </c>
      <c r="AB83" s="63">
        <f>4+1/3</f>
        <v>4.333333333333333</v>
      </c>
      <c r="AC83" s="62">
        <v>5</v>
      </c>
      <c r="AD83" s="62">
        <v>0</v>
      </c>
      <c r="AE83" s="62">
        <v>0</v>
      </c>
      <c r="AF83" s="62">
        <v>1</v>
      </c>
      <c r="AG83" s="62">
        <v>5</v>
      </c>
      <c r="AH83" s="62">
        <v>0</v>
      </c>
      <c r="AI83" s="62">
        <v>0</v>
      </c>
      <c r="AJ83" s="62">
        <v>18</v>
      </c>
      <c r="AK83" s="62">
        <v>66</v>
      </c>
      <c r="AL83" s="62">
        <v>43</v>
      </c>
      <c r="AM83" s="1" t="s">
        <v>330</v>
      </c>
      <c r="AN83" s="78">
        <v>4</v>
      </c>
      <c r="AO83" s="78">
        <v>0</v>
      </c>
      <c r="AP83" s="78">
        <v>2</v>
      </c>
      <c r="AQ83" s="78">
        <v>1</v>
      </c>
      <c r="AR83" s="78">
        <v>0</v>
      </c>
      <c r="AS83" s="78">
        <v>1</v>
      </c>
      <c r="AT83" s="78">
        <v>0</v>
      </c>
      <c r="AU83" s="78">
        <v>0</v>
      </c>
      <c r="AV83" s="76">
        <v>3</v>
      </c>
      <c r="AW83" s="1" t="s">
        <v>331</v>
      </c>
      <c r="AX83" s="78">
        <v>4</v>
      </c>
      <c r="AY83" s="78">
        <v>1</v>
      </c>
      <c r="AZ83" s="78">
        <v>1</v>
      </c>
      <c r="BA83" s="78">
        <v>2</v>
      </c>
      <c r="BB83" s="78">
        <v>0</v>
      </c>
      <c r="BC83" s="78">
        <v>0</v>
      </c>
      <c r="BD83" s="78">
        <v>0</v>
      </c>
      <c r="BE83" s="78">
        <v>0</v>
      </c>
      <c r="BF83" s="76">
        <v>4</v>
      </c>
      <c r="BG83" s="1" t="s">
        <v>400</v>
      </c>
      <c r="BH83" s="78">
        <v>4</v>
      </c>
      <c r="BI83" s="78">
        <v>1</v>
      </c>
      <c r="BJ83" s="78">
        <v>1</v>
      </c>
      <c r="BK83" s="78">
        <v>1</v>
      </c>
      <c r="BL83" s="78">
        <v>0</v>
      </c>
      <c r="BM83" s="78">
        <v>2</v>
      </c>
      <c r="BN83" s="78">
        <v>0</v>
      </c>
      <c r="BO83" s="78">
        <v>0</v>
      </c>
      <c r="BP83" s="76">
        <v>4</v>
      </c>
      <c r="BQ83" s="1" t="s">
        <v>332</v>
      </c>
      <c r="BR83" s="78">
        <v>3</v>
      </c>
      <c r="BS83" s="78">
        <v>1</v>
      </c>
      <c r="BT83" s="78">
        <v>2</v>
      </c>
      <c r="BU83" s="78">
        <v>0</v>
      </c>
      <c r="BV83" s="78">
        <v>1</v>
      </c>
      <c r="BW83" s="78">
        <v>0</v>
      </c>
      <c r="BX83" s="78">
        <v>0</v>
      </c>
      <c r="BY83" s="78">
        <v>0</v>
      </c>
      <c r="BZ83" s="76">
        <v>2</v>
      </c>
      <c r="CA83" s="1" t="s">
        <v>403</v>
      </c>
      <c r="CB83" s="78">
        <v>4</v>
      </c>
      <c r="CC83" s="78">
        <v>0</v>
      </c>
      <c r="CD83" s="78">
        <v>0</v>
      </c>
      <c r="CE83" s="78">
        <v>0</v>
      </c>
      <c r="CF83" s="78">
        <v>0</v>
      </c>
      <c r="CG83" s="78">
        <v>1</v>
      </c>
      <c r="CH83" s="78">
        <v>0</v>
      </c>
      <c r="CI83" s="78">
        <v>0</v>
      </c>
      <c r="CJ83" s="76">
        <v>0</v>
      </c>
      <c r="CK83" s="1" t="s">
        <v>406</v>
      </c>
      <c r="CL83" s="78">
        <v>4</v>
      </c>
      <c r="CM83" s="78">
        <v>2</v>
      </c>
      <c r="CN83" s="78">
        <v>1</v>
      </c>
      <c r="CO83" s="78">
        <v>2</v>
      </c>
      <c r="CP83" s="78">
        <v>0</v>
      </c>
      <c r="CQ83" s="78">
        <v>0</v>
      </c>
      <c r="CR83" s="78">
        <v>0</v>
      </c>
      <c r="CS83" s="78">
        <v>0</v>
      </c>
      <c r="CT83" s="76">
        <v>4</v>
      </c>
      <c r="CU83" s="1" t="s">
        <v>405</v>
      </c>
      <c r="CV83" s="78">
        <v>4</v>
      </c>
      <c r="CW83" s="78">
        <v>0</v>
      </c>
      <c r="CX83" s="78">
        <v>0</v>
      </c>
      <c r="CY83" s="78">
        <v>0</v>
      </c>
      <c r="CZ83" s="78">
        <v>0</v>
      </c>
      <c r="DA83" s="78">
        <v>1</v>
      </c>
      <c r="DB83" s="78">
        <v>0</v>
      </c>
      <c r="DC83" s="78">
        <v>0</v>
      </c>
      <c r="DD83" s="76">
        <v>0</v>
      </c>
      <c r="DE83" s="1" t="s">
        <v>336</v>
      </c>
      <c r="DF83" s="78">
        <v>3</v>
      </c>
      <c r="DG83" s="78">
        <v>0</v>
      </c>
      <c r="DH83" s="78">
        <v>0</v>
      </c>
      <c r="DI83" s="78">
        <v>0</v>
      </c>
      <c r="DJ83" s="78">
        <v>0</v>
      </c>
      <c r="DK83" s="78">
        <v>0</v>
      </c>
      <c r="DL83" s="78">
        <v>0</v>
      </c>
      <c r="DM83" s="78">
        <v>0</v>
      </c>
      <c r="DN83" s="76">
        <v>0</v>
      </c>
      <c r="DO83" s="1" t="s">
        <v>335</v>
      </c>
      <c r="DP83" s="78">
        <v>3</v>
      </c>
      <c r="DQ83" s="78">
        <v>1</v>
      </c>
      <c r="DR83" s="78">
        <v>2</v>
      </c>
      <c r="DS83" s="78">
        <v>0</v>
      </c>
      <c r="DT83" s="78">
        <v>0</v>
      </c>
      <c r="DU83" s="78">
        <v>0</v>
      </c>
      <c r="DV83" s="78">
        <v>0</v>
      </c>
      <c r="DW83" s="78">
        <v>0</v>
      </c>
      <c r="DX83" s="76">
        <v>2</v>
      </c>
      <c r="DY83" s="77">
        <v>8</v>
      </c>
      <c r="DZ83" s="43">
        <v>1</v>
      </c>
      <c r="EA83" s="43">
        <v>0</v>
      </c>
      <c r="EB83" s="45">
        <v>0</v>
      </c>
      <c r="EC83" s="43">
        <v>0</v>
      </c>
      <c r="ED83" s="44">
        <v>0</v>
      </c>
      <c r="EE83" s="71">
        <v>0</v>
      </c>
      <c r="EF83" s="43">
        <v>0</v>
      </c>
      <c r="EG83" s="43">
        <v>0</v>
      </c>
      <c r="EH83" s="43">
        <v>0</v>
      </c>
      <c r="EI83" s="43">
        <v>1</v>
      </c>
      <c r="EJ83" s="43">
        <v>0</v>
      </c>
      <c r="EK83" s="43">
        <v>0</v>
      </c>
      <c r="EL83" s="43">
        <v>5</v>
      </c>
      <c r="EM83" s="43"/>
      <c r="EN83" s="43"/>
      <c r="EO83" s="43"/>
      <c r="EP83" s="43"/>
      <c r="EQ83" s="44">
        <f t="shared" si="8"/>
        <v>6</v>
      </c>
      <c r="ER83" s="43">
        <v>0</v>
      </c>
      <c r="ES83" s="43">
        <v>0</v>
      </c>
      <c r="ET83" s="43">
        <v>0</v>
      </c>
      <c r="EU83" s="43">
        <v>0</v>
      </c>
      <c r="EV83" s="43">
        <v>0</v>
      </c>
      <c r="EW83" s="43">
        <v>0</v>
      </c>
      <c r="EX83" s="43">
        <v>0</v>
      </c>
      <c r="EY83" s="43">
        <v>0</v>
      </c>
      <c r="EZ83" s="43">
        <v>0</v>
      </c>
      <c r="FA83" s="43"/>
      <c r="FB83" s="43"/>
      <c r="FC83" s="43"/>
      <c r="FD83" s="43">
        <f t="shared" si="9"/>
        <v>0</v>
      </c>
      <c r="FE83" s="73">
        <f t="shared" si="10"/>
        <v>0</v>
      </c>
      <c r="FF83" s="73">
        <f t="shared" si="11"/>
        <v>0</v>
      </c>
      <c r="FG83" s="38"/>
    </row>
    <row r="84" spans="1:163" x14ac:dyDescent="0.25">
      <c r="A84" s="53">
        <v>40361</v>
      </c>
      <c r="B84" s="53" t="s">
        <v>19</v>
      </c>
      <c r="C84" s="53" t="s">
        <v>131</v>
      </c>
      <c r="D84" s="53" t="s">
        <v>338</v>
      </c>
      <c r="E84" s="54">
        <v>8232</v>
      </c>
      <c r="F84" s="58">
        <v>3</v>
      </c>
      <c r="G84" s="59" t="s">
        <v>337</v>
      </c>
      <c r="H84" s="6">
        <v>0</v>
      </c>
      <c r="I84" s="6">
        <v>0</v>
      </c>
      <c r="J84" s="60">
        <v>5</v>
      </c>
      <c r="K84" s="6">
        <v>6</v>
      </c>
      <c r="L84" s="6">
        <v>4</v>
      </c>
      <c r="M84" s="6">
        <v>4</v>
      </c>
      <c r="N84" s="6">
        <v>1</v>
      </c>
      <c r="O84" s="6">
        <v>4</v>
      </c>
      <c r="P84" s="6">
        <v>0</v>
      </c>
      <c r="Q84" s="6">
        <v>2</v>
      </c>
      <c r="R84" s="6">
        <v>24</v>
      </c>
      <c r="S84" s="6">
        <v>106</v>
      </c>
      <c r="T84" s="6">
        <v>67</v>
      </c>
      <c r="U84" s="6">
        <v>0</v>
      </c>
      <c r="V84" s="61">
        <v>0</v>
      </c>
      <c r="W84" s="62">
        <v>0</v>
      </c>
      <c r="X84" s="62">
        <v>1</v>
      </c>
      <c r="Y84" s="62">
        <v>0</v>
      </c>
      <c r="Z84" s="62">
        <v>0</v>
      </c>
      <c r="AA84" s="62">
        <v>0</v>
      </c>
      <c r="AB84" s="63">
        <v>4</v>
      </c>
      <c r="AC84" s="62">
        <v>9</v>
      </c>
      <c r="AD84" s="62">
        <v>6</v>
      </c>
      <c r="AE84" s="62">
        <v>6</v>
      </c>
      <c r="AF84" s="62">
        <v>3</v>
      </c>
      <c r="AG84" s="62">
        <v>11</v>
      </c>
      <c r="AH84" s="62">
        <v>1</v>
      </c>
      <c r="AI84" s="62">
        <v>0</v>
      </c>
      <c r="AJ84" s="62">
        <v>24</v>
      </c>
      <c r="AK84" s="62">
        <v>99</v>
      </c>
      <c r="AL84" s="62">
        <v>64</v>
      </c>
      <c r="AM84" s="1" t="s">
        <v>399</v>
      </c>
      <c r="AN84" s="78">
        <v>3</v>
      </c>
      <c r="AO84" s="78">
        <v>1</v>
      </c>
      <c r="AP84" s="78">
        <v>0</v>
      </c>
      <c r="AQ84" s="78">
        <v>0</v>
      </c>
      <c r="AR84" s="78">
        <v>2</v>
      </c>
      <c r="AS84" s="78">
        <v>1</v>
      </c>
      <c r="AT84" s="78">
        <v>0</v>
      </c>
      <c r="AU84" s="78">
        <v>0</v>
      </c>
      <c r="AV84" s="76">
        <v>0</v>
      </c>
      <c r="AW84" s="1" t="s">
        <v>401</v>
      </c>
      <c r="AX84" s="78">
        <v>4</v>
      </c>
      <c r="AY84" s="78">
        <v>1</v>
      </c>
      <c r="AZ84" s="78">
        <v>2</v>
      </c>
      <c r="BA84" s="78">
        <v>0</v>
      </c>
      <c r="BB84" s="78">
        <v>1</v>
      </c>
      <c r="BC84" s="78">
        <v>0</v>
      </c>
      <c r="BD84" s="78">
        <v>0</v>
      </c>
      <c r="BE84" s="78">
        <v>0</v>
      </c>
      <c r="BF84" s="76">
        <v>2</v>
      </c>
      <c r="BG84" s="1" t="s">
        <v>400</v>
      </c>
      <c r="BH84" s="78">
        <v>5</v>
      </c>
      <c r="BI84" s="78">
        <v>0</v>
      </c>
      <c r="BJ84" s="78">
        <v>0</v>
      </c>
      <c r="BK84" s="78">
        <v>0</v>
      </c>
      <c r="BL84" s="78">
        <v>0</v>
      </c>
      <c r="BM84" s="78">
        <v>1</v>
      </c>
      <c r="BN84" s="78">
        <v>0</v>
      </c>
      <c r="BO84" s="78">
        <v>0</v>
      </c>
      <c r="BP84" s="76">
        <v>0</v>
      </c>
      <c r="BQ84" s="1" t="s">
        <v>332</v>
      </c>
      <c r="BR84" s="78">
        <v>5</v>
      </c>
      <c r="BS84" s="78">
        <v>2</v>
      </c>
      <c r="BT84" s="78">
        <v>2</v>
      </c>
      <c r="BU84" s="78">
        <v>4</v>
      </c>
      <c r="BV84" s="78">
        <v>0</v>
      </c>
      <c r="BW84" s="78">
        <v>1</v>
      </c>
      <c r="BX84" s="78">
        <v>0</v>
      </c>
      <c r="BY84" s="78">
        <v>0</v>
      </c>
      <c r="BZ84" s="76">
        <v>8</v>
      </c>
      <c r="CA84" s="1" t="s">
        <v>331</v>
      </c>
      <c r="CB84" s="78">
        <v>4</v>
      </c>
      <c r="CC84" s="78">
        <v>0</v>
      </c>
      <c r="CD84" s="78">
        <v>3</v>
      </c>
      <c r="CE84" s="78">
        <v>0</v>
      </c>
      <c r="CF84" s="78">
        <v>0</v>
      </c>
      <c r="CG84" s="78">
        <v>1</v>
      </c>
      <c r="CH84" s="78">
        <v>0</v>
      </c>
      <c r="CI84" s="78">
        <v>0</v>
      </c>
      <c r="CJ84" s="76">
        <v>4</v>
      </c>
      <c r="CK84" s="1" t="s">
        <v>405</v>
      </c>
      <c r="CL84" s="78">
        <v>4</v>
      </c>
      <c r="CM84" s="78">
        <v>1</v>
      </c>
      <c r="CN84" s="78">
        <v>1</v>
      </c>
      <c r="CO84" s="78">
        <v>0</v>
      </c>
      <c r="CP84" s="78">
        <v>0</v>
      </c>
      <c r="CQ84" s="78">
        <v>1</v>
      </c>
      <c r="CR84" s="78">
        <v>0</v>
      </c>
      <c r="CS84" s="78">
        <v>0</v>
      </c>
      <c r="CT84" s="76">
        <v>1</v>
      </c>
      <c r="CU84" s="1" t="s">
        <v>336</v>
      </c>
      <c r="CV84" s="78">
        <v>4</v>
      </c>
      <c r="CW84" s="78">
        <v>0</v>
      </c>
      <c r="CX84" s="78">
        <v>0</v>
      </c>
      <c r="CY84" s="78">
        <v>0</v>
      </c>
      <c r="CZ84" s="78">
        <v>0</v>
      </c>
      <c r="DA84" s="78">
        <v>1</v>
      </c>
      <c r="DB84" s="78">
        <v>0</v>
      </c>
      <c r="DC84" s="78">
        <v>0</v>
      </c>
      <c r="DD84" s="76">
        <v>0</v>
      </c>
      <c r="DE84" s="1" t="s">
        <v>407</v>
      </c>
      <c r="DF84" s="78">
        <v>1</v>
      </c>
      <c r="DG84" s="78">
        <v>0</v>
      </c>
      <c r="DH84" s="78">
        <v>0</v>
      </c>
      <c r="DI84" s="78">
        <v>0</v>
      </c>
      <c r="DJ84" s="78">
        <v>3</v>
      </c>
      <c r="DK84" s="78">
        <v>1</v>
      </c>
      <c r="DL84" s="78">
        <v>0</v>
      </c>
      <c r="DM84" s="78">
        <v>0</v>
      </c>
      <c r="DN84" s="76">
        <v>0</v>
      </c>
      <c r="DO84" s="1" t="s">
        <v>335</v>
      </c>
      <c r="DP84" s="78">
        <v>4</v>
      </c>
      <c r="DQ84" s="78">
        <v>0</v>
      </c>
      <c r="DR84" s="78">
        <v>1</v>
      </c>
      <c r="DS84" s="78">
        <v>1</v>
      </c>
      <c r="DT84" s="78">
        <v>0</v>
      </c>
      <c r="DU84" s="78">
        <v>0</v>
      </c>
      <c r="DV84" s="78">
        <v>0</v>
      </c>
      <c r="DW84" s="78">
        <v>0</v>
      </c>
      <c r="DX84" s="76">
        <v>1</v>
      </c>
      <c r="DY84" s="77">
        <v>3</v>
      </c>
      <c r="DZ84" s="43">
        <v>0</v>
      </c>
      <c r="EA84" s="43">
        <v>0</v>
      </c>
      <c r="EB84" s="45">
        <v>6</v>
      </c>
      <c r="EC84" s="43">
        <v>0</v>
      </c>
      <c r="ED84" s="44">
        <v>1</v>
      </c>
      <c r="EE84" s="71">
        <v>2</v>
      </c>
      <c r="EF84" s="43">
        <v>0</v>
      </c>
      <c r="EG84" s="43">
        <v>0</v>
      </c>
      <c r="EH84" s="43">
        <v>0</v>
      </c>
      <c r="EI84" s="43">
        <v>2</v>
      </c>
      <c r="EJ84" s="43">
        <v>0</v>
      </c>
      <c r="EK84" s="43">
        <v>0</v>
      </c>
      <c r="EL84" s="43">
        <v>1</v>
      </c>
      <c r="EM84" s="43">
        <v>0</v>
      </c>
      <c r="EN84" s="43"/>
      <c r="EO84" s="43"/>
      <c r="EP84" s="43"/>
      <c r="EQ84" s="44">
        <f t="shared" si="8"/>
        <v>5</v>
      </c>
      <c r="ER84" s="43">
        <v>0</v>
      </c>
      <c r="ES84" s="43">
        <v>3</v>
      </c>
      <c r="ET84" s="43">
        <v>0</v>
      </c>
      <c r="EU84" s="43">
        <v>0</v>
      </c>
      <c r="EV84" s="43">
        <v>1</v>
      </c>
      <c r="EW84" s="43">
        <v>1</v>
      </c>
      <c r="EX84" s="43">
        <v>0</v>
      </c>
      <c r="EY84" s="43">
        <v>4</v>
      </c>
      <c r="EZ84" s="43">
        <v>1</v>
      </c>
      <c r="FA84" s="43"/>
      <c r="FB84" s="43"/>
      <c r="FC84" s="43"/>
      <c r="FD84" s="43">
        <f t="shared" si="9"/>
        <v>10</v>
      </c>
      <c r="FE84" s="73">
        <f t="shared" si="10"/>
        <v>0</v>
      </c>
      <c r="FF84" s="73">
        <f t="shared" si="11"/>
        <v>0</v>
      </c>
      <c r="FG84" s="38"/>
    </row>
    <row r="85" spans="1:163" x14ac:dyDescent="0.25">
      <c r="A85" s="53">
        <v>40362</v>
      </c>
      <c r="B85" s="53" t="s">
        <v>19</v>
      </c>
      <c r="C85" s="53" t="s">
        <v>131</v>
      </c>
      <c r="D85" s="53" t="s">
        <v>333</v>
      </c>
      <c r="E85" s="54">
        <v>9932</v>
      </c>
      <c r="F85" s="58">
        <v>4</v>
      </c>
      <c r="G85" s="59" t="s">
        <v>334</v>
      </c>
      <c r="H85" s="6">
        <v>0</v>
      </c>
      <c r="I85" s="6">
        <v>1</v>
      </c>
      <c r="J85" s="60">
        <v>7</v>
      </c>
      <c r="K85" s="6">
        <v>7</v>
      </c>
      <c r="L85" s="6">
        <v>2</v>
      </c>
      <c r="M85" s="6">
        <v>2</v>
      </c>
      <c r="N85" s="6">
        <v>2</v>
      </c>
      <c r="O85" s="6">
        <v>2</v>
      </c>
      <c r="P85" s="6">
        <v>1</v>
      </c>
      <c r="Q85" s="6">
        <v>0</v>
      </c>
      <c r="R85" s="6">
        <v>29</v>
      </c>
      <c r="S85" s="6">
        <v>102</v>
      </c>
      <c r="T85" s="6">
        <v>57</v>
      </c>
      <c r="U85" s="6">
        <v>0</v>
      </c>
      <c r="V85" s="61">
        <v>0</v>
      </c>
      <c r="W85" s="62">
        <v>0</v>
      </c>
      <c r="X85" s="62">
        <v>0</v>
      </c>
      <c r="Y85" s="62">
        <v>0</v>
      </c>
      <c r="Z85" s="62">
        <v>0</v>
      </c>
      <c r="AA85" s="62">
        <v>0</v>
      </c>
      <c r="AB85" s="63">
        <v>2</v>
      </c>
      <c r="AC85" s="62">
        <v>1</v>
      </c>
      <c r="AD85" s="62">
        <v>1</v>
      </c>
      <c r="AE85" s="62">
        <v>1</v>
      </c>
      <c r="AF85" s="62">
        <v>0</v>
      </c>
      <c r="AG85" s="62">
        <v>2</v>
      </c>
      <c r="AH85" s="62">
        <v>1</v>
      </c>
      <c r="AI85" s="62">
        <v>0</v>
      </c>
      <c r="AJ85" s="62">
        <v>7</v>
      </c>
      <c r="AK85" s="62">
        <v>25</v>
      </c>
      <c r="AL85" s="62">
        <v>15</v>
      </c>
      <c r="AM85" s="1" t="s">
        <v>399</v>
      </c>
      <c r="AN85" s="78">
        <v>4</v>
      </c>
      <c r="AO85" s="78">
        <v>0</v>
      </c>
      <c r="AP85" s="78">
        <v>1</v>
      </c>
      <c r="AQ85" s="78">
        <v>0</v>
      </c>
      <c r="AR85" s="78">
        <v>0</v>
      </c>
      <c r="AS85" s="78">
        <v>1</v>
      </c>
      <c r="AT85" s="78">
        <v>0</v>
      </c>
      <c r="AU85" s="78">
        <v>0</v>
      </c>
      <c r="AV85" s="76">
        <v>1</v>
      </c>
      <c r="AW85" s="1" t="s">
        <v>401</v>
      </c>
      <c r="AX85" s="78">
        <v>4</v>
      </c>
      <c r="AY85" s="78">
        <v>0</v>
      </c>
      <c r="AZ85" s="78">
        <v>1</v>
      </c>
      <c r="BA85" s="78">
        <v>0</v>
      </c>
      <c r="BB85" s="78">
        <v>0</v>
      </c>
      <c r="BC85" s="78">
        <v>0</v>
      </c>
      <c r="BD85" s="78">
        <v>0</v>
      </c>
      <c r="BE85" s="78">
        <v>0</v>
      </c>
      <c r="BF85" s="76">
        <v>1</v>
      </c>
      <c r="BG85" s="1" t="s">
        <v>331</v>
      </c>
      <c r="BH85" s="78">
        <v>4</v>
      </c>
      <c r="BI85" s="78">
        <v>0</v>
      </c>
      <c r="BJ85" s="78">
        <v>0</v>
      </c>
      <c r="BK85" s="78">
        <v>0</v>
      </c>
      <c r="BL85" s="78">
        <v>0</v>
      </c>
      <c r="BM85" s="78">
        <v>2</v>
      </c>
      <c r="BN85" s="78">
        <v>0</v>
      </c>
      <c r="BO85" s="78">
        <v>0</v>
      </c>
      <c r="BP85" s="76">
        <v>0</v>
      </c>
      <c r="BQ85" s="1" t="s">
        <v>332</v>
      </c>
      <c r="BR85" s="78">
        <v>3</v>
      </c>
      <c r="BS85" s="78">
        <v>0</v>
      </c>
      <c r="BT85" s="78">
        <v>0</v>
      </c>
      <c r="BU85" s="78">
        <v>0</v>
      </c>
      <c r="BV85" s="78">
        <v>1</v>
      </c>
      <c r="BW85" s="78">
        <v>1</v>
      </c>
      <c r="BX85" s="78">
        <v>0</v>
      </c>
      <c r="BY85" s="78">
        <v>0</v>
      </c>
      <c r="BZ85" s="76">
        <v>0</v>
      </c>
      <c r="CA85" s="1" t="s">
        <v>403</v>
      </c>
      <c r="CB85" s="78">
        <v>4</v>
      </c>
      <c r="CC85" s="78">
        <v>0</v>
      </c>
      <c r="CD85" s="78">
        <v>0</v>
      </c>
      <c r="CE85" s="78">
        <v>0</v>
      </c>
      <c r="CF85" s="78">
        <v>0</v>
      </c>
      <c r="CG85" s="78">
        <v>0</v>
      </c>
      <c r="CH85" s="78">
        <v>0</v>
      </c>
      <c r="CI85" s="78">
        <v>0</v>
      </c>
      <c r="CJ85" s="76">
        <v>0</v>
      </c>
      <c r="CK85" s="1" t="s">
        <v>405</v>
      </c>
      <c r="CL85" s="78">
        <v>3</v>
      </c>
      <c r="CM85" s="78">
        <v>0</v>
      </c>
      <c r="CN85" s="78">
        <v>0</v>
      </c>
      <c r="CO85" s="78">
        <v>0</v>
      </c>
      <c r="CP85" s="78">
        <v>1</v>
      </c>
      <c r="CQ85" s="78">
        <v>1</v>
      </c>
      <c r="CR85" s="78">
        <v>0</v>
      </c>
      <c r="CS85" s="78">
        <v>0</v>
      </c>
      <c r="CT85" s="76">
        <v>0</v>
      </c>
      <c r="CU85" s="1" t="s">
        <v>406</v>
      </c>
      <c r="CV85" s="78">
        <v>3</v>
      </c>
      <c r="CW85" s="78">
        <v>0</v>
      </c>
      <c r="CX85" s="78">
        <v>1</v>
      </c>
      <c r="CY85" s="78">
        <v>0</v>
      </c>
      <c r="CZ85" s="78">
        <v>0</v>
      </c>
      <c r="DA85" s="78">
        <v>1</v>
      </c>
      <c r="DB85" s="78">
        <v>0</v>
      </c>
      <c r="DC85" s="78">
        <v>0</v>
      </c>
      <c r="DD85" s="76">
        <v>1</v>
      </c>
      <c r="DE85" s="1" t="s">
        <v>407</v>
      </c>
      <c r="DF85" s="78">
        <v>3</v>
      </c>
      <c r="DG85" s="78">
        <v>0</v>
      </c>
      <c r="DH85" s="78">
        <v>0</v>
      </c>
      <c r="DI85" s="78">
        <v>0</v>
      </c>
      <c r="DJ85" s="78">
        <v>0</v>
      </c>
      <c r="DK85" s="78">
        <v>0</v>
      </c>
      <c r="DL85" s="78">
        <v>0</v>
      </c>
      <c r="DM85" s="78">
        <v>0</v>
      </c>
      <c r="DN85" s="76">
        <v>0</v>
      </c>
      <c r="DO85" s="1" t="s">
        <v>330</v>
      </c>
      <c r="DP85" s="78">
        <v>3</v>
      </c>
      <c r="DQ85" s="78">
        <v>0</v>
      </c>
      <c r="DR85" s="78">
        <v>0</v>
      </c>
      <c r="DS85" s="78">
        <v>0</v>
      </c>
      <c r="DT85" s="78">
        <v>0</v>
      </c>
      <c r="DU85" s="78">
        <v>2</v>
      </c>
      <c r="DV85" s="78">
        <v>0</v>
      </c>
      <c r="DW85" s="78">
        <v>0</v>
      </c>
      <c r="DX85" s="76">
        <v>0</v>
      </c>
      <c r="DY85" s="77">
        <v>0</v>
      </c>
      <c r="DZ85" s="43">
        <v>0</v>
      </c>
      <c r="EA85" s="43">
        <v>0</v>
      </c>
      <c r="EB85" s="45">
        <v>9</v>
      </c>
      <c r="EC85" s="43">
        <v>0</v>
      </c>
      <c r="ED85" s="44">
        <v>0</v>
      </c>
      <c r="EE85" s="71">
        <v>0</v>
      </c>
      <c r="EF85" s="43">
        <v>0</v>
      </c>
      <c r="EG85" s="43">
        <v>0</v>
      </c>
      <c r="EH85" s="43">
        <v>0</v>
      </c>
      <c r="EI85" s="43">
        <v>0</v>
      </c>
      <c r="EJ85" s="43">
        <v>0</v>
      </c>
      <c r="EK85" s="43">
        <v>0</v>
      </c>
      <c r="EL85" s="43">
        <v>0</v>
      </c>
      <c r="EM85" s="43">
        <v>0</v>
      </c>
      <c r="EN85" s="43"/>
      <c r="EO85" s="43"/>
      <c r="EP85" s="43"/>
      <c r="EQ85" s="44">
        <f t="shared" si="8"/>
        <v>0</v>
      </c>
      <c r="ER85" s="43">
        <v>0</v>
      </c>
      <c r="ES85" s="43">
        <v>1</v>
      </c>
      <c r="ET85" s="43">
        <v>0</v>
      </c>
      <c r="EU85" s="43">
        <v>0</v>
      </c>
      <c r="EV85" s="43">
        <v>0</v>
      </c>
      <c r="EW85" s="43">
        <v>1</v>
      </c>
      <c r="EX85" s="43">
        <v>0</v>
      </c>
      <c r="EY85" s="43">
        <v>1</v>
      </c>
      <c r="EZ85" s="43">
        <v>0</v>
      </c>
      <c r="FA85" s="43"/>
      <c r="FB85" s="43"/>
      <c r="FC85" s="43"/>
      <c r="FD85" s="43">
        <f t="shared" si="9"/>
        <v>3</v>
      </c>
      <c r="FE85" s="73">
        <f t="shared" si="10"/>
        <v>0</v>
      </c>
      <c r="FF85" s="73">
        <f t="shared" si="11"/>
        <v>0</v>
      </c>
      <c r="FG85" s="38"/>
    </row>
    <row r="86" spans="1:163" x14ac:dyDescent="0.25">
      <c r="A86" s="53">
        <v>40363</v>
      </c>
      <c r="B86" s="53" t="s">
        <v>19</v>
      </c>
      <c r="C86" s="53" t="s">
        <v>129</v>
      </c>
      <c r="D86" s="53" t="s">
        <v>333</v>
      </c>
      <c r="E86" s="54">
        <v>11674</v>
      </c>
      <c r="F86" s="58">
        <v>5</v>
      </c>
      <c r="G86" s="59" t="s">
        <v>326</v>
      </c>
      <c r="H86" s="6">
        <v>1</v>
      </c>
      <c r="I86" s="6">
        <v>0</v>
      </c>
      <c r="J86" s="60">
        <v>6</v>
      </c>
      <c r="K86" s="6">
        <v>6</v>
      </c>
      <c r="L86" s="6">
        <v>1</v>
      </c>
      <c r="M86" s="6">
        <v>1</v>
      </c>
      <c r="N86" s="6">
        <v>0</v>
      </c>
      <c r="O86" s="6">
        <v>10</v>
      </c>
      <c r="P86" s="6">
        <v>0</v>
      </c>
      <c r="Q86" s="6">
        <v>1</v>
      </c>
      <c r="R86" s="6">
        <v>23</v>
      </c>
      <c r="S86" s="6">
        <v>87</v>
      </c>
      <c r="T86" s="6">
        <v>56</v>
      </c>
      <c r="U86" s="6">
        <v>0</v>
      </c>
      <c r="V86" s="61">
        <v>0</v>
      </c>
      <c r="W86" s="62">
        <v>0</v>
      </c>
      <c r="X86" s="62">
        <v>0</v>
      </c>
      <c r="Y86" s="62">
        <v>0</v>
      </c>
      <c r="Z86" s="62">
        <v>1</v>
      </c>
      <c r="AA86" s="62">
        <v>0</v>
      </c>
      <c r="AB86" s="63">
        <v>3</v>
      </c>
      <c r="AC86" s="62">
        <v>3</v>
      </c>
      <c r="AD86" s="62">
        <v>3</v>
      </c>
      <c r="AE86" s="62">
        <v>3</v>
      </c>
      <c r="AF86" s="62">
        <v>0</v>
      </c>
      <c r="AG86" s="62">
        <v>6</v>
      </c>
      <c r="AH86" s="62">
        <v>1</v>
      </c>
      <c r="AI86" s="62">
        <v>0</v>
      </c>
      <c r="AJ86" s="62">
        <v>12</v>
      </c>
      <c r="AK86" s="62">
        <v>57</v>
      </c>
      <c r="AL86" s="62">
        <v>35</v>
      </c>
      <c r="AM86" s="1" t="s">
        <v>399</v>
      </c>
      <c r="AN86" s="78">
        <v>5</v>
      </c>
      <c r="AO86" s="78">
        <v>1</v>
      </c>
      <c r="AP86" s="78">
        <v>2</v>
      </c>
      <c r="AQ86" s="78">
        <v>0</v>
      </c>
      <c r="AR86" s="78">
        <v>0</v>
      </c>
      <c r="AS86" s="78">
        <v>1</v>
      </c>
      <c r="AT86" s="78">
        <v>0</v>
      </c>
      <c r="AU86" s="78">
        <v>0</v>
      </c>
      <c r="AV86" s="76">
        <v>2</v>
      </c>
      <c r="AW86" s="1" t="s">
        <v>401</v>
      </c>
      <c r="AX86" s="78">
        <v>3</v>
      </c>
      <c r="AY86" s="78">
        <v>1</v>
      </c>
      <c r="AZ86" s="78">
        <v>1</v>
      </c>
      <c r="BA86" s="78">
        <v>0</v>
      </c>
      <c r="BB86" s="78">
        <v>1</v>
      </c>
      <c r="BC86" s="78">
        <v>1</v>
      </c>
      <c r="BD86" s="78">
        <v>0</v>
      </c>
      <c r="BE86" s="78">
        <v>0</v>
      </c>
      <c r="BF86" s="76">
        <v>1</v>
      </c>
      <c r="BG86" s="1" t="s">
        <v>400</v>
      </c>
      <c r="BH86" s="78">
        <v>4</v>
      </c>
      <c r="BI86" s="78">
        <v>1</v>
      </c>
      <c r="BJ86" s="78">
        <v>0</v>
      </c>
      <c r="BK86" s="78">
        <v>0</v>
      </c>
      <c r="BL86" s="78">
        <v>1</v>
      </c>
      <c r="BM86" s="78">
        <v>2</v>
      </c>
      <c r="BN86" s="78">
        <v>0</v>
      </c>
      <c r="BO86" s="78">
        <v>0</v>
      </c>
      <c r="BP86" s="76">
        <v>0</v>
      </c>
      <c r="BQ86" s="1" t="s">
        <v>332</v>
      </c>
      <c r="BR86" s="78">
        <v>3</v>
      </c>
      <c r="BS86" s="78">
        <v>2</v>
      </c>
      <c r="BT86" s="78">
        <v>1</v>
      </c>
      <c r="BU86" s="78">
        <v>2</v>
      </c>
      <c r="BV86" s="78">
        <v>1</v>
      </c>
      <c r="BW86" s="78">
        <v>0</v>
      </c>
      <c r="BX86" s="78">
        <v>0</v>
      </c>
      <c r="BY86" s="78">
        <v>0</v>
      </c>
      <c r="BZ86" s="76">
        <v>2</v>
      </c>
      <c r="CA86" s="1" t="s">
        <v>403</v>
      </c>
      <c r="CB86" s="78">
        <v>4</v>
      </c>
      <c r="CC86" s="78">
        <v>0</v>
      </c>
      <c r="CD86" s="78">
        <v>0</v>
      </c>
      <c r="CE86" s="78">
        <v>0</v>
      </c>
      <c r="CF86" s="78">
        <v>0</v>
      </c>
      <c r="CG86" s="78">
        <v>0</v>
      </c>
      <c r="CH86" s="78">
        <v>0</v>
      </c>
      <c r="CI86" s="78">
        <v>0</v>
      </c>
      <c r="CJ86" s="76">
        <v>0</v>
      </c>
      <c r="CK86" s="1" t="s">
        <v>405</v>
      </c>
      <c r="CL86" s="78">
        <v>2</v>
      </c>
      <c r="CM86" s="78">
        <v>0</v>
      </c>
      <c r="CN86" s="78">
        <v>2</v>
      </c>
      <c r="CO86" s="78">
        <v>2</v>
      </c>
      <c r="CP86" s="78">
        <v>2</v>
      </c>
      <c r="CQ86" s="78">
        <v>0</v>
      </c>
      <c r="CR86" s="78">
        <v>0</v>
      </c>
      <c r="CS86" s="78">
        <v>0</v>
      </c>
      <c r="CT86" s="76">
        <v>4</v>
      </c>
      <c r="CU86" s="1" t="s">
        <v>406</v>
      </c>
      <c r="CV86" s="78">
        <v>2</v>
      </c>
      <c r="CW86" s="78">
        <v>0</v>
      </c>
      <c r="CX86" s="78">
        <v>0</v>
      </c>
      <c r="CY86" s="78">
        <v>0</v>
      </c>
      <c r="CZ86" s="78">
        <v>2</v>
      </c>
      <c r="DA86" s="78">
        <v>0</v>
      </c>
      <c r="DB86" s="78">
        <v>0</v>
      </c>
      <c r="DC86" s="78">
        <v>0</v>
      </c>
      <c r="DD86" s="76">
        <v>0</v>
      </c>
      <c r="DE86" s="1" t="s">
        <v>331</v>
      </c>
      <c r="DF86" s="78">
        <v>4</v>
      </c>
      <c r="DG86" s="78">
        <v>0</v>
      </c>
      <c r="DH86" s="78">
        <v>0</v>
      </c>
      <c r="DI86" s="78">
        <v>0</v>
      </c>
      <c r="DJ86" s="78">
        <v>0</v>
      </c>
      <c r="DK86" s="78">
        <v>0</v>
      </c>
      <c r="DL86" s="78">
        <v>0</v>
      </c>
      <c r="DM86" s="78">
        <v>0</v>
      </c>
      <c r="DN86" s="76">
        <v>0</v>
      </c>
      <c r="DO86" s="1" t="s">
        <v>330</v>
      </c>
      <c r="DP86" s="78">
        <v>3</v>
      </c>
      <c r="DQ86" s="78">
        <v>1</v>
      </c>
      <c r="DR86" s="78">
        <v>0</v>
      </c>
      <c r="DS86" s="78">
        <v>0</v>
      </c>
      <c r="DT86" s="78">
        <v>1</v>
      </c>
      <c r="DU86" s="78">
        <v>2</v>
      </c>
      <c r="DV86" s="78">
        <v>0</v>
      </c>
      <c r="DW86" s="78">
        <v>0</v>
      </c>
      <c r="DX86" s="76">
        <v>0</v>
      </c>
      <c r="DY86" s="77">
        <v>0</v>
      </c>
      <c r="DZ86" s="43">
        <v>0</v>
      </c>
      <c r="EA86" s="43">
        <v>0</v>
      </c>
      <c r="EB86" s="45">
        <v>8</v>
      </c>
      <c r="EC86" s="43">
        <v>1</v>
      </c>
      <c r="ED86" s="44">
        <v>0</v>
      </c>
      <c r="EE86" s="71">
        <v>0</v>
      </c>
      <c r="EF86" s="43">
        <v>0</v>
      </c>
      <c r="EG86" s="43">
        <v>0</v>
      </c>
      <c r="EH86" s="43">
        <v>1</v>
      </c>
      <c r="EI86" s="43">
        <v>4</v>
      </c>
      <c r="EJ86" s="43">
        <v>0</v>
      </c>
      <c r="EK86" s="43">
        <v>1</v>
      </c>
      <c r="EL86" s="43">
        <v>0</v>
      </c>
      <c r="EM86" s="43"/>
      <c r="EN86" s="43"/>
      <c r="EO86" s="43"/>
      <c r="EP86" s="43"/>
      <c r="EQ86" s="44">
        <f t="shared" si="8"/>
        <v>6</v>
      </c>
      <c r="ER86" s="43">
        <v>0</v>
      </c>
      <c r="ES86" s="43">
        <v>0</v>
      </c>
      <c r="ET86" s="43">
        <v>0</v>
      </c>
      <c r="EU86" s="43">
        <v>1</v>
      </c>
      <c r="EV86" s="43">
        <v>0</v>
      </c>
      <c r="EW86" s="43">
        <v>0</v>
      </c>
      <c r="EX86" s="43">
        <v>0</v>
      </c>
      <c r="EY86" s="43">
        <v>3</v>
      </c>
      <c r="EZ86" s="43">
        <v>0</v>
      </c>
      <c r="FA86" s="43"/>
      <c r="FB86" s="43"/>
      <c r="FC86" s="43"/>
      <c r="FD86" s="43">
        <f t="shared" si="9"/>
        <v>4</v>
      </c>
      <c r="FE86" s="73">
        <f t="shared" si="10"/>
        <v>0</v>
      </c>
      <c r="FF86" s="73">
        <f t="shared" si="11"/>
        <v>0</v>
      </c>
      <c r="FG86" s="38"/>
    </row>
    <row r="87" spans="1:163" x14ac:dyDescent="0.25">
      <c r="A87" s="91">
        <v>40364</v>
      </c>
      <c r="B87" s="91" t="s">
        <v>19</v>
      </c>
      <c r="C87" s="91" t="s">
        <v>129</v>
      </c>
      <c r="D87" s="91" t="s">
        <v>333</v>
      </c>
      <c r="E87" s="92">
        <v>4926</v>
      </c>
      <c r="F87" s="93">
        <v>1</v>
      </c>
      <c r="G87" s="94" t="s">
        <v>397</v>
      </c>
      <c r="H87" s="95">
        <v>1</v>
      </c>
      <c r="I87" s="95">
        <v>0</v>
      </c>
      <c r="J87" s="96">
        <v>6</v>
      </c>
      <c r="K87" s="95">
        <v>5</v>
      </c>
      <c r="L87" s="95">
        <v>0</v>
      </c>
      <c r="M87" s="95">
        <v>0</v>
      </c>
      <c r="N87" s="95">
        <v>4</v>
      </c>
      <c r="O87" s="95">
        <v>3</v>
      </c>
      <c r="P87" s="95">
        <v>0</v>
      </c>
      <c r="Q87" s="95">
        <v>0</v>
      </c>
      <c r="R87" s="95">
        <v>23</v>
      </c>
      <c r="S87" s="95">
        <v>84</v>
      </c>
      <c r="T87" s="95">
        <v>51</v>
      </c>
      <c r="U87" s="95">
        <v>0</v>
      </c>
      <c r="V87" s="97">
        <v>0</v>
      </c>
      <c r="W87" s="98">
        <v>0</v>
      </c>
      <c r="X87" s="98">
        <v>0</v>
      </c>
      <c r="Y87" s="98">
        <v>0</v>
      </c>
      <c r="Z87" s="98">
        <v>0</v>
      </c>
      <c r="AA87" s="98">
        <v>0</v>
      </c>
      <c r="AB87" s="99">
        <v>3</v>
      </c>
      <c r="AC87" s="98">
        <v>3</v>
      </c>
      <c r="AD87" s="98">
        <v>0</v>
      </c>
      <c r="AE87" s="98">
        <v>0</v>
      </c>
      <c r="AF87" s="98">
        <v>0</v>
      </c>
      <c r="AG87" s="98">
        <v>3</v>
      </c>
      <c r="AH87" s="98">
        <v>0</v>
      </c>
      <c r="AI87" s="98">
        <v>0</v>
      </c>
      <c r="AJ87" s="98">
        <v>12</v>
      </c>
      <c r="AK87" s="98">
        <v>41</v>
      </c>
      <c r="AL87" s="98">
        <v>32</v>
      </c>
      <c r="AM87" s="100" t="s">
        <v>399</v>
      </c>
      <c r="AN87" s="101">
        <v>5</v>
      </c>
      <c r="AO87" s="101">
        <v>1</v>
      </c>
      <c r="AP87" s="101">
        <v>1</v>
      </c>
      <c r="AQ87" s="101">
        <v>0</v>
      </c>
      <c r="AR87" s="101">
        <v>0</v>
      </c>
      <c r="AS87" s="101">
        <v>1</v>
      </c>
      <c r="AT87" s="101">
        <v>0</v>
      </c>
      <c r="AU87" s="101">
        <v>0</v>
      </c>
      <c r="AV87" s="102">
        <v>1</v>
      </c>
      <c r="AW87" s="100" t="s">
        <v>401</v>
      </c>
      <c r="AX87" s="101">
        <v>5</v>
      </c>
      <c r="AY87" s="101">
        <v>2</v>
      </c>
      <c r="AZ87" s="101">
        <v>1</v>
      </c>
      <c r="BA87" s="101">
        <v>0</v>
      </c>
      <c r="BB87" s="101">
        <v>0</v>
      </c>
      <c r="BC87" s="101">
        <v>1</v>
      </c>
      <c r="BD87" s="101">
        <v>0</v>
      </c>
      <c r="BE87" s="101">
        <v>0</v>
      </c>
      <c r="BF87" s="102">
        <v>2</v>
      </c>
      <c r="BG87" s="100" t="s">
        <v>400</v>
      </c>
      <c r="BH87" s="101">
        <v>5</v>
      </c>
      <c r="BI87" s="101">
        <v>2</v>
      </c>
      <c r="BJ87" s="101">
        <v>3</v>
      </c>
      <c r="BK87" s="101">
        <v>1</v>
      </c>
      <c r="BL87" s="101">
        <v>0</v>
      </c>
      <c r="BM87" s="101">
        <v>0</v>
      </c>
      <c r="BN87" s="101">
        <v>0</v>
      </c>
      <c r="BO87" s="101">
        <v>0</v>
      </c>
      <c r="BP87" s="102">
        <v>4</v>
      </c>
      <c r="BQ87" s="100" t="s">
        <v>332</v>
      </c>
      <c r="BR87" s="101">
        <v>4</v>
      </c>
      <c r="BS87" s="101">
        <v>3</v>
      </c>
      <c r="BT87" s="101">
        <v>2</v>
      </c>
      <c r="BU87" s="101">
        <v>4</v>
      </c>
      <c r="BV87" s="101">
        <v>1</v>
      </c>
      <c r="BW87" s="101">
        <v>1</v>
      </c>
      <c r="BX87" s="101">
        <v>0</v>
      </c>
      <c r="BY87" s="101">
        <v>0</v>
      </c>
      <c r="BZ87" s="102">
        <v>8</v>
      </c>
      <c r="CA87" s="100" t="s">
        <v>403</v>
      </c>
      <c r="CB87" s="101">
        <v>4</v>
      </c>
      <c r="CC87" s="101">
        <v>1</v>
      </c>
      <c r="CD87" s="101">
        <v>2</v>
      </c>
      <c r="CE87" s="101">
        <v>2</v>
      </c>
      <c r="CF87" s="101">
        <v>0</v>
      </c>
      <c r="CG87" s="101">
        <v>0</v>
      </c>
      <c r="CH87" s="101">
        <v>0</v>
      </c>
      <c r="CI87" s="101">
        <v>0</v>
      </c>
      <c r="CJ87" s="102">
        <v>3</v>
      </c>
      <c r="CK87" s="100" t="s">
        <v>331</v>
      </c>
      <c r="CL87" s="101">
        <v>4</v>
      </c>
      <c r="CM87" s="101">
        <v>0</v>
      </c>
      <c r="CN87" s="101">
        <v>0</v>
      </c>
      <c r="CO87" s="101">
        <v>0</v>
      </c>
      <c r="CP87" s="101">
        <v>0</v>
      </c>
      <c r="CQ87" s="101">
        <v>1</v>
      </c>
      <c r="CR87" s="101">
        <v>0</v>
      </c>
      <c r="CS87" s="101">
        <v>0</v>
      </c>
      <c r="CT87" s="102">
        <v>0</v>
      </c>
      <c r="CU87" s="100" t="s">
        <v>336</v>
      </c>
      <c r="CV87" s="101">
        <v>3</v>
      </c>
      <c r="CW87" s="101">
        <v>1</v>
      </c>
      <c r="CX87" s="101">
        <v>1</v>
      </c>
      <c r="CY87" s="101">
        <v>1</v>
      </c>
      <c r="CZ87" s="101">
        <v>0</v>
      </c>
      <c r="DA87" s="101">
        <v>2</v>
      </c>
      <c r="DB87" s="101">
        <v>0</v>
      </c>
      <c r="DC87" s="101">
        <v>0</v>
      </c>
      <c r="DD87" s="102">
        <v>4</v>
      </c>
      <c r="DE87" s="100" t="s">
        <v>407</v>
      </c>
      <c r="DF87" s="101">
        <v>4</v>
      </c>
      <c r="DG87" s="101">
        <v>1</v>
      </c>
      <c r="DH87" s="101">
        <v>1</v>
      </c>
      <c r="DI87" s="101">
        <v>3</v>
      </c>
      <c r="DJ87" s="101">
        <v>0</v>
      </c>
      <c r="DK87" s="101">
        <v>1</v>
      </c>
      <c r="DL87" s="101">
        <v>0</v>
      </c>
      <c r="DM87" s="101">
        <v>0</v>
      </c>
      <c r="DN87" s="102">
        <v>4</v>
      </c>
      <c r="DO87" s="100" t="s">
        <v>330</v>
      </c>
      <c r="DP87" s="101">
        <v>3</v>
      </c>
      <c r="DQ87" s="101">
        <v>0</v>
      </c>
      <c r="DR87" s="101">
        <v>1</v>
      </c>
      <c r="DS87" s="101">
        <v>0</v>
      </c>
      <c r="DT87" s="101">
        <v>0</v>
      </c>
      <c r="DU87" s="101">
        <v>1</v>
      </c>
      <c r="DV87" s="101">
        <v>0</v>
      </c>
      <c r="DW87" s="101">
        <v>0</v>
      </c>
      <c r="DX87" s="102">
        <v>1</v>
      </c>
      <c r="DY87" s="103">
        <v>4</v>
      </c>
      <c r="DZ87" s="104">
        <v>1</v>
      </c>
      <c r="EA87" s="104">
        <v>0</v>
      </c>
      <c r="EB87" s="105">
        <v>4</v>
      </c>
      <c r="EC87" s="104">
        <v>0</v>
      </c>
      <c r="ED87" s="106">
        <v>0</v>
      </c>
      <c r="EE87" s="107">
        <v>4</v>
      </c>
      <c r="EF87" s="104">
        <v>0</v>
      </c>
      <c r="EG87" s="104">
        <v>5</v>
      </c>
      <c r="EH87" s="104">
        <v>0</v>
      </c>
      <c r="EI87" s="104">
        <v>1</v>
      </c>
      <c r="EJ87" s="104">
        <v>0</v>
      </c>
      <c r="EK87" s="104">
        <v>1</v>
      </c>
      <c r="EL87" s="104">
        <v>0</v>
      </c>
      <c r="EM87" s="104"/>
      <c r="EN87" s="104"/>
      <c r="EO87" s="104"/>
      <c r="EP87" s="104"/>
      <c r="EQ87" s="106">
        <f t="shared" ref="EQ87:EQ92" si="12">SUM(EE87:EP87)</f>
        <v>11</v>
      </c>
      <c r="ER87" s="104">
        <v>0</v>
      </c>
      <c r="ES87" s="104">
        <v>0</v>
      </c>
      <c r="ET87" s="104">
        <v>0</v>
      </c>
      <c r="EU87" s="104">
        <v>0</v>
      </c>
      <c r="EV87" s="104">
        <v>0</v>
      </c>
      <c r="EW87" s="104">
        <v>0</v>
      </c>
      <c r="EX87" s="104">
        <v>0</v>
      </c>
      <c r="EY87" s="104">
        <v>0</v>
      </c>
      <c r="EZ87" s="104">
        <v>0</v>
      </c>
      <c r="FA87" s="104"/>
      <c r="FB87" s="104"/>
      <c r="FC87" s="104"/>
      <c r="FD87" s="104">
        <f t="shared" ref="FD87:FD92" si="13">SUM(ER87:FC87)</f>
        <v>0</v>
      </c>
      <c r="FE87" s="108">
        <f t="shared" ref="FE87:FE92" si="14">((SUM(L87,AD87))-(FD87))</f>
        <v>0</v>
      </c>
      <c r="FF87" s="108">
        <f t="shared" ref="FF87:FF92" si="15">((SUM(AO87,AY87,BI87,BS87,CC87,CM87,CW87,DG87,DQ87))-(EQ87))</f>
        <v>0</v>
      </c>
      <c r="FG87" s="109"/>
    </row>
    <row r="88" spans="1:163" x14ac:dyDescent="0.25">
      <c r="A88" s="91">
        <v>40365</v>
      </c>
      <c r="B88" s="91" t="s">
        <v>133</v>
      </c>
      <c r="C88" s="91" t="s">
        <v>131</v>
      </c>
      <c r="D88" s="91" t="s">
        <v>358</v>
      </c>
      <c r="E88" s="92">
        <v>2713</v>
      </c>
      <c r="F88" s="93">
        <v>2</v>
      </c>
      <c r="G88" s="94" t="s">
        <v>339</v>
      </c>
      <c r="H88" s="95">
        <v>0</v>
      </c>
      <c r="I88" s="95">
        <v>1</v>
      </c>
      <c r="J88" s="96">
        <f>5+2/3</f>
        <v>5.666666666666667</v>
      </c>
      <c r="K88" s="95">
        <v>9</v>
      </c>
      <c r="L88" s="95">
        <v>9</v>
      </c>
      <c r="M88" s="95">
        <v>9</v>
      </c>
      <c r="N88" s="95">
        <v>2</v>
      </c>
      <c r="O88" s="95">
        <v>6</v>
      </c>
      <c r="P88" s="95">
        <v>2</v>
      </c>
      <c r="Q88" s="95">
        <v>0</v>
      </c>
      <c r="R88" s="95">
        <v>27</v>
      </c>
      <c r="S88" s="95">
        <v>101</v>
      </c>
      <c r="T88" s="95">
        <v>66</v>
      </c>
      <c r="U88" s="95">
        <v>1</v>
      </c>
      <c r="V88" s="97">
        <v>0</v>
      </c>
      <c r="W88" s="98">
        <v>0</v>
      </c>
      <c r="X88" s="98">
        <v>0</v>
      </c>
      <c r="Y88" s="98">
        <v>0</v>
      </c>
      <c r="Z88" s="98">
        <v>0</v>
      </c>
      <c r="AA88" s="98">
        <v>0</v>
      </c>
      <c r="AB88" s="99">
        <f>2+1/3</f>
        <v>2.3333333333333335</v>
      </c>
      <c r="AC88" s="98">
        <v>2</v>
      </c>
      <c r="AD88" s="98">
        <v>1</v>
      </c>
      <c r="AE88" s="98">
        <v>1</v>
      </c>
      <c r="AF88" s="98">
        <v>0</v>
      </c>
      <c r="AG88" s="98">
        <v>2</v>
      </c>
      <c r="AH88" s="98">
        <v>1</v>
      </c>
      <c r="AI88" s="98">
        <v>0</v>
      </c>
      <c r="AJ88" s="98">
        <v>9</v>
      </c>
      <c r="AK88" s="98">
        <v>29</v>
      </c>
      <c r="AL88" s="98">
        <v>19</v>
      </c>
      <c r="AM88" s="100" t="s">
        <v>399</v>
      </c>
      <c r="AN88" s="101">
        <v>4</v>
      </c>
      <c r="AO88" s="101">
        <v>0</v>
      </c>
      <c r="AP88" s="101">
        <v>1</v>
      </c>
      <c r="AQ88" s="101">
        <v>1</v>
      </c>
      <c r="AR88" s="101">
        <v>0</v>
      </c>
      <c r="AS88" s="101">
        <v>1</v>
      </c>
      <c r="AT88" s="101">
        <v>0</v>
      </c>
      <c r="AU88" s="101">
        <v>0</v>
      </c>
      <c r="AV88" s="102">
        <v>1</v>
      </c>
      <c r="AW88" s="100" t="s">
        <v>401</v>
      </c>
      <c r="AX88" s="101">
        <v>3</v>
      </c>
      <c r="AY88" s="101">
        <v>2</v>
      </c>
      <c r="AZ88" s="101">
        <v>1</v>
      </c>
      <c r="BA88" s="101">
        <v>0</v>
      </c>
      <c r="BB88" s="101">
        <v>1</v>
      </c>
      <c r="BC88" s="101">
        <v>0</v>
      </c>
      <c r="BD88" s="101">
        <v>0</v>
      </c>
      <c r="BE88" s="101">
        <v>0</v>
      </c>
      <c r="BF88" s="102">
        <v>2</v>
      </c>
      <c r="BG88" s="100" t="s">
        <v>400</v>
      </c>
      <c r="BH88" s="101">
        <v>3</v>
      </c>
      <c r="BI88" s="101">
        <v>0</v>
      </c>
      <c r="BJ88" s="101">
        <v>1</v>
      </c>
      <c r="BK88" s="101">
        <v>1</v>
      </c>
      <c r="BL88" s="101">
        <v>1</v>
      </c>
      <c r="BM88" s="101">
        <v>1</v>
      </c>
      <c r="BN88" s="101">
        <v>0</v>
      </c>
      <c r="BO88" s="101">
        <v>0</v>
      </c>
      <c r="BP88" s="102">
        <v>2</v>
      </c>
      <c r="BQ88" s="100" t="s">
        <v>332</v>
      </c>
      <c r="BR88" s="101">
        <v>2</v>
      </c>
      <c r="BS88" s="101">
        <v>0</v>
      </c>
      <c r="BT88" s="101">
        <v>0</v>
      </c>
      <c r="BU88" s="101">
        <v>1</v>
      </c>
      <c r="BV88" s="101">
        <v>2</v>
      </c>
      <c r="BW88" s="101">
        <v>0</v>
      </c>
      <c r="BX88" s="101">
        <v>0</v>
      </c>
      <c r="BY88" s="101">
        <v>0</v>
      </c>
      <c r="BZ88" s="102">
        <v>0</v>
      </c>
      <c r="CA88" s="100" t="s">
        <v>403</v>
      </c>
      <c r="CB88" s="101">
        <v>3</v>
      </c>
      <c r="CC88" s="101">
        <v>0</v>
      </c>
      <c r="CD88" s="101">
        <v>0</v>
      </c>
      <c r="CE88" s="101">
        <v>1</v>
      </c>
      <c r="CF88" s="101">
        <v>0</v>
      </c>
      <c r="CG88" s="101">
        <v>2</v>
      </c>
      <c r="CH88" s="101">
        <v>0</v>
      </c>
      <c r="CI88" s="101">
        <v>1</v>
      </c>
      <c r="CJ88" s="102">
        <v>0</v>
      </c>
      <c r="CK88" s="100" t="s">
        <v>405</v>
      </c>
      <c r="CL88" s="101">
        <v>4</v>
      </c>
      <c r="CM88" s="101">
        <v>0</v>
      </c>
      <c r="CN88" s="101">
        <v>0</v>
      </c>
      <c r="CO88" s="101">
        <v>0</v>
      </c>
      <c r="CP88" s="101">
        <v>0</v>
      </c>
      <c r="CQ88" s="101">
        <v>3</v>
      </c>
      <c r="CR88" s="101">
        <v>0</v>
      </c>
      <c r="CS88" s="101">
        <v>0</v>
      </c>
      <c r="CT88" s="102">
        <v>0</v>
      </c>
      <c r="CU88" s="100" t="s">
        <v>406</v>
      </c>
      <c r="CV88" s="101">
        <v>2</v>
      </c>
      <c r="CW88" s="101">
        <v>1</v>
      </c>
      <c r="CX88" s="101">
        <v>0</v>
      </c>
      <c r="CY88" s="101">
        <v>0</v>
      </c>
      <c r="CZ88" s="101">
        <v>2</v>
      </c>
      <c r="DA88" s="101">
        <v>1</v>
      </c>
      <c r="DB88" s="101">
        <v>0</v>
      </c>
      <c r="DC88" s="101">
        <v>0</v>
      </c>
      <c r="DD88" s="102">
        <v>0</v>
      </c>
      <c r="DE88" s="100" t="s">
        <v>345</v>
      </c>
      <c r="DF88" s="101">
        <v>4</v>
      </c>
      <c r="DG88" s="101">
        <v>0</v>
      </c>
      <c r="DH88" s="101">
        <v>0</v>
      </c>
      <c r="DI88" s="101">
        <v>0</v>
      </c>
      <c r="DJ88" s="101">
        <v>0</v>
      </c>
      <c r="DK88" s="101">
        <v>2</v>
      </c>
      <c r="DL88" s="101">
        <v>0</v>
      </c>
      <c r="DM88" s="101">
        <v>0</v>
      </c>
      <c r="DN88" s="102">
        <v>0</v>
      </c>
      <c r="DO88" s="100" t="s">
        <v>330</v>
      </c>
      <c r="DP88" s="101">
        <v>3</v>
      </c>
      <c r="DQ88" s="101">
        <v>1</v>
      </c>
      <c r="DR88" s="101">
        <v>0</v>
      </c>
      <c r="DS88" s="101">
        <v>0</v>
      </c>
      <c r="DT88" s="101">
        <v>1</v>
      </c>
      <c r="DU88" s="101">
        <v>2</v>
      </c>
      <c r="DV88" s="101">
        <v>0</v>
      </c>
      <c r="DW88" s="101">
        <v>0</v>
      </c>
      <c r="DX88" s="102">
        <v>0</v>
      </c>
      <c r="DY88" s="103">
        <v>0</v>
      </c>
      <c r="DZ88" s="104">
        <v>0</v>
      </c>
      <c r="EA88" s="104">
        <v>0</v>
      </c>
      <c r="EB88" s="105">
        <v>9</v>
      </c>
      <c r="EC88" s="104">
        <v>1</v>
      </c>
      <c r="ED88" s="106">
        <v>0</v>
      </c>
      <c r="EE88" s="107">
        <v>0</v>
      </c>
      <c r="EF88" s="104">
        <v>0</v>
      </c>
      <c r="EG88" s="104">
        <v>0</v>
      </c>
      <c r="EH88" s="104">
        <v>1</v>
      </c>
      <c r="EI88" s="104">
        <v>0</v>
      </c>
      <c r="EJ88" s="104">
        <v>2</v>
      </c>
      <c r="EK88" s="104">
        <v>1</v>
      </c>
      <c r="EL88" s="104">
        <v>0</v>
      </c>
      <c r="EM88" s="104">
        <v>0</v>
      </c>
      <c r="EN88" s="104"/>
      <c r="EO88" s="104"/>
      <c r="EP88" s="104"/>
      <c r="EQ88" s="106">
        <f t="shared" si="12"/>
        <v>4</v>
      </c>
      <c r="ER88" s="104">
        <v>0</v>
      </c>
      <c r="ES88" s="104">
        <v>0</v>
      </c>
      <c r="ET88" s="104">
        <v>2</v>
      </c>
      <c r="EU88" s="104">
        <v>0</v>
      </c>
      <c r="EV88" s="104">
        <v>2</v>
      </c>
      <c r="EW88" s="104">
        <v>5</v>
      </c>
      <c r="EX88" s="104">
        <v>0</v>
      </c>
      <c r="EY88" s="104">
        <v>1</v>
      </c>
      <c r="EZ88" s="104"/>
      <c r="FA88" s="104"/>
      <c r="FB88" s="104"/>
      <c r="FC88" s="104"/>
      <c r="FD88" s="104">
        <f t="shared" si="13"/>
        <v>10</v>
      </c>
      <c r="FE88" s="108">
        <f t="shared" si="14"/>
        <v>0</v>
      </c>
      <c r="FF88" s="108">
        <f t="shared" si="15"/>
        <v>0</v>
      </c>
      <c r="FG88" s="109"/>
    </row>
    <row r="89" spans="1:163" x14ac:dyDescent="0.25">
      <c r="A89" s="91">
        <v>40366</v>
      </c>
      <c r="B89" s="91" t="s">
        <v>133</v>
      </c>
      <c r="C89" s="91" t="s">
        <v>129</v>
      </c>
      <c r="D89" s="91" t="s">
        <v>358</v>
      </c>
      <c r="E89" s="92">
        <v>2921</v>
      </c>
      <c r="F89" s="93">
        <v>3</v>
      </c>
      <c r="G89" s="94" t="s">
        <v>337</v>
      </c>
      <c r="H89" s="95">
        <v>0</v>
      </c>
      <c r="I89" s="95">
        <v>0</v>
      </c>
      <c r="J89" s="96">
        <f>4+2/3</f>
        <v>4.666666666666667</v>
      </c>
      <c r="K89" s="95">
        <v>8</v>
      </c>
      <c r="L89" s="95">
        <v>4</v>
      </c>
      <c r="M89" s="95">
        <v>4</v>
      </c>
      <c r="N89" s="95">
        <v>2</v>
      </c>
      <c r="O89" s="95">
        <v>1</v>
      </c>
      <c r="P89" s="95">
        <v>1</v>
      </c>
      <c r="Q89" s="95">
        <v>0</v>
      </c>
      <c r="R89" s="95">
        <v>22</v>
      </c>
      <c r="S89" s="95">
        <v>76</v>
      </c>
      <c r="T89" s="95">
        <v>45</v>
      </c>
      <c r="U89" s="95">
        <v>1</v>
      </c>
      <c r="V89" s="97">
        <v>0</v>
      </c>
      <c r="W89" s="98">
        <v>1</v>
      </c>
      <c r="X89" s="98">
        <v>0</v>
      </c>
      <c r="Y89" s="98">
        <v>1</v>
      </c>
      <c r="Z89" s="98">
        <v>1</v>
      </c>
      <c r="AA89" s="98">
        <v>0</v>
      </c>
      <c r="AB89" s="99">
        <f>4+1/3</f>
        <v>4.333333333333333</v>
      </c>
      <c r="AC89" s="98">
        <v>2</v>
      </c>
      <c r="AD89" s="98">
        <v>0</v>
      </c>
      <c r="AE89" s="98">
        <v>0</v>
      </c>
      <c r="AF89" s="98">
        <v>1</v>
      </c>
      <c r="AG89" s="98">
        <v>5</v>
      </c>
      <c r="AH89" s="98">
        <v>0</v>
      </c>
      <c r="AI89" s="98">
        <v>0</v>
      </c>
      <c r="AJ89" s="98">
        <v>14</v>
      </c>
      <c r="AK89" s="98">
        <v>66</v>
      </c>
      <c r="AL89" s="98">
        <v>44</v>
      </c>
      <c r="AM89" s="100" t="s">
        <v>399</v>
      </c>
      <c r="AN89" s="101">
        <v>4</v>
      </c>
      <c r="AO89" s="101">
        <v>1</v>
      </c>
      <c r="AP89" s="101">
        <v>0</v>
      </c>
      <c r="AQ89" s="101">
        <v>0</v>
      </c>
      <c r="AR89" s="101">
        <v>1</v>
      </c>
      <c r="AS89" s="101">
        <v>1</v>
      </c>
      <c r="AT89" s="101">
        <v>0</v>
      </c>
      <c r="AU89" s="101">
        <v>0</v>
      </c>
      <c r="AV89" s="102">
        <v>0</v>
      </c>
      <c r="AW89" s="100" t="s">
        <v>401</v>
      </c>
      <c r="AX89" s="101">
        <v>3</v>
      </c>
      <c r="AY89" s="101">
        <v>0</v>
      </c>
      <c r="AZ89" s="101">
        <v>2</v>
      </c>
      <c r="BA89" s="101">
        <v>0</v>
      </c>
      <c r="BB89" s="101">
        <v>2</v>
      </c>
      <c r="BC89" s="101">
        <v>0</v>
      </c>
      <c r="BD89" s="101">
        <v>0</v>
      </c>
      <c r="BE89" s="101">
        <v>0</v>
      </c>
      <c r="BF89" s="102">
        <v>3</v>
      </c>
      <c r="BG89" s="100" t="s">
        <v>400</v>
      </c>
      <c r="BH89" s="101">
        <v>4</v>
      </c>
      <c r="BI89" s="101">
        <v>2</v>
      </c>
      <c r="BJ89" s="101">
        <v>1</v>
      </c>
      <c r="BK89" s="101">
        <v>3</v>
      </c>
      <c r="BL89" s="101">
        <v>1</v>
      </c>
      <c r="BM89" s="101">
        <v>1</v>
      </c>
      <c r="BN89" s="101">
        <v>0</v>
      </c>
      <c r="BO89" s="101">
        <v>0</v>
      </c>
      <c r="BP89" s="102">
        <v>4</v>
      </c>
      <c r="BQ89" s="100" t="s">
        <v>332</v>
      </c>
      <c r="BR89" s="101">
        <v>3</v>
      </c>
      <c r="BS89" s="101">
        <v>1</v>
      </c>
      <c r="BT89" s="101">
        <v>1</v>
      </c>
      <c r="BU89" s="101">
        <v>1</v>
      </c>
      <c r="BV89" s="101">
        <v>2</v>
      </c>
      <c r="BW89" s="101">
        <v>0</v>
      </c>
      <c r="BX89" s="101">
        <v>0</v>
      </c>
      <c r="BY89" s="101">
        <v>0</v>
      </c>
      <c r="BZ89" s="102">
        <v>4</v>
      </c>
      <c r="CA89" s="100" t="s">
        <v>331</v>
      </c>
      <c r="CB89" s="101">
        <v>4</v>
      </c>
      <c r="CC89" s="101">
        <v>0</v>
      </c>
      <c r="CD89" s="101">
        <v>0</v>
      </c>
      <c r="CE89" s="101">
        <v>0</v>
      </c>
      <c r="CF89" s="101">
        <v>1</v>
      </c>
      <c r="CG89" s="101">
        <v>0</v>
      </c>
      <c r="CH89" s="101">
        <v>0</v>
      </c>
      <c r="CI89" s="101">
        <v>0</v>
      </c>
      <c r="CJ89" s="102">
        <v>0</v>
      </c>
      <c r="CK89" s="100" t="s">
        <v>405</v>
      </c>
      <c r="CL89" s="101">
        <v>3</v>
      </c>
      <c r="CM89" s="101">
        <v>0</v>
      </c>
      <c r="CN89" s="101">
        <v>0</v>
      </c>
      <c r="CO89" s="101">
        <v>0</v>
      </c>
      <c r="CP89" s="101">
        <v>1</v>
      </c>
      <c r="CQ89" s="101">
        <v>0</v>
      </c>
      <c r="CR89" s="101">
        <v>1</v>
      </c>
      <c r="CS89" s="101">
        <v>0</v>
      </c>
      <c r="CT89" s="102">
        <v>0</v>
      </c>
      <c r="CU89" s="100" t="s">
        <v>406</v>
      </c>
      <c r="CV89" s="101">
        <v>5</v>
      </c>
      <c r="CW89" s="101">
        <v>0</v>
      </c>
      <c r="CX89" s="101">
        <v>2</v>
      </c>
      <c r="CY89" s="101">
        <v>1</v>
      </c>
      <c r="CZ89" s="101">
        <v>0</v>
      </c>
      <c r="DA89" s="101">
        <v>0</v>
      </c>
      <c r="DB89" s="101">
        <v>0</v>
      </c>
      <c r="DC89" s="101">
        <v>0</v>
      </c>
      <c r="DD89" s="102">
        <v>2</v>
      </c>
      <c r="DE89" s="100" t="s">
        <v>345</v>
      </c>
      <c r="DF89" s="101">
        <v>3</v>
      </c>
      <c r="DG89" s="101">
        <v>1</v>
      </c>
      <c r="DH89" s="101">
        <v>1</v>
      </c>
      <c r="DI89" s="101">
        <v>0</v>
      </c>
      <c r="DJ89" s="101">
        <v>1</v>
      </c>
      <c r="DK89" s="101">
        <v>0</v>
      </c>
      <c r="DL89" s="101">
        <v>0</v>
      </c>
      <c r="DM89" s="101">
        <v>0</v>
      </c>
      <c r="DN89" s="102">
        <v>1</v>
      </c>
      <c r="DO89" s="100" t="s">
        <v>336</v>
      </c>
      <c r="DP89" s="101">
        <v>4</v>
      </c>
      <c r="DQ89" s="101">
        <v>1</v>
      </c>
      <c r="DR89" s="101">
        <v>1</v>
      </c>
      <c r="DS89" s="101">
        <v>0</v>
      </c>
      <c r="DT89" s="101">
        <v>0</v>
      </c>
      <c r="DU89" s="101">
        <v>1</v>
      </c>
      <c r="DV89" s="101">
        <v>0</v>
      </c>
      <c r="DW89" s="101">
        <v>0</v>
      </c>
      <c r="DX89" s="102">
        <v>1</v>
      </c>
      <c r="DY89" s="103">
        <v>1</v>
      </c>
      <c r="DZ89" s="104">
        <v>0</v>
      </c>
      <c r="EA89" s="104">
        <v>0</v>
      </c>
      <c r="EB89" s="105">
        <v>8</v>
      </c>
      <c r="EC89" s="104">
        <v>0</v>
      </c>
      <c r="ED89" s="106">
        <v>1</v>
      </c>
      <c r="EE89" s="107">
        <v>0</v>
      </c>
      <c r="EF89" s="104">
        <v>0</v>
      </c>
      <c r="EG89" s="104">
        <v>4</v>
      </c>
      <c r="EH89" s="104">
        <v>0</v>
      </c>
      <c r="EI89" s="104">
        <v>0</v>
      </c>
      <c r="EJ89" s="104">
        <v>1</v>
      </c>
      <c r="EK89" s="104">
        <v>1</v>
      </c>
      <c r="EL89" s="104">
        <v>0</v>
      </c>
      <c r="EM89" s="104">
        <v>0</v>
      </c>
      <c r="EN89" s="104"/>
      <c r="EO89" s="104"/>
      <c r="EP89" s="104"/>
      <c r="EQ89" s="106">
        <f t="shared" si="12"/>
        <v>6</v>
      </c>
      <c r="ER89" s="104">
        <v>0</v>
      </c>
      <c r="ES89" s="104">
        <v>0</v>
      </c>
      <c r="ET89" s="104">
        <v>0</v>
      </c>
      <c r="EU89" s="104">
        <v>0</v>
      </c>
      <c r="EV89" s="104">
        <v>4</v>
      </c>
      <c r="EW89" s="104">
        <v>0</v>
      </c>
      <c r="EX89" s="104">
        <v>0</v>
      </c>
      <c r="EY89" s="104">
        <v>0</v>
      </c>
      <c r="EZ89" s="104">
        <v>0</v>
      </c>
      <c r="FA89" s="104"/>
      <c r="FB89" s="104"/>
      <c r="FC89" s="104"/>
      <c r="FD89" s="104">
        <f t="shared" si="13"/>
        <v>4</v>
      </c>
      <c r="FE89" s="108">
        <f t="shared" si="14"/>
        <v>0</v>
      </c>
      <c r="FF89" s="108">
        <f t="shared" si="15"/>
        <v>0</v>
      </c>
      <c r="FG89" s="109"/>
    </row>
    <row r="90" spans="1:163" x14ac:dyDescent="0.25">
      <c r="A90" s="91">
        <v>40367</v>
      </c>
      <c r="B90" s="91" t="s">
        <v>19</v>
      </c>
      <c r="C90" s="91" t="s">
        <v>129</v>
      </c>
      <c r="D90" s="91" t="s">
        <v>359</v>
      </c>
      <c r="E90" s="92">
        <v>5500</v>
      </c>
      <c r="F90" s="93">
        <v>4</v>
      </c>
      <c r="G90" s="94" t="s">
        <v>334</v>
      </c>
      <c r="H90" s="95">
        <v>1</v>
      </c>
      <c r="I90" s="95">
        <v>0</v>
      </c>
      <c r="J90" s="96">
        <f>5+2/3</f>
        <v>5.666666666666667</v>
      </c>
      <c r="K90" s="95">
        <v>6</v>
      </c>
      <c r="L90" s="95">
        <v>3</v>
      </c>
      <c r="M90" s="95">
        <v>1</v>
      </c>
      <c r="N90" s="95">
        <v>3</v>
      </c>
      <c r="O90" s="95">
        <v>2</v>
      </c>
      <c r="P90" s="95">
        <v>0</v>
      </c>
      <c r="Q90" s="95">
        <v>1</v>
      </c>
      <c r="R90" s="95">
        <v>29</v>
      </c>
      <c r="S90" s="95">
        <v>101</v>
      </c>
      <c r="T90" s="95">
        <v>64</v>
      </c>
      <c r="U90" s="95">
        <v>1</v>
      </c>
      <c r="V90" s="97">
        <v>0</v>
      </c>
      <c r="W90" s="98">
        <v>0</v>
      </c>
      <c r="X90" s="98">
        <v>0</v>
      </c>
      <c r="Y90" s="98">
        <v>0</v>
      </c>
      <c r="Z90" s="98">
        <v>0</v>
      </c>
      <c r="AA90" s="98">
        <v>0</v>
      </c>
      <c r="AB90" s="99">
        <f>3+1/3</f>
        <v>3.3333333333333335</v>
      </c>
      <c r="AC90" s="98">
        <v>1</v>
      </c>
      <c r="AD90" s="98">
        <v>0</v>
      </c>
      <c r="AE90" s="98">
        <v>0</v>
      </c>
      <c r="AF90" s="98">
        <v>1</v>
      </c>
      <c r="AG90" s="98">
        <v>2</v>
      </c>
      <c r="AH90" s="98">
        <v>0</v>
      </c>
      <c r="AI90" s="98">
        <v>0</v>
      </c>
      <c r="AJ90" s="98">
        <v>12</v>
      </c>
      <c r="AK90" s="98">
        <v>46</v>
      </c>
      <c r="AL90" s="98">
        <v>27</v>
      </c>
      <c r="AM90" s="100" t="s">
        <v>399</v>
      </c>
      <c r="AN90" s="101">
        <v>4</v>
      </c>
      <c r="AO90" s="101">
        <v>2</v>
      </c>
      <c r="AP90" s="101">
        <v>2</v>
      </c>
      <c r="AQ90" s="101">
        <v>0</v>
      </c>
      <c r="AR90" s="101">
        <v>1</v>
      </c>
      <c r="AS90" s="101">
        <v>0</v>
      </c>
      <c r="AT90" s="101">
        <v>0</v>
      </c>
      <c r="AU90" s="101">
        <v>0</v>
      </c>
      <c r="AV90" s="102">
        <v>2</v>
      </c>
      <c r="AW90" s="100" t="s">
        <v>345</v>
      </c>
      <c r="AX90" s="101">
        <v>5</v>
      </c>
      <c r="AY90" s="101">
        <v>3</v>
      </c>
      <c r="AZ90" s="101">
        <v>4</v>
      </c>
      <c r="BA90" s="101">
        <v>4</v>
      </c>
      <c r="BB90" s="101">
        <v>0</v>
      </c>
      <c r="BC90" s="101">
        <v>1</v>
      </c>
      <c r="BD90" s="101">
        <v>0</v>
      </c>
      <c r="BE90" s="101">
        <v>0</v>
      </c>
      <c r="BF90" s="102">
        <v>7</v>
      </c>
      <c r="BG90" s="100" t="s">
        <v>400</v>
      </c>
      <c r="BH90" s="101">
        <v>5</v>
      </c>
      <c r="BI90" s="101">
        <v>2</v>
      </c>
      <c r="BJ90" s="101">
        <v>3</v>
      </c>
      <c r="BK90" s="101">
        <v>2</v>
      </c>
      <c r="BL90" s="101">
        <v>0</v>
      </c>
      <c r="BM90" s="101">
        <v>1</v>
      </c>
      <c r="BN90" s="101">
        <v>0</v>
      </c>
      <c r="BO90" s="101">
        <v>0</v>
      </c>
      <c r="BP90" s="102">
        <v>8</v>
      </c>
      <c r="BQ90" s="100" t="s">
        <v>332</v>
      </c>
      <c r="BR90" s="101">
        <v>5</v>
      </c>
      <c r="BS90" s="101">
        <v>0</v>
      </c>
      <c r="BT90" s="101">
        <v>1</v>
      </c>
      <c r="BU90" s="101">
        <v>1</v>
      </c>
      <c r="BV90" s="101">
        <v>0</v>
      </c>
      <c r="BW90" s="101">
        <v>1</v>
      </c>
      <c r="BX90" s="101">
        <v>0</v>
      </c>
      <c r="BY90" s="101">
        <v>0</v>
      </c>
      <c r="BZ90" s="102">
        <v>1</v>
      </c>
      <c r="CA90" s="100" t="s">
        <v>403</v>
      </c>
      <c r="CB90" s="101">
        <v>5</v>
      </c>
      <c r="CC90" s="101">
        <v>0</v>
      </c>
      <c r="CD90" s="101">
        <v>2</v>
      </c>
      <c r="CE90" s="101">
        <v>1</v>
      </c>
      <c r="CF90" s="101">
        <v>0</v>
      </c>
      <c r="CG90" s="101">
        <v>0</v>
      </c>
      <c r="CH90" s="101">
        <v>0</v>
      </c>
      <c r="CI90" s="101">
        <v>0</v>
      </c>
      <c r="CJ90" s="102">
        <v>2</v>
      </c>
      <c r="CK90" s="100" t="s">
        <v>405</v>
      </c>
      <c r="CL90" s="101">
        <v>5</v>
      </c>
      <c r="CM90" s="101">
        <v>1</v>
      </c>
      <c r="CN90" s="101">
        <v>2</v>
      </c>
      <c r="CO90" s="101">
        <v>1</v>
      </c>
      <c r="CP90" s="101">
        <v>0</v>
      </c>
      <c r="CQ90" s="101">
        <v>1</v>
      </c>
      <c r="CR90" s="101">
        <v>0</v>
      </c>
      <c r="CS90" s="101">
        <v>0</v>
      </c>
      <c r="CT90" s="102">
        <v>3</v>
      </c>
      <c r="CU90" s="100" t="s">
        <v>331</v>
      </c>
      <c r="CV90" s="101">
        <v>4</v>
      </c>
      <c r="CW90" s="101">
        <v>2</v>
      </c>
      <c r="CX90" s="101">
        <v>1</v>
      </c>
      <c r="CY90" s="101">
        <v>0</v>
      </c>
      <c r="CZ90" s="101">
        <v>1</v>
      </c>
      <c r="DA90" s="101">
        <v>0</v>
      </c>
      <c r="DB90" s="101">
        <v>0</v>
      </c>
      <c r="DC90" s="101">
        <v>0</v>
      </c>
      <c r="DD90" s="102">
        <v>1</v>
      </c>
      <c r="DE90" s="100" t="s">
        <v>407</v>
      </c>
      <c r="DF90" s="101">
        <v>4</v>
      </c>
      <c r="DG90" s="101">
        <v>1</v>
      </c>
      <c r="DH90" s="101">
        <v>2</v>
      </c>
      <c r="DI90" s="101">
        <v>1</v>
      </c>
      <c r="DJ90" s="101">
        <v>0</v>
      </c>
      <c r="DK90" s="101">
        <v>1</v>
      </c>
      <c r="DL90" s="101">
        <v>0</v>
      </c>
      <c r="DM90" s="101">
        <v>0</v>
      </c>
      <c r="DN90" s="102">
        <v>2</v>
      </c>
      <c r="DO90" s="100" t="s">
        <v>330</v>
      </c>
      <c r="DP90" s="101">
        <v>4</v>
      </c>
      <c r="DQ90" s="101">
        <v>0</v>
      </c>
      <c r="DR90" s="101">
        <v>1</v>
      </c>
      <c r="DS90" s="101">
        <v>1</v>
      </c>
      <c r="DT90" s="101">
        <v>0</v>
      </c>
      <c r="DU90" s="101">
        <v>0</v>
      </c>
      <c r="DV90" s="101">
        <v>0</v>
      </c>
      <c r="DW90" s="101">
        <v>0</v>
      </c>
      <c r="DX90" s="102">
        <v>1</v>
      </c>
      <c r="DY90" s="103">
        <f>3+1/3</f>
        <v>3.3333333333333335</v>
      </c>
      <c r="DZ90" s="104">
        <v>0</v>
      </c>
      <c r="EA90" s="104">
        <v>0</v>
      </c>
      <c r="EB90" s="105">
        <f>4+2/3</f>
        <v>4.666666666666667</v>
      </c>
      <c r="EC90" s="104">
        <v>2</v>
      </c>
      <c r="ED90" s="106">
        <v>0</v>
      </c>
      <c r="EE90" s="107">
        <v>2</v>
      </c>
      <c r="EF90" s="104">
        <v>0</v>
      </c>
      <c r="EG90" s="104">
        <v>2</v>
      </c>
      <c r="EH90" s="104">
        <v>2</v>
      </c>
      <c r="EI90" s="104">
        <v>1</v>
      </c>
      <c r="EJ90" s="104">
        <v>0</v>
      </c>
      <c r="EK90" s="104">
        <v>3</v>
      </c>
      <c r="EL90" s="104">
        <v>1</v>
      </c>
      <c r="EM90" s="104"/>
      <c r="EN90" s="104"/>
      <c r="EO90" s="104"/>
      <c r="EP90" s="104"/>
      <c r="EQ90" s="106">
        <f t="shared" si="12"/>
        <v>11</v>
      </c>
      <c r="ER90" s="104">
        <v>0</v>
      </c>
      <c r="ES90" s="104">
        <v>3</v>
      </c>
      <c r="ET90" s="104">
        <v>0</v>
      </c>
      <c r="EU90" s="104">
        <v>0</v>
      </c>
      <c r="EV90" s="104">
        <v>0</v>
      </c>
      <c r="EW90" s="104">
        <v>0</v>
      </c>
      <c r="EX90" s="104">
        <v>0</v>
      </c>
      <c r="EY90" s="104">
        <v>0</v>
      </c>
      <c r="EZ90" s="104">
        <v>0</v>
      </c>
      <c r="FA90" s="104"/>
      <c r="FB90" s="104"/>
      <c r="FC90" s="104"/>
      <c r="FD90" s="104">
        <f t="shared" si="13"/>
        <v>3</v>
      </c>
      <c r="FE90" s="108">
        <f t="shared" si="14"/>
        <v>0</v>
      </c>
      <c r="FF90" s="108">
        <f t="shared" si="15"/>
        <v>0</v>
      </c>
      <c r="FG90" s="109"/>
    </row>
    <row r="91" spans="1:163" x14ac:dyDescent="0.25">
      <c r="A91" s="91">
        <v>40368</v>
      </c>
      <c r="B91" s="91" t="s">
        <v>19</v>
      </c>
      <c r="C91" s="91" t="s">
        <v>129</v>
      </c>
      <c r="D91" s="91" t="s">
        <v>359</v>
      </c>
      <c r="E91" s="92">
        <v>8829</v>
      </c>
      <c r="F91" s="93">
        <v>5</v>
      </c>
      <c r="G91" s="94" t="s">
        <v>326</v>
      </c>
      <c r="H91" s="95">
        <v>1</v>
      </c>
      <c r="I91" s="95">
        <v>0</v>
      </c>
      <c r="J91" s="96">
        <f>6+2/3</f>
        <v>6.666666666666667</v>
      </c>
      <c r="K91" s="95">
        <v>6</v>
      </c>
      <c r="L91" s="95">
        <v>0</v>
      </c>
      <c r="M91" s="95">
        <v>0</v>
      </c>
      <c r="N91" s="95">
        <v>0</v>
      </c>
      <c r="O91" s="95">
        <v>3</v>
      </c>
      <c r="P91" s="95">
        <v>0</v>
      </c>
      <c r="Q91" s="95">
        <v>1</v>
      </c>
      <c r="R91" s="95">
        <v>27</v>
      </c>
      <c r="S91" s="95">
        <v>89</v>
      </c>
      <c r="T91" s="95">
        <v>53</v>
      </c>
      <c r="U91" s="95">
        <v>2</v>
      </c>
      <c r="V91" s="97">
        <v>0</v>
      </c>
      <c r="W91" s="98">
        <v>0</v>
      </c>
      <c r="X91" s="98">
        <v>0</v>
      </c>
      <c r="Y91" s="98">
        <v>0</v>
      </c>
      <c r="Z91" s="98">
        <v>0</v>
      </c>
      <c r="AA91" s="98">
        <v>0</v>
      </c>
      <c r="AB91" s="99">
        <f>2+1/3</f>
        <v>2.3333333333333335</v>
      </c>
      <c r="AC91" s="98">
        <v>5</v>
      </c>
      <c r="AD91" s="98">
        <v>2</v>
      </c>
      <c r="AE91" s="98">
        <v>2</v>
      </c>
      <c r="AF91" s="98">
        <v>0</v>
      </c>
      <c r="AG91" s="98">
        <v>1</v>
      </c>
      <c r="AH91" s="98">
        <v>2</v>
      </c>
      <c r="AI91" s="98">
        <v>0</v>
      </c>
      <c r="AJ91" s="98">
        <v>11</v>
      </c>
      <c r="AK91" s="98">
        <v>35</v>
      </c>
      <c r="AL91" s="98">
        <v>24</v>
      </c>
      <c r="AM91" s="100" t="s">
        <v>399</v>
      </c>
      <c r="AN91" s="101">
        <v>4</v>
      </c>
      <c r="AO91" s="101">
        <v>2</v>
      </c>
      <c r="AP91" s="101">
        <v>2</v>
      </c>
      <c r="AQ91" s="101">
        <v>1</v>
      </c>
      <c r="AR91" s="101">
        <v>1</v>
      </c>
      <c r="AS91" s="101">
        <v>0</v>
      </c>
      <c r="AT91" s="101">
        <v>0</v>
      </c>
      <c r="AU91" s="101">
        <v>0</v>
      </c>
      <c r="AV91" s="102">
        <v>3</v>
      </c>
      <c r="AW91" s="100" t="s">
        <v>345</v>
      </c>
      <c r="AX91" s="101">
        <v>5</v>
      </c>
      <c r="AY91" s="101">
        <v>1</v>
      </c>
      <c r="AZ91" s="101">
        <v>3</v>
      </c>
      <c r="BA91" s="101">
        <v>1</v>
      </c>
      <c r="BB91" s="101">
        <v>0</v>
      </c>
      <c r="BC91" s="101">
        <v>2</v>
      </c>
      <c r="BD91" s="101">
        <v>0</v>
      </c>
      <c r="BE91" s="101">
        <v>0</v>
      </c>
      <c r="BF91" s="102">
        <v>3</v>
      </c>
      <c r="BG91" s="100" t="s">
        <v>400</v>
      </c>
      <c r="BH91" s="101">
        <v>5</v>
      </c>
      <c r="BI91" s="101">
        <v>0</v>
      </c>
      <c r="BJ91" s="101">
        <v>1</v>
      </c>
      <c r="BK91" s="101">
        <v>0</v>
      </c>
      <c r="BL91" s="101">
        <v>0</v>
      </c>
      <c r="BM91" s="101">
        <v>1</v>
      </c>
      <c r="BN91" s="101">
        <v>0</v>
      </c>
      <c r="BO91" s="101">
        <v>0</v>
      </c>
      <c r="BP91" s="102">
        <v>1</v>
      </c>
      <c r="BQ91" s="100" t="s">
        <v>332</v>
      </c>
      <c r="BR91" s="101">
        <v>5</v>
      </c>
      <c r="BS91" s="101">
        <v>1</v>
      </c>
      <c r="BT91" s="101">
        <v>2</v>
      </c>
      <c r="BU91" s="101">
        <v>2</v>
      </c>
      <c r="BV91" s="101">
        <v>0</v>
      </c>
      <c r="BW91" s="101">
        <v>0</v>
      </c>
      <c r="BX91" s="101">
        <v>0</v>
      </c>
      <c r="BY91" s="101">
        <v>0</v>
      </c>
      <c r="BZ91" s="102">
        <v>6</v>
      </c>
      <c r="CA91" s="100" t="s">
        <v>403</v>
      </c>
      <c r="CB91" s="101">
        <v>4</v>
      </c>
      <c r="CC91" s="101">
        <v>1</v>
      </c>
      <c r="CD91" s="101">
        <v>0</v>
      </c>
      <c r="CE91" s="101">
        <v>0</v>
      </c>
      <c r="CF91" s="101">
        <v>1</v>
      </c>
      <c r="CG91" s="101">
        <v>1</v>
      </c>
      <c r="CH91" s="101">
        <v>0</v>
      </c>
      <c r="CI91" s="101">
        <v>0</v>
      </c>
      <c r="CJ91" s="102">
        <v>0</v>
      </c>
      <c r="CK91" s="100" t="s">
        <v>405</v>
      </c>
      <c r="CL91" s="101">
        <v>4</v>
      </c>
      <c r="CM91" s="101">
        <v>0</v>
      </c>
      <c r="CN91" s="101">
        <v>2</v>
      </c>
      <c r="CO91" s="101">
        <v>0</v>
      </c>
      <c r="CP91" s="101">
        <v>0</v>
      </c>
      <c r="CQ91" s="101">
        <v>0</v>
      </c>
      <c r="CR91" s="101">
        <v>0</v>
      </c>
      <c r="CS91" s="101">
        <v>0</v>
      </c>
      <c r="CT91" s="102">
        <v>2</v>
      </c>
      <c r="CU91" s="100" t="s">
        <v>406</v>
      </c>
      <c r="CV91" s="101">
        <v>2</v>
      </c>
      <c r="CW91" s="101">
        <v>1</v>
      </c>
      <c r="CX91" s="101">
        <v>1</v>
      </c>
      <c r="CY91" s="101">
        <v>1</v>
      </c>
      <c r="CZ91" s="101">
        <v>1</v>
      </c>
      <c r="DA91" s="101">
        <v>0</v>
      </c>
      <c r="DB91" s="101">
        <v>0</v>
      </c>
      <c r="DC91" s="101">
        <v>1</v>
      </c>
      <c r="DD91" s="102">
        <v>1</v>
      </c>
      <c r="DE91" s="100" t="s">
        <v>401</v>
      </c>
      <c r="DF91" s="101">
        <v>2</v>
      </c>
      <c r="DG91" s="101">
        <v>1</v>
      </c>
      <c r="DH91" s="101">
        <v>1</v>
      </c>
      <c r="DI91" s="101">
        <v>0</v>
      </c>
      <c r="DJ91" s="101">
        <v>2</v>
      </c>
      <c r="DK91" s="101">
        <v>1</v>
      </c>
      <c r="DL91" s="101">
        <v>0</v>
      </c>
      <c r="DM91" s="101">
        <v>0</v>
      </c>
      <c r="DN91" s="102">
        <v>2</v>
      </c>
      <c r="DO91" s="100" t="s">
        <v>336</v>
      </c>
      <c r="DP91" s="101">
        <v>4</v>
      </c>
      <c r="DQ91" s="101">
        <v>0</v>
      </c>
      <c r="DR91" s="101">
        <v>1</v>
      </c>
      <c r="DS91" s="101">
        <v>1</v>
      </c>
      <c r="DT91" s="101">
        <v>0</v>
      </c>
      <c r="DU91" s="101">
        <v>0</v>
      </c>
      <c r="DV91" s="101">
        <v>0</v>
      </c>
      <c r="DW91" s="101">
        <v>0</v>
      </c>
      <c r="DX91" s="102">
        <v>1</v>
      </c>
      <c r="DY91" s="103">
        <v>0</v>
      </c>
      <c r="DZ91" s="104">
        <v>0</v>
      </c>
      <c r="EA91" s="104">
        <v>0</v>
      </c>
      <c r="EB91" s="105">
        <v>8</v>
      </c>
      <c r="EC91" s="104">
        <v>0</v>
      </c>
      <c r="ED91" s="106">
        <v>0</v>
      </c>
      <c r="EE91" s="107">
        <v>0</v>
      </c>
      <c r="EF91" s="104">
        <v>1</v>
      </c>
      <c r="EG91" s="104">
        <v>0</v>
      </c>
      <c r="EH91" s="104">
        <v>1</v>
      </c>
      <c r="EI91" s="104">
        <v>3</v>
      </c>
      <c r="EJ91" s="104">
        <v>1</v>
      </c>
      <c r="EK91" s="104">
        <v>0</v>
      </c>
      <c r="EL91" s="104">
        <v>1</v>
      </c>
      <c r="EM91" s="104"/>
      <c r="EN91" s="104"/>
      <c r="EO91" s="104"/>
      <c r="EP91" s="104"/>
      <c r="EQ91" s="106">
        <f t="shared" si="12"/>
        <v>7</v>
      </c>
      <c r="ER91" s="104">
        <v>0</v>
      </c>
      <c r="ES91" s="104">
        <v>0</v>
      </c>
      <c r="ET91" s="104">
        <v>0</v>
      </c>
      <c r="EU91" s="104">
        <v>0</v>
      </c>
      <c r="EV91" s="104">
        <v>0</v>
      </c>
      <c r="EW91" s="104">
        <v>0</v>
      </c>
      <c r="EX91" s="104">
        <v>0</v>
      </c>
      <c r="EY91" s="104">
        <v>0</v>
      </c>
      <c r="EZ91" s="104">
        <v>2</v>
      </c>
      <c r="FA91" s="104"/>
      <c r="FB91" s="104"/>
      <c r="FC91" s="104"/>
      <c r="FD91" s="104">
        <f t="shared" si="13"/>
        <v>2</v>
      </c>
      <c r="FE91" s="108">
        <f t="shared" si="14"/>
        <v>0</v>
      </c>
      <c r="FF91" s="108">
        <f t="shared" si="15"/>
        <v>0</v>
      </c>
      <c r="FG91" s="109"/>
    </row>
    <row r="92" spans="1:163" x14ac:dyDescent="0.25">
      <c r="A92" s="91">
        <v>40369</v>
      </c>
      <c r="B92" s="91" t="s">
        <v>133</v>
      </c>
      <c r="C92" s="91" t="s">
        <v>129</v>
      </c>
      <c r="D92" s="91" t="s">
        <v>359</v>
      </c>
      <c r="E92" s="92">
        <v>6743</v>
      </c>
      <c r="F92" s="58">
        <v>1</v>
      </c>
      <c r="G92" s="94" t="s">
        <v>398</v>
      </c>
      <c r="H92" s="95">
        <v>0</v>
      </c>
      <c r="I92" s="95">
        <v>0</v>
      </c>
      <c r="J92" s="96">
        <v>4</v>
      </c>
      <c r="K92" s="95">
        <v>5</v>
      </c>
      <c r="L92" s="95">
        <v>1</v>
      </c>
      <c r="M92" s="95">
        <v>1</v>
      </c>
      <c r="N92" s="95">
        <v>2</v>
      </c>
      <c r="O92" s="95">
        <v>0</v>
      </c>
      <c r="P92" s="95">
        <v>0</v>
      </c>
      <c r="Q92" s="95">
        <v>1</v>
      </c>
      <c r="R92" s="95">
        <v>20</v>
      </c>
      <c r="S92" s="95">
        <v>80</v>
      </c>
      <c r="T92" s="95">
        <v>48</v>
      </c>
      <c r="U92" s="95">
        <v>0</v>
      </c>
      <c r="V92" s="97">
        <v>0</v>
      </c>
      <c r="W92" s="98">
        <v>1</v>
      </c>
      <c r="X92" s="98">
        <v>0</v>
      </c>
      <c r="Y92" s="98">
        <v>1</v>
      </c>
      <c r="Z92" s="98">
        <v>1</v>
      </c>
      <c r="AA92" s="98">
        <v>0</v>
      </c>
      <c r="AB92" s="99">
        <v>5</v>
      </c>
      <c r="AC92" s="98">
        <v>7</v>
      </c>
      <c r="AD92" s="98">
        <v>2</v>
      </c>
      <c r="AE92" s="98">
        <v>2</v>
      </c>
      <c r="AF92" s="98">
        <v>3</v>
      </c>
      <c r="AG92" s="98">
        <v>6</v>
      </c>
      <c r="AH92" s="98">
        <v>1</v>
      </c>
      <c r="AI92" s="98">
        <v>0</v>
      </c>
      <c r="AJ92" s="98">
        <v>24</v>
      </c>
      <c r="AK92" s="98">
        <v>97</v>
      </c>
      <c r="AL92" s="98">
        <v>66</v>
      </c>
      <c r="AM92" s="100" t="s">
        <v>345</v>
      </c>
      <c r="AN92" s="101">
        <v>4</v>
      </c>
      <c r="AO92" s="101">
        <v>1</v>
      </c>
      <c r="AP92" s="101">
        <v>3</v>
      </c>
      <c r="AQ92" s="101">
        <v>0</v>
      </c>
      <c r="AR92" s="101">
        <v>0</v>
      </c>
      <c r="AS92" s="101">
        <v>0</v>
      </c>
      <c r="AT92" s="101">
        <v>1</v>
      </c>
      <c r="AU92" s="101">
        <v>0</v>
      </c>
      <c r="AV92" s="102">
        <v>3</v>
      </c>
      <c r="AW92" s="100" t="s">
        <v>401</v>
      </c>
      <c r="AX92" s="101">
        <v>5</v>
      </c>
      <c r="AY92" s="101">
        <v>1</v>
      </c>
      <c r="AZ92" s="101">
        <v>2</v>
      </c>
      <c r="BA92" s="101">
        <v>0</v>
      </c>
      <c r="BB92" s="101">
        <v>0</v>
      </c>
      <c r="BC92" s="101">
        <v>2</v>
      </c>
      <c r="BD92" s="101">
        <v>0</v>
      </c>
      <c r="BE92" s="101">
        <v>0</v>
      </c>
      <c r="BF92" s="102">
        <v>2</v>
      </c>
      <c r="BG92" s="100" t="s">
        <v>400</v>
      </c>
      <c r="BH92" s="101">
        <v>5</v>
      </c>
      <c r="BI92" s="101">
        <v>0</v>
      </c>
      <c r="BJ92" s="101">
        <v>1</v>
      </c>
      <c r="BK92" s="101">
        <v>1</v>
      </c>
      <c r="BL92" s="101">
        <v>0</v>
      </c>
      <c r="BM92" s="101">
        <v>1</v>
      </c>
      <c r="BN92" s="101">
        <v>0</v>
      </c>
      <c r="BO92" s="101">
        <v>0</v>
      </c>
      <c r="BP92" s="102">
        <v>1</v>
      </c>
      <c r="BQ92" s="100" t="s">
        <v>332</v>
      </c>
      <c r="BR92" s="101">
        <v>5</v>
      </c>
      <c r="BS92" s="101">
        <v>0</v>
      </c>
      <c r="BT92" s="101">
        <v>0</v>
      </c>
      <c r="BU92" s="101">
        <v>0</v>
      </c>
      <c r="BV92" s="101">
        <v>0</v>
      </c>
      <c r="BW92" s="101">
        <v>0</v>
      </c>
      <c r="BX92" s="101">
        <v>0</v>
      </c>
      <c r="BY92" s="101">
        <v>0</v>
      </c>
      <c r="BZ92" s="102">
        <v>0</v>
      </c>
      <c r="CA92" s="100" t="s">
        <v>403</v>
      </c>
      <c r="CB92" s="101">
        <v>4</v>
      </c>
      <c r="CC92" s="101">
        <v>3</v>
      </c>
      <c r="CD92" s="101">
        <v>2</v>
      </c>
      <c r="CE92" s="101">
        <v>0</v>
      </c>
      <c r="CF92" s="101">
        <v>1</v>
      </c>
      <c r="CG92" s="101">
        <v>0</v>
      </c>
      <c r="CH92" s="101">
        <v>0</v>
      </c>
      <c r="CI92" s="101">
        <v>0</v>
      </c>
      <c r="CJ92" s="102">
        <v>4</v>
      </c>
      <c r="CK92" s="100" t="s">
        <v>406</v>
      </c>
      <c r="CL92" s="101">
        <v>4</v>
      </c>
      <c r="CM92" s="101">
        <v>0</v>
      </c>
      <c r="CN92" s="101">
        <v>1</v>
      </c>
      <c r="CO92" s="101">
        <v>1</v>
      </c>
      <c r="CP92" s="101">
        <v>0</v>
      </c>
      <c r="CQ92" s="101">
        <v>0</v>
      </c>
      <c r="CR92" s="101">
        <v>0</v>
      </c>
      <c r="CS92" s="101">
        <v>0</v>
      </c>
      <c r="CT92" s="102">
        <v>1</v>
      </c>
      <c r="CU92" s="100" t="s">
        <v>331</v>
      </c>
      <c r="CV92" s="101">
        <v>4</v>
      </c>
      <c r="CW92" s="101">
        <v>0</v>
      </c>
      <c r="CX92" s="101">
        <v>2</v>
      </c>
      <c r="CY92" s="101">
        <v>2</v>
      </c>
      <c r="CZ92" s="101">
        <v>0</v>
      </c>
      <c r="DA92" s="101">
        <v>1</v>
      </c>
      <c r="DB92" s="101">
        <v>0</v>
      </c>
      <c r="DC92" s="101">
        <v>0</v>
      </c>
      <c r="DD92" s="102">
        <v>2</v>
      </c>
      <c r="DE92" s="100" t="s">
        <v>407</v>
      </c>
      <c r="DF92" s="101">
        <v>4</v>
      </c>
      <c r="DG92" s="101">
        <v>0</v>
      </c>
      <c r="DH92" s="101">
        <v>1</v>
      </c>
      <c r="DI92" s="101">
        <v>0</v>
      </c>
      <c r="DJ92" s="101">
        <v>0</v>
      </c>
      <c r="DK92" s="101">
        <v>0</v>
      </c>
      <c r="DL92" s="101">
        <v>0</v>
      </c>
      <c r="DM92" s="101">
        <v>0</v>
      </c>
      <c r="DN92" s="102">
        <v>1</v>
      </c>
      <c r="DO92" s="100" t="s">
        <v>330</v>
      </c>
      <c r="DP92" s="101">
        <v>4</v>
      </c>
      <c r="DQ92" s="101">
        <v>0</v>
      </c>
      <c r="DR92" s="101">
        <v>0</v>
      </c>
      <c r="DS92" s="101">
        <v>0</v>
      </c>
      <c r="DT92" s="101">
        <v>0</v>
      </c>
      <c r="DU92" s="101">
        <v>1</v>
      </c>
      <c r="DV92" s="101">
        <v>0</v>
      </c>
      <c r="DW92" s="101">
        <v>0</v>
      </c>
      <c r="DX92" s="102">
        <v>0</v>
      </c>
      <c r="DY92" s="103">
        <f>4+2/3</f>
        <v>4.666666666666667</v>
      </c>
      <c r="DZ92" s="104">
        <v>2</v>
      </c>
      <c r="EA92" s="104">
        <v>0</v>
      </c>
      <c r="EB92" s="105">
        <f>4+1/3</f>
        <v>4.333333333333333</v>
      </c>
      <c r="EC92" s="104">
        <v>1</v>
      </c>
      <c r="ED92" s="106">
        <v>0</v>
      </c>
      <c r="EE92" s="107">
        <v>0</v>
      </c>
      <c r="EF92" s="104">
        <v>1</v>
      </c>
      <c r="EG92" s="104">
        <v>0</v>
      </c>
      <c r="EH92" s="104">
        <v>0</v>
      </c>
      <c r="EI92" s="104">
        <v>3</v>
      </c>
      <c r="EJ92" s="104">
        <v>0</v>
      </c>
      <c r="EK92" s="104">
        <v>1</v>
      </c>
      <c r="EL92" s="104">
        <v>0</v>
      </c>
      <c r="EM92" s="104">
        <v>0</v>
      </c>
      <c r="EN92" s="104"/>
      <c r="EO92" s="104"/>
      <c r="EP92" s="104"/>
      <c r="EQ92" s="106">
        <f t="shared" si="12"/>
        <v>5</v>
      </c>
      <c r="ER92" s="104">
        <v>0</v>
      </c>
      <c r="ES92" s="104">
        <v>1</v>
      </c>
      <c r="ET92" s="104">
        <v>0</v>
      </c>
      <c r="EU92" s="104">
        <v>0</v>
      </c>
      <c r="EV92" s="104">
        <v>1</v>
      </c>
      <c r="EW92" s="104">
        <v>0</v>
      </c>
      <c r="EX92" s="104">
        <v>1</v>
      </c>
      <c r="EY92" s="104">
        <v>0</v>
      </c>
      <c r="EZ92" s="104">
        <v>0</v>
      </c>
      <c r="FA92" s="104"/>
      <c r="FB92" s="104"/>
      <c r="FC92" s="104"/>
      <c r="FD92" s="104">
        <f t="shared" si="13"/>
        <v>3</v>
      </c>
      <c r="FE92" s="108">
        <f t="shared" si="14"/>
        <v>0</v>
      </c>
      <c r="FF92" s="108">
        <f t="shared" si="15"/>
        <v>0</v>
      </c>
      <c r="FG92" s="109"/>
    </row>
    <row r="93" spans="1:163" x14ac:dyDescent="0.25">
      <c r="A93" s="91">
        <v>40370</v>
      </c>
      <c r="B93" s="91" t="s">
        <v>133</v>
      </c>
      <c r="C93" s="91" t="s">
        <v>131</v>
      </c>
      <c r="D93" s="91" t="s">
        <v>359</v>
      </c>
      <c r="E93" s="92">
        <v>3731</v>
      </c>
      <c r="F93" s="93">
        <v>2</v>
      </c>
      <c r="G93" s="94" t="s">
        <v>339</v>
      </c>
      <c r="H93" s="95">
        <v>0</v>
      </c>
      <c r="I93" s="95">
        <v>1</v>
      </c>
      <c r="J93" s="96">
        <f>6+1/3</f>
        <v>6.333333333333333</v>
      </c>
      <c r="K93" s="95">
        <v>6</v>
      </c>
      <c r="L93" s="95">
        <v>4</v>
      </c>
      <c r="M93" s="95">
        <v>4</v>
      </c>
      <c r="N93" s="95">
        <v>1</v>
      </c>
      <c r="O93" s="95">
        <v>3</v>
      </c>
      <c r="P93" s="95">
        <v>0</v>
      </c>
      <c r="Q93" s="95">
        <v>0</v>
      </c>
      <c r="R93" s="95">
        <v>26</v>
      </c>
      <c r="S93" s="95">
        <v>96</v>
      </c>
      <c r="T93" s="95">
        <v>61</v>
      </c>
      <c r="U93" s="95">
        <v>1</v>
      </c>
      <c r="V93" s="97">
        <v>1</v>
      </c>
      <c r="W93" s="98">
        <v>0</v>
      </c>
      <c r="X93" s="98">
        <v>0</v>
      </c>
      <c r="Y93" s="98">
        <v>0</v>
      </c>
      <c r="Z93" s="98">
        <v>0</v>
      </c>
      <c r="AA93" s="98">
        <v>0</v>
      </c>
      <c r="AB93" s="99">
        <f>1+2/3</f>
        <v>1.6666666666666665</v>
      </c>
      <c r="AC93" s="98">
        <v>2</v>
      </c>
      <c r="AD93" s="98">
        <v>1</v>
      </c>
      <c r="AE93" s="98">
        <v>1</v>
      </c>
      <c r="AF93" s="98">
        <v>0</v>
      </c>
      <c r="AG93" s="98">
        <v>2</v>
      </c>
      <c r="AH93" s="98">
        <v>0</v>
      </c>
      <c r="AI93" s="98">
        <v>0</v>
      </c>
      <c r="AJ93" s="98">
        <v>7</v>
      </c>
      <c r="AK93" s="98">
        <v>33</v>
      </c>
      <c r="AL93" s="98">
        <v>21</v>
      </c>
      <c r="AM93" s="100" t="s">
        <v>345</v>
      </c>
      <c r="AN93" s="101">
        <v>4</v>
      </c>
      <c r="AO93" s="101">
        <v>0</v>
      </c>
      <c r="AP93" s="101">
        <v>1</v>
      </c>
      <c r="AQ93" s="101">
        <v>0</v>
      </c>
      <c r="AR93" s="101">
        <v>0</v>
      </c>
      <c r="AS93" s="101">
        <v>2</v>
      </c>
      <c r="AT93" s="101">
        <v>0</v>
      </c>
      <c r="AU93" s="101">
        <v>0</v>
      </c>
      <c r="AV93" s="102">
        <v>1</v>
      </c>
      <c r="AW93" s="100" t="s">
        <v>401</v>
      </c>
      <c r="AX93" s="101">
        <v>4</v>
      </c>
      <c r="AY93" s="101">
        <v>1</v>
      </c>
      <c r="AZ93" s="101">
        <v>1</v>
      </c>
      <c r="BA93" s="101">
        <v>0</v>
      </c>
      <c r="BB93" s="101">
        <v>0</v>
      </c>
      <c r="BC93" s="101">
        <v>0</v>
      </c>
      <c r="BD93" s="101">
        <v>0</v>
      </c>
      <c r="BE93" s="101">
        <v>0</v>
      </c>
      <c r="BF93" s="102">
        <v>1</v>
      </c>
      <c r="BG93" s="100" t="s">
        <v>400</v>
      </c>
      <c r="BH93" s="101">
        <v>4</v>
      </c>
      <c r="BI93" s="101">
        <v>1</v>
      </c>
      <c r="BJ93" s="101">
        <v>1</v>
      </c>
      <c r="BK93" s="101">
        <v>3</v>
      </c>
      <c r="BL93" s="101">
        <v>0</v>
      </c>
      <c r="BM93" s="101">
        <v>1</v>
      </c>
      <c r="BN93" s="101">
        <v>0</v>
      </c>
      <c r="BO93" s="101">
        <v>0</v>
      </c>
      <c r="BP93" s="102">
        <v>4</v>
      </c>
      <c r="BQ93" s="100" t="s">
        <v>332</v>
      </c>
      <c r="BR93" s="101">
        <v>4</v>
      </c>
      <c r="BS93" s="101">
        <v>1</v>
      </c>
      <c r="BT93" s="101">
        <v>1</v>
      </c>
      <c r="BU93" s="101">
        <v>0</v>
      </c>
      <c r="BV93" s="101">
        <v>0</v>
      </c>
      <c r="BW93" s="101">
        <v>0</v>
      </c>
      <c r="BX93" s="101">
        <v>0</v>
      </c>
      <c r="BY93" s="101">
        <v>0</v>
      </c>
      <c r="BZ93" s="102">
        <v>2</v>
      </c>
      <c r="CA93" s="100" t="s">
        <v>406</v>
      </c>
      <c r="CB93" s="101">
        <v>4</v>
      </c>
      <c r="CC93" s="101">
        <v>0</v>
      </c>
      <c r="CD93" s="101">
        <v>2</v>
      </c>
      <c r="CE93" s="101">
        <v>1</v>
      </c>
      <c r="CF93" s="101">
        <v>0</v>
      </c>
      <c r="CG93" s="101">
        <v>0</v>
      </c>
      <c r="CH93" s="101">
        <v>0</v>
      </c>
      <c r="CI93" s="101">
        <v>0</v>
      </c>
      <c r="CJ93" s="102">
        <v>2</v>
      </c>
      <c r="CK93" s="100" t="s">
        <v>405</v>
      </c>
      <c r="CL93" s="101">
        <v>3</v>
      </c>
      <c r="CM93" s="101">
        <v>0</v>
      </c>
      <c r="CN93" s="101">
        <v>1</v>
      </c>
      <c r="CO93" s="101">
        <v>0</v>
      </c>
      <c r="CP93" s="101">
        <v>0</v>
      </c>
      <c r="CQ93" s="101">
        <v>0</v>
      </c>
      <c r="CR93" s="101">
        <v>1</v>
      </c>
      <c r="CS93" s="101">
        <v>0</v>
      </c>
      <c r="CT93" s="102">
        <v>1</v>
      </c>
      <c r="CU93" s="100" t="s">
        <v>407</v>
      </c>
      <c r="CV93" s="101">
        <v>3</v>
      </c>
      <c r="CW93" s="101">
        <v>0</v>
      </c>
      <c r="CX93" s="101">
        <v>0</v>
      </c>
      <c r="CY93" s="101">
        <v>0</v>
      </c>
      <c r="CZ93" s="101">
        <v>0</v>
      </c>
      <c r="DA93" s="101">
        <v>0</v>
      </c>
      <c r="DB93" s="101">
        <v>0</v>
      </c>
      <c r="DC93" s="101">
        <v>0</v>
      </c>
      <c r="DD93" s="102">
        <v>0</v>
      </c>
      <c r="DE93" s="100" t="s">
        <v>331</v>
      </c>
      <c r="DF93" s="101">
        <v>3</v>
      </c>
      <c r="DG93" s="101">
        <v>0</v>
      </c>
      <c r="DH93" s="101">
        <v>0</v>
      </c>
      <c r="DI93" s="101">
        <v>0</v>
      </c>
      <c r="DJ93" s="101">
        <v>0</v>
      </c>
      <c r="DK93" s="101">
        <v>1</v>
      </c>
      <c r="DL93" s="101">
        <v>0</v>
      </c>
      <c r="DM93" s="101">
        <v>0</v>
      </c>
      <c r="DN93" s="102">
        <v>0</v>
      </c>
      <c r="DO93" s="100" t="s">
        <v>330</v>
      </c>
      <c r="DP93" s="101">
        <v>2</v>
      </c>
      <c r="DQ93" s="101">
        <v>1</v>
      </c>
      <c r="DR93" s="101">
        <v>0</v>
      </c>
      <c r="DS93" s="101">
        <v>0</v>
      </c>
      <c r="DT93" s="101">
        <v>1</v>
      </c>
      <c r="DU93" s="101">
        <v>1</v>
      </c>
      <c r="DV93" s="101">
        <v>0</v>
      </c>
      <c r="DW93" s="101">
        <v>0</v>
      </c>
      <c r="DX93" s="102">
        <v>0</v>
      </c>
      <c r="DY93" s="103">
        <v>1</v>
      </c>
      <c r="DZ93" s="104">
        <v>0</v>
      </c>
      <c r="EA93" s="104">
        <v>0</v>
      </c>
      <c r="EB93" s="105">
        <v>8</v>
      </c>
      <c r="EC93" s="104">
        <v>0</v>
      </c>
      <c r="ED93" s="106">
        <v>0</v>
      </c>
      <c r="EE93" s="107">
        <v>0</v>
      </c>
      <c r="EF93" s="104">
        <v>0</v>
      </c>
      <c r="EG93" s="104">
        <v>0</v>
      </c>
      <c r="EH93" s="104">
        <v>0</v>
      </c>
      <c r="EI93" s="104">
        <v>0</v>
      </c>
      <c r="EJ93" s="104">
        <v>0</v>
      </c>
      <c r="EK93" s="104">
        <v>0</v>
      </c>
      <c r="EL93" s="104">
        <v>0</v>
      </c>
      <c r="EM93" s="104">
        <v>4</v>
      </c>
      <c r="EN93" s="104"/>
      <c r="EO93" s="104"/>
      <c r="EP93" s="104"/>
      <c r="EQ93" s="106">
        <f t="shared" ref="EQ93:EQ98" si="16">SUM(EE93:EP93)</f>
        <v>4</v>
      </c>
      <c r="ER93" s="104">
        <v>0</v>
      </c>
      <c r="ES93" s="104">
        <v>0</v>
      </c>
      <c r="ET93" s="104">
        <v>3</v>
      </c>
      <c r="EU93" s="104">
        <v>0</v>
      </c>
      <c r="EV93" s="104">
        <v>0</v>
      </c>
      <c r="EW93" s="104">
        <v>0</v>
      </c>
      <c r="EX93" s="104">
        <v>2</v>
      </c>
      <c r="EY93" s="104">
        <v>0</v>
      </c>
      <c r="EZ93" s="104"/>
      <c r="FA93" s="104"/>
      <c r="FB93" s="104"/>
      <c r="FC93" s="104"/>
      <c r="FD93" s="104">
        <f t="shared" ref="FD93:FD98" si="17">SUM(ER93:FC93)</f>
        <v>5</v>
      </c>
      <c r="FE93" s="108">
        <f t="shared" ref="FE93:FE98" si="18">((SUM(L93,AD93))-(FD93))</f>
        <v>0</v>
      </c>
      <c r="FF93" s="108">
        <f t="shared" ref="FF93:FF98" si="19">((SUM(AO93,AY93,BI93,BS93,CC93,CM93,CW93,DG93,DQ93))-(EQ93))</f>
        <v>0</v>
      </c>
      <c r="FG93" s="109"/>
    </row>
    <row r="94" spans="1:163" x14ac:dyDescent="0.25">
      <c r="A94" s="91">
        <v>40374</v>
      </c>
      <c r="B94" s="91" t="s">
        <v>19</v>
      </c>
      <c r="C94" s="91" t="s">
        <v>131</v>
      </c>
      <c r="D94" s="91" t="s">
        <v>358</v>
      </c>
      <c r="E94" s="92">
        <v>6998</v>
      </c>
      <c r="F94" s="93">
        <v>2</v>
      </c>
      <c r="G94" s="94" t="s">
        <v>334</v>
      </c>
      <c r="H94" s="95">
        <v>0</v>
      </c>
      <c r="I94" s="95">
        <v>1</v>
      </c>
      <c r="J94" s="96">
        <v>4</v>
      </c>
      <c r="K94" s="95">
        <v>8</v>
      </c>
      <c r="L94" s="95">
        <v>5</v>
      </c>
      <c r="M94" s="95">
        <v>5</v>
      </c>
      <c r="N94" s="95">
        <v>2</v>
      </c>
      <c r="O94" s="95">
        <v>1</v>
      </c>
      <c r="P94" s="95">
        <v>0</v>
      </c>
      <c r="Q94" s="95">
        <v>0</v>
      </c>
      <c r="R94" s="95">
        <v>21</v>
      </c>
      <c r="S94" s="95">
        <v>74</v>
      </c>
      <c r="T94" s="95">
        <v>45</v>
      </c>
      <c r="U94" s="95">
        <v>0</v>
      </c>
      <c r="V94" s="97">
        <v>0</v>
      </c>
      <c r="W94" s="98">
        <v>0</v>
      </c>
      <c r="X94" s="98">
        <v>0</v>
      </c>
      <c r="Y94" s="98">
        <v>0</v>
      </c>
      <c r="Z94" s="98">
        <v>0</v>
      </c>
      <c r="AA94" s="98">
        <v>0</v>
      </c>
      <c r="AB94" s="99">
        <v>5</v>
      </c>
      <c r="AC94" s="98">
        <v>4</v>
      </c>
      <c r="AD94" s="98">
        <v>1</v>
      </c>
      <c r="AE94" s="98">
        <v>1</v>
      </c>
      <c r="AF94" s="98">
        <v>2</v>
      </c>
      <c r="AG94" s="98">
        <v>2</v>
      </c>
      <c r="AH94" s="98">
        <v>0</v>
      </c>
      <c r="AI94" s="98">
        <v>0</v>
      </c>
      <c r="AJ94" s="98">
        <v>19</v>
      </c>
      <c r="AK94" s="98">
        <v>67</v>
      </c>
      <c r="AL94" s="98">
        <v>46</v>
      </c>
      <c r="AM94" s="100" t="s">
        <v>399</v>
      </c>
      <c r="AN94" s="101">
        <v>3</v>
      </c>
      <c r="AO94" s="101">
        <v>0</v>
      </c>
      <c r="AP94" s="101">
        <v>1</v>
      </c>
      <c r="AQ94" s="101">
        <v>0</v>
      </c>
      <c r="AR94" s="101">
        <v>1</v>
      </c>
      <c r="AS94" s="101">
        <v>0</v>
      </c>
      <c r="AT94" s="101">
        <v>0</v>
      </c>
      <c r="AU94" s="101">
        <v>0</v>
      </c>
      <c r="AV94" s="102">
        <v>1</v>
      </c>
      <c r="AW94" s="100" t="s">
        <v>401</v>
      </c>
      <c r="AX94" s="101">
        <v>4</v>
      </c>
      <c r="AY94" s="101">
        <v>0</v>
      </c>
      <c r="AZ94" s="101">
        <v>0</v>
      </c>
      <c r="BA94" s="101">
        <v>0</v>
      </c>
      <c r="BB94" s="101">
        <v>0</v>
      </c>
      <c r="BC94" s="101">
        <v>2</v>
      </c>
      <c r="BD94" s="101">
        <v>0</v>
      </c>
      <c r="BE94" s="101">
        <v>0</v>
      </c>
      <c r="BF94" s="102">
        <v>0</v>
      </c>
      <c r="BG94" s="100" t="s">
        <v>400</v>
      </c>
      <c r="BH94" s="101">
        <v>4</v>
      </c>
      <c r="BI94" s="101">
        <v>0</v>
      </c>
      <c r="BJ94" s="101">
        <v>1</v>
      </c>
      <c r="BK94" s="101">
        <v>0</v>
      </c>
      <c r="BL94" s="101">
        <v>0</v>
      </c>
      <c r="BM94" s="101">
        <v>0</v>
      </c>
      <c r="BN94" s="101">
        <v>0</v>
      </c>
      <c r="BO94" s="101">
        <v>0</v>
      </c>
      <c r="BP94" s="102">
        <v>1</v>
      </c>
      <c r="BQ94" s="100" t="s">
        <v>332</v>
      </c>
      <c r="BR94" s="101">
        <v>1</v>
      </c>
      <c r="BS94" s="101">
        <v>0</v>
      </c>
      <c r="BT94" s="101">
        <v>0</v>
      </c>
      <c r="BU94" s="101">
        <v>0</v>
      </c>
      <c r="BV94" s="101">
        <v>3</v>
      </c>
      <c r="BW94" s="101">
        <v>0</v>
      </c>
      <c r="BX94" s="101">
        <v>0</v>
      </c>
      <c r="BY94" s="101">
        <v>0</v>
      </c>
      <c r="BZ94" s="102">
        <v>0</v>
      </c>
      <c r="CA94" s="100" t="s">
        <v>403</v>
      </c>
      <c r="CB94" s="101">
        <v>4</v>
      </c>
      <c r="CC94" s="101">
        <v>0</v>
      </c>
      <c r="CD94" s="101">
        <v>0</v>
      </c>
      <c r="CE94" s="101">
        <v>0</v>
      </c>
      <c r="CF94" s="101">
        <v>0</v>
      </c>
      <c r="CG94" s="101">
        <v>0</v>
      </c>
      <c r="CH94" s="101">
        <v>0</v>
      </c>
      <c r="CI94" s="101">
        <v>0</v>
      </c>
      <c r="CJ94" s="102">
        <v>0</v>
      </c>
      <c r="CK94" s="100" t="s">
        <v>405</v>
      </c>
      <c r="CL94" s="101">
        <v>2</v>
      </c>
      <c r="CM94" s="101">
        <v>1</v>
      </c>
      <c r="CN94" s="101">
        <v>0</v>
      </c>
      <c r="CO94" s="101">
        <v>0</v>
      </c>
      <c r="CP94" s="101">
        <v>2</v>
      </c>
      <c r="CQ94" s="101">
        <v>1</v>
      </c>
      <c r="CR94" s="101">
        <v>0</v>
      </c>
      <c r="CS94" s="101">
        <v>0</v>
      </c>
      <c r="CT94" s="102">
        <v>0</v>
      </c>
      <c r="CU94" s="100" t="s">
        <v>406</v>
      </c>
      <c r="CV94" s="101">
        <v>3</v>
      </c>
      <c r="CW94" s="101">
        <v>1</v>
      </c>
      <c r="CX94" s="101">
        <v>1</v>
      </c>
      <c r="CY94" s="101">
        <v>0</v>
      </c>
      <c r="CZ94" s="101">
        <v>1</v>
      </c>
      <c r="DA94" s="101">
        <v>0</v>
      </c>
      <c r="DB94" s="101">
        <v>0</v>
      </c>
      <c r="DC94" s="101">
        <v>0</v>
      </c>
      <c r="DD94" s="102">
        <v>1</v>
      </c>
      <c r="DE94" s="100" t="s">
        <v>331</v>
      </c>
      <c r="DF94" s="101">
        <v>4</v>
      </c>
      <c r="DG94" s="101">
        <v>0</v>
      </c>
      <c r="DH94" s="101">
        <v>1</v>
      </c>
      <c r="DI94" s="101">
        <v>0</v>
      </c>
      <c r="DJ94" s="101">
        <v>0</v>
      </c>
      <c r="DK94" s="101">
        <v>0</v>
      </c>
      <c r="DL94" s="101">
        <v>0</v>
      </c>
      <c r="DM94" s="101">
        <v>0</v>
      </c>
      <c r="DN94" s="102">
        <v>1</v>
      </c>
      <c r="DO94" s="100" t="s">
        <v>330</v>
      </c>
      <c r="DP94" s="101">
        <v>3</v>
      </c>
      <c r="DQ94" s="101">
        <v>0</v>
      </c>
      <c r="DR94" s="101">
        <v>1</v>
      </c>
      <c r="DS94" s="101">
        <v>2</v>
      </c>
      <c r="DT94" s="101">
        <v>0</v>
      </c>
      <c r="DU94" s="101">
        <v>2</v>
      </c>
      <c r="DV94" s="101">
        <v>0</v>
      </c>
      <c r="DW94" s="101">
        <v>0</v>
      </c>
      <c r="DX94" s="102">
        <v>1</v>
      </c>
      <c r="DY94" s="103">
        <v>1</v>
      </c>
      <c r="DZ94" s="104">
        <v>0</v>
      </c>
      <c r="EA94" s="104">
        <v>0</v>
      </c>
      <c r="EB94" s="105">
        <v>8</v>
      </c>
      <c r="EC94" s="104">
        <v>0</v>
      </c>
      <c r="ED94" s="106">
        <v>0</v>
      </c>
      <c r="EE94" s="107">
        <v>0</v>
      </c>
      <c r="EF94" s="104">
        <v>0</v>
      </c>
      <c r="EG94" s="104">
        <v>0</v>
      </c>
      <c r="EH94" s="104">
        <v>0</v>
      </c>
      <c r="EI94" s="104">
        <v>2</v>
      </c>
      <c r="EJ94" s="104">
        <v>0</v>
      </c>
      <c r="EK94" s="104">
        <v>0</v>
      </c>
      <c r="EL94" s="104">
        <v>0</v>
      </c>
      <c r="EM94" s="104">
        <v>0</v>
      </c>
      <c r="EN94" s="104"/>
      <c r="EO94" s="104"/>
      <c r="EP94" s="104"/>
      <c r="EQ94" s="106">
        <f t="shared" si="16"/>
        <v>2</v>
      </c>
      <c r="ER94" s="104">
        <v>1</v>
      </c>
      <c r="ES94" s="104">
        <v>0</v>
      </c>
      <c r="ET94" s="104">
        <v>0</v>
      </c>
      <c r="EU94" s="104">
        <v>4</v>
      </c>
      <c r="EV94" s="104">
        <v>1</v>
      </c>
      <c r="EW94" s="104">
        <v>0</v>
      </c>
      <c r="EX94" s="104">
        <v>0</v>
      </c>
      <c r="EY94" s="104">
        <v>0</v>
      </c>
      <c r="EZ94" s="104">
        <v>0</v>
      </c>
      <c r="FA94" s="104"/>
      <c r="FB94" s="104"/>
      <c r="FC94" s="104"/>
      <c r="FD94" s="104">
        <f t="shared" si="17"/>
        <v>6</v>
      </c>
      <c r="FE94" s="108">
        <f t="shared" si="18"/>
        <v>0</v>
      </c>
      <c r="FF94" s="108">
        <f t="shared" si="19"/>
        <v>0</v>
      </c>
      <c r="FG94" s="109"/>
    </row>
    <row r="95" spans="1:163" x14ac:dyDescent="0.25">
      <c r="A95" s="204">
        <v>40375</v>
      </c>
      <c r="B95" s="204" t="s">
        <v>19</v>
      </c>
      <c r="C95" s="204" t="s">
        <v>131</v>
      </c>
      <c r="D95" s="204" t="s">
        <v>358</v>
      </c>
      <c r="E95" s="205">
        <v>8295</v>
      </c>
      <c r="F95" s="206">
        <v>3</v>
      </c>
      <c r="G95" s="207" t="s">
        <v>326</v>
      </c>
      <c r="H95" s="208">
        <v>0</v>
      </c>
      <c r="I95" s="208">
        <v>1</v>
      </c>
      <c r="J95" s="209">
        <v>5</v>
      </c>
      <c r="K95" s="208">
        <v>7</v>
      </c>
      <c r="L95" s="208">
        <v>5</v>
      </c>
      <c r="M95" s="208">
        <v>5</v>
      </c>
      <c r="N95" s="208">
        <v>2</v>
      </c>
      <c r="O95" s="208">
        <v>2</v>
      </c>
      <c r="P95" s="208">
        <v>3</v>
      </c>
      <c r="Q95" s="208">
        <v>0</v>
      </c>
      <c r="R95" s="208">
        <v>23</v>
      </c>
      <c r="S95" s="208">
        <v>75</v>
      </c>
      <c r="T95" s="208">
        <v>45</v>
      </c>
      <c r="U95" s="208">
        <v>1</v>
      </c>
      <c r="V95" s="210">
        <v>0</v>
      </c>
      <c r="W95" s="211">
        <v>0</v>
      </c>
      <c r="X95" s="211">
        <v>0</v>
      </c>
      <c r="Y95" s="211">
        <v>0</v>
      </c>
      <c r="Z95" s="211">
        <v>0</v>
      </c>
      <c r="AA95" s="211">
        <v>0</v>
      </c>
      <c r="AB95" s="212">
        <v>4</v>
      </c>
      <c r="AC95" s="211">
        <v>4</v>
      </c>
      <c r="AD95" s="211">
        <v>1</v>
      </c>
      <c r="AE95" s="211">
        <v>1</v>
      </c>
      <c r="AF95" s="211">
        <v>2</v>
      </c>
      <c r="AG95" s="211">
        <v>6</v>
      </c>
      <c r="AH95" s="211">
        <v>0</v>
      </c>
      <c r="AI95" s="211">
        <v>0</v>
      </c>
      <c r="AJ95" s="211">
        <v>18</v>
      </c>
      <c r="AK95" s="211">
        <v>76</v>
      </c>
      <c r="AL95" s="211">
        <v>50</v>
      </c>
      <c r="AM95" s="213" t="s">
        <v>399</v>
      </c>
      <c r="AN95" s="214">
        <v>4</v>
      </c>
      <c r="AO95" s="214">
        <v>0</v>
      </c>
      <c r="AP95" s="214">
        <v>0</v>
      </c>
      <c r="AQ95" s="214">
        <v>0</v>
      </c>
      <c r="AR95" s="214">
        <v>0</v>
      </c>
      <c r="AS95" s="214">
        <v>1</v>
      </c>
      <c r="AT95" s="214">
        <v>0</v>
      </c>
      <c r="AU95" s="214">
        <v>0</v>
      </c>
      <c r="AV95" s="215">
        <v>0</v>
      </c>
      <c r="AW95" s="213" t="s">
        <v>345</v>
      </c>
      <c r="AX95" s="214">
        <v>3</v>
      </c>
      <c r="AY95" s="214">
        <v>1</v>
      </c>
      <c r="AZ95" s="214">
        <v>0</v>
      </c>
      <c r="BA95" s="214">
        <v>0</v>
      </c>
      <c r="BB95" s="214">
        <v>1</v>
      </c>
      <c r="BC95" s="214">
        <v>2</v>
      </c>
      <c r="BD95" s="214">
        <v>0</v>
      </c>
      <c r="BE95" s="214">
        <v>0</v>
      </c>
      <c r="BF95" s="215">
        <v>0</v>
      </c>
      <c r="BG95" s="213" t="s">
        <v>400</v>
      </c>
      <c r="BH95" s="214">
        <v>4</v>
      </c>
      <c r="BI95" s="214">
        <v>0</v>
      </c>
      <c r="BJ95" s="214">
        <v>0</v>
      </c>
      <c r="BK95" s="214">
        <v>0</v>
      </c>
      <c r="BL95" s="214">
        <v>0</v>
      </c>
      <c r="BM95" s="214">
        <v>1</v>
      </c>
      <c r="BN95" s="214">
        <v>0</v>
      </c>
      <c r="BO95" s="214">
        <v>0</v>
      </c>
      <c r="BP95" s="215">
        <v>0</v>
      </c>
      <c r="BQ95" s="213" t="s">
        <v>332</v>
      </c>
      <c r="BR95" s="214">
        <v>2</v>
      </c>
      <c r="BS95" s="214">
        <v>1</v>
      </c>
      <c r="BT95" s="214">
        <v>0</v>
      </c>
      <c r="BU95" s="214">
        <v>0</v>
      </c>
      <c r="BV95" s="214">
        <v>2</v>
      </c>
      <c r="BW95" s="214">
        <v>0</v>
      </c>
      <c r="BX95" s="214">
        <v>0</v>
      </c>
      <c r="BY95" s="214">
        <v>0</v>
      </c>
      <c r="BZ95" s="215">
        <v>0</v>
      </c>
      <c r="CA95" s="213" t="s">
        <v>403</v>
      </c>
      <c r="CB95" s="214">
        <v>3</v>
      </c>
      <c r="CC95" s="214">
        <v>1</v>
      </c>
      <c r="CD95" s="214">
        <v>2</v>
      </c>
      <c r="CE95" s="214">
        <v>2</v>
      </c>
      <c r="CF95" s="214">
        <v>1</v>
      </c>
      <c r="CG95" s="214">
        <v>0</v>
      </c>
      <c r="CH95" s="214">
        <v>0</v>
      </c>
      <c r="CI95" s="214">
        <v>0</v>
      </c>
      <c r="CJ95" s="215">
        <v>5</v>
      </c>
      <c r="CK95" s="213" t="s">
        <v>405</v>
      </c>
      <c r="CL95" s="214">
        <v>4</v>
      </c>
      <c r="CM95" s="214">
        <v>1</v>
      </c>
      <c r="CN95" s="214">
        <v>1</v>
      </c>
      <c r="CO95" s="214">
        <v>1</v>
      </c>
      <c r="CP95" s="214">
        <v>0</v>
      </c>
      <c r="CQ95" s="214">
        <v>1</v>
      </c>
      <c r="CR95" s="214">
        <v>0</v>
      </c>
      <c r="CS95" s="214">
        <v>0</v>
      </c>
      <c r="CT95" s="215">
        <v>2</v>
      </c>
      <c r="CU95" s="213" t="s">
        <v>406</v>
      </c>
      <c r="CV95" s="214">
        <v>4</v>
      </c>
      <c r="CW95" s="214">
        <v>0</v>
      </c>
      <c r="CX95" s="214">
        <v>0</v>
      </c>
      <c r="CY95" s="214">
        <v>0</v>
      </c>
      <c r="CZ95" s="214">
        <v>0</v>
      </c>
      <c r="DA95" s="214">
        <v>2</v>
      </c>
      <c r="DB95" s="214">
        <v>0</v>
      </c>
      <c r="DC95" s="214">
        <v>0</v>
      </c>
      <c r="DD95" s="215">
        <v>0</v>
      </c>
      <c r="DE95" s="213" t="s">
        <v>336</v>
      </c>
      <c r="DF95" s="214">
        <v>4</v>
      </c>
      <c r="DG95" s="214">
        <v>0</v>
      </c>
      <c r="DH95" s="214">
        <v>0</v>
      </c>
      <c r="DI95" s="214">
        <v>0</v>
      </c>
      <c r="DJ95" s="214">
        <v>0</v>
      </c>
      <c r="DK95" s="214">
        <v>3</v>
      </c>
      <c r="DL95" s="214">
        <v>0</v>
      </c>
      <c r="DM95" s="214">
        <v>0</v>
      </c>
      <c r="DN95" s="215">
        <v>0</v>
      </c>
      <c r="DO95" s="213" t="s">
        <v>401</v>
      </c>
      <c r="DP95" s="214">
        <v>4</v>
      </c>
      <c r="DQ95" s="214">
        <v>0</v>
      </c>
      <c r="DR95" s="214">
        <v>1</v>
      </c>
      <c r="DS95" s="214">
        <v>0</v>
      </c>
      <c r="DT95" s="214">
        <v>0</v>
      </c>
      <c r="DU95" s="214">
        <v>1</v>
      </c>
      <c r="DV95" s="214">
        <v>0</v>
      </c>
      <c r="DW95" s="214">
        <v>0</v>
      </c>
      <c r="DX95" s="215">
        <v>1</v>
      </c>
      <c r="DY95" s="216">
        <v>1</v>
      </c>
      <c r="DZ95" s="217">
        <v>0</v>
      </c>
      <c r="EA95" s="217">
        <v>0</v>
      </c>
      <c r="EB95" s="218">
        <v>8</v>
      </c>
      <c r="EC95" s="217">
        <v>0</v>
      </c>
      <c r="ED95" s="219">
        <v>0</v>
      </c>
      <c r="EE95" s="220">
        <v>0</v>
      </c>
      <c r="EF95" s="217">
        <v>0</v>
      </c>
      <c r="EG95" s="217">
        <v>0</v>
      </c>
      <c r="EH95" s="217">
        <v>1</v>
      </c>
      <c r="EI95" s="217">
        <v>0</v>
      </c>
      <c r="EJ95" s="217">
        <v>0</v>
      </c>
      <c r="EK95" s="217">
        <v>0</v>
      </c>
      <c r="EL95" s="217">
        <v>0</v>
      </c>
      <c r="EM95" s="217">
        <v>3</v>
      </c>
      <c r="EN95" s="217"/>
      <c r="EO95" s="217"/>
      <c r="EP95" s="217"/>
      <c r="EQ95" s="219">
        <f t="shared" si="16"/>
        <v>4</v>
      </c>
      <c r="ER95" s="217">
        <v>0</v>
      </c>
      <c r="ES95" s="217">
        <v>0</v>
      </c>
      <c r="ET95" s="217">
        <v>3</v>
      </c>
      <c r="EU95" s="217">
        <v>2</v>
      </c>
      <c r="EV95" s="217">
        <v>0</v>
      </c>
      <c r="EW95" s="217">
        <v>0</v>
      </c>
      <c r="EX95" s="217">
        <v>1</v>
      </c>
      <c r="EY95" s="217">
        <v>0</v>
      </c>
      <c r="EZ95" s="217">
        <v>0</v>
      </c>
      <c r="FA95" s="217"/>
      <c r="FB95" s="217"/>
      <c r="FC95" s="217"/>
      <c r="FD95" s="217">
        <f t="shared" si="17"/>
        <v>6</v>
      </c>
      <c r="FE95" s="221">
        <f t="shared" si="18"/>
        <v>0</v>
      </c>
      <c r="FF95" s="221">
        <f t="shared" si="19"/>
        <v>0</v>
      </c>
      <c r="FG95" s="222"/>
    </row>
    <row r="96" spans="1:163" x14ac:dyDescent="0.25">
      <c r="A96" s="204">
        <v>40376</v>
      </c>
      <c r="B96" s="204" t="s">
        <v>133</v>
      </c>
      <c r="C96" s="204" t="s">
        <v>129</v>
      </c>
      <c r="D96" s="204" t="s">
        <v>358</v>
      </c>
      <c r="E96" s="205">
        <v>9182</v>
      </c>
      <c r="F96" s="206">
        <v>4</v>
      </c>
      <c r="G96" s="207" t="s">
        <v>337</v>
      </c>
      <c r="H96" s="208">
        <v>1</v>
      </c>
      <c r="I96" s="208">
        <v>0</v>
      </c>
      <c r="J96" s="209">
        <v>6</v>
      </c>
      <c r="K96" s="208">
        <v>6</v>
      </c>
      <c r="L96" s="208">
        <v>1</v>
      </c>
      <c r="M96" s="208">
        <v>1</v>
      </c>
      <c r="N96" s="208">
        <v>1</v>
      </c>
      <c r="O96" s="208">
        <v>5</v>
      </c>
      <c r="P96" s="208">
        <v>1</v>
      </c>
      <c r="Q96" s="208">
        <v>0</v>
      </c>
      <c r="R96" s="208">
        <v>24</v>
      </c>
      <c r="S96" s="208">
        <v>89</v>
      </c>
      <c r="T96" s="208">
        <v>53</v>
      </c>
      <c r="U96" s="208">
        <v>0</v>
      </c>
      <c r="V96" s="210">
        <v>0</v>
      </c>
      <c r="W96" s="211">
        <v>0</v>
      </c>
      <c r="X96" s="211">
        <v>0</v>
      </c>
      <c r="Y96" s="211">
        <v>2</v>
      </c>
      <c r="Z96" s="211">
        <v>1</v>
      </c>
      <c r="AA96" s="211">
        <v>0</v>
      </c>
      <c r="AB96" s="212">
        <v>3</v>
      </c>
      <c r="AC96" s="211">
        <v>2</v>
      </c>
      <c r="AD96" s="211">
        <v>0</v>
      </c>
      <c r="AE96" s="211">
        <v>0</v>
      </c>
      <c r="AF96" s="211">
        <v>1</v>
      </c>
      <c r="AG96" s="211">
        <v>5</v>
      </c>
      <c r="AH96" s="211">
        <v>0</v>
      </c>
      <c r="AI96" s="211">
        <v>0</v>
      </c>
      <c r="AJ96" s="211">
        <v>12</v>
      </c>
      <c r="AK96" s="211">
        <v>51</v>
      </c>
      <c r="AL96" s="211">
        <v>35</v>
      </c>
      <c r="AM96" s="213" t="s">
        <v>399</v>
      </c>
      <c r="AN96" s="214">
        <v>5</v>
      </c>
      <c r="AO96" s="214">
        <v>0</v>
      </c>
      <c r="AP96" s="214">
        <v>1</v>
      </c>
      <c r="AQ96" s="214">
        <v>0</v>
      </c>
      <c r="AR96" s="214">
        <v>0</v>
      </c>
      <c r="AS96" s="214">
        <v>1</v>
      </c>
      <c r="AT96" s="214">
        <v>0</v>
      </c>
      <c r="AU96" s="214">
        <v>0</v>
      </c>
      <c r="AV96" s="215">
        <v>1</v>
      </c>
      <c r="AW96" s="213" t="s">
        <v>345</v>
      </c>
      <c r="AX96" s="214">
        <v>3</v>
      </c>
      <c r="AY96" s="214">
        <v>0</v>
      </c>
      <c r="AZ96" s="214">
        <v>0</v>
      </c>
      <c r="BA96" s="214">
        <v>1</v>
      </c>
      <c r="BB96" s="214">
        <v>1</v>
      </c>
      <c r="BC96" s="214">
        <v>0</v>
      </c>
      <c r="BD96" s="214">
        <v>0</v>
      </c>
      <c r="BE96" s="214">
        <v>1</v>
      </c>
      <c r="BF96" s="215">
        <v>0</v>
      </c>
      <c r="BG96" s="213" t="s">
        <v>403</v>
      </c>
      <c r="BH96" s="214">
        <v>3</v>
      </c>
      <c r="BI96" s="214">
        <v>1</v>
      </c>
      <c r="BJ96" s="214">
        <v>0</v>
      </c>
      <c r="BK96" s="214">
        <v>0</v>
      </c>
      <c r="BL96" s="214">
        <v>2</v>
      </c>
      <c r="BM96" s="214">
        <v>1</v>
      </c>
      <c r="BN96" s="214">
        <v>0</v>
      </c>
      <c r="BO96" s="214">
        <v>0</v>
      </c>
      <c r="BP96" s="215">
        <v>0</v>
      </c>
      <c r="BQ96" s="213" t="s">
        <v>332</v>
      </c>
      <c r="BR96" s="214">
        <v>3</v>
      </c>
      <c r="BS96" s="214">
        <v>0</v>
      </c>
      <c r="BT96" s="214">
        <v>0</v>
      </c>
      <c r="BU96" s="214">
        <v>0</v>
      </c>
      <c r="BV96" s="214">
        <v>1</v>
      </c>
      <c r="BW96" s="214">
        <v>1</v>
      </c>
      <c r="BX96" s="214">
        <v>1</v>
      </c>
      <c r="BY96" s="214">
        <v>0</v>
      </c>
      <c r="BZ96" s="215">
        <v>0</v>
      </c>
      <c r="CA96" s="213" t="s">
        <v>405</v>
      </c>
      <c r="CB96" s="214">
        <v>4</v>
      </c>
      <c r="CC96" s="214">
        <v>0</v>
      </c>
      <c r="CD96" s="214">
        <v>3</v>
      </c>
      <c r="CE96" s="214">
        <v>1</v>
      </c>
      <c r="CF96" s="214">
        <v>0</v>
      </c>
      <c r="CG96" s="214">
        <v>0</v>
      </c>
      <c r="CH96" s="214">
        <v>0</v>
      </c>
      <c r="CI96" s="214">
        <v>0</v>
      </c>
      <c r="CJ96" s="215">
        <v>4</v>
      </c>
      <c r="CK96" s="213" t="s">
        <v>331</v>
      </c>
      <c r="CL96" s="214">
        <v>4</v>
      </c>
      <c r="CM96" s="214">
        <v>0</v>
      </c>
      <c r="CN96" s="214">
        <v>0</v>
      </c>
      <c r="CO96" s="214">
        <v>0</v>
      </c>
      <c r="CP96" s="214">
        <v>0</v>
      </c>
      <c r="CQ96" s="214">
        <v>0</v>
      </c>
      <c r="CR96" s="214">
        <v>0</v>
      </c>
      <c r="CS96" s="214">
        <v>0</v>
      </c>
      <c r="CT96" s="215">
        <v>0</v>
      </c>
      <c r="CU96" s="213" t="s">
        <v>407</v>
      </c>
      <c r="CV96" s="214">
        <v>4</v>
      </c>
      <c r="CW96" s="214">
        <v>0</v>
      </c>
      <c r="CX96" s="214">
        <v>1</v>
      </c>
      <c r="CY96" s="214">
        <v>0</v>
      </c>
      <c r="CZ96" s="214">
        <v>0</v>
      </c>
      <c r="DA96" s="214">
        <v>0</v>
      </c>
      <c r="DB96" s="214">
        <v>0</v>
      </c>
      <c r="DC96" s="214">
        <v>0</v>
      </c>
      <c r="DD96" s="215">
        <v>1</v>
      </c>
      <c r="DE96" s="213" t="s">
        <v>336</v>
      </c>
      <c r="DF96" s="214">
        <v>3</v>
      </c>
      <c r="DG96" s="214">
        <v>1</v>
      </c>
      <c r="DH96" s="214">
        <v>0</v>
      </c>
      <c r="DI96" s="214">
        <v>0</v>
      </c>
      <c r="DJ96" s="214">
        <v>0</v>
      </c>
      <c r="DK96" s="214">
        <v>2</v>
      </c>
      <c r="DL96" s="214">
        <v>1</v>
      </c>
      <c r="DM96" s="214">
        <v>0</v>
      </c>
      <c r="DN96" s="215">
        <v>0</v>
      </c>
      <c r="DO96" s="213" t="s">
        <v>330</v>
      </c>
      <c r="DP96" s="214">
        <v>3</v>
      </c>
      <c r="DQ96" s="214">
        <v>0</v>
      </c>
      <c r="DR96" s="214">
        <v>1</v>
      </c>
      <c r="DS96" s="214">
        <v>0</v>
      </c>
      <c r="DT96" s="214">
        <v>0</v>
      </c>
      <c r="DU96" s="214">
        <v>1</v>
      </c>
      <c r="DV96" s="214">
        <v>0</v>
      </c>
      <c r="DW96" s="214">
        <v>0</v>
      </c>
      <c r="DX96" s="215">
        <v>2</v>
      </c>
      <c r="DY96" s="216">
        <v>0</v>
      </c>
      <c r="DZ96" s="217">
        <v>0</v>
      </c>
      <c r="EA96" s="217">
        <v>0</v>
      </c>
      <c r="EB96" s="218">
        <v>9</v>
      </c>
      <c r="EC96" s="217">
        <v>3</v>
      </c>
      <c r="ED96" s="219">
        <v>0</v>
      </c>
      <c r="EE96" s="220">
        <v>1</v>
      </c>
      <c r="EF96" s="217">
        <v>0</v>
      </c>
      <c r="EG96" s="217">
        <v>0</v>
      </c>
      <c r="EH96" s="217">
        <v>1</v>
      </c>
      <c r="EI96" s="217">
        <v>0</v>
      </c>
      <c r="EJ96" s="217">
        <v>0</v>
      </c>
      <c r="EK96" s="217">
        <v>0</v>
      </c>
      <c r="EL96" s="217">
        <v>0</v>
      </c>
      <c r="EM96" s="217">
        <v>0</v>
      </c>
      <c r="EN96" s="217"/>
      <c r="EO96" s="217"/>
      <c r="EP96" s="217"/>
      <c r="EQ96" s="219">
        <f t="shared" si="16"/>
        <v>2</v>
      </c>
      <c r="ER96" s="217">
        <v>0</v>
      </c>
      <c r="ES96" s="217">
        <v>0</v>
      </c>
      <c r="ET96" s="217">
        <v>0</v>
      </c>
      <c r="EU96" s="217">
        <v>1</v>
      </c>
      <c r="EV96" s="217">
        <v>0</v>
      </c>
      <c r="EW96" s="217">
        <v>0</v>
      </c>
      <c r="EX96" s="217">
        <v>0</v>
      </c>
      <c r="EY96" s="217">
        <v>0</v>
      </c>
      <c r="EZ96" s="217">
        <v>0</v>
      </c>
      <c r="FA96" s="217"/>
      <c r="FB96" s="217"/>
      <c r="FC96" s="217"/>
      <c r="FD96" s="217">
        <f t="shared" si="17"/>
        <v>1</v>
      </c>
      <c r="FE96" s="221">
        <f t="shared" si="18"/>
        <v>0</v>
      </c>
      <c r="FF96" s="221">
        <f t="shared" si="19"/>
        <v>0</v>
      </c>
      <c r="FG96" s="222"/>
    </row>
    <row r="97" spans="1:163" x14ac:dyDescent="0.25">
      <c r="A97" s="204">
        <v>40377</v>
      </c>
      <c r="B97" s="204" t="s">
        <v>133</v>
      </c>
      <c r="C97" s="204" t="s">
        <v>131</v>
      </c>
      <c r="D97" s="204" t="s">
        <v>358</v>
      </c>
      <c r="E97" s="205">
        <v>2429</v>
      </c>
      <c r="F97" s="206">
        <v>5</v>
      </c>
      <c r="G97" s="207" t="s">
        <v>339</v>
      </c>
      <c r="H97" s="208">
        <v>0</v>
      </c>
      <c r="I97" s="208">
        <v>0</v>
      </c>
      <c r="J97" s="209">
        <v>5</v>
      </c>
      <c r="K97" s="208">
        <v>5</v>
      </c>
      <c r="L97" s="208">
        <v>4</v>
      </c>
      <c r="M97" s="208">
        <v>4</v>
      </c>
      <c r="N97" s="208">
        <v>3</v>
      </c>
      <c r="O97" s="208">
        <v>4</v>
      </c>
      <c r="P97" s="208">
        <v>1</v>
      </c>
      <c r="Q97" s="208">
        <v>0</v>
      </c>
      <c r="R97" s="208">
        <v>23</v>
      </c>
      <c r="S97" s="208">
        <v>86</v>
      </c>
      <c r="T97" s="208">
        <v>53</v>
      </c>
      <c r="U97" s="208">
        <v>0</v>
      </c>
      <c r="V97" s="210">
        <v>0</v>
      </c>
      <c r="W97" s="211">
        <v>0</v>
      </c>
      <c r="X97" s="211">
        <v>1</v>
      </c>
      <c r="Y97" s="211">
        <v>0</v>
      </c>
      <c r="Z97" s="211">
        <v>0</v>
      </c>
      <c r="AA97" s="211">
        <v>0</v>
      </c>
      <c r="AB97" s="212">
        <v>3</v>
      </c>
      <c r="AC97" s="211">
        <v>5</v>
      </c>
      <c r="AD97" s="211">
        <v>4</v>
      </c>
      <c r="AE97" s="211">
        <v>4</v>
      </c>
      <c r="AF97" s="211">
        <v>2</v>
      </c>
      <c r="AG97" s="211">
        <v>3</v>
      </c>
      <c r="AH97" s="211">
        <v>0</v>
      </c>
      <c r="AI97" s="211">
        <v>0</v>
      </c>
      <c r="AJ97" s="211">
        <v>16</v>
      </c>
      <c r="AK97" s="211">
        <v>49</v>
      </c>
      <c r="AL97" s="211">
        <v>31</v>
      </c>
      <c r="AM97" s="213" t="s">
        <v>399</v>
      </c>
      <c r="AN97" s="214">
        <v>5</v>
      </c>
      <c r="AO97" s="214">
        <v>0</v>
      </c>
      <c r="AP97" s="214">
        <v>0</v>
      </c>
      <c r="AQ97" s="214">
        <v>0</v>
      </c>
      <c r="AR97" s="214">
        <v>0</v>
      </c>
      <c r="AS97" s="214">
        <v>1</v>
      </c>
      <c r="AT97" s="214">
        <v>0</v>
      </c>
      <c r="AU97" s="214">
        <v>0</v>
      </c>
      <c r="AV97" s="215">
        <v>0</v>
      </c>
      <c r="AW97" s="213" t="s">
        <v>401</v>
      </c>
      <c r="AX97" s="214">
        <v>5</v>
      </c>
      <c r="AY97" s="214">
        <v>0</v>
      </c>
      <c r="AZ97" s="214">
        <v>0</v>
      </c>
      <c r="BA97" s="214">
        <v>0</v>
      </c>
      <c r="BB97" s="214">
        <v>0</v>
      </c>
      <c r="BC97" s="214">
        <v>1</v>
      </c>
      <c r="BD97" s="214">
        <v>0</v>
      </c>
      <c r="BE97" s="214">
        <v>0</v>
      </c>
      <c r="BF97" s="215">
        <v>0</v>
      </c>
      <c r="BG97" s="213" t="s">
        <v>345</v>
      </c>
      <c r="BH97" s="214">
        <v>5</v>
      </c>
      <c r="BI97" s="214">
        <v>1</v>
      </c>
      <c r="BJ97" s="214">
        <v>2</v>
      </c>
      <c r="BK97" s="214">
        <v>0</v>
      </c>
      <c r="BL97" s="214">
        <v>0</v>
      </c>
      <c r="BM97" s="214">
        <v>0</v>
      </c>
      <c r="BN97" s="214">
        <v>0</v>
      </c>
      <c r="BO97" s="214">
        <v>0</v>
      </c>
      <c r="BP97" s="215">
        <v>3</v>
      </c>
      <c r="BQ97" s="213" t="s">
        <v>332</v>
      </c>
      <c r="BR97" s="214">
        <v>3</v>
      </c>
      <c r="BS97" s="214">
        <v>1</v>
      </c>
      <c r="BT97" s="214">
        <v>1</v>
      </c>
      <c r="BU97" s="214">
        <v>2</v>
      </c>
      <c r="BV97" s="214">
        <v>2</v>
      </c>
      <c r="BW97" s="214">
        <v>1</v>
      </c>
      <c r="BX97" s="214">
        <v>0</v>
      </c>
      <c r="BY97" s="214">
        <v>0</v>
      </c>
      <c r="BZ97" s="215">
        <v>4</v>
      </c>
      <c r="CA97" s="213" t="s">
        <v>405</v>
      </c>
      <c r="CB97" s="214">
        <v>4</v>
      </c>
      <c r="CC97" s="214">
        <v>2</v>
      </c>
      <c r="CD97" s="214">
        <v>2</v>
      </c>
      <c r="CE97" s="214">
        <v>1</v>
      </c>
      <c r="CF97" s="214">
        <v>1</v>
      </c>
      <c r="CG97" s="214">
        <v>1</v>
      </c>
      <c r="CH97" s="214">
        <v>0</v>
      </c>
      <c r="CI97" s="214">
        <v>0</v>
      </c>
      <c r="CJ97" s="215">
        <v>5</v>
      </c>
      <c r="CK97" s="213" t="s">
        <v>406</v>
      </c>
      <c r="CL97" s="214">
        <v>3</v>
      </c>
      <c r="CM97" s="214">
        <v>0</v>
      </c>
      <c r="CN97" s="214">
        <v>0</v>
      </c>
      <c r="CO97" s="214">
        <v>0</v>
      </c>
      <c r="CP97" s="214">
        <v>0</v>
      </c>
      <c r="CQ97" s="214">
        <v>2</v>
      </c>
      <c r="CR97" s="214">
        <v>0</v>
      </c>
      <c r="CS97" s="214">
        <v>0</v>
      </c>
      <c r="CT97" s="215">
        <v>0</v>
      </c>
      <c r="CU97" s="213" t="s">
        <v>331</v>
      </c>
      <c r="CV97" s="214">
        <v>4</v>
      </c>
      <c r="CW97" s="214">
        <v>0</v>
      </c>
      <c r="CX97" s="214">
        <v>1</v>
      </c>
      <c r="CY97" s="214">
        <v>0</v>
      </c>
      <c r="CZ97" s="214">
        <v>0</v>
      </c>
      <c r="DA97" s="214">
        <v>0</v>
      </c>
      <c r="DB97" s="214">
        <v>0</v>
      </c>
      <c r="DC97" s="214">
        <v>0</v>
      </c>
      <c r="DD97" s="215">
        <v>1</v>
      </c>
      <c r="DE97" s="213" t="s">
        <v>407</v>
      </c>
      <c r="DF97" s="214">
        <v>3</v>
      </c>
      <c r="DG97" s="214">
        <v>0</v>
      </c>
      <c r="DH97" s="214">
        <v>1</v>
      </c>
      <c r="DI97" s="214">
        <v>0</v>
      </c>
      <c r="DJ97" s="214">
        <v>1</v>
      </c>
      <c r="DK97" s="214">
        <v>0</v>
      </c>
      <c r="DL97" s="214">
        <v>0</v>
      </c>
      <c r="DM97" s="214">
        <v>0</v>
      </c>
      <c r="DN97" s="215">
        <v>1</v>
      </c>
      <c r="DO97" s="213" t="s">
        <v>330</v>
      </c>
      <c r="DP97" s="214">
        <v>4</v>
      </c>
      <c r="DQ97" s="214">
        <v>0</v>
      </c>
      <c r="DR97" s="214">
        <v>3</v>
      </c>
      <c r="DS97" s="214">
        <v>1</v>
      </c>
      <c r="DT97" s="214">
        <v>0</v>
      </c>
      <c r="DU97" s="214">
        <v>1</v>
      </c>
      <c r="DV97" s="214">
        <v>0</v>
      </c>
      <c r="DW97" s="214">
        <v>0</v>
      </c>
      <c r="DX97" s="215">
        <v>3</v>
      </c>
      <c r="DY97" s="216">
        <f>2+2/3</f>
        <v>2.6666666666666665</v>
      </c>
      <c r="DZ97" s="217">
        <v>0</v>
      </c>
      <c r="EA97" s="217">
        <v>0</v>
      </c>
      <c r="EB97" s="218">
        <f>6+1/3</f>
        <v>6.333333333333333</v>
      </c>
      <c r="EC97" s="217">
        <v>1</v>
      </c>
      <c r="ED97" s="219">
        <v>0</v>
      </c>
      <c r="EE97" s="220">
        <v>0</v>
      </c>
      <c r="EF97" s="217">
        <v>1</v>
      </c>
      <c r="EG97" s="217">
        <v>0</v>
      </c>
      <c r="EH97" s="217">
        <v>3</v>
      </c>
      <c r="EI97" s="217">
        <v>0</v>
      </c>
      <c r="EJ97" s="217">
        <v>0</v>
      </c>
      <c r="EK97" s="217">
        <v>0</v>
      </c>
      <c r="EL97" s="217">
        <v>0</v>
      </c>
      <c r="EM97" s="217">
        <v>0</v>
      </c>
      <c r="EN97" s="217"/>
      <c r="EO97" s="217"/>
      <c r="EP97" s="217"/>
      <c r="EQ97" s="219">
        <f t="shared" si="16"/>
        <v>4</v>
      </c>
      <c r="ER97" s="217">
        <v>3</v>
      </c>
      <c r="ES97" s="217">
        <v>0</v>
      </c>
      <c r="ET97" s="217">
        <v>0</v>
      </c>
      <c r="EU97" s="217">
        <v>1</v>
      </c>
      <c r="EV97" s="217">
        <v>0</v>
      </c>
      <c r="EW97" s="217">
        <v>1</v>
      </c>
      <c r="EX97" s="217">
        <v>3</v>
      </c>
      <c r="EY97" s="217">
        <v>0</v>
      </c>
      <c r="EZ97" s="217"/>
      <c r="FA97" s="217"/>
      <c r="FB97" s="217"/>
      <c r="FC97" s="217"/>
      <c r="FD97" s="217">
        <f t="shared" si="17"/>
        <v>8</v>
      </c>
      <c r="FE97" s="221">
        <f t="shared" si="18"/>
        <v>0</v>
      </c>
      <c r="FF97" s="221">
        <f t="shared" si="19"/>
        <v>0</v>
      </c>
      <c r="FG97" s="222"/>
    </row>
    <row r="98" spans="1:163" x14ac:dyDescent="0.25">
      <c r="A98" s="204">
        <v>40378</v>
      </c>
      <c r="B98" s="204" t="s">
        <v>19</v>
      </c>
      <c r="C98" s="204" t="s">
        <v>131</v>
      </c>
      <c r="D98" s="204" t="s">
        <v>355</v>
      </c>
      <c r="E98" s="205">
        <v>3740</v>
      </c>
      <c r="F98" s="206">
        <v>1</v>
      </c>
      <c r="G98" s="207" t="s">
        <v>397</v>
      </c>
      <c r="H98" s="208">
        <v>0</v>
      </c>
      <c r="I98" s="208">
        <v>1</v>
      </c>
      <c r="J98" s="209">
        <f>3+1/3</f>
        <v>3.3333333333333335</v>
      </c>
      <c r="K98" s="208">
        <v>4</v>
      </c>
      <c r="L98" s="208">
        <v>6</v>
      </c>
      <c r="M98" s="208">
        <v>5</v>
      </c>
      <c r="N98" s="208">
        <v>5</v>
      </c>
      <c r="O98" s="208">
        <v>6</v>
      </c>
      <c r="P98" s="208">
        <v>1</v>
      </c>
      <c r="Q98" s="208">
        <v>0</v>
      </c>
      <c r="R98" s="208">
        <v>20</v>
      </c>
      <c r="S98" s="208">
        <v>91</v>
      </c>
      <c r="T98" s="208">
        <v>50</v>
      </c>
      <c r="U98" s="208">
        <v>3</v>
      </c>
      <c r="V98" s="210">
        <v>3</v>
      </c>
      <c r="W98" s="211">
        <v>0</v>
      </c>
      <c r="X98" s="211">
        <v>0</v>
      </c>
      <c r="Y98" s="211">
        <v>0</v>
      </c>
      <c r="Z98" s="211">
        <v>0</v>
      </c>
      <c r="AA98" s="211">
        <v>0</v>
      </c>
      <c r="AB98" s="212">
        <f>5+2/3</f>
        <v>5.666666666666667</v>
      </c>
      <c r="AC98" s="211">
        <v>6</v>
      </c>
      <c r="AD98" s="211">
        <v>2</v>
      </c>
      <c r="AE98" s="211">
        <v>2</v>
      </c>
      <c r="AF98" s="211">
        <v>7</v>
      </c>
      <c r="AG98" s="211">
        <v>5</v>
      </c>
      <c r="AH98" s="211">
        <v>0</v>
      </c>
      <c r="AI98" s="211">
        <v>0</v>
      </c>
      <c r="AJ98" s="211">
        <v>28</v>
      </c>
      <c r="AK98" s="211">
        <v>123</v>
      </c>
      <c r="AL98" s="211">
        <v>76</v>
      </c>
      <c r="AM98" s="213" t="s">
        <v>399</v>
      </c>
      <c r="AN98" s="214">
        <v>3</v>
      </c>
      <c r="AO98" s="214">
        <v>1</v>
      </c>
      <c r="AP98" s="214">
        <v>1</v>
      </c>
      <c r="AQ98" s="214">
        <v>0</v>
      </c>
      <c r="AR98" s="214">
        <v>1</v>
      </c>
      <c r="AS98" s="214">
        <v>0</v>
      </c>
      <c r="AT98" s="214">
        <v>0</v>
      </c>
      <c r="AU98" s="214">
        <v>0</v>
      </c>
      <c r="AV98" s="215">
        <v>1</v>
      </c>
      <c r="AW98" s="213" t="s">
        <v>345</v>
      </c>
      <c r="AX98" s="214">
        <v>4</v>
      </c>
      <c r="AY98" s="214">
        <v>0</v>
      </c>
      <c r="AZ98" s="214">
        <v>0</v>
      </c>
      <c r="BA98" s="214">
        <v>0</v>
      </c>
      <c r="BB98" s="214">
        <v>0</v>
      </c>
      <c r="BC98" s="214">
        <v>1</v>
      </c>
      <c r="BD98" s="214">
        <v>0</v>
      </c>
      <c r="BE98" s="214">
        <v>0</v>
      </c>
      <c r="BF98" s="215">
        <v>0</v>
      </c>
      <c r="BG98" s="213" t="s">
        <v>400</v>
      </c>
      <c r="BH98" s="214">
        <v>4</v>
      </c>
      <c r="BI98" s="214">
        <v>1</v>
      </c>
      <c r="BJ98" s="214">
        <v>2</v>
      </c>
      <c r="BK98" s="214">
        <v>2</v>
      </c>
      <c r="BL98" s="214">
        <v>0</v>
      </c>
      <c r="BM98" s="214">
        <v>1</v>
      </c>
      <c r="BN98" s="214">
        <v>0</v>
      </c>
      <c r="BO98" s="214">
        <v>0</v>
      </c>
      <c r="BP98" s="215">
        <v>5</v>
      </c>
      <c r="BQ98" s="213" t="s">
        <v>332</v>
      </c>
      <c r="BR98" s="214">
        <v>4</v>
      </c>
      <c r="BS98" s="214">
        <v>0</v>
      </c>
      <c r="BT98" s="214">
        <v>2</v>
      </c>
      <c r="BU98" s="214">
        <v>0</v>
      </c>
      <c r="BV98" s="214">
        <v>0</v>
      </c>
      <c r="BW98" s="214">
        <v>0</v>
      </c>
      <c r="BX98" s="214">
        <v>0</v>
      </c>
      <c r="BY98" s="214">
        <v>0</v>
      </c>
      <c r="BZ98" s="215">
        <v>2</v>
      </c>
      <c r="CA98" s="213" t="s">
        <v>405</v>
      </c>
      <c r="CB98" s="214">
        <v>4</v>
      </c>
      <c r="CC98" s="214">
        <v>0</v>
      </c>
      <c r="CD98" s="214">
        <v>1</v>
      </c>
      <c r="CE98" s="214">
        <v>0</v>
      </c>
      <c r="CF98" s="214">
        <v>0</v>
      </c>
      <c r="CG98" s="214">
        <v>1</v>
      </c>
      <c r="CH98" s="214">
        <v>0</v>
      </c>
      <c r="CI98" s="214">
        <v>0</v>
      </c>
      <c r="CJ98" s="215">
        <v>2</v>
      </c>
      <c r="CK98" s="213" t="s">
        <v>403</v>
      </c>
      <c r="CL98" s="214">
        <v>4</v>
      </c>
      <c r="CM98" s="214">
        <v>0</v>
      </c>
      <c r="CN98" s="214">
        <v>0</v>
      </c>
      <c r="CO98" s="214">
        <v>0</v>
      </c>
      <c r="CP98" s="214">
        <v>0</v>
      </c>
      <c r="CQ98" s="214">
        <v>0</v>
      </c>
      <c r="CR98" s="214">
        <v>0</v>
      </c>
      <c r="CS98" s="214">
        <v>0</v>
      </c>
      <c r="CT98" s="215">
        <v>0</v>
      </c>
      <c r="CU98" s="213" t="s">
        <v>406</v>
      </c>
      <c r="CV98" s="214">
        <v>4</v>
      </c>
      <c r="CW98" s="214">
        <v>1</v>
      </c>
      <c r="CX98" s="214">
        <v>2</v>
      </c>
      <c r="CY98" s="214">
        <v>1</v>
      </c>
      <c r="CZ98" s="214">
        <v>0</v>
      </c>
      <c r="DA98" s="214">
        <v>1</v>
      </c>
      <c r="DB98" s="214">
        <v>0</v>
      </c>
      <c r="DC98" s="214">
        <v>0</v>
      </c>
      <c r="DD98" s="215">
        <v>5</v>
      </c>
      <c r="DE98" s="213" t="s">
        <v>331</v>
      </c>
      <c r="DF98" s="214">
        <v>3</v>
      </c>
      <c r="DG98" s="214">
        <v>0</v>
      </c>
      <c r="DH98" s="214">
        <v>0</v>
      </c>
      <c r="DI98" s="214">
        <v>0</v>
      </c>
      <c r="DJ98" s="214">
        <v>1</v>
      </c>
      <c r="DK98" s="214">
        <v>1</v>
      </c>
      <c r="DL98" s="214">
        <v>0</v>
      </c>
      <c r="DM98" s="214">
        <v>0</v>
      </c>
      <c r="DN98" s="215">
        <v>0</v>
      </c>
      <c r="DO98" s="213" t="s">
        <v>330</v>
      </c>
      <c r="DP98" s="214">
        <v>3</v>
      </c>
      <c r="DQ98" s="214">
        <v>0</v>
      </c>
      <c r="DR98" s="214">
        <v>0</v>
      </c>
      <c r="DS98" s="214">
        <v>0</v>
      </c>
      <c r="DT98" s="214">
        <v>0</v>
      </c>
      <c r="DU98" s="214">
        <v>1</v>
      </c>
      <c r="DV98" s="214">
        <v>0</v>
      </c>
      <c r="DW98" s="214">
        <v>0</v>
      </c>
      <c r="DX98" s="215">
        <v>0</v>
      </c>
      <c r="DY98" s="216">
        <v>0</v>
      </c>
      <c r="DZ98" s="217">
        <v>0</v>
      </c>
      <c r="EA98" s="217">
        <v>0</v>
      </c>
      <c r="EB98" s="218">
        <v>9</v>
      </c>
      <c r="EC98" s="217">
        <v>0</v>
      </c>
      <c r="ED98" s="219">
        <v>1</v>
      </c>
      <c r="EE98" s="220">
        <v>0</v>
      </c>
      <c r="EF98" s="217">
        <v>1</v>
      </c>
      <c r="EG98" s="217">
        <v>2</v>
      </c>
      <c r="EH98" s="217">
        <v>0</v>
      </c>
      <c r="EI98" s="217">
        <v>0</v>
      </c>
      <c r="EJ98" s="217">
        <v>0</v>
      </c>
      <c r="EK98" s="217">
        <v>0</v>
      </c>
      <c r="EL98" s="217">
        <v>0</v>
      </c>
      <c r="EM98" s="217">
        <v>0</v>
      </c>
      <c r="EN98" s="217"/>
      <c r="EO98" s="217"/>
      <c r="EP98" s="217"/>
      <c r="EQ98" s="219">
        <f t="shared" si="16"/>
        <v>3</v>
      </c>
      <c r="ER98" s="217">
        <v>0</v>
      </c>
      <c r="ES98" s="217">
        <v>1</v>
      </c>
      <c r="ET98" s="217">
        <v>0</v>
      </c>
      <c r="EU98" s="217">
        <v>5</v>
      </c>
      <c r="EV98" s="217">
        <v>0</v>
      </c>
      <c r="EW98" s="217">
        <v>2</v>
      </c>
      <c r="EX98" s="217">
        <v>0</v>
      </c>
      <c r="EY98" s="217">
        <v>0</v>
      </c>
      <c r="EZ98" s="217">
        <v>0</v>
      </c>
      <c r="FA98" s="217"/>
      <c r="FB98" s="217"/>
      <c r="FC98" s="217"/>
      <c r="FD98" s="217">
        <f t="shared" si="17"/>
        <v>8</v>
      </c>
      <c r="FE98" s="221">
        <f t="shared" si="18"/>
        <v>0</v>
      </c>
      <c r="FF98" s="221">
        <f t="shared" si="19"/>
        <v>0</v>
      </c>
      <c r="FG98" s="222"/>
    </row>
    <row r="99" spans="1:163" x14ac:dyDescent="0.25">
      <c r="A99" s="204">
        <v>40379</v>
      </c>
      <c r="B99" s="204" t="s">
        <v>19</v>
      </c>
      <c r="C99" s="204" t="s">
        <v>129</v>
      </c>
      <c r="D99" s="204" t="s">
        <v>355</v>
      </c>
      <c r="E99" s="205">
        <v>3861</v>
      </c>
      <c r="F99" s="206">
        <v>2</v>
      </c>
      <c r="G99" s="207" t="s">
        <v>334</v>
      </c>
      <c r="H99" s="208">
        <v>1</v>
      </c>
      <c r="I99" s="208">
        <v>0</v>
      </c>
      <c r="J99" s="209">
        <v>6</v>
      </c>
      <c r="K99" s="208">
        <v>3</v>
      </c>
      <c r="L99" s="208">
        <v>0</v>
      </c>
      <c r="M99" s="208">
        <v>0</v>
      </c>
      <c r="N99" s="208">
        <v>0</v>
      </c>
      <c r="O99" s="208">
        <v>4</v>
      </c>
      <c r="P99" s="208">
        <v>0</v>
      </c>
      <c r="Q99" s="208">
        <v>2</v>
      </c>
      <c r="R99" s="208">
        <v>21</v>
      </c>
      <c r="S99" s="208">
        <v>87</v>
      </c>
      <c r="T99" s="208">
        <v>54</v>
      </c>
      <c r="U99" s="208">
        <v>0</v>
      </c>
      <c r="V99" s="210">
        <v>0</v>
      </c>
      <c r="W99" s="211">
        <v>0</v>
      </c>
      <c r="X99" s="211">
        <v>0</v>
      </c>
      <c r="Y99" s="211">
        <v>0</v>
      </c>
      <c r="Z99" s="211">
        <v>0</v>
      </c>
      <c r="AA99" s="211">
        <v>0</v>
      </c>
      <c r="AB99" s="212">
        <v>3</v>
      </c>
      <c r="AC99" s="211">
        <v>2</v>
      </c>
      <c r="AD99" s="211">
        <v>0</v>
      </c>
      <c r="AE99" s="211">
        <v>0</v>
      </c>
      <c r="AF99" s="211">
        <v>0</v>
      </c>
      <c r="AG99" s="211">
        <v>5</v>
      </c>
      <c r="AH99" s="211">
        <v>0</v>
      </c>
      <c r="AI99" s="211">
        <v>0</v>
      </c>
      <c r="AJ99" s="211">
        <v>11</v>
      </c>
      <c r="AK99" s="211">
        <v>53</v>
      </c>
      <c r="AL99" s="211">
        <v>37</v>
      </c>
      <c r="AM99" s="213" t="s">
        <v>399</v>
      </c>
      <c r="AN99" s="214">
        <v>5</v>
      </c>
      <c r="AO99" s="214">
        <v>0</v>
      </c>
      <c r="AP99" s="214">
        <v>2</v>
      </c>
      <c r="AQ99" s="214">
        <v>0</v>
      </c>
      <c r="AR99" s="214">
        <v>0</v>
      </c>
      <c r="AS99" s="214">
        <v>0</v>
      </c>
      <c r="AT99" s="214">
        <v>0</v>
      </c>
      <c r="AU99" s="214">
        <v>0</v>
      </c>
      <c r="AV99" s="215">
        <v>2</v>
      </c>
      <c r="AW99" s="213" t="s">
        <v>345</v>
      </c>
      <c r="AX99" s="214">
        <v>4</v>
      </c>
      <c r="AY99" s="214">
        <v>1</v>
      </c>
      <c r="AZ99" s="214">
        <v>2</v>
      </c>
      <c r="BA99" s="214">
        <v>0</v>
      </c>
      <c r="BB99" s="214">
        <v>0</v>
      </c>
      <c r="BC99" s="214">
        <v>1</v>
      </c>
      <c r="BD99" s="214">
        <v>0</v>
      </c>
      <c r="BE99" s="214">
        <v>0</v>
      </c>
      <c r="BF99" s="215">
        <v>3</v>
      </c>
      <c r="BG99" s="213" t="s">
        <v>400</v>
      </c>
      <c r="BH99" s="214">
        <v>4</v>
      </c>
      <c r="BI99" s="214">
        <v>1</v>
      </c>
      <c r="BJ99" s="214">
        <v>1</v>
      </c>
      <c r="BK99" s="214">
        <v>1</v>
      </c>
      <c r="BL99" s="214">
        <v>0</v>
      </c>
      <c r="BM99" s="214">
        <v>1</v>
      </c>
      <c r="BN99" s="214">
        <v>0</v>
      </c>
      <c r="BO99" s="214">
        <v>0</v>
      </c>
      <c r="BP99" s="215">
        <v>2</v>
      </c>
      <c r="BQ99" s="213" t="s">
        <v>332</v>
      </c>
      <c r="BR99" s="214">
        <v>3</v>
      </c>
      <c r="BS99" s="214">
        <v>1</v>
      </c>
      <c r="BT99" s="214">
        <v>2</v>
      </c>
      <c r="BU99" s="214">
        <v>0</v>
      </c>
      <c r="BV99" s="214">
        <v>1</v>
      </c>
      <c r="BW99" s="214">
        <v>1</v>
      </c>
      <c r="BX99" s="214">
        <v>0</v>
      </c>
      <c r="BY99" s="214">
        <v>0</v>
      </c>
      <c r="BZ99" s="215">
        <v>2</v>
      </c>
      <c r="CA99" s="213" t="s">
        <v>405</v>
      </c>
      <c r="CB99" s="214">
        <v>3</v>
      </c>
      <c r="CC99" s="214">
        <v>2</v>
      </c>
      <c r="CD99" s="214">
        <v>2</v>
      </c>
      <c r="CE99" s="214">
        <v>1</v>
      </c>
      <c r="CF99" s="214">
        <v>1</v>
      </c>
      <c r="CG99" s="214">
        <v>1</v>
      </c>
      <c r="CH99" s="214">
        <v>0</v>
      </c>
      <c r="CI99" s="214">
        <v>0</v>
      </c>
      <c r="CJ99" s="215">
        <v>2</v>
      </c>
      <c r="CK99" s="213" t="s">
        <v>407</v>
      </c>
      <c r="CL99" s="214">
        <v>4</v>
      </c>
      <c r="CM99" s="214">
        <v>1</v>
      </c>
      <c r="CN99" s="214">
        <v>2</v>
      </c>
      <c r="CO99" s="214">
        <v>1</v>
      </c>
      <c r="CP99" s="214">
        <v>0</v>
      </c>
      <c r="CQ99" s="214">
        <v>1</v>
      </c>
      <c r="CR99" s="214">
        <v>0</v>
      </c>
      <c r="CS99" s="214">
        <v>0</v>
      </c>
      <c r="CT99" s="215">
        <v>2</v>
      </c>
      <c r="CU99" s="213" t="s">
        <v>401</v>
      </c>
      <c r="CV99" s="214">
        <v>3</v>
      </c>
      <c r="CW99" s="214">
        <v>1</v>
      </c>
      <c r="CX99" s="214">
        <v>1</v>
      </c>
      <c r="CY99" s="214">
        <v>1</v>
      </c>
      <c r="CZ99" s="214">
        <v>0</v>
      </c>
      <c r="DA99" s="214">
        <v>0</v>
      </c>
      <c r="DB99" s="214">
        <v>0</v>
      </c>
      <c r="DC99" s="214">
        <v>0</v>
      </c>
      <c r="DD99" s="215">
        <v>1</v>
      </c>
      <c r="DE99" s="213" t="s">
        <v>331</v>
      </c>
      <c r="DF99" s="214">
        <v>4</v>
      </c>
      <c r="DG99" s="214">
        <v>0</v>
      </c>
      <c r="DH99" s="214">
        <v>1</v>
      </c>
      <c r="DI99" s="214">
        <v>1</v>
      </c>
      <c r="DJ99" s="214">
        <v>0</v>
      </c>
      <c r="DK99" s="214">
        <v>1</v>
      </c>
      <c r="DL99" s="214">
        <v>0</v>
      </c>
      <c r="DM99" s="214">
        <v>0</v>
      </c>
      <c r="DN99" s="215">
        <v>1</v>
      </c>
      <c r="DO99" s="213" t="s">
        <v>336</v>
      </c>
      <c r="DP99" s="214">
        <v>4</v>
      </c>
      <c r="DQ99" s="214">
        <v>0</v>
      </c>
      <c r="DR99" s="214">
        <v>1</v>
      </c>
      <c r="DS99" s="214">
        <v>2</v>
      </c>
      <c r="DT99" s="214">
        <v>0</v>
      </c>
      <c r="DU99" s="214">
        <v>0</v>
      </c>
      <c r="DV99" s="214">
        <v>0</v>
      </c>
      <c r="DW99" s="214">
        <v>0</v>
      </c>
      <c r="DX99" s="215">
        <v>1</v>
      </c>
      <c r="DY99" s="216">
        <v>3</v>
      </c>
      <c r="DZ99" s="217">
        <v>1</v>
      </c>
      <c r="EA99" s="217">
        <v>0</v>
      </c>
      <c r="EB99" s="218">
        <v>5</v>
      </c>
      <c r="EC99" s="217">
        <v>2</v>
      </c>
      <c r="ED99" s="219">
        <v>0</v>
      </c>
      <c r="EE99" s="220">
        <v>0</v>
      </c>
      <c r="EF99" s="217">
        <v>0</v>
      </c>
      <c r="EG99" s="217">
        <v>0</v>
      </c>
      <c r="EH99" s="217">
        <v>0</v>
      </c>
      <c r="EI99" s="217">
        <v>0</v>
      </c>
      <c r="EJ99" s="217">
        <v>4</v>
      </c>
      <c r="EK99" s="217">
        <v>0</v>
      </c>
      <c r="EL99" s="217">
        <v>3</v>
      </c>
      <c r="EM99" s="217"/>
      <c r="EN99" s="217"/>
      <c r="EO99" s="217"/>
      <c r="EP99" s="217"/>
      <c r="EQ99" s="219">
        <f t="shared" ref="EQ99:EQ104" si="20">SUM(EE99:EP99)</f>
        <v>7</v>
      </c>
      <c r="ER99" s="217">
        <v>0</v>
      </c>
      <c r="ES99" s="217">
        <v>0</v>
      </c>
      <c r="ET99" s="217">
        <v>0</v>
      </c>
      <c r="EU99" s="217">
        <v>0</v>
      </c>
      <c r="EV99" s="217">
        <v>0</v>
      </c>
      <c r="EW99" s="217">
        <v>0</v>
      </c>
      <c r="EX99" s="217">
        <v>0</v>
      </c>
      <c r="EY99" s="217">
        <v>0</v>
      </c>
      <c r="EZ99" s="217">
        <v>0</v>
      </c>
      <c r="FA99" s="217"/>
      <c r="FB99" s="217"/>
      <c r="FC99" s="217"/>
      <c r="FD99" s="217">
        <f t="shared" ref="FD99:FD104" si="21">SUM(ER99:FC99)</f>
        <v>0</v>
      </c>
      <c r="FE99" s="221">
        <f t="shared" ref="FE99:FE104" si="22">((SUM(L99,AD99))-(FD99))</f>
        <v>0</v>
      </c>
      <c r="FF99" s="221">
        <f t="shared" ref="FF99:FF104" si="23">((SUM(AO99,AY99,BI99,BS99,CC99,CM99,CW99,DG99,DQ99))-(EQ99))</f>
        <v>0</v>
      </c>
      <c r="FG99" s="222"/>
    </row>
    <row r="100" spans="1:163" x14ac:dyDescent="0.25">
      <c r="A100" s="204">
        <v>40380</v>
      </c>
      <c r="B100" s="204" t="s">
        <v>19</v>
      </c>
      <c r="C100" s="204" t="s">
        <v>131</v>
      </c>
      <c r="D100" s="204" t="s">
        <v>355</v>
      </c>
      <c r="E100" s="205">
        <v>4151</v>
      </c>
      <c r="F100" s="206">
        <v>3</v>
      </c>
      <c r="G100" s="207" t="s">
        <v>326</v>
      </c>
      <c r="H100" s="208">
        <v>0</v>
      </c>
      <c r="I100" s="208">
        <v>0</v>
      </c>
      <c r="J100" s="209">
        <f>5+2/3</f>
        <v>5.666666666666667</v>
      </c>
      <c r="K100" s="208">
        <v>8</v>
      </c>
      <c r="L100" s="208">
        <v>6</v>
      </c>
      <c r="M100" s="208">
        <v>6</v>
      </c>
      <c r="N100" s="208">
        <v>4</v>
      </c>
      <c r="O100" s="208">
        <v>3</v>
      </c>
      <c r="P100" s="208">
        <v>1</v>
      </c>
      <c r="Q100" s="208">
        <v>0</v>
      </c>
      <c r="R100" s="208">
        <v>28</v>
      </c>
      <c r="S100" s="208">
        <v>106</v>
      </c>
      <c r="T100" s="208">
        <v>60</v>
      </c>
      <c r="U100" s="208">
        <v>1</v>
      </c>
      <c r="V100" s="210">
        <v>0</v>
      </c>
      <c r="W100" s="211">
        <v>0</v>
      </c>
      <c r="X100" s="211">
        <v>1</v>
      </c>
      <c r="Y100" s="211">
        <v>0</v>
      </c>
      <c r="Z100" s="211">
        <v>0</v>
      </c>
      <c r="AA100" s="211">
        <v>0</v>
      </c>
      <c r="AB100" s="212">
        <f>6+1/3</f>
        <v>6.333333333333333</v>
      </c>
      <c r="AC100" s="211">
        <v>5</v>
      </c>
      <c r="AD100" s="211">
        <v>2</v>
      </c>
      <c r="AE100" s="211">
        <v>2</v>
      </c>
      <c r="AF100" s="211">
        <v>2</v>
      </c>
      <c r="AG100" s="211">
        <v>4</v>
      </c>
      <c r="AH100" s="211">
        <v>0</v>
      </c>
      <c r="AI100" s="211">
        <v>0</v>
      </c>
      <c r="AJ100" s="211">
        <v>26</v>
      </c>
      <c r="AK100" s="211">
        <v>112</v>
      </c>
      <c r="AL100" s="211">
        <v>72</v>
      </c>
      <c r="AM100" s="213" t="s">
        <v>399</v>
      </c>
      <c r="AN100" s="214">
        <v>6</v>
      </c>
      <c r="AO100" s="214">
        <v>0</v>
      </c>
      <c r="AP100" s="214">
        <v>2</v>
      </c>
      <c r="AQ100" s="214">
        <v>0</v>
      </c>
      <c r="AR100" s="214">
        <v>0</v>
      </c>
      <c r="AS100" s="214">
        <v>1</v>
      </c>
      <c r="AT100" s="214">
        <v>0</v>
      </c>
      <c r="AU100" s="214">
        <v>0</v>
      </c>
      <c r="AV100" s="215">
        <v>2</v>
      </c>
      <c r="AW100" s="213" t="s">
        <v>345</v>
      </c>
      <c r="AX100" s="214">
        <v>6</v>
      </c>
      <c r="AY100" s="214">
        <v>0</v>
      </c>
      <c r="AZ100" s="214">
        <v>0</v>
      </c>
      <c r="BA100" s="214">
        <v>0</v>
      </c>
      <c r="BB100" s="214">
        <v>0</v>
      </c>
      <c r="BC100" s="214">
        <v>0</v>
      </c>
      <c r="BD100" s="214">
        <v>0</v>
      </c>
      <c r="BE100" s="214">
        <v>0</v>
      </c>
      <c r="BF100" s="215">
        <v>0</v>
      </c>
      <c r="BG100" s="213" t="s">
        <v>400</v>
      </c>
      <c r="BH100" s="214">
        <v>5</v>
      </c>
      <c r="BI100" s="214">
        <v>1</v>
      </c>
      <c r="BJ100" s="214">
        <v>0</v>
      </c>
      <c r="BK100" s="214">
        <v>1</v>
      </c>
      <c r="BL100" s="214">
        <v>1</v>
      </c>
      <c r="BM100" s="214">
        <v>2</v>
      </c>
      <c r="BN100" s="214">
        <v>0</v>
      </c>
      <c r="BO100" s="214">
        <v>0</v>
      </c>
      <c r="BP100" s="215">
        <v>0</v>
      </c>
      <c r="BQ100" s="213" t="s">
        <v>332</v>
      </c>
      <c r="BR100" s="214">
        <v>3</v>
      </c>
      <c r="BS100" s="214">
        <v>1</v>
      </c>
      <c r="BT100" s="214">
        <v>2</v>
      </c>
      <c r="BU100" s="214">
        <v>1</v>
      </c>
      <c r="BV100" s="214">
        <v>3</v>
      </c>
      <c r="BW100" s="214">
        <v>0</v>
      </c>
      <c r="BX100" s="214">
        <v>0</v>
      </c>
      <c r="BY100" s="214">
        <v>0</v>
      </c>
      <c r="BZ100" s="215">
        <v>5</v>
      </c>
      <c r="CA100" s="213" t="s">
        <v>405</v>
      </c>
      <c r="CB100" s="214">
        <v>4</v>
      </c>
      <c r="CC100" s="214">
        <v>1</v>
      </c>
      <c r="CD100" s="214">
        <v>2</v>
      </c>
      <c r="CE100" s="214">
        <v>0</v>
      </c>
      <c r="CF100" s="214">
        <v>2</v>
      </c>
      <c r="CG100" s="214">
        <v>1</v>
      </c>
      <c r="CH100" s="214">
        <v>0</v>
      </c>
      <c r="CI100" s="214">
        <v>0</v>
      </c>
      <c r="CJ100" s="215">
        <v>3</v>
      </c>
      <c r="CK100" s="213" t="s">
        <v>406</v>
      </c>
      <c r="CL100" s="214">
        <v>5</v>
      </c>
      <c r="CM100" s="214">
        <v>1</v>
      </c>
      <c r="CN100" s="214">
        <v>0</v>
      </c>
      <c r="CO100" s="214">
        <v>1</v>
      </c>
      <c r="CP100" s="214">
        <v>1</v>
      </c>
      <c r="CQ100" s="214">
        <v>0</v>
      </c>
      <c r="CR100" s="214">
        <v>0</v>
      </c>
      <c r="CS100" s="214">
        <v>0</v>
      </c>
      <c r="CT100" s="215">
        <v>0</v>
      </c>
      <c r="CU100" s="213" t="s">
        <v>401</v>
      </c>
      <c r="CV100" s="214">
        <v>6</v>
      </c>
      <c r="CW100" s="214">
        <v>0</v>
      </c>
      <c r="CX100" s="214">
        <v>0</v>
      </c>
      <c r="CY100" s="214">
        <v>0</v>
      </c>
      <c r="CZ100" s="214">
        <v>0</v>
      </c>
      <c r="DA100" s="214">
        <v>2</v>
      </c>
      <c r="DB100" s="214">
        <v>0</v>
      </c>
      <c r="DC100" s="214">
        <v>0</v>
      </c>
      <c r="DD100" s="215">
        <v>0</v>
      </c>
      <c r="DE100" s="213" t="s">
        <v>331</v>
      </c>
      <c r="DF100" s="214">
        <v>5</v>
      </c>
      <c r="DG100" s="214">
        <v>1</v>
      </c>
      <c r="DH100" s="214">
        <v>2</v>
      </c>
      <c r="DI100" s="214">
        <v>3</v>
      </c>
      <c r="DJ100" s="214">
        <v>0</v>
      </c>
      <c r="DK100" s="214">
        <v>0</v>
      </c>
      <c r="DL100" s="214">
        <v>0</v>
      </c>
      <c r="DM100" s="214">
        <v>0</v>
      </c>
      <c r="DN100" s="215">
        <v>5</v>
      </c>
      <c r="DO100" s="213" t="s">
        <v>330</v>
      </c>
      <c r="DP100" s="214">
        <v>5</v>
      </c>
      <c r="DQ100" s="214">
        <v>1</v>
      </c>
      <c r="DR100" s="214">
        <v>1</v>
      </c>
      <c r="DS100" s="214">
        <v>0</v>
      </c>
      <c r="DT100" s="214">
        <v>0</v>
      </c>
      <c r="DU100" s="214">
        <v>1</v>
      </c>
      <c r="DV100" s="214">
        <v>0</v>
      </c>
      <c r="DW100" s="214">
        <v>0</v>
      </c>
      <c r="DX100" s="215">
        <v>1</v>
      </c>
      <c r="DY100" s="216">
        <v>0</v>
      </c>
      <c r="DZ100" s="217">
        <v>0</v>
      </c>
      <c r="EA100" s="217">
        <v>0</v>
      </c>
      <c r="EB100" s="218">
        <v>12</v>
      </c>
      <c r="EC100" s="217">
        <v>2</v>
      </c>
      <c r="ED100" s="219">
        <v>0</v>
      </c>
      <c r="EE100" s="220">
        <v>0</v>
      </c>
      <c r="EF100" s="217">
        <v>1</v>
      </c>
      <c r="EG100" s="217">
        <v>0</v>
      </c>
      <c r="EH100" s="217">
        <v>0</v>
      </c>
      <c r="EI100" s="217">
        <v>1</v>
      </c>
      <c r="EJ100" s="217">
        <v>3</v>
      </c>
      <c r="EK100" s="217">
        <v>1</v>
      </c>
      <c r="EL100" s="217">
        <v>0</v>
      </c>
      <c r="EM100" s="217">
        <v>0</v>
      </c>
      <c r="EN100" s="217">
        <v>0</v>
      </c>
      <c r="EO100" s="217">
        <v>0</v>
      </c>
      <c r="EP100" s="217">
        <v>0</v>
      </c>
      <c r="EQ100" s="219">
        <f t="shared" si="20"/>
        <v>6</v>
      </c>
      <c r="ER100" s="217">
        <v>2</v>
      </c>
      <c r="ES100" s="217">
        <v>1</v>
      </c>
      <c r="ET100" s="217">
        <v>1</v>
      </c>
      <c r="EU100" s="217">
        <v>0</v>
      </c>
      <c r="EV100" s="217">
        <v>2</v>
      </c>
      <c r="EW100" s="217">
        <v>0</v>
      </c>
      <c r="EX100" s="217">
        <v>0</v>
      </c>
      <c r="EY100" s="217">
        <v>0</v>
      </c>
      <c r="EZ100" s="217">
        <v>0</v>
      </c>
      <c r="FA100" s="217">
        <v>0</v>
      </c>
      <c r="FB100" s="217">
        <v>0</v>
      </c>
      <c r="FC100" s="217">
        <v>2</v>
      </c>
      <c r="FD100" s="217">
        <f t="shared" si="21"/>
        <v>8</v>
      </c>
      <c r="FE100" s="221">
        <f t="shared" si="22"/>
        <v>0</v>
      </c>
      <c r="FF100" s="221">
        <f t="shared" si="23"/>
        <v>0</v>
      </c>
      <c r="FG100" s="222"/>
    </row>
    <row r="101" spans="1:163" x14ac:dyDescent="0.25">
      <c r="A101" s="204">
        <v>40381</v>
      </c>
      <c r="B101" s="204" t="s">
        <v>19</v>
      </c>
      <c r="C101" s="204" t="s">
        <v>129</v>
      </c>
      <c r="D101" s="204" t="s">
        <v>355</v>
      </c>
      <c r="E101" s="205">
        <v>7186</v>
      </c>
      <c r="F101" s="206">
        <v>4</v>
      </c>
      <c r="G101" s="207" t="s">
        <v>337</v>
      </c>
      <c r="H101" s="208">
        <v>1</v>
      </c>
      <c r="I101" s="208">
        <v>0</v>
      </c>
      <c r="J101" s="209">
        <f>7+2/3</f>
        <v>7.666666666666667</v>
      </c>
      <c r="K101" s="208">
        <v>5</v>
      </c>
      <c r="L101" s="208">
        <v>2</v>
      </c>
      <c r="M101" s="208">
        <v>2</v>
      </c>
      <c r="N101" s="208">
        <v>3</v>
      </c>
      <c r="O101" s="208">
        <v>2</v>
      </c>
      <c r="P101" s="208">
        <v>2</v>
      </c>
      <c r="Q101" s="208">
        <v>0</v>
      </c>
      <c r="R101" s="208">
        <v>31</v>
      </c>
      <c r="S101" s="208">
        <v>105</v>
      </c>
      <c r="T101" s="208">
        <v>65</v>
      </c>
      <c r="U101" s="208">
        <v>2</v>
      </c>
      <c r="V101" s="210">
        <v>0</v>
      </c>
      <c r="W101" s="211">
        <v>0</v>
      </c>
      <c r="X101" s="211">
        <v>0</v>
      </c>
      <c r="Y101" s="211">
        <v>0</v>
      </c>
      <c r="Z101" s="211">
        <v>1</v>
      </c>
      <c r="AA101" s="211">
        <v>0</v>
      </c>
      <c r="AB101" s="212">
        <f>1+1/3</f>
        <v>1.3333333333333333</v>
      </c>
      <c r="AC101" s="211">
        <v>1</v>
      </c>
      <c r="AD101" s="211">
        <v>0</v>
      </c>
      <c r="AE101" s="211">
        <v>0</v>
      </c>
      <c r="AF101" s="211">
        <v>0</v>
      </c>
      <c r="AG101" s="211">
        <v>4</v>
      </c>
      <c r="AH101" s="211">
        <v>0</v>
      </c>
      <c r="AI101" s="211">
        <v>0</v>
      </c>
      <c r="AJ101" s="211">
        <v>5</v>
      </c>
      <c r="AK101" s="211">
        <v>21</v>
      </c>
      <c r="AL101" s="211">
        <v>17</v>
      </c>
      <c r="AM101" s="213" t="s">
        <v>401</v>
      </c>
      <c r="AN101" s="214">
        <v>4</v>
      </c>
      <c r="AO101" s="214">
        <v>1</v>
      </c>
      <c r="AP101" s="214">
        <v>1</v>
      </c>
      <c r="AQ101" s="214">
        <v>0</v>
      </c>
      <c r="AR101" s="214">
        <v>0</v>
      </c>
      <c r="AS101" s="214">
        <v>1</v>
      </c>
      <c r="AT101" s="214">
        <v>0</v>
      </c>
      <c r="AU101" s="214">
        <v>0</v>
      </c>
      <c r="AV101" s="215">
        <v>1</v>
      </c>
      <c r="AW101" s="213" t="s">
        <v>345</v>
      </c>
      <c r="AX101" s="214">
        <v>2</v>
      </c>
      <c r="AY101" s="214">
        <v>1</v>
      </c>
      <c r="AZ101" s="214">
        <v>1</v>
      </c>
      <c r="BA101" s="214">
        <v>0</v>
      </c>
      <c r="BB101" s="214">
        <v>2</v>
      </c>
      <c r="BC101" s="214">
        <v>1</v>
      </c>
      <c r="BD101" s="214">
        <v>0</v>
      </c>
      <c r="BE101" s="214">
        <v>0</v>
      </c>
      <c r="BF101" s="215">
        <v>1</v>
      </c>
      <c r="BG101" s="213" t="s">
        <v>400</v>
      </c>
      <c r="BH101" s="214">
        <v>4</v>
      </c>
      <c r="BI101" s="214">
        <v>0</v>
      </c>
      <c r="BJ101" s="214">
        <v>0</v>
      </c>
      <c r="BK101" s="214">
        <v>0</v>
      </c>
      <c r="BL101" s="214">
        <v>0</v>
      </c>
      <c r="BM101" s="214">
        <v>3</v>
      </c>
      <c r="BN101" s="214">
        <v>0</v>
      </c>
      <c r="BO101" s="214">
        <v>0</v>
      </c>
      <c r="BP101" s="215">
        <v>0</v>
      </c>
      <c r="BQ101" s="213" t="s">
        <v>332</v>
      </c>
      <c r="BR101" s="214">
        <v>3</v>
      </c>
      <c r="BS101" s="214">
        <v>0</v>
      </c>
      <c r="BT101" s="214">
        <v>1</v>
      </c>
      <c r="BU101" s="214">
        <v>2</v>
      </c>
      <c r="BV101" s="214">
        <v>1</v>
      </c>
      <c r="BW101" s="214">
        <v>2</v>
      </c>
      <c r="BX101" s="214">
        <v>0</v>
      </c>
      <c r="BY101" s="214">
        <v>0</v>
      </c>
      <c r="BZ101" s="215">
        <v>2</v>
      </c>
      <c r="CA101" s="213" t="s">
        <v>405</v>
      </c>
      <c r="CB101" s="214">
        <v>3</v>
      </c>
      <c r="CC101" s="214">
        <v>1</v>
      </c>
      <c r="CD101" s="214">
        <v>0</v>
      </c>
      <c r="CE101" s="214">
        <v>0</v>
      </c>
      <c r="CF101" s="214">
        <v>1</v>
      </c>
      <c r="CG101" s="214">
        <v>2</v>
      </c>
      <c r="CH101" s="214">
        <v>0</v>
      </c>
      <c r="CI101" s="214">
        <v>0</v>
      </c>
      <c r="CJ101" s="215">
        <v>0</v>
      </c>
      <c r="CK101" s="213" t="s">
        <v>331</v>
      </c>
      <c r="CL101" s="214">
        <v>4</v>
      </c>
      <c r="CM101" s="214">
        <v>1</v>
      </c>
      <c r="CN101" s="214">
        <v>2</v>
      </c>
      <c r="CO101" s="214">
        <v>0</v>
      </c>
      <c r="CP101" s="214">
        <v>0</v>
      </c>
      <c r="CQ101" s="214">
        <v>0</v>
      </c>
      <c r="CR101" s="214">
        <v>0</v>
      </c>
      <c r="CS101" s="214">
        <v>0</v>
      </c>
      <c r="CT101" s="215">
        <v>3</v>
      </c>
      <c r="CU101" s="213" t="s">
        <v>407</v>
      </c>
      <c r="CV101" s="214">
        <v>4</v>
      </c>
      <c r="CW101" s="214">
        <v>0</v>
      </c>
      <c r="CX101" s="214">
        <v>1</v>
      </c>
      <c r="CY101" s="214">
        <v>2</v>
      </c>
      <c r="CZ101" s="214">
        <v>0</v>
      </c>
      <c r="DA101" s="214">
        <v>2</v>
      </c>
      <c r="DB101" s="214">
        <v>0</v>
      </c>
      <c r="DC101" s="214">
        <v>0</v>
      </c>
      <c r="DD101" s="215">
        <v>1</v>
      </c>
      <c r="DE101" s="213" t="s">
        <v>336</v>
      </c>
      <c r="DF101" s="214">
        <v>3</v>
      </c>
      <c r="DG101" s="214">
        <v>0</v>
      </c>
      <c r="DH101" s="214">
        <v>0</v>
      </c>
      <c r="DI101" s="214">
        <v>0</v>
      </c>
      <c r="DJ101" s="214">
        <v>1</v>
      </c>
      <c r="DK101" s="214">
        <v>0</v>
      </c>
      <c r="DL101" s="214">
        <v>0</v>
      </c>
      <c r="DM101" s="214">
        <v>0</v>
      </c>
      <c r="DN101" s="215">
        <v>0</v>
      </c>
      <c r="DO101" s="213" t="s">
        <v>330</v>
      </c>
      <c r="DP101" s="214">
        <v>3</v>
      </c>
      <c r="DQ101" s="214">
        <v>0</v>
      </c>
      <c r="DR101" s="214">
        <v>0</v>
      </c>
      <c r="DS101" s="214">
        <v>0</v>
      </c>
      <c r="DT101" s="214">
        <v>1</v>
      </c>
      <c r="DU101" s="214">
        <v>0</v>
      </c>
      <c r="DV101" s="214">
        <v>0</v>
      </c>
      <c r="DW101" s="214">
        <v>0</v>
      </c>
      <c r="DX101" s="215">
        <v>0</v>
      </c>
      <c r="DY101" s="216">
        <v>0</v>
      </c>
      <c r="DZ101" s="217">
        <v>0</v>
      </c>
      <c r="EA101" s="217">
        <v>0</v>
      </c>
      <c r="EB101" s="218">
        <v>8</v>
      </c>
      <c r="EC101" s="217">
        <v>2</v>
      </c>
      <c r="ED101" s="219">
        <v>0</v>
      </c>
      <c r="EE101" s="220">
        <v>0</v>
      </c>
      <c r="EF101" s="217">
        <v>0</v>
      </c>
      <c r="EG101" s="217">
        <v>0</v>
      </c>
      <c r="EH101" s="217">
        <v>0</v>
      </c>
      <c r="EI101" s="217">
        <v>0</v>
      </c>
      <c r="EJ101" s="217">
        <v>2</v>
      </c>
      <c r="EK101" s="217">
        <v>2</v>
      </c>
      <c r="EL101" s="217">
        <v>0</v>
      </c>
      <c r="EM101" s="217"/>
      <c r="EN101" s="217"/>
      <c r="EO101" s="217"/>
      <c r="EP101" s="217"/>
      <c r="EQ101" s="219">
        <f t="shared" si="20"/>
        <v>4</v>
      </c>
      <c r="ER101" s="217">
        <v>0</v>
      </c>
      <c r="ES101" s="217">
        <v>1</v>
      </c>
      <c r="ET101" s="217">
        <v>0</v>
      </c>
      <c r="EU101" s="217">
        <v>1</v>
      </c>
      <c r="EV101" s="217">
        <v>0</v>
      </c>
      <c r="EW101" s="217">
        <v>0</v>
      </c>
      <c r="EX101" s="217">
        <v>0</v>
      </c>
      <c r="EY101" s="217">
        <v>0</v>
      </c>
      <c r="EZ101" s="217">
        <v>0</v>
      </c>
      <c r="FA101" s="217"/>
      <c r="FB101" s="217"/>
      <c r="FC101" s="217"/>
      <c r="FD101" s="217">
        <f t="shared" si="21"/>
        <v>2</v>
      </c>
      <c r="FE101" s="221">
        <f t="shared" si="22"/>
        <v>0</v>
      </c>
      <c r="FF101" s="221">
        <f t="shared" si="23"/>
        <v>0</v>
      </c>
      <c r="FG101" s="222"/>
    </row>
    <row r="102" spans="1:163" x14ac:dyDescent="0.25">
      <c r="A102" s="204">
        <v>40382</v>
      </c>
      <c r="B102" s="204" t="s">
        <v>19</v>
      </c>
      <c r="C102" s="204" t="s">
        <v>129</v>
      </c>
      <c r="D102" s="204" t="s">
        <v>347</v>
      </c>
      <c r="E102" s="205">
        <v>8049</v>
      </c>
      <c r="F102" s="206">
        <v>5</v>
      </c>
      <c r="G102" s="207" t="s">
        <v>398</v>
      </c>
      <c r="H102" s="208">
        <v>0</v>
      </c>
      <c r="I102" s="208">
        <v>0</v>
      </c>
      <c r="J102" s="209">
        <v>6</v>
      </c>
      <c r="K102" s="208">
        <v>2</v>
      </c>
      <c r="L102" s="208">
        <v>1</v>
      </c>
      <c r="M102" s="208">
        <v>1</v>
      </c>
      <c r="N102" s="208">
        <v>2</v>
      </c>
      <c r="O102" s="208">
        <v>8</v>
      </c>
      <c r="P102" s="208">
        <v>0</v>
      </c>
      <c r="Q102" s="208">
        <v>0</v>
      </c>
      <c r="R102" s="208">
        <v>22</v>
      </c>
      <c r="S102" s="208">
        <v>91</v>
      </c>
      <c r="T102" s="208">
        <v>59</v>
      </c>
      <c r="U102" s="208">
        <v>0</v>
      </c>
      <c r="V102" s="210">
        <v>0</v>
      </c>
      <c r="W102" s="211">
        <v>1</v>
      </c>
      <c r="X102" s="211">
        <v>0</v>
      </c>
      <c r="Y102" s="211">
        <v>1</v>
      </c>
      <c r="Z102" s="211">
        <v>1</v>
      </c>
      <c r="AA102" s="211">
        <v>1</v>
      </c>
      <c r="AB102" s="212">
        <v>3</v>
      </c>
      <c r="AC102" s="211">
        <v>3</v>
      </c>
      <c r="AD102" s="211">
        <v>3</v>
      </c>
      <c r="AE102" s="211">
        <v>3</v>
      </c>
      <c r="AF102" s="211">
        <v>2</v>
      </c>
      <c r="AG102" s="211">
        <v>6</v>
      </c>
      <c r="AH102" s="211">
        <v>1</v>
      </c>
      <c r="AI102" s="211">
        <v>1</v>
      </c>
      <c r="AJ102" s="211">
        <v>15</v>
      </c>
      <c r="AK102" s="211">
        <v>61</v>
      </c>
      <c r="AL102" s="211">
        <v>37</v>
      </c>
      <c r="AM102" s="213" t="s">
        <v>399</v>
      </c>
      <c r="AN102" s="214">
        <v>4</v>
      </c>
      <c r="AO102" s="214">
        <v>1</v>
      </c>
      <c r="AP102" s="214">
        <v>1</v>
      </c>
      <c r="AQ102" s="214">
        <v>1</v>
      </c>
      <c r="AR102" s="214">
        <v>0</v>
      </c>
      <c r="AS102" s="214">
        <v>1</v>
      </c>
      <c r="AT102" s="214">
        <v>0</v>
      </c>
      <c r="AU102" s="214">
        <v>0</v>
      </c>
      <c r="AV102" s="215">
        <v>4</v>
      </c>
      <c r="AW102" s="213" t="s">
        <v>345</v>
      </c>
      <c r="AX102" s="214">
        <v>3</v>
      </c>
      <c r="AY102" s="214">
        <v>2</v>
      </c>
      <c r="AZ102" s="214">
        <v>2</v>
      </c>
      <c r="BA102" s="214">
        <v>0</v>
      </c>
      <c r="BB102" s="214">
        <v>1</v>
      </c>
      <c r="BC102" s="214">
        <v>0</v>
      </c>
      <c r="BD102" s="214">
        <v>0</v>
      </c>
      <c r="BE102" s="214">
        <v>0</v>
      </c>
      <c r="BF102" s="215">
        <v>2</v>
      </c>
      <c r="BG102" s="213" t="s">
        <v>400</v>
      </c>
      <c r="BH102" s="214">
        <v>4</v>
      </c>
      <c r="BI102" s="214">
        <v>1</v>
      </c>
      <c r="BJ102" s="214">
        <v>1</v>
      </c>
      <c r="BK102" s="214">
        <v>0</v>
      </c>
      <c r="BL102" s="214">
        <v>0</v>
      </c>
      <c r="BM102" s="214">
        <v>0</v>
      </c>
      <c r="BN102" s="214">
        <v>0</v>
      </c>
      <c r="BO102" s="214">
        <v>0</v>
      </c>
      <c r="BP102" s="215">
        <v>1</v>
      </c>
      <c r="BQ102" s="213" t="s">
        <v>332</v>
      </c>
      <c r="BR102" s="214">
        <v>3</v>
      </c>
      <c r="BS102" s="214">
        <v>1</v>
      </c>
      <c r="BT102" s="214">
        <v>1</v>
      </c>
      <c r="BU102" s="214">
        <v>2</v>
      </c>
      <c r="BV102" s="214">
        <v>1</v>
      </c>
      <c r="BW102" s="214">
        <v>0</v>
      </c>
      <c r="BX102" s="214">
        <v>0</v>
      </c>
      <c r="BY102" s="214">
        <v>0</v>
      </c>
      <c r="BZ102" s="215">
        <v>4</v>
      </c>
      <c r="CA102" s="213" t="s">
        <v>406</v>
      </c>
      <c r="CB102" s="214">
        <v>3</v>
      </c>
      <c r="CC102" s="214">
        <v>0</v>
      </c>
      <c r="CD102" s="214">
        <v>1</v>
      </c>
      <c r="CE102" s="214">
        <v>1</v>
      </c>
      <c r="CF102" s="214">
        <v>0</v>
      </c>
      <c r="CG102" s="214">
        <v>0</v>
      </c>
      <c r="CH102" s="214">
        <v>1</v>
      </c>
      <c r="CI102" s="214">
        <v>0</v>
      </c>
      <c r="CJ102" s="215">
        <v>1</v>
      </c>
      <c r="CK102" s="213" t="s">
        <v>403</v>
      </c>
      <c r="CL102" s="214">
        <v>4</v>
      </c>
      <c r="CM102" s="214">
        <v>0</v>
      </c>
      <c r="CN102" s="214">
        <v>1</v>
      </c>
      <c r="CO102" s="214">
        <v>1</v>
      </c>
      <c r="CP102" s="214">
        <v>0</v>
      </c>
      <c r="CQ102" s="214">
        <v>1</v>
      </c>
      <c r="CR102" s="214">
        <v>0</v>
      </c>
      <c r="CS102" s="214">
        <v>0</v>
      </c>
      <c r="CT102" s="215">
        <v>1</v>
      </c>
      <c r="CU102" s="213" t="s">
        <v>407</v>
      </c>
      <c r="CV102" s="214">
        <v>4</v>
      </c>
      <c r="CW102" s="214">
        <v>0</v>
      </c>
      <c r="CX102" s="214">
        <v>1</v>
      </c>
      <c r="CY102" s="214">
        <v>0</v>
      </c>
      <c r="CZ102" s="214">
        <v>0</v>
      </c>
      <c r="DA102" s="214">
        <v>1</v>
      </c>
      <c r="DB102" s="214">
        <v>0</v>
      </c>
      <c r="DC102" s="214">
        <v>0</v>
      </c>
      <c r="DD102" s="215">
        <v>1</v>
      </c>
      <c r="DE102" s="213" t="s">
        <v>401</v>
      </c>
      <c r="DF102" s="214">
        <v>3</v>
      </c>
      <c r="DG102" s="214">
        <v>0</v>
      </c>
      <c r="DH102" s="214">
        <v>0</v>
      </c>
      <c r="DI102" s="214">
        <v>0</v>
      </c>
      <c r="DJ102" s="214">
        <v>0</v>
      </c>
      <c r="DK102" s="214">
        <v>0</v>
      </c>
      <c r="DL102" s="214">
        <v>0</v>
      </c>
      <c r="DM102" s="214">
        <v>0</v>
      </c>
      <c r="DN102" s="215">
        <v>0</v>
      </c>
      <c r="DO102" s="213" t="s">
        <v>330</v>
      </c>
      <c r="DP102" s="214">
        <v>3</v>
      </c>
      <c r="DQ102" s="214">
        <v>0</v>
      </c>
      <c r="DR102" s="214">
        <v>1</v>
      </c>
      <c r="DS102" s="214">
        <v>0</v>
      </c>
      <c r="DT102" s="214">
        <v>0</v>
      </c>
      <c r="DU102" s="214">
        <v>0</v>
      </c>
      <c r="DV102" s="214">
        <v>0</v>
      </c>
      <c r="DW102" s="214">
        <v>0</v>
      </c>
      <c r="DX102" s="215">
        <v>2</v>
      </c>
      <c r="DY102" s="216">
        <f>7+1/3</f>
        <v>7.333333333333333</v>
      </c>
      <c r="DZ102" s="217">
        <v>0</v>
      </c>
      <c r="EA102" s="217">
        <v>0</v>
      </c>
      <c r="EB102" s="218">
        <f>0+2/3</f>
        <v>0.66666666666666663</v>
      </c>
      <c r="EC102" s="217">
        <v>0</v>
      </c>
      <c r="ED102" s="219">
        <v>0</v>
      </c>
      <c r="EE102" s="220">
        <v>2</v>
      </c>
      <c r="EF102" s="217">
        <v>0</v>
      </c>
      <c r="EG102" s="217">
        <v>0</v>
      </c>
      <c r="EH102" s="217">
        <v>0</v>
      </c>
      <c r="EI102" s="217">
        <v>1</v>
      </c>
      <c r="EJ102" s="217">
        <v>0</v>
      </c>
      <c r="EK102" s="217">
        <v>0</v>
      </c>
      <c r="EL102" s="217">
        <v>2</v>
      </c>
      <c r="EM102" s="217"/>
      <c r="EN102" s="217"/>
      <c r="EO102" s="217"/>
      <c r="EP102" s="217"/>
      <c r="EQ102" s="219">
        <f t="shared" si="20"/>
        <v>5</v>
      </c>
      <c r="ER102" s="217">
        <v>0</v>
      </c>
      <c r="ES102" s="217">
        <v>0</v>
      </c>
      <c r="ET102" s="217">
        <v>0</v>
      </c>
      <c r="EU102" s="217">
        <v>0</v>
      </c>
      <c r="EV102" s="217">
        <v>1</v>
      </c>
      <c r="EW102" s="217">
        <v>0</v>
      </c>
      <c r="EX102" s="217">
        <v>0</v>
      </c>
      <c r="EY102" s="217">
        <v>3</v>
      </c>
      <c r="EZ102" s="217">
        <v>0</v>
      </c>
      <c r="FA102" s="217"/>
      <c r="FB102" s="217"/>
      <c r="FC102" s="217"/>
      <c r="FD102" s="217">
        <f t="shared" si="21"/>
        <v>4</v>
      </c>
      <c r="FE102" s="221">
        <f t="shared" si="22"/>
        <v>0</v>
      </c>
      <c r="FF102" s="221">
        <f t="shared" si="23"/>
        <v>0</v>
      </c>
      <c r="FG102" s="222"/>
    </row>
    <row r="103" spans="1:163" x14ac:dyDescent="0.25">
      <c r="A103" s="204">
        <v>40383</v>
      </c>
      <c r="B103" s="204" t="s">
        <v>19</v>
      </c>
      <c r="C103" s="204" t="s">
        <v>129</v>
      </c>
      <c r="D103" s="204" t="s">
        <v>347</v>
      </c>
      <c r="E103" s="205">
        <v>8647</v>
      </c>
      <c r="F103" s="206">
        <v>1</v>
      </c>
      <c r="G103" s="207" t="s">
        <v>397</v>
      </c>
      <c r="H103" s="208">
        <v>1</v>
      </c>
      <c r="I103" s="208">
        <v>0</v>
      </c>
      <c r="J103" s="209">
        <f>5+2/3</f>
        <v>5.666666666666667</v>
      </c>
      <c r="K103" s="208">
        <v>3</v>
      </c>
      <c r="L103" s="208">
        <v>1</v>
      </c>
      <c r="M103" s="208">
        <v>1</v>
      </c>
      <c r="N103" s="208">
        <v>4</v>
      </c>
      <c r="O103" s="208">
        <v>9</v>
      </c>
      <c r="P103" s="208">
        <v>0</v>
      </c>
      <c r="Q103" s="208">
        <v>0</v>
      </c>
      <c r="R103" s="208">
        <v>23</v>
      </c>
      <c r="S103" s="208">
        <v>102</v>
      </c>
      <c r="T103" s="208">
        <v>61</v>
      </c>
      <c r="U103" s="208">
        <v>2</v>
      </c>
      <c r="V103" s="210">
        <v>0</v>
      </c>
      <c r="W103" s="211">
        <v>0</v>
      </c>
      <c r="X103" s="211">
        <v>0</v>
      </c>
      <c r="Y103" s="211">
        <v>1</v>
      </c>
      <c r="Z103" s="211">
        <v>0</v>
      </c>
      <c r="AA103" s="211">
        <v>0</v>
      </c>
      <c r="AB103" s="212">
        <f>3+1/3</f>
        <v>3.3333333333333335</v>
      </c>
      <c r="AC103" s="211">
        <v>1</v>
      </c>
      <c r="AD103" s="211">
        <v>0</v>
      </c>
      <c r="AE103" s="211">
        <v>0</v>
      </c>
      <c r="AF103" s="211">
        <v>1</v>
      </c>
      <c r="AG103" s="211">
        <v>1</v>
      </c>
      <c r="AH103" s="211">
        <v>0</v>
      </c>
      <c r="AI103" s="211">
        <v>0</v>
      </c>
      <c r="AJ103" s="211">
        <v>12</v>
      </c>
      <c r="AK103" s="211">
        <v>51</v>
      </c>
      <c r="AL103" s="211">
        <v>33</v>
      </c>
      <c r="AM103" s="213" t="s">
        <v>399</v>
      </c>
      <c r="AN103" s="214">
        <v>5</v>
      </c>
      <c r="AO103" s="214">
        <v>0</v>
      </c>
      <c r="AP103" s="214">
        <v>0</v>
      </c>
      <c r="AQ103" s="214">
        <v>0</v>
      </c>
      <c r="AR103" s="214">
        <v>0</v>
      </c>
      <c r="AS103" s="214">
        <v>2</v>
      </c>
      <c r="AT103" s="214">
        <v>0</v>
      </c>
      <c r="AU103" s="214">
        <v>0</v>
      </c>
      <c r="AV103" s="215">
        <v>0</v>
      </c>
      <c r="AW103" s="213" t="s">
        <v>345</v>
      </c>
      <c r="AX103" s="214">
        <v>5</v>
      </c>
      <c r="AY103" s="214">
        <v>2</v>
      </c>
      <c r="AZ103" s="214">
        <v>3</v>
      </c>
      <c r="BA103" s="214">
        <v>1</v>
      </c>
      <c r="BB103" s="214">
        <v>0</v>
      </c>
      <c r="BC103" s="214">
        <v>0</v>
      </c>
      <c r="BD103" s="214">
        <v>0</v>
      </c>
      <c r="BE103" s="214">
        <v>0</v>
      </c>
      <c r="BF103" s="215">
        <v>3</v>
      </c>
      <c r="BG103" s="213" t="s">
        <v>400</v>
      </c>
      <c r="BH103" s="214">
        <v>5</v>
      </c>
      <c r="BI103" s="214">
        <v>0</v>
      </c>
      <c r="BJ103" s="214">
        <v>3</v>
      </c>
      <c r="BK103" s="214">
        <v>1</v>
      </c>
      <c r="BL103" s="214">
        <v>0</v>
      </c>
      <c r="BM103" s="214">
        <v>1</v>
      </c>
      <c r="BN103" s="214">
        <v>0</v>
      </c>
      <c r="BO103" s="214">
        <v>0</v>
      </c>
      <c r="BP103" s="215">
        <v>5</v>
      </c>
      <c r="BQ103" s="213" t="s">
        <v>332</v>
      </c>
      <c r="BR103" s="214">
        <v>2</v>
      </c>
      <c r="BS103" s="214">
        <v>1</v>
      </c>
      <c r="BT103" s="214">
        <v>1</v>
      </c>
      <c r="BU103" s="214">
        <v>1</v>
      </c>
      <c r="BV103" s="214">
        <v>3</v>
      </c>
      <c r="BW103" s="214">
        <v>0</v>
      </c>
      <c r="BX103" s="214">
        <v>0</v>
      </c>
      <c r="BY103" s="214">
        <v>0</v>
      </c>
      <c r="BZ103" s="215">
        <v>4</v>
      </c>
      <c r="CA103" s="213" t="s">
        <v>405</v>
      </c>
      <c r="CB103" s="214">
        <v>3</v>
      </c>
      <c r="CC103" s="214">
        <v>0</v>
      </c>
      <c r="CD103" s="214">
        <v>1</v>
      </c>
      <c r="CE103" s="214">
        <v>1</v>
      </c>
      <c r="CF103" s="214">
        <v>0</v>
      </c>
      <c r="CG103" s="214">
        <v>2</v>
      </c>
      <c r="CH103" s="214">
        <v>0</v>
      </c>
      <c r="CI103" s="214">
        <v>1</v>
      </c>
      <c r="CJ103" s="215">
        <v>1</v>
      </c>
      <c r="CK103" s="213" t="s">
        <v>403</v>
      </c>
      <c r="CL103" s="214">
        <v>3</v>
      </c>
      <c r="CM103" s="214">
        <v>0</v>
      </c>
      <c r="CN103" s="214">
        <v>0</v>
      </c>
      <c r="CO103" s="214">
        <v>0</v>
      </c>
      <c r="CP103" s="214">
        <v>1</v>
      </c>
      <c r="CQ103" s="214">
        <v>2</v>
      </c>
      <c r="CR103" s="214">
        <v>0</v>
      </c>
      <c r="CS103" s="214">
        <v>0</v>
      </c>
      <c r="CT103" s="215">
        <v>0</v>
      </c>
      <c r="CU103" s="213" t="s">
        <v>401</v>
      </c>
      <c r="CV103" s="214">
        <v>4</v>
      </c>
      <c r="CW103" s="214">
        <v>1</v>
      </c>
      <c r="CX103" s="214">
        <v>1</v>
      </c>
      <c r="CY103" s="214">
        <v>0</v>
      </c>
      <c r="CZ103" s="214">
        <v>0</v>
      </c>
      <c r="DA103" s="214">
        <v>2</v>
      </c>
      <c r="DB103" s="214">
        <v>0</v>
      </c>
      <c r="DC103" s="214">
        <v>0</v>
      </c>
      <c r="DD103" s="215">
        <v>1</v>
      </c>
      <c r="DE103" s="213" t="s">
        <v>407</v>
      </c>
      <c r="DF103" s="214">
        <v>3</v>
      </c>
      <c r="DG103" s="214">
        <v>1</v>
      </c>
      <c r="DH103" s="214">
        <v>2</v>
      </c>
      <c r="DI103" s="214">
        <v>1</v>
      </c>
      <c r="DJ103" s="214">
        <v>1</v>
      </c>
      <c r="DK103" s="214">
        <v>0</v>
      </c>
      <c r="DL103" s="214">
        <v>0</v>
      </c>
      <c r="DM103" s="214">
        <v>0</v>
      </c>
      <c r="DN103" s="215">
        <v>3</v>
      </c>
      <c r="DO103" s="213" t="s">
        <v>330</v>
      </c>
      <c r="DP103" s="214">
        <v>3</v>
      </c>
      <c r="DQ103" s="214">
        <v>0</v>
      </c>
      <c r="DR103" s="214">
        <v>0</v>
      </c>
      <c r="DS103" s="214">
        <v>0</v>
      </c>
      <c r="DT103" s="214">
        <v>0</v>
      </c>
      <c r="DU103" s="214">
        <v>2</v>
      </c>
      <c r="DV103" s="214">
        <v>0</v>
      </c>
      <c r="DW103" s="214">
        <v>0</v>
      </c>
      <c r="DX103" s="215">
        <v>0</v>
      </c>
      <c r="DY103" s="216">
        <v>0</v>
      </c>
      <c r="DZ103" s="217">
        <v>0</v>
      </c>
      <c r="EA103" s="217">
        <v>0</v>
      </c>
      <c r="EB103" s="218">
        <v>8</v>
      </c>
      <c r="EC103" s="217">
        <v>1</v>
      </c>
      <c r="ED103" s="219">
        <v>0</v>
      </c>
      <c r="EE103" s="220">
        <v>0</v>
      </c>
      <c r="EF103" s="217">
        <v>1</v>
      </c>
      <c r="EG103" s="217">
        <v>1</v>
      </c>
      <c r="EH103" s="217">
        <v>0</v>
      </c>
      <c r="EI103" s="217">
        <v>1</v>
      </c>
      <c r="EJ103" s="217">
        <v>0</v>
      </c>
      <c r="EK103" s="217">
        <v>0</v>
      </c>
      <c r="EL103" s="217">
        <v>2</v>
      </c>
      <c r="EM103" s="217"/>
      <c r="EN103" s="217"/>
      <c r="EO103" s="217"/>
      <c r="EP103" s="217"/>
      <c r="EQ103" s="219">
        <f t="shared" si="20"/>
        <v>5</v>
      </c>
      <c r="ER103" s="217">
        <v>0</v>
      </c>
      <c r="ES103" s="217">
        <v>0</v>
      </c>
      <c r="ET103" s="217">
        <v>0</v>
      </c>
      <c r="EU103" s="217">
        <v>0</v>
      </c>
      <c r="EV103" s="217">
        <v>0</v>
      </c>
      <c r="EW103" s="217">
        <v>1</v>
      </c>
      <c r="EX103" s="217">
        <v>0</v>
      </c>
      <c r="EY103" s="217">
        <v>0</v>
      </c>
      <c r="EZ103" s="217">
        <v>0</v>
      </c>
      <c r="FA103" s="217"/>
      <c r="FB103" s="217"/>
      <c r="FC103" s="217"/>
      <c r="FD103" s="217">
        <f t="shared" si="21"/>
        <v>1</v>
      </c>
      <c r="FE103" s="221">
        <f t="shared" si="22"/>
        <v>0</v>
      </c>
      <c r="FF103" s="221">
        <f t="shared" si="23"/>
        <v>0</v>
      </c>
      <c r="FG103" s="222"/>
    </row>
    <row r="104" spans="1:163" x14ac:dyDescent="0.25">
      <c r="A104" s="204">
        <v>40384</v>
      </c>
      <c r="B104" s="204" t="s">
        <v>19</v>
      </c>
      <c r="C104" s="204" t="s">
        <v>129</v>
      </c>
      <c r="D104" s="204" t="s">
        <v>347</v>
      </c>
      <c r="E104" s="205">
        <v>7224</v>
      </c>
      <c r="F104" s="206">
        <v>2</v>
      </c>
      <c r="G104" s="207" t="s">
        <v>334</v>
      </c>
      <c r="H104" s="208">
        <v>1</v>
      </c>
      <c r="I104" s="208">
        <v>0</v>
      </c>
      <c r="J104" s="209">
        <v>6</v>
      </c>
      <c r="K104" s="208">
        <v>5</v>
      </c>
      <c r="L104" s="208">
        <v>0</v>
      </c>
      <c r="M104" s="208">
        <v>0</v>
      </c>
      <c r="N104" s="208">
        <v>1</v>
      </c>
      <c r="O104" s="208">
        <v>7</v>
      </c>
      <c r="P104" s="208">
        <v>0</v>
      </c>
      <c r="Q104" s="208">
        <v>0</v>
      </c>
      <c r="R104" s="208">
        <v>22</v>
      </c>
      <c r="S104" s="208">
        <v>82</v>
      </c>
      <c r="T104" s="208">
        <v>50</v>
      </c>
      <c r="U104" s="208">
        <v>0</v>
      </c>
      <c r="V104" s="210">
        <v>0</v>
      </c>
      <c r="W104" s="211">
        <v>0</v>
      </c>
      <c r="X104" s="211">
        <v>0</v>
      </c>
      <c r="Y104" s="211">
        <v>1</v>
      </c>
      <c r="Z104" s="211">
        <v>1</v>
      </c>
      <c r="AA104" s="211">
        <v>0</v>
      </c>
      <c r="AB104" s="212">
        <v>2</v>
      </c>
      <c r="AC104" s="211">
        <v>3</v>
      </c>
      <c r="AD104" s="211">
        <v>0</v>
      </c>
      <c r="AE104" s="211">
        <v>0</v>
      </c>
      <c r="AF104" s="211">
        <v>0</v>
      </c>
      <c r="AG104" s="211">
        <v>3</v>
      </c>
      <c r="AH104" s="211">
        <v>0</v>
      </c>
      <c r="AI104" s="211">
        <v>0</v>
      </c>
      <c r="AJ104" s="211">
        <v>9</v>
      </c>
      <c r="AK104" s="211">
        <v>37</v>
      </c>
      <c r="AL104" s="211">
        <v>23</v>
      </c>
      <c r="AM104" s="213" t="s">
        <v>399</v>
      </c>
      <c r="AN104" s="214">
        <v>3</v>
      </c>
      <c r="AO104" s="214">
        <v>1</v>
      </c>
      <c r="AP104" s="214">
        <v>1</v>
      </c>
      <c r="AQ104" s="214">
        <v>1</v>
      </c>
      <c r="AR104" s="214">
        <v>0</v>
      </c>
      <c r="AS104" s="214">
        <v>2</v>
      </c>
      <c r="AT104" s="214">
        <v>0</v>
      </c>
      <c r="AU104" s="214">
        <v>0</v>
      </c>
      <c r="AV104" s="215">
        <v>3</v>
      </c>
      <c r="AW104" s="213" t="s">
        <v>345</v>
      </c>
      <c r="AX104" s="214">
        <v>3</v>
      </c>
      <c r="AY104" s="214">
        <v>1</v>
      </c>
      <c r="AZ104" s="214">
        <v>1</v>
      </c>
      <c r="BA104" s="214">
        <v>2</v>
      </c>
      <c r="BB104" s="214">
        <v>0</v>
      </c>
      <c r="BC104" s="214">
        <v>1</v>
      </c>
      <c r="BD104" s="214">
        <v>0</v>
      </c>
      <c r="BE104" s="214">
        <v>1</v>
      </c>
      <c r="BF104" s="215">
        <v>4</v>
      </c>
      <c r="BG104" s="213" t="s">
        <v>400</v>
      </c>
      <c r="BH104" s="214">
        <v>4</v>
      </c>
      <c r="BI104" s="214">
        <v>0</v>
      </c>
      <c r="BJ104" s="214">
        <v>1</v>
      </c>
      <c r="BK104" s="214">
        <v>0</v>
      </c>
      <c r="BL104" s="214">
        <v>0</v>
      </c>
      <c r="BM104" s="214">
        <v>0</v>
      </c>
      <c r="BN104" s="214">
        <v>0</v>
      </c>
      <c r="BO104" s="214">
        <v>0</v>
      </c>
      <c r="BP104" s="215">
        <v>1</v>
      </c>
      <c r="BQ104" s="213" t="s">
        <v>332</v>
      </c>
      <c r="BR104" s="214">
        <v>3</v>
      </c>
      <c r="BS104" s="214">
        <v>1</v>
      </c>
      <c r="BT104" s="214">
        <v>0</v>
      </c>
      <c r="BU104" s="214">
        <v>0</v>
      </c>
      <c r="BV104" s="214">
        <v>1</v>
      </c>
      <c r="BW104" s="214">
        <v>0</v>
      </c>
      <c r="BX104" s="214">
        <v>0</v>
      </c>
      <c r="BY104" s="214">
        <v>0</v>
      </c>
      <c r="BZ104" s="215">
        <v>0</v>
      </c>
      <c r="CA104" s="213" t="s">
        <v>405</v>
      </c>
      <c r="CB104" s="214">
        <v>3</v>
      </c>
      <c r="CC104" s="214">
        <v>1</v>
      </c>
      <c r="CD104" s="214">
        <v>1</v>
      </c>
      <c r="CE104" s="214">
        <v>0</v>
      </c>
      <c r="CF104" s="214">
        <v>1</v>
      </c>
      <c r="CG104" s="214">
        <v>0</v>
      </c>
      <c r="CH104" s="214">
        <v>0</v>
      </c>
      <c r="CI104" s="214">
        <v>0</v>
      </c>
      <c r="CJ104" s="215">
        <v>2</v>
      </c>
      <c r="CK104" s="213" t="s">
        <v>406</v>
      </c>
      <c r="CL104" s="214">
        <v>4</v>
      </c>
      <c r="CM104" s="214">
        <v>0</v>
      </c>
      <c r="CN104" s="214">
        <v>2</v>
      </c>
      <c r="CO104" s="214">
        <v>2</v>
      </c>
      <c r="CP104" s="214">
        <v>0</v>
      </c>
      <c r="CQ104" s="214">
        <v>1</v>
      </c>
      <c r="CR104" s="214">
        <v>0</v>
      </c>
      <c r="CS104" s="214">
        <v>0</v>
      </c>
      <c r="CT104" s="215">
        <v>3</v>
      </c>
      <c r="CU104" s="213" t="s">
        <v>331</v>
      </c>
      <c r="CV104" s="214">
        <v>4</v>
      </c>
      <c r="CW104" s="214">
        <v>0</v>
      </c>
      <c r="CX104" s="214">
        <v>0</v>
      </c>
      <c r="CY104" s="214">
        <v>0</v>
      </c>
      <c r="CZ104" s="214">
        <v>0</v>
      </c>
      <c r="DA104" s="214">
        <v>1</v>
      </c>
      <c r="DB104" s="214">
        <v>0</v>
      </c>
      <c r="DC104" s="214">
        <v>0</v>
      </c>
      <c r="DD104" s="215">
        <v>0</v>
      </c>
      <c r="DE104" s="213" t="s">
        <v>401</v>
      </c>
      <c r="DF104" s="214">
        <v>2</v>
      </c>
      <c r="DG104" s="214">
        <v>0</v>
      </c>
      <c r="DH104" s="214">
        <v>1</v>
      </c>
      <c r="DI104" s="214">
        <v>0</v>
      </c>
      <c r="DJ104" s="214">
        <v>2</v>
      </c>
      <c r="DK104" s="214">
        <v>0</v>
      </c>
      <c r="DL104" s="214">
        <v>0</v>
      </c>
      <c r="DM104" s="214">
        <v>0</v>
      </c>
      <c r="DN104" s="215">
        <v>3</v>
      </c>
      <c r="DO104" s="213" t="s">
        <v>335</v>
      </c>
      <c r="DP104" s="214">
        <v>3</v>
      </c>
      <c r="DQ104" s="214">
        <v>1</v>
      </c>
      <c r="DR104" s="214">
        <v>2</v>
      </c>
      <c r="DS104" s="214">
        <v>0</v>
      </c>
      <c r="DT104" s="214">
        <v>0</v>
      </c>
      <c r="DU104" s="214">
        <v>0</v>
      </c>
      <c r="DV104" s="214">
        <v>0</v>
      </c>
      <c r="DW104" s="214">
        <v>0</v>
      </c>
      <c r="DX104" s="215">
        <v>4</v>
      </c>
      <c r="DY104" s="216">
        <f>0+2/3</f>
        <v>0.66666666666666663</v>
      </c>
      <c r="DZ104" s="217">
        <v>0</v>
      </c>
      <c r="EA104" s="217">
        <v>0</v>
      </c>
      <c r="EB104" s="218">
        <v>7</v>
      </c>
      <c r="EC104" s="217">
        <v>0</v>
      </c>
      <c r="ED104" s="219">
        <v>0</v>
      </c>
      <c r="EE104" s="220">
        <v>1</v>
      </c>
      <c r="EF104" s="217">
        <v>0</v>
      </c>
      <c r="EG104" s="217">
        <v>2</v>
      </c>
      <c r="EH104" s="217">
        <v>0</v>
      </c>
      <c r="EI104" s="217">
        <v>0</v>
      </c>
      <c r="EJ104" s="217">
        <v>0</v>
      </c>
      <c r="EK104" s="217">
        <v>0</v>
      </c>
      <c r="EL104" s="217">
        <v>2</v>
      </c>
      <c r="EM104" s="217"/>
      <c r="EN104" s="217"/>
      <c r="EO104" s="217"/>
      <c r="EP104" s="217"/>
      <c r="EQ104" s="219">
        <f t="shared" si="20"/>
        <v>5</v>
      </c>
      <c r="ER104" s="217">
        <v>0</v>
      </c>
      <c r="ES104" s="217">
        <v>0</v>
      </c>
      <c r="ET104" s="217">
        <v>0</v>
      </c>
      <c r="EU104" s="217">
        <v>0</v>
      </c>
      <c r="EV104" s="217">
        <v>0</v>
      </c>
      <c r="EW104" s="217">
        <v>0</v>
      </c>
      <c r="EX104" s="217">
        <v>0</v>
      </c>
      <c r="EY104" s="217">
        <v>0</v>
      </c>
      <c r="EZ104" s="217"/>
      <c r="FA104" s="217"/>
      <c r="FB104" s="217"/>
      <c r="FC104" s="217"/>
      <c r="FD104" s="217">
        <f t="shared" si="21"/>
        <v>0</v>
      </c>
      <c r="FE104" s="221">
        <f t="shared" si="22"/>
        <v>0</v>
      </c>
      <c r="FF104" s="221">
        <f t="shared" si="23"/>
        <v>0</v>
      </c>
      <c r="FG104" s="222" t="s">
        <v>351</v>
      </c>
    </row>
    <row r="105" spans="1:163" x14ac:dyDescent="0.25">
      <c r="A105" s="204">
        <v>40385</v>
      </c>
      <c r="B105" s="204" t="s">
        <v>19</v>
      </c>
      <c r="C105" s="204" t="s">
        <v>129</v>
      </c>
      <c r="D105" s="204" t="s">
        <v>347</v>
      </c>
      <c r="E105" s="205">
        <v>5202</v>
      </c>
      <c r="F105" s="206">
        <v>3</v>
      </c>
      <c r="G105" s="207" t="s">
        <v>326</v>
      </c>
      <c r="H105" s="208">
        <v>1</v>
      </c>
      <c r="I105" s="208">
        <v>0</v>
      </c>
      <c r="J105" s="209">
        <v>7</v>
      </c>
      <c r="K105" s="208">
        <v>4</v>
      </c>
      <c r="L105" s="208">
        <v>1</v>
      </c>
      <c r="M105" s="208">
        <v>1</v>
      </c>
      <c r="N105" s="208">
        <v>2</v>
      </c>
      <c r="O105" s="208">
        <v>2</v>
      </c>
      <c r="P105" s="208">
        <v>1</v>
      </c>
      <c r="Q105" s="208">
        <v>0</v>
      </c>
      <c r="R105" s="208">
        <v>27</v>
      </c>
      <c r="S105" s="208">
        <v>107</v>
      </c>
      <c r="T105" s="208">
        <v>71</v>
      </c>
      <c r="U105" s="208">
        <v>0</v>
      </c>
      <c r="V105" s="210">
        <v>0</v>
      </c>
      <c r="W105" s="211">
        <v>0</v>
      </c>
      <c r="X105" s="211">
        <v>0</v>
      </c>
      <c r="Y105" s="211">
        <v>0</v>
      </c>
      <c r="Z105" s="211">
        <v>0</v>
      </c>
      <c r="AA105" s="211">
        <v>0</v>
      </c>
      <c r="AB105" s="212">
        <v>2</v>
      </c>
      <c r="AC105" s="211">
        <v>2</v>
      </c>
      <c r="AD105" s="211">
        <v>3</v>
      </c>
      <c r="AE105" s="211">
        <v>3</v>
      </c>
      <c r="AF105" s="211">
        <v>1</v>
      </c>
      <c r="AG105" s="211">
        <v>0</v>
      </c>
      <c r="AH105" s="211">
        <v>1</v>
      </c>
      <c r="AI105" s="211">
        <v>0</v>
      </c>
      <c r="AJ105" s="211">
        <v>9</v>
      </c>
      <c r="AK105" s="211">
        <v>29</v>
      </c>
      <c r="AL105" s="211">
        <v>16</v>
      </c>
      <c r="AM105" s="213" t="s">
        <v>399</v>
      </c>
      <c r="AN105" s="214">
        <v>5</v>
      </c>
      <c r="AO105" s="214">
        <v>2</v>
      </c>
      <c r="AP105" s="214">
        <v>1</v>
      </c>
      <c r="AQ105" s="214">
        <v>0</v>
      </c>
      <c r="AR105" s="214">
        <v>1</v>
      </c>
      <c r="AS105" s="214">
        <v>1</v>
      </c>
      <c r="AT105" s="214">
        <v>0</v>
      </c>
      <c r="AU105" s="214">
        <v>0</v>
      </c>
      <c r="AV105" s="215">
        <v>2</v>
      </c>
      <c r="AW105" s="213" t="s">
        <v>403</v>
      </c>
      <c r="AX105" s="214">
        <v>5</v>
      </c>
      <c r="AY105" s="214">
        <v>3</v>
      </c>
      <c r="AZ105" s="214">
        <v>3</v>
      </c>
      <c r="BA105" s="214">
        <v>4</v>
      </c>
      <c r="BB105" s="214">
        <v>1</v>
      </c>
      <c r="BC105" s="214">
        <v>1</v>
      </c>
      <c r="BD105" s="214">
        <v>0</v>
      </c>
      <c r="BE105" s="214">
        <v>0</v>
      </c>
      <c r="BF105" s="215">
        <v>6</v>
      </c>
      <c r="BG105" s="213" t="s">
        <v>400</v>
      </c>
      <c r="BH105" s="214">
        <v>6</v>
      </c>
      <c r="BI105" s="214">
        <v>2</v>
      </c>
      <c r="BJ105" s="214">
        <v>2</v>
      </c>
      <c r="BK105" s="214">
        <v>2</v>
      </c>
      <c r="BL105" s="214">
        <v>0</v>
      </c>
      <c r="BM105" s="214">
        <v>2</v>
      </c>
      <c r="BN105" s="214">
        <v>0</v>
      </c>
      <c r="BO105" s="214">
        <v>0</v>
      </c>
      <c r="BP105" s="215">
        <v>3</v>
      </c>
      <c r="BQ105" s="213" t="s">
        <v>332</v>
      </c>
      <c r="BR105" s="214">
        <v>3</v>
      </c>
      <c r="BS105" s="214">
        <v>1</v>
      </c>
      <c r="BT105" s="214">
        <v>1</v>
      </c>
      <c r="BU105" s="214">
        <v>3</v>
      </c>
      <c r="BV105" s="214">
        <v>1</v>
      </c>
      <c r="BW105" s="214">
        <v>0</v>
      </c>
      <c r="BX105" s="214">
        <v>1</v>
      </c>
      <c r="BY105" s="214">
        <v>0</v>
      </c>
      <c r="BZ105" s="215">
        <v>4</v>
      </c>
      <c r="CA105" s="213" t="s">
        <v>405</v>
      </c>
      <c r="CB105" s="214">
        <v>4</v>
      </c>
      <c r="CC105" s="214">
        <v>1</v>
      </c>
      <c r="CD105" s="214">
        <v>2</v>
      </c>
      <c r="CE105" s="214">
        <v>1</v>
      </c>
      <c r="CF105" s="214">
        <v>0</v>
      </c>
      <c r="CG105" s="214">
        <v>1</v>
      </c>
      <c r="CH105" s="214">
        <v>1</v>
      </c>
      <c r="CI105" s="214">
        <v>0</v>
      </c>
      <c r="CJ105" s="215">
        <v>2</v>
      </c>
      <c r="CK105" s="213" t="s">
        <v>406</v>
      </c>
      <c r="CL105" s="214">
        <v>3</v>
      </c>
      <c r="CM105" s="214">
        <v>1</v>
      </c>
      <c r="CN105" s="214">
        <v>2</v>
      </c>
      <c r="CO105" s="214">
        <v>0</v>
      </c>
      <c r="CP105" s="214">
        <v>2</v>
      </c>
      <c r="CQ105" s="214">
        <v>0</v>
      </c>
      <c r="CR105" s="214">
        <v>0</v>
      </c>
      <c r="CS105" s="214">
        <v>0</v>
      </c>
      <c r="CT105" s="215">
        <v>2</v>
      </c>
      <c r="CU105" s="213" t="s">
        <v>331</v>
      </c>
      <c r="CV105" s="214">
        <v>5</v>
      </c>
      <c r="CW105" s="214">
        <v>1</v>
      </c>
      <c r="CX105" s="214">
        <v>1</v>
      </c>
      <c r="CY105" s="214">
        <v>0</v>
      </c>
      <c r="CZ105" s="214">
        <v>0</v>
      </c>
      <c r="DA105" s="214">
        <v>0</v>
      </c>
      <c r="DB105" s="214">
        <v>0</v>
      </c>
      <c r="DC105" s="214">
        <v>0</v>
      </c>
      <c r="DD105" s="215">
        <v>1</v>
      </c>
      <c r="DE105" s="213" t="s">
        <v>335</v>
      </c>
      <c r="DF105" s="214">
        <v>5</v>
      </c>
      <c r="DG105" s="214">
        <v>3</v>
      </c>
      <c r="DH105" s="214">
        <v>4</v>
      </c>
      <c r="DI105" s="214">
        <v>2</v>
      </c>
      <c r="DJ105" s="214">
        <v>0</v>
      </c>
      <c r="DK105" s="214">
        <v>0</v>
      </c>
      <c r="DL105" s="214">
        <v>0</v>
      </c>
      <c r="DM105" s="214">
        <v>0</v>
      </c>
      <c r="DN105" s="215">
        <v>6</v>
      </c>
      <c r="DO105" s="213" t="s">
        <v>330</v>
      </c>
      <c r="DP105" s="214">
        <v>5</v>
      </c>
      <c r="DQ105" s="214">
        <v>1</v>
      </c>
      <c r="DR105" s="214">
        <v>3</v>
      </c>
      <c r="DS105" s="214">
        <v>3</v>
      </c>
      <c r="DT105" s="214">
        <v>0</v>
      </c>
      <c r="DU105" s="214">
        <v>0</v>
      </c>
      <c r="DV105" s="214">
        <v>0</v>
      </c>
      <c r="DW105" s="214">
        <v>0</v>
      </c>
      <c r="DX105" s="215">
        <v>6</v>
      </c>
      <c r="DY105" s="216">
        <v>3</v>
      </c>
      <c r="DZ105" s="217">
        <v>0</v>
      </c>
      <c r="EA105" s="217">
        <v>0</v>
      </c>
      <c r="EB105" s="218">
        <v>5</v>
      </c>
      <c r="EC105" s="217">
        <v>0</v>
      </c>
      <c r="ED105" s="219">
        <v>0</v>
      </c>
      <c r="EE105" s="220">
        <v>10</v>
      </c>
      <c r="EF105" s="217">
        <v>1</v>
      </c>
      <c r="EG105" s="217">
        <v>0</v>
      </c>
      <c r="EH105" s="217">
        <v>0</v>
      </c>
      <c r="EI105" s="217">
        <v>0</v>
      </c>
      <c r="EJ105" s="217">
        <v>0</v>
      </c>
      <c r="EK105" s="217">
        <v>2</v>
      </c>
      <c r="EL105" s="217">
        <v>2</v>
      </c>
      <c r="EM105" s="217"/>
      <c r="EN105" s="217"/>
      <c r="EO105" s="217"/>
      <c r="EP105" s="217"/>
      <c r="EQ105" s="219">
        <f t="shared" ref="EQ105:EQ111" si="24">SUM(EE105:EP105)</f>
        <v>15</v>
      </c>
      <c r="ER105" s="217">
        <v>0</v>
      </c>
      <c r="ES105" s="217">
        <v>1</v>
      </c>
      <c r="ET105" s="217">
        <v>0</v>
      </c>
      <c r="EU105" s="217">
        <v>0</v>
      </c>
      <c r="EV105" s="217">
        <v>0</v>
      </c>
      <c r="EW105" s="217">
        <v>0</v>
      </c>
      <c r="EX105" s="217">
        <v>0</v>
      </c>
      <c r="EY105" s="217">
        <v>3</v>
      </c>
      <c r="EZ105" s="217">
        <v>0</v>
      </c>
      <c r="FA105" s="217"/>
      <c r="FB105" s="217"/>
      <c r="FC105" s="217"/>
      <c r="FD105" s="217">
        <f t="shared" ref="FD105:FD111" si="25">SUM(ER105:FC105)</f>
        <v>4</v>
      </c>
      <c r="FE105" s="221">
        <f t="shared" ref="FE105:FE111" si="26">((SUM(L105,AD105))-(FD105))</f>
        <v>0</v>
      </c>
      <c r="FF105" s="221">
        <f t="shared" ref="FF105:FF111" si="27">((SUM(AO105,AY105,BI105,BS105,CC105,CM105,CW105,DG105,DQ105))-(EQ105))</f>
        <v>0</v>
      </c>
      <c r="FG105" s="222"/>
    </row>
    <row r="106" spans="1:163" x14ac:dyDescent="0.25">
      <c r="A106" s="204">
        <v>40386</v>
      </c>
      <c r="B106" s="204" t="s">
        <v>133</v>
      </c>
      <c r="C106" s="204" t="s">
        <v>129</v>
      </c>
      <c r="D106" s="204" t="s">
        <v>340</v>
      </c>
      <c r="E106" s="205">
        <v>9769</v>
      </c>
      <c r="F106" s="206">
        <v>4</v>
      </c>
      <c r="G106" s="207" t="s">
        <v>337</v>
      </c>
      <c r="H106" s="208">
        <v>0</v>
      </c>
      <c r="I106" s="208">
        <v>0</v>
      </c>
      <c r="J106" s="209">
        <f>6+2/3</f>
        <v>6.666666666666667</v>
      </c>
      <c r="K106" s="208">
        <v>5</v>
      </c>
      <c r="L106" s="208">
        <v>0</v>
      </c>
      <c r="M106" s="208">
        <v>0</v>
      </c>
      <c r="N106" s="208">
        <v>1</v>
      </c>
      <c r="O106" s="208">
        <v>4</v>
      </c>
      <c r="P106" s="208">
        <v>0</v>
      </c>
      <c r="Q106" s="208">
        <v>0</v>
      </c>
      <c r="R106" s="208">
        <v>24</v>
      </c>
      <c r="S106" s="208">
        <v>95</v>
      </c>
      <c r="T106" s="208">
        <v>59</v>
      </c>
      <c r="U106" s="208">
        <v>1</v>
      </c>
      <c r="V106" s="210">
        <v>0</v>
      </c>
      <c r="W106" s="211">
        <v>1</v>
      </c>
      <c r="X106" s="211">
        <v>0</v>
      </c>
      <c r="Y106" s="211">
        <v>0</v>
      </c>
      <c r="Z106" s="211">
        <v>1</v>
      </c>
      <c r="AA106" s="211">
        <v>1</v>
      </c>
      <c r="AB106" s="212">
        <f>2+1/3</f>
        <v>2.3333333333333335</v>
      </c>
      <c r="AC106" s="211">
        <v>3</v>
      </c>
      <c r="AD106" s="211">
        <v>3</v>
      </c>
      <c r="AE106" s="211">
        <v>2</v>
      </c>
      <c r="AF106" s="211">
        <v>0</v>
      </c>
      <c r="AG106" s="211">
        <v>5</v>
      </c>
      <c r="AH106" s="211">
        <v>0</v>
      </c>
      <c r="AI106" s="211">
        <v>0</v>
      </c>
      <c r="AJ106" s="211">
        <v>11</v>
      </c>
      <c r="AK106" s="211">
        <v>45</v>
      </c>
      <c r="AL106" s="211">
        <v>33</v>
      </c>
      <c r="AM106" s="213" t="s">
        <v>401</v>
      </c>
      <c r="AN106" s="214">
        <v>4</v>
      </c>
      <c r="AO106" s="214">
        <v>1</v>
      </c>
      <c r="AP106" s="214">
        <v>1</v>
      </c>
      <c r="AQ106" s="214">
        <v>0</v>
      </c>
      <c r="AR106" s="214">
        <v>0</v>
      </c>
      <c r="AS106" s="214">
        <v>0</v>
      </c>
      <c r="AT106" s="214">
        <v>1</v>
      </c>
      <c r="AU106" s="214">
        <v>0</v>
      </c>
      <c r="AV106" s="215">
        <v>1</v>
      </c>
      <c r="AW106" s="213" t="s">
        <v>345</v>
      </c>
      <c r="AX106" s="214">
        <v>5</v>
      </c>
      <c r="AY106" s="214">
        <v>1</v>
      </c>
      <c r="AZ106" s="214">
        <v>3</v>
      </c>
      <c r="BA106" s="214">
        <v>0</v>
      </c>
      <c r="BB106" s="214">
        <v>0</v>
      </c>
      <c r="BC106" s="214">
        <v>1</v>
      </c>
      <c r="BD106" s="214">
        <v>0</v>
      </c>
      <c r="BE106" s="214">
        <v>0</v>
      </c>
      <c r="BF106" s="215">
        <v>4</v>
      </c>
      <c r="BG106" s="213" t="s">
        <v>400</v>
      </c>
      <c r="BH106" s="214">
        <v>4</v>
      </c>
      <c r="BI106" s="214">
        <v>2</v>
      </c>
      <c r="BJ106" s="214">
        <v>1</v>
      </c>
      <c r="BK106" s="214">
        <v>3</v>
      </c>
      <c r="BL106" s="214">
        <v>1</v>
      </c>
      <c r="BM106" s="214">
        <v>0</v>
      </c>
      <c r="BN106" s="214">
        <v>0</v>
      </c>
      <c r="BO106" s="214">
        <v>0</v>
      </c>
      <c r="BP106" s="215">
        <v>4</v>
      </c>
      <c r="BQ106" s="213" t="s">
        <v>332</v>
      </c>
      <c r="BR106" s="214">
        <v>3</v>
      </c>
      <c r="BS106" s="214">
        <v>0</v>
      </c>
      <c r="BT106" s="214">
        <v>1</v>
      </c>
      <c r="BU106" s="214">
        <v>0</v>
      </c>
      <c r="BV106" s="214">
        <v>2</v>
      </c>
      <c r="BW106" s="214">
        <v>2</v>
      </c>
      <c r="BX106" s="214">
        <v>0</v>
      </c>
      <c r="BY106" s="214">
        <v>0</v>
      </c>
      <c r="BZ106" s="215">
        <v>1</v>
      </c>
      <c r="CA106" s="213" t="s">
        <v>403</v>
      </c>
      <c r="CB106" s="214">
        <v>5</v>
      </c>
      <c r="CC106" s="214">
        <v>0</v>
      </c>
      <c r="CD106" s="214">
        <v>1</v>
      </c>
      <c r="CE106" s="214">
        <v>1</v>
      </c>
      <c r="CF106" s="214">
        <v>0</v>
      </c>
      <c r="CG106" s="214">
        <v>3</v>
      </c>
      <c r="CH106" s="214">
        <v>0</v>
      </c>
      <c r="CI106" s="214">
        <v>0</v>
      </c>
      <c r="CJ106" s="215">
        <v>2</v>
      </c>
      <c r="CK106" s="213" t="s">
        <v>406</v>
      </c>
      <c r="CL106" s="214">
        <v>3</v>
      </c>
      <c r="CM106" s="214">
        <v>0</v>
      </c>
      <c r="CN106" s="214">
        <v>0</v>
      </c>
      <c r="CO106" s="214">
        <v>0</v>
      </c>
      <c r="CP106" s="214">
        <v>1</v>
      </c>
      <c r="CQ106" s="214">
        <v>3</v>
      </c>
      <c r="CR106" s="214">
        <v>0</v>
      </c>
      <c r="CS106" s="214">
        <v>0</v>
      </c>
      <c r="CT106" s="215">
        <v>0</v>
      </c>
      <c r="CU106" s="213" t="s">
        <v>331</v>
      </c>
      <c r="CV106" s="214">
        <v>3</v>
      </c>
      <c r="CW106" s="214">
        <v>0</v>
      </c>
      <c r="CX106" s="214">
        <v>1</v>
      </c>
      <c r="CY106" s="214">
        <v>0</v>
      </c>
      <c r="CZ106" s="214">
        <v>1</v>
      </c>
      <c r="DA106" s="214">
        <v>0</v>
      </c>
      <c r="DB106" s="214">
        <v>0</v>
      </c>
      <c r="DC106" s="214">
        <v>0</v>
      </c>
      <c r="DD106" s="215">
        <v>1</v>
      </c>
      <c r="DE106" s="213" t="s">
        <v>407</v>
      </c>
      <c r="DF106" s="214">
        <v>4</v>
      </c>
      <c r="DG106" s="214">
        <v>1</v>
      </c>
      <c r="DH106" s="214">
        <v>2</v>
      </c>
      <c r="DI106" s="214">
        <v>1</v>
      </c>
      <c r="DJ106" s="214">
        <v>0</v>
      </c>
      <c r="DK106" s="214">
        <v>0</v>
      </c>
      <c r="DL106" s="214">
        <v>0</v>
      </c>
      <c r="DM106" s="214">
        <v>0</v>
      </c>
      <c r="DN106" s="215">
        <v>5</v>
      </c>
      <c r="DO106" s="213" t="s">
        <v>330</v>
      </c>
      <c r="DP106" s="214">
        <v>4</v>
      </c>
      <c r="DQ106" s="214">
        <v>0</v>
      </c>
      <c r="DR106" s="214">
        <v>1</v>
      </c>
      <c r="DS106" s="214">
        <v>0</v>
      </c>
      <c r="DT106" s="214">
        <v>0</v>
      </c>
      <c r="DU106" s="214">
        <v>2</v>
      </c>
      <c r="DV106" s="214">
        <v>0</v>
      </c>
      <c r="DW106" s="214">
        <v>0</v>
      </c>
      <c r="DX106" s="215">
        <v>1</v>
      </c>
      <c r="DY106" s="216">
        <f>0+2/3</f>
        <v>0.66666666666666663</v>
      </c>
      <c r="DZ106" s="217">
        <v>0</v>
      </c>
      <c r="EA106" s="217">
        <v>0</v>
      </c>
      <c r="EB106" s="218">
        <f>8+1/3</f>
        <v>8.3333333333333339</v>
      </c>
      <c r="EC106" s="217">
        <v>0</v>
      </c>
      <c r="ED106" s="219">
        <v>1</v>
      </c>
      <c r="EE106" s="220">
        <v>0</v>
      </c>
      <c r="EF106" s="217">
        <v>0</v>
      </c>
      <c r="EG106" s="217">
        <v>0</v>
      </c>
      <c r="EH106" s="217">
        <v>0</v>
      </c>
      <c r="EI106" s="217">
        <v>0</v>
      </c>
      <c r="EJ106" s="217">
        <v>0</v>
      </c>
      <c r="EK106" s="217">
        <v>0</v>
      </c>
      <c r="EL106" s="217">
        <v>1</v>
      </c>
      <c r="EM106" s="217">
        <v>4</v>
      </c>
      <c r="EN106" s="217"/>
      <c r="EO106" s="217"/>
      <c r="EP106" s="217"/>
      <c r="EQ106" s="219">
        <f t="shared" si="24"/>
        <v>5</v>
      </c>
      <c r="ER106" s="217">
        <v>0</v>
      </c>
      <c r="ES106" s="217">
        <v>0</v>
      </c>
      <c r="ET106" s="217">
        <v>0</v>
      </c>
      <c r="EU106" s="217">
        <v>0</v>
      </c>
      <c r="EV106" s="217">
        <v>0</v>
      </c>
      <c r="EW106" s="217">
        <v>0</v>
      </c>
      <c r="EX106" s="217">
        <v>0</v>
      </c>
      <c r="EY106" s="217">
        <v>3</v>
      </c>
      <c r="EZ106" s="217">
        <v>0</v>
      </c>
      <c r="FA106" s="217"/>
      <c r="FB106" s="217"/>
      <c r="FC106" s="217"/>
      <c r="FD106" s="217">
        <f t="shared" si="25"/>
        <v>3</v>
      </c>
      <c r="FE106" s="221">
        <f t="shared" si="26"/>
        <v>0</v>
      </c>
      <c r="FF106" s="221">
        <f t="shared" si="27"/>
        <v>0</v>
      </c>
      <c r="FG106" s="222"/>
    </row>
    <row r="107" spans="1:163" x14ac:dyDescent="0.25">
      <c r="A107" s="204">
        <v>40387</v>
      </c>
      <c r="B107" s="204" t="s">
        <v>133</v>
      </c>
      <c r="C107" s="204" t="s">
        <v>129</v>
      </c>
      <c r="D107" s="204" t="s">
        <v>340</v>
      </c>
      <c r="E107" s="205">
        <v>9338</v>
      </c>
      <c r="F107" s="206">
        <v>5</v>
      </c>
      <c r="G107" s="207" t="s">
        <v>398</v>
      </c>
      <c r="H107" s="208">
        <v>0</v>
      </c>
      <c r="I107" s="208">
        <v>0</v>
      </c>
      <c r="J107" s="209">
        <v>5</v>
      </c>
      <c r="K107" s="208">
        <v>4</v>
      </c>
      <c r="L107" s="208">
        <v>2</v>
      </c>
      <c r="M107" s="208">
        <v>2</v>
      </c>
      <c r="N107" s="208">
        <v>2</v>
      </c>
      <c r="O107" s="208">
        <v>6</v>
      </c>
      <c r="P107" s="208">
        <v>2</v>
      </c>
      <c r="Q107" s="208">
        <v>0</v>
      </c>
      <c r="R107" s="208">
        <v>20</v>
      </c>
      <c r="S107" s="208">
        <v>78</v>
      </c>
      <c r="T107" s="208">
        <v>46</v>
      </c>
      <c r="U107" s="208">
        <v>0</v>
      </c>
      <c r="V107" s="210">
        <v>0</v>
      </c>
      <c r="W107" s="211">
        <v>1</v>
      </c>
      <c r="X107" s="211">
        <v>0</v>
      </c>
      <c r="Y107" s="211">
        <v>2</v>
      </c>
      <c r="Z107" s="211">
        <v>1</v>
      </c>
      <c r="AA107" s="211">
        <v>0</v>
      </c>
      <c r="AB107" s="212">
        <v>4</v>
      </c>
      <c r="AC107" s="211">
        <v>1</v>
      </c>
      <c r="AD107" s="211">
        <v>0</v>
      </c>
      <c r="AE107" s="211">
        <v>0</v>
      </c>
      <c r="AF107" s="211">
        <v>3</v>
      </c>
      <c r="AG107" s="211">
        <v>5</v>
      </c>
      <c r="AH107" s="211">
        <v>0</v>
      </c>
      <c r="AI107" s="211">
        <v>0</v>
      </c>
      <c r="AJ107" s="211">
        <v>16</v>
      </c>
      <c r="AK107" s="211">
        <v>71</v>
      </c>
      <c r="AL107" s="211">
        <v>39</v>
      </c>
      <c r="AM107" s="213" t="s">
        <v>399</v>
      </c>
      <c r="AN107" s="214">
        <v>5</v>
      </c>
      <c r="AO107" s="214">
        <v>0</v>
      </c>
      <c r="AP107" s="214">
        <v>0</v>
      </c>
      <c r="AQ107" s="214">
        <v>0</v>
      </c>
      <c r="AR107" s="214">
        <v>0</v>
      </c>
      <c r="AS107" s="214">
        <v>2</v>
      </c>
      <c r="AT107" s="214">
        <v>0</v>
      </c>
      <c r="AU107" s="214">
        <v>0</v>
      </c>
      <c r="AV107" s="215">
        <v>0</v>
      </c>
      <c r="AW107" s="213" t="s">
        <v>345</v>
      </c>
      <c r="AX107" s="214">
        <v>4</v>
      </c>
      <c r="AY107" s="214">
        <v>1</v>
      </c>
      <c r="AZ107" s="214">
        <v>1</v>
      </c>
      <c r="BA107" s="214">
        <v>0</v>
      </c>
      <c r="BB107" s="214">
        <v>1</v>
      </c>
      <c r="BC107" s="214">
        <v>0</v>
      </c>
      <c r="BD107" s="214">
        <v>0</v>
      </c>
      <c r="BE107" s="214">
        <v>0</v>
      </c>
      <c r="BF107" s="215">
        <v>2</v>
      </c>
      <c r="BG107" s="213" t="s">
        <v>400</v>
      </c>
      <c r="BH107" s="214">
        <v>5</v>
      </c>
      <c r="BI107" s="214">
        <v>0</v>
      </c>
      <c r="BJ107" s="214">
        <v>1</v>
      </c>
      <c r="BK107" s="214">
        <v>0</v>
      </c>
      <c r="BL107" s="214">
        <v>0</v>
      </c>
      <c r="BM107" s="214">
        <v>1</v>
      </c>
      <c r="BN107" s="214">
        <v>0</v>
      </c>
      <c r="BO107" s="214">
        <v>0</v>
      </c>
      <c r="BP107" s="215">
        <v>1</v>
      </c>
      <c r="BQ107" s="213" t="s">
        <v>332</v>
      </c>
      <c r="BR107" s="214">
        <v>3</v>
      </c>
      <c r="BS107" s="214">
        <v>1</v>
      </c>
      <c r="BT107" s="214">
        <v>2</v>
      </c>
      <c r="BU107" s="214">
        <v>1</v>
      </c>
      <c r="BV107" s="214">
        <v>1</v>
      </c>
      <c r="BW107" s="214">
        <v>0</v>
      </c>
      <c r="BX107" s="214">
        <v>0</v>
      </c>
      <c r="BY107" s="214">
        <v>0</v>
      </c>
      <c r="BZ107" s="215">
        <v>2</v>
      </c>
      <c r="CA107" s="213" t="s">
        <v>405</v>
      </c>
      <c r="CB107" s="214">
        <v>2</v>
      </c>
      <c r="CC107" s="214">
        <v>1</v>
      </c>
      <c r="CD107" s="214">
        <v>0</v>
      </c>
      <c r="CE107" s="214">
        <v>0</v>
      </c>
      <c r="CF107" s="214">
        <v>2</v>
      </c>
      <c r="CG107" s="214">
        <v>1</v>
      </c>
      <c r="CH107" s="214">
        <v>0</v>
      </c>
      <c r="CI107" s="214">
        <v>0</v>
      </c>
      <c r="CJ107" s="215">
        <v>0</v>
      </c>
      <c r="CK107" s="213" t="s">
        <v>403</v>
      </c>
      <c r="CL107" s="214">
        <v>4</v>
      </c>
      <c r="CM107" s="214">
        <v>0</v>
      </c>
      <c r="CN107" s="214">
        <v>2</v>
      </c>
      <c r="CO107" s="214">
        <v>0</v>
      </c>
      <c r="CP107" s="214">
        <v>0</v>
      </c>
      <c r="CQ107" s="214">
        <v>0</v>
      </c>
      <c r="CR107" s="214">
        <v>0</v>
      </c>
      <c r="CS107" s="214">
        <v>0</v>
      </c>
      <c r="CT107" s="215">
        <v>2</v>
      </c>
      <c r="CU107" s="213" t="s">
        <v>406</v>
      </c>
      <c r="CV107" s="214">
        <v>2</v>
      </c>
      <c r="CW107" s="214">
        <v>0</v>
      </c>
      <c r="CX107" s="214">
        <v>1</v>
      </c>
      <c r="CY107" s="214">
        <v>1</v>
      </c>
      <c r="CZ107" s="214">
        <v>2</v>
      </c>
      <c r="DA107" s="214">
        <v>0</v>
      </c>
      <c r="DB107" s="214">
        <v>0</v>
      </c>
      <c r="DC107" s="214">
        <v>0</v>
      </c>
      <c r="DD107" s="215">
        <v>1</v>
      </c>
      <c r="DE107" s="213" t="s">
        <v>401</v>
      </c>
      <c r="DF107" s="214">
        <v>3</v>
      </c>
      <c r="DG107" s="214">
        <v>0</v>
      </c>
      <c r="DH107" s="214">
        <v>0</v>
      </c>
      <c r="DI107" s="214">
        <v>0</v>
      </c>
      <c r="DJ107" s="214">
        <v>1</v>
      </c>
      <c r="DK107" s="214">
        <v>0</v>
      </c>
      <c r="DL107" s="214">
        <v>0</v>
      </c>
      <c r="DM107" s="214">
        <v>0</v>
      </c>
      <c r="DN107" s="215">
        <v>0</v>
      </c>
      <c r="DO107" s="213" t="s">
        <v>335</v>
      </c>
      <c r="DP107" s="214">
        <v>4</v>
      </c>
      <c r="DQ107" s="214">
        <v>0</v>
      </c>
      <c r="DR107" s="214">
        <v>1</v>
      </c>
      <c r="DS107" s="214">
        <v>0</v>
      </c>
      <c r="DT107" s="214">
        <v>0</v>
      </c>
      <c r="DU107" s="214">
        <v>2</v>
      </c>
      <c r="DV107" s="214">
        <v>0</v>
      </c>
      <c r="DW107" s="214">
        <v>0</v>
      </c>
      <c r="DX107" s="215">
        <v>1</v>
      </c>
      <c r="DY107" s="216">
        <v>1</v>
      </c>
      <c r="DZ107" s="217">
        <v>1</v>
      </c>
      <c r="EA107" s="217">
        <v>0</v>
      </c>
      <c r="EB107" s="218">
        <v>8</v>
      </c>
      <c r="EC107" s="217">
        <v>1</v>
      </c>
      <c r="ED107" s="219">
        <v>0</v>
      </c>
      <c r="EE107" s="220">
        <v>0</v>
      </c>
      <c r="EF107" s="217">
        <v>0</v>
      </c>
      <c r="EG107" s="217">
        <v>0</v>
      </c>
      <c r="EH107" s="217">
        <v>0</v>
      </c>
      <c r="EI107" s="217">
        <v>0</v>
      </c>
      <c r="EJ107" s="217">
        <v>1</v>
      </c>
      <c r="EK107" s="217">
        <v>0</v>
      </c>
      <c r="EL107" s="217">
        <v>2</v>
      </c>
      <c r="EM107" s="217">
        <v>0</v>
      </c>
      <c r="EN107" s="217"/>
      <c r="EO107" s="217"/>
      <c r="EP107" s="217"/>
      <c r="EQ107" s="219">
        <f t="shared" si="24"/>
        <v>3</v>
      </c>
      <c r="ER107" s="217">
        <v>0</v>
      </c>
      <c r="ES107" s="217">
        <v>0</v>
      </c>
      <c r="ET107" s="217">
        <v>0</v>
      </c>
      <c r="EU107" s="217">
        <v>1</v>
      </c>
      <c r="EV107" s="217">
        <v>1</v>
      </c>
      <c r="EW107" s="217">
        <v>0</v>
      </c>
      <c r="EX107" s="217">
        <v>0</v>
      </c>
      <c r="EY107" s="217">
        <v>0</v>
      </c>
      <c r="EZ107" s="217">
        <v>0</v>
      </c>
      <c r="FA107" s="217"/>
      <c r="FB107" s="217"/>
      <c r="FC107" s="217"/>
      <c r="FD107" s="217">
        <f t="shared" si="25"/>
        <v>2</v>
      </c>
      <c r="FE107" s="221">
        <f t="shared" si="26"/>
        <v>0</v>
      </c>
      <c r="FF107" s="221">
        <f t="shared" si="27"/>
        <v>0</v>
      </c>
      <c r="FG107" s="222"/>
    </row>
    <row r="108" spans="1:163" x14ac:dyDescent="0.25">
      <c r="A108" s="204">
        <v>40388</v>
      </c>
      <c r="B108" s="204" t="s">
        <v>133</v>
      </c>
      <c r="C108" s="204" t="s">
        <v>129</v>
      </c>
      <c r="D108" s="204" t="s">
        <v>340</v>
      </c>
      <c r="E108" s="205">
        <v>10000</v>
      </c>
      <c r="F108" s="206">
        <v>1</v>
      </c>
      <c r="G108" s="207" t="s">
        <v>397</v>
      </c>
      <c r="H108" s="208">
        <v>0</v>
      </c>
      <c r="I108" s="208">
        <v>0</v>
      </c>
      <c r="J108" s="209">
        <v>3</v>
      </c>
      <c r="K108" s="208">
        <v>2</v>
      </c>
      <c r="L108" s="208">
        <v>0</v>
      </c>
      <c r="M108" s="208">
        <v>0</v>
      </c>
      <c r="N108" s="208">
        <v>0</v>
      </c>
      <c r="O108" s="208">
        <v>4</v>
      </c>
      <c r="P108" s="208">
        <v>0</v>
      </c>
      <c r="Q108" s="208">
        <v>0</v>
      </c>
      <c r="R108" s="208">
        <v>10</v>
      </c>
      <c r="S108" s="208">
        <v>37</v>
      </c>
      <c r="T108" s="208">
        <v>25</v>
      </c>
      <c r="U108" s="208">
        <v>0</v>
      </c>
      <c r="V108" s="210">
        <v>0</v>
      </c>
      <c r="W108" s="211">
        <v>1</v>
      </c>
      <c r="X108" s="211">
        <v>0</v>
      </c>
      <c r="Y108" s="211">
        <v>1</v>
      </c>
      <c r="Z108" s="211">
        <v>0</v>
      </c>
      <c r="AA108" s="211">
        <v>1</v>
      </c>
      <c r="AB108" s="212">
        <v>8</v>
      </c>
      <c r="AC108" s="211">
        <v>4</v>
      </c>
      <c r="AD108" s="211">
        <v>1</v>
      </c>
      <c r="AE108" s="211">
        <v>1</v>
      </c>
      <c r="AF108" s="211">
        <v>0</v>
      </c>
      <c r="AG108" s="211">
        <v>12</v>
      </c>
      <c r="AH108" s="211">
        <v>1</v>
      </c>
      <c r="AI108" s="211">
        <v>0</v>
      </c>
      <c r="AJ108" s="211">
        <v>28</v>
      </c>
      <c r="AK108" s="211">
        <v>106</v>
      </c>
      <c r="AL108" s="211">
        <v>70</v>
      </c>
      <c r="AM108" s="213" t="s">
        <v>399</v>
      </c>
      <c r="AN108" s="214">
        <v>5</v>
      </c>
      <c r="AO108" s="214">
        <v>1</v>
      </c>
      <c r="AP108" s="214">
        <v>0</v>
      </c>
      <c r="AQ108" s="214">
        <v>1</v>
      </c>
      <c r="AR108" s="214">
        <v>0</v>
      </c>
      <c r="AS108" s="214">
        <v>0</v>
      </c>
      <c r="AT108" s="214">
        <v>0</v>
      </c>
      <c r="AU108" s="214">
        <v>0</v>
      </c>
      <c r="AV108" s="215">
        <v>0</v>
      </c>
      <c r="AW108" s="213" t="s">
        <v>401</v>
      </c>
      <c r="AX108" s="214">
        <v>5</v>
      </c>
      <c r="AY108" s="214">
        <v>0</v>
      </c>
      <c r="AZ108" s="214">
        <v>1</v>
      </c>
      <c r="BA108" s="214">
        <v>1</v>
      </c>
      <c r="BB108" s="214">
        <v>0</v>
      </c>
      <c r="BC108" s="214">
        <v>0</v>
      </c>
      <c r="BD108" s="214">
        <v>0</v>
      </c>
      <c r="BE108" s="214">
        <v>0</v>
      </c>
      <c r="BF108" s="215">
        <v>2</v>
      </c>
      <c r="BG108" s="213" t="s">
        <v>345</v>
      </c>
      <c r="BH108" s="214">
        <v>5</v>
      </c>
      <c r="BI108" s="214">
        <v>0</v>
      </c>
      <c r="BJ108" s="214">
        <v>1</v>
      </c>
      <c r="BK108" s="214">
        <v>0</v>
      </c>
      <c r="BL108" s="214">
        <v>0</v>
      </c>
      <c r="BM108" s="214">
        <v>2</v>
      </c>
      <c r="BN108" s="214">
        <v>0</v>
      </c>
      <c r="BO108" s="214">
        <v>0</v>
      </c>
      <c r="BP108" s="215">
        <v>2</v>
      </c>
      <c r="BQ108" s="213" t="s">
        <v>332</v>
      </c>
      <c r="BR108" s="214">
        <v>4</v>
      </c>
      <c r="BS108" s="214">
        <v>0</v>
      </c>
      <c r="BT108" s="214">
        <v>0</v>
      </c>
      <c r="BU108" s="214">
        <v>0</v>
      </c>
      <c r="BV108" s="214">
        <v>0</v>
      </c>
      <c r="BW108" s="214">
        <v>1</v>
      </c>
      <c r="BX108" s="214">
        <v>0</v>
      </c>
      <c r="BY108" s="214">
        <v>0</v>
      </c>
      <c r="BZ108" s="215">
        <v>0</v>
      </c>
      <c r="CA108" s="213" t="s">
        <v>400</v>
      </c>
      <c r="CB108" s="214">
        <v>4</v>
      </c>
      <c r="CC108" s="214">
        <v>0</v>
      </c>
      <c r="CD108" s="214">
        <v>0</v>
      </c>
      <c r="CE108" s="214">
        <v>0</v>
      </c>
      <c r="CF108" s="214">
        <v>0</v>
      </c>
      <c r="CG108" s="214">
        <v>0</v>
      </c>
      <c r="CH108" s="214">
        <v>0</v>
      </c>
      <c r="CI108" s="214">
        <v>0</v>
      </c>
      <c r="CJ108" s="215">
        <v>0</v>
      </c>
      <c r="CK108" s="213" t="s">
        <v>406</v>
      </c>
      <c r="CL108" s="214">
        <v>4</v>
      </c>
      <c r="CM108" s="214">
        <v>0</v>
      </c>
      <c r="CN108" s="214">
        <v>0</v>
      </c>
      <c r="CO108" s="214">
        <v>0</v>
      </c>
      <c r="CP108" s="214">
        <v>0</v>
      </c>
      <c r="CQ108" s="214">
        <v>1</v>
      </c>
      <c r="CR108" s="214">
        <v>0</v>
      </c>
      <c r="CS108" s="214">
        <v>0</v>
      </c>
      <c r="CT108" s="215">
        <v>0</v>
      </c>
      <c r="CU108" s="213" t="s">
        <v>331</v>
      </c>
      <c r="CV108" s="214">
        <v>4</v>
      </c>
      <c r="CW108" s="214">
        <v>1</v>
      </c>
      <c r="CX108" s="214">
        <v>1</v>
      </c>
      <c r="CY108" s="214">
        <v>0</v>
      </c>
      <c r="CZ108" s="214">
        <v>0</v>
      </c>
      <c r="DA108" s="214">
        <v>1</v>
      </c>
      <c r="DB108" s="214">
        <v>0</v>
      </c>
      <c r="DC108" s="214">
        <v>0</v>
      </c>
      <c r="DD108" s="215">
        <v>1</v>
      </c>
      <c r="DE108" s="213" t="s">
        <v>407</v>
      </c>
      <c r="DF108" s="214">
        <v>4</v>
      </c>
      <c r="DG108" s="214">
        <v>0</v>
      </c>
      <c r="DH108" s="214">
        <v>1</v>
      </c>
      <c r="DI108" s="214">
        <v>0</v>
      </c>
      <c r="DJ108" s="214">
        <v>0</v>
      </c>
      <c r="DK108" s="214">
        <v>1</v>
      </c>
      <c r="DL108" s="214">
        <v>0</v>
      </c>
      <c r="DM108" s="214">
        <v>0</v>
      </c>
      <c r="DN108" s="215">
        <v>1</v>
      </c>
      <c r="DO108" s="213" t="s">
        <v>330</v>
      </c>
      <c r="DP108" s="214">
        <v>4</v>
      </c>
      <c r="DQ108" s="214">
        <v>0</v>
      </c>
      <c r="DR108" s="214">
        <v>2</v>
      </c>
      <c r="DS108" s="214">
        <v>0</v>
      </c>
      <c r="DT108" s="214">
        <v>0</v>
      </c>
      <c r="DU108" s="214">
        <v>1</v>
      </c>
      <c r="DV108" s="214">
        <v>0</v>
      </c>
      <c r="DW108" s="214">
        <v>0</v>
      </c>
      <c r="DX108" s="215">
        <v>2</v>
      </c>
      <c r="DY108" s="216">
        <v>8</v>
      </c>
      <c r="DZ108" s="217">
        <v>0</v>
      </c>
      <c r="EA108" s="217">
        <v>0</v>
      </c>
      <c r="EB108" s="218">
        <v>3</v>
      </c>
      <c r="EC108" s="217">
        <v>0</v>
      </c>
      <c r="ED108" s="219">
        <v>0</v>
      </c>
      <c r="EE108" s="220">
        <v>0</v>
      </c>
      <c r="EF108" s="217">
        <v>0</v>
      </c>
      <c r="EG108" s="217">
        <v>0</v>
      </c>
      <c r="EH108" s="217">
        <v>0</v>
      </c>
      <c r="EI108" s="217">
        <v>0</v>
      </c>
      <c r="EJ108" s="217">
        <v>1</v>
      </c>
      <c r="EK108" s="217">
        <v>0</v>
      </c>
      <c r="EL108" s="217">
        <v>0</v>
      </c>
      <c r="EM108" s="217">
        <v>0</v>
      </c>
      <c r="EN108" s="217">
        <v>0</v>
      </c>
      <c r="EO108" s="217">
        <v>1</v>
      </c>
      <c r="EP108" s="217"/>
      <c r="EQ108" s="219">
        <f t="shared" si="24"/>
        <v>2</v>
      </c>
      <c r="ER108" s="217">
        <v>0</v>
      </c>
      <c r="ES108" s="217">
        <v>0</v>
      </c>
      <c r="ET108" s="217">
        <v>0</v>
      </c>
      <c r="EU108" s="217">
        <v>0</v>
      </c>
      <c r="EV108" s="217">
        <v>0</v>
      </c>
      <c r="EW108" s="217">
        <v>0</v>
      </c>
      <c r="EX108" s="217">
        <v>0</v>
      </c>
      <c r="EY108" s="217">
        <v>0</v>
      </c>
      <c r="EZ108" s="217">
        <v>1</v>
      </c>
      <c r="FA108" s="217">
        <v>0</v>
      </c>
      <c r="FB108" s="217">
        <v>0</v>
      </c>
      <c r="FC108" s="217"/>
      <c r="FD108" s="217">
        <f t="shared" si="25"/>
        <v>1</v>
      </c>
      <c r="FE108" s="221">
        <f t="shared" si="26"/>
        <v>0</v>
      </c>
      <c r="FF108" s="221">
        <f t="shared" si="27"/>
        <v>0</v>
      </c>
      <c r="FG108" s="222"/>
    </row>
    <row r="109" spans="1:163" x14ac:dyDescent="0.25">
      <c r="A109" s="204">
        <v>40389</v>
      </c>
      <c r="B109" s="204" t="s">
        <v>133</v>
      </c>
      <c r="C109" s="204" t="s">
        <v>129</v>
      </c>
      <c r="D109" s="204" t="s">
        <v>340</v>
      </c>
      <c r="E109" s="205">
        <v>10000</v>
      </c>
      <c r="F109" s="206">
        <v>2</v>
      </c>
      <c r="G109" s="207" t="s">
        <v>334</v>
      </c>
      <c r="H109" s="208">
        <v>1</v>
      </c>
      <c r="I109" s="208">
        <v>0</v>
      </c>
      <c r="J109" s="209">
        <v>7</v>
      </c>
      <c r="K109" s="208">
        <v>7</v>
      </c>
      <c r="L109" s="208">
        <v>2</v>
      </c>
      <c r="M109" s="208">
        <v>2</v>
      </c>
      <c r="N109" s="208">
        <v>2</v>
      </c>
      <c r="O109" s="208">
        <v>3</v>
      </c>
      <c r="P109" s="208">
        <v>0</v>
      </c>
      <c r="Q109" s="208">
        <v>0</v>
      </c>
      <c r="R109" s="208">
        <v>25</v>
      </c>
      <c r="S109" s="208">
        <v>97</v>
      </c>
      <c r="T109" s="208">
        <v>61</v>
      </c>
      <c r="U109" s="208">
        <v>0</v>
      </c>
      <c r="V109" s="210">
        <v>0</v>
      </c>
      <c r="W109" s="211">
        <v>0</v>
      </c>
      <c r="X109" s="211">
        <v>0</v>
      </c>
      <c r="Y109" s="211">
        <v>0</v>
      </c>
      <c r="Z109" s="211">
        <v>0</v>
      </c>
      <c r="AA109" s="211">
        <v>0</v>
      </c>
      <c r="AB109" s="212">
        <v>2</v>
      </c>
      <c r="AC109" s="211">
        <v>1</v>
      </c>
      <c r="AD109" s="211">
        <v>0</v>
      </c>
      <c r="AE109" s="211">
        <v>0</v>
      </c>
      <c r="AF109" s="211">
        <v>0</v>
      </c>
      <c r="AG109" s="211">
        <v>2</v>
      </c>
      <c r="AH109" s="211">
        <v>0</v>
      </c>
      <c r="AI109" s="211">
        <v>0</v>
      </c>
      <c r="AJ109" s="211">
        <v>7</v>
      </c>
      <c r="AK109" s="211">
        <v>27</v>
      </c>
      <c r="AL109" s="211">
        <v>19</v>
      </c>
      <c r="AM109" s="213" t="s">
        <v>399</v>
      </c>
      <c r="AN109" s="214">
        <v>5</v>
      </c>
      <c r="AO109" s="214">
        <v>2</v>
      </c>
      <c r="AP109" s="214">
        <v>2</v>
      </c>
      <c r="AQ109" s="214">
        <v>0</v>
      </c>
      <c r="AR109" s="214">
        <v>0</v>
      </c>
      <c r="AS109" s="214">
        <v>1</v>
      </c>
      <c r="AT109" s="214">
        <v>0</v>
      </c>
      <c r="AU109" s="214">
        <v>0</v>
      </c>
      <c r="AV109" s="215">
        <v>4</v>
      </c>
      <c r="AW109" s="213" t="s">
        <v>345</v>
      </c>
      <c r="AX109" s="214">
        <v>1</v>
      </c>
      <c r="AY109" s="214">
        <v>3</v>
      </c>
      <c r="AZ109" s="214">
        <v>1</v>
      </c>
      <c r="BA109" s="214">
        <v>0</v>
      </c>
      <c r="BB109" s="214">
        <v>2</v>
      </c>
      <c r="BC109" s="214">
        <v>0</v>
      </c>
      <c r="BD109" s="214">
        <v>0</v>
      </c>
      <c r="BE109" s="214">
        <v>0</v>
      </c>
      <c r="BF109" s="215">
        <v>1</v>
      </c>
      <c r="BG109" s="213" t="s">
        <v>400</v>
      </c>
      <c r="BH109" s="214">
        <v>4</v>
      </c>
      <c r="BI109" s="214">
        <v>2</v>
      </c>
      <c r="BJ109" s="214">
        <v>3</v>
      </c>
      <c r="BK109" s="214">
        <v>3</v>
      </c>
      <c r="BL109" s="214">
        <v>0</v>
      </c>
      <c r="BM109" s="214">
        <v>1</v>
      </c>
      <c r="BN109" s="214">
        <v>1</v>
      </c>
      <c r="BO109" s="214">
        <v>0</v>
      </c>
      <c r="BP109" s="215">
        <v>5</v>
      </c>
      <c r="BQ109" s="213" t="s">
        <v>332</v>
      </c>
      <c r="BR109" s="214">
        <v>3</v>
      </c>
      <c r="BS109" s="214">
        <v>0</v>
      </c>
      <c r="BT109" s="214">
        <v>1</v>
      </c>
      <c r="BU109" s="214">
        <v>2</v>
      </c>
      <c r="BV109" s="214">
        <v>1</v>
      </c>
      <c r="BW109" s="214">
        <v>2</v>
      </c>
      <c r="BX109" s="214">
        <v>0</v>
      </c>
      <c r="BY109" s="214">
        <v>1</v>
      </c>
      <c r="BZ109" s="215">
        <v>1</v>
      </c>
      <c r="CA109" s="213" t="s">
        <v>405</v>
      </c>
      <c r="CB109" s="214">
        <v>4</v>
      </c>
      <c r="CC109" s="214">
        <v>0</v>
      </c>
      <c r="CD109" s="214">
        <v>3</v>
      </c>
      <c r="CE109" s="214">
        <v>3</v>
      </c>
      <c r="CF109" s="214">
        <v>1</v>
      </c>
      <c r="CG109" s="214">
        <v>0</v>
      </c>
      <c r="CH109" s="214">
        <v>0</v>
      </c>
      <c r="CI109" s="214">
        <v>0</v>
      </c>
      <c r="CJ109" s="215">
        <v>5</v>
      </c>
      <c r="CK109" s="213" t="s">
        <v>331</v>
      </c>
      <c r="CL109" s="214">
        <v>5</v>
      </c>
      <c r="CM109" s="214">
        <v>0</v>
      </c>
      <c r="CN109" s="214">
        <v>1</v>
      </c>
      <c r="CO109" s="214">
        <v>1</v>
      </c>
      <c r="CP109" s="214">
        <v>0</v>
      </c>
      <c r="CQ109" s="214">
        <v>2</v>
      </c>
      <c r="CR109" s="214">
        <v>0</v>
      </c>
      <c r="CS109" s="214">
        <v>0</v>
      </c>
      <c r="CT109" s="215">
        <v>1</v>
      </c>
      <c r="CU109" s="213" t="s">
        <v>407</v>
      </c>
      <c r="CV109" s="214">
        <v>5</v>
      </c>
      <c r="CW109" s="214">
        <v>0</v>
      </c>
      <c r="CX109" s="214">
        <v>0</v>
      </c>
      <c r="CY109" s="214">
        <v>0</v>
      </c>
      <c r="CZ109" s="214">
        <v>0</v>
      </c>
      <c r="DA109" s="214">
        <v>2</v>
      </c>
      <c r="DB109" s="214">
        <v>0</v>
      </c>
      <c r="DC109" s="214">
        <v>0</v>
      </c>
      <c r="DD109" s="215">
        <v>0</v>
      </c>
      <c r="DE109" s="213" t="s">
        <v>335</v>
      </c>
      <c r="DF109" s="214">
        <v>5</v>
      </c>
      <c r="DG109" s="214">
        <v>1</v>
      </c>
      <c r="DH109" s="214">
        <v>2</v>
      </c>
      <c r="DI109" s="214">
        <v>0</v>
      </c>
      <c r="DJ109" s="214">
        <v>0</v>
      </c>
      <c r="DK109" s="214">
        <v>0</v>
      </c>
      <c r="DL109" s="214">
        <v>0</v>
      </c>
      <c r="DM109" s="214">
        <v>0</v>
      </c>
      <c r="DN109" s="215">
        <v>2</v>
      </c>
      <c r="DO109" s="213" t="s">
        <v>330</v>
      </c>
      <c r="DP109" s="214">
        <v>4</v>
      </c>
      <c r="DQ109" s="214">
        <v>1</v>
      </c>
      <c r="DR109" s="214">
        <v>1</v>
      </c>
      <c r="DS109" s="214">
        <v>0</v>
      </c>
      <c r="DT109" s="214">
        <v>0</v>
      </c>
      <c r="DU109" s="214">
        <v>1</v>
      </c>
      <c r="DV109" s="214">
        <v>0</v>
      </c>
      <c r="DW109" s="214">
        <v>0</v>
      </c>
      <c r="DX109" s="215">
        <v>1</v>
      </c>
      <c r="DY109" s="216">
        <f>1+2/3</f>
        <v>1.6666666666666665</v>
      </c>
      <c r="DZ109" s="217">
        <v>0</v>
      </c>
      <c r="EA109" s="217">
        <v>0</v>
      </c>
      <c r="EB109" s="218">
        <f>7+1/3</f>
        <v>7.333333333333333</v>
      </c>
      <c r="EC109" s="217">
        <v>0</v>
      </c>
      <c r="ED109" s="219">
        <v>0</v>
      </c>
      <c r="EE109" s="220">
        <v>2</v>
      </c>
      <c r="EF109" s="217">
        <v>0</v>
      </c>
      <c r="EG109" s="217">
        <v>1</v>
      </c>
      <c r="EH109" s="217">
        <v>0</v>
      </c>
      <c r="EI109" s="217">
        <v>2</v>
      </c>
      <c r="EJ109" s="217">
        <v>0</v>
      </c>
      <c r="EK109" s="217">
        <v>1</v>
      </c>
      <c r="EL109" s="217">
        <v>3</v>
      </c>
      <c r="EM109" s="217">
        <v>0</v>
      </c>
      <c r="EN109" s="217"/>
      <c r="EO109" s="217"/>
      <c r="EP109" s="217"/>
      <c r="EQ109" s="219">
        <f t="shared" si="24"/>
        <v>9</v>
      </c>
      <c r="ER109" s="217">
        <v>0</v>
      </c>
      <c r="ES109" s="217">
        <v>0</v>
      </c>
      <c r="ET109" s="217">
        <v>0</v>
      </c>
      <c r="EU109" s="217">
        <v>0</v>
      </c>
      <c r="EV109" s="217">
        <v>1</v>
      </c>
      <c r="EW109" s="217">
        <v>0</v>
      </c>
      <c r="EX109" s="217">
        <v>1</v>
      </c>
      <c r="EY109" s="217">
        <v>0</v>
      </c>
      <c r="EZ109" s="217">
        <v>0</v>
      </c>
      <c r="FA109" s="217"/>
      <c r="FB109" s="217"/>
      <c r="FC109" s="217"/>
      <c r="FD109" s="217">
        <f t="shared" si="25"/>
        <v>2</v>
      </c>
      <c r="FE109" s="221">
        <f t="shared" si="26"/>
        <v>0</v>
      </c>
      <c r="FF109" s="221">
        <f t="shared" si="27"/>
        <v>0</v>
      </c>
      <c r="FG109" s="222"/>
    </row>
    <row r="110" spans="1:163" x14ac:dyDescent="0.25">
      <c r="A110" s="53">
        <v>40390</v>
      </c>
      <c r="B110" s="53" t="s">
        <v>133</v>
      </c>
      <c r="C110" s="53" t="s">
        <v>129</v>
      </c>
      <c r="D110" s="53" t="s">
        <v>350</v>
      </c>
      <c r="E110" s="54">
        <v>12126</v>
      </c>
      <c r="F110" s="58">
        <v>3</v>
      </c>
      <c r="G110" s="59" t="s">
        <v>326</v>
      </c>
      <c r="H110" s="6">
        <v>1</v>
      </c>
      <c r="I110" s="6">
        <v>0</v>
      </c>
      <c r="J110" s="60">
        <f>5+1/3</f>
        <v>5.333333333333333</v>
      </c>
      <c r="K110" s="6">
        <v>6</v>
      </c>
      <c r="L110" s="6">
        <v>1</v>
      </c>
      <c r="M110" s="6">
        <v>0</v>
      </c>
      <c r="N110" s="6">
        <v>2</v>
      </c>
      <c r="O110" s="6">
        <v>3</v>
      </c>
      <c r="P110" s="6">
        <v>0</v>
      </c>
      <c r="Q110" s="6">
        <v>1</v>
      </c>
      <c r="R110" s="6">
        <v>26</v>
      </c>
      <c r="S110" s="6">
        <v>97</v>
      </c>
      <c r="T110" s="6">
        <v>59</v>
      </c>
      <c r="U110" s="6">
        <v>2</v>
      </c>
      <c r="V110" s="61">
        <v>0</v>
      </c>
      <c r="W110" s="62">
        <v>0</v>
      </c>
      <c r="X110" s="62">
        <v>0</v>
      </c>
      <c r="Y110" s="62">
        <v>1</v>
      </c>
      <c r="Z110" s="62">
        <v>0</v>
      </c>
      <c r="AA110" s="62">
        <v>0</v>
      </c>
      <c r="AB110" s="63">
        <f>3+2/3</f>
        <v>3.6666666666666665</v>
      </c>
      <c r="AC110" s="62">
        <v>3</v>
      </c>
      <c r="AD110" s="62">
        <v>0</v>
      </c>
      <c r="AE110" s="62">
        <v>0</v>
      </c>
      <c r="AF110" s="62">
        <v>0</v>
      </c>
      <c r="AG110" s="62">
        <v>3</v>
      </c>
      <c r="AH110" s="62">
        <v>0</v>
      </c>
      <c r="AI110" s="62">
        <v>0</v>
      </c>
      <c r="AJ110" s="62">
        <v>12</v>
      </c>
      <c r="AK110" s="62">
        <v>41</v>
      </c>
      <c r="AL110" s="62">
        <v>31</v>
      </c>
      <c r="AM110" s="1" t="s">
        <v>399</v>
      </c>
      <c r="AN110" s="78">
        <v>3</v>
      </c>
      <c r="AO110" s="78">
        <v>1</v>
      </c>
      <c r="AP110" s="78">
        <v>2</v>
      </c>
      <c r="AQ110" s="78">
        <v>0</v>
      </c>
      <c r="AR110" s="78">
        <v>2</v>
      </c>
      <c r="AS110" s="78">
        <v>0</v>
      </c>
      <c r="AT110" s="78">
        <v>0</v>
      </c>
      <c r="AU110" s="78">
        <v>0</v>
      </c>
      <c r="AV110" s="76">
        <v>2</v>
      </c>
      <c r="AW110" s="1" t="s">
        <v>345</v>
      </c>
      <c r="AX110" s="78">
        <v>5</v>
      </c>
      <c r="AY110" s="78">
        <v>0</v>
      </c>
      <c r="AZ110" s="78">
        <v>3</v>
      </c>
      <c r="BA110" s="78">
        <v>2</v>
      </c>
      <c r="BB110" s="78">
        <v>0</v>
      </c>
      <c r="BC110" s="78">
        <v>0</v>
      </c>
      <c r="BD110" s="78">
        <v>0</v>
      </c>
      <c r="BE110" s="78">
        <v>0</v>
      </c>
      <c r="BF110" s="76">
        <v>4</v>
      </c>
      <c r="BG110" s="1" t="s">
        <v>403</v>
      </c>
      <c r="BH110" s="78">
        <v>3</v>
      </c>
      <c r="BI110" s="78">
        <v>0</v>
      </c>
      <c r="BJ110" s="78">
        <v>0</v>
      </c>
      <c r="BK110" s="78">
        <v>1</v>
      </c>
      <c r="BL110" s="78">
        <v>1</v>
      </c>
      <c r="BM110" s="78">
        <v>1</v>
      </c>
      <c r="BN110" s="78">
        <v>0</v>
      </c>
      <c r="BO110" s="78">
        <v>1</v>
      </c>
      <c r="BP110" s="76">
        <v>0</v>
      </c>
      <c r="BQ110" s="1" t="s">
        <v>332</v>
      </c>
      <c r="BR110" s="78">
        <v>3</v>
      </c>
      <c r="BS110" s="78">
        <v>1</v>
      </c>
      <c r="BT110" s="78">
        <v>1</v>
      </c>
      <c r="BU110" s="78">
        <v>1</v>
      </c>
      <c r="BV110" s="78">
        <v>2</v>
      </c>
      <c r="BW110" s="78">
        <v>0</v>
      </c>
      <c r="BX110" s="78">
        <v>0</v>
      </c>
      <c r="BY110" s="78">
        <v>0</v>
      </c>
      <c r="BZ110" s="76">
        <v>4</v>
      </c>
      <c r="CA110" s="1" t="s">
        <v>405</v>
      </c>
      <c r="CB110" s="78">
        <v>5</v>
      </c>
      <c r="CC110" s="78">
        <v>1</v>
      </c>
      <c r="CD110" s="78">
        <v>2</v>
      </c>
      <c r="CE110" s="78">
        <v>0</v>
      </c>
      <c r="CF110" s="78">
        <v>0</v>
      </c>
      <c r="CG110" s="78">
        <v>1</v>
      </c>
      <c r="CH110" s="78">
        <v>0</v>
      </c>
      <c r="CI110" s="78">
        <v>0</v>
      </c>
      <c r="CJ110" s="76">
        <v>3</v>
      </c>
      <c r="CK110" s="1" t="s">
        <v>406</v>
      </c>
      <c r="CL110" s="78">
        <v>5</v>
      </c>
      <c r="CM110" s="78">
        <v>0</v>
      </c>
      <c r="CN110" s="78">
        <v>1</v>
      </c>
      <c r="CO110" s="78">
        <v>0</v>
      </c>
      <c r="CP110" s="78">
        <v>0</v>
      </c>
      <c r="CQ110" s="78">
        <v>1</v>
      </c>
      <c r="CR110" s="78">
        <v>0</v>
      </c>
      <c r="CS110" s="78">
        <v>0</v>
      </c>
      <c r="CT110" s="76">
        <v>1</v>
      </c>
      <c r="CU110" s="1" t="s">
        <v>401</v>
      </c>
      <c r="CV110" s="78">
        <v>3</v>
      </c>
      <c r="CW110" s="78">
        <v>1</v>
      </c>
      <c r="CX110" s="78">
        <v>1</v>
      </c>
      <c r="CY110" s="78">
        <v>0</v>
      </c>
      <c r="CZ110" s="78">
        <v>1</v>
      </c>
      <c r="DA110" s="78">
        <v>1</v>
      </c>
      <c r="DB110" s="78">
        <v>1</v>
      </c>
      <c r="DC110" s="78">
        <v>0</v>
      </c>
      <c r="DD110" s="76">
        <v>1</v>
      </c>
      <c r="DE110" s="1" t="s">
        <v>335</v>
      </c>
      <c r="DF110" s="78">
        <v>5</v>
      </c>
      <c r="DG110" s="78">
        <v>1</v>
      </c>
      <c r="DH110" s="78">
        <v>1</v>
      </c>
      <c r="DI110" s="78">
        <v>1</v>
      </c>
      <c r="DJ110" s="78">
        <v>0</v>
      </c>
      <c r="DK110" s="78">
        <v>2</v>
      </c>
      <c r="DL110" s="78">
        <v>0</v>
      </c>
      <c r="DM110" s="78">
        <v>0</v>
      </c>
      <c r="DN110" s="76">
        <v>1</v>
      </c>
      <c r="DO110" s="1" t="s">
        <v>330</v>
      </c>
      <c r="DP110" s="78">
        <v>5</v>
      </c>
      <c r="DQ110" s="78">
        <v>0</v>
      </c>
      <c r="DR110" s="78">
        <v>0</v>
      </c>
      <c r="DS110" s="78">
        <v>0</v>
      </c>
      <c r="DT110" s="78">
        <v>0</v>
      </c>
      <c r="DU110" s="78">
        <v>4</v>
      </c>
      <c r="DV110" s="78">
        <v>0</v>
      </c>
      <c r="DW110" s="78">
        <v>0</v>
      </c>
      <c r="DX110" s="76">
        <v>0</v>
      </c>
      <c r="DY110" s="77">
        <v>7</v>
      </c>
      <c r="DZ110" s="43">
        <v>2</v>
      </c>
      <c r="EA110" s="43">
        <v>0</v>
      </c>
      <c r="EB110" s="45">
        <v>2</v>
      </c>
      <c r="EC110" s="43">
        <v>0</v>
      </c>
      <c r="ED110" s="44">
        <v>0</v>
      </c>
      <c r="EE110" s="71">
        <v>0</v>
      </c>
      <c r="EF110" s="43">
        <v>4</v>
      </c>
      <c r="EG110" s="43">
        <v>0</v>
      </c>
      <c r="EH110" s="43">
        <v>0</v>
      </c>
      <c r="EI110" s="43">
        <v>0</v>
      </c>
      <c r="EJ110" s="43">
        <v>1</v>
      </c>
      <c r="EK110" s="43">
        <v>0</v>
      </c>
      <c r="EL110" s="43">
        <v>0</v>
      </c>
      <c r="EM110" s="43">
        <v>0</v>
      </c>
      <c r="EN110" s="43"/>
      <c r="EO110" s="43"/>
      <c r="EP110" s="43"/>
      <c r="EQ110" s="44">
        <f t="shared" si="24"/>
        <v>5</v>
      </c>
      <c r="ER110" s="43">
        <v>1</v>
      </c>
      <c r="ES110" s="43">
        <v>0</v>
      </c>
      <c r="ET110" s="43">
        <v>0</v>
      </c>
      <c r="EU110" s="43">
        <v>0</v>
      </c>
      <c r="EV110" s="43">
        <v>0</v>
      </c>
      <c r="EW110" s="43">
        <v>0</v>
      </c>
      <c r="EX110" s="43">
        <v>0</v>
      </c>
      <c r="EY110" s="43">
        <v>0</v>
      </c>
      <c r="EZ110" s="43">
        <v>0</v>
      </c>
      <c r="FA110" s="43"/>
      <c r="FB110" s="43"/>
      <c r="FC110" s="43"/>
      <c r="FD110" s="43">
        <f t="shared" si="25"/>
        <v>1</v>
      </c>
      <c r="FE110" s="73">
        <f t="shared" si="26"/>
        <v>0</v>
      </c>
      <c r="FF110" s="73">
        <f t="shared" si="27"/>
        <v>0</v>
      </c>
      <c r="FG110" s="38"/>
    </row>
    <row r="111" spans="1:163" x14ac:dyDescent="0.25">
      <c r="A111" s="53">
        <v>40391</v>
      </c>
      <c r="B111" s="53" t="s">
        <v>133</v>
      </c>
      <c r="C111" s="53" t="s">
        <v>129</v>
      </c>
      <c r="D111" s="53" t="s">
        <v>350</v>
      </c>
      <c r="E111" s="54">
        <v>10538</v>
      </c>
      <c r="F111" s="58">
        <v>4</v>
      </c>
      <c r="G111" s="59" t="s">
        <v>337</v>
      </c>
      <c r="H111" s="6">
        <v>0</v>
      </c>
      <c r="I111" s="6">
        <v>0</v>
      </c>
      <c r="J111" s="60">
        <v>5</v>
      </c>
      <c r="K111" s="6">
        <v>7</v>
      </c>
      <c r="L111" s="6">
        <v>3</v>
      </c>
      <c r="M111" s="6">
        <v>3</v>
      </c>
      <c r="N111" s="6">
        <v>2</v>
      </c>
      <c r="O111" s="6">
        <v>7</v>
      </c>
      <c r="P111" s="6">
        <v>0</v>
      </c>
      <c r="Q111" s="6">
        <v>0</v>
      </c>
      <c r="R111" s="6">
        <v>24</v>
      </c>
      <c r="S111" s="6">
        <v>98</v>
      </c>
      <c r="T111" s="6">
        <v>56</v>
      </c>
      <c r="U111" s="6">
        <v>0</v>
      </c>
      <c r="V111" s="61">
        <v>0</v>
      </c>
      <c r="W111" s="62">
        <v>1</v>
      </c>
      <c r="X111" s="62">
        <v>0</v>
      </c>
      <c r="Y111" s="62">
        <v>0</v>
      </c>
      <c r="Z111" s="62">
        <v>0</v>
      </c>
      <c r="AA111" s="62">
        <v>0</v>
      </c>
      <c r="AB111" s="63">
        <v>4</v>
      </c>
      <c r="AC111" s="62">
        <v>1</v>
      </c>
      <c r="AD111" s="62">
        <v>0</v>
      </c>
      <c r="AE111" s="62">
        <v>0</v>
      </c>
      <c r="AF111" s="62">
        <v>2</v>
      </c>
      <c r="AG111" s="62">
        <v>3</v>
      </c>
      <c r="AH111" s="62">
        <v>0</v>
      </c>
      <c r="AI111" s="62">
        <v>0</v>
      </c>
      <c r="AJ111" s="62">
        <v>15</v>
      </c>
      <c r="AK111" s="62">
        <v>54</v>
      </c>
      <c r="AL111" s="62">
        <v>30</v>
      </c>
      <c r="AM111" s="1" t="s">
        <v>399</v>
      </c>
      <c r="AN111" s="78">
        <v>3</v>
      </c>
      <c r="AO111" s="78">
        <v>1</v>
      </c>
      <c r="AP111" s="78">
        <v>2</v>
      </c>
      <c r="AQ111" s="78">
        <v>4</v>
      </c>
      <c r="AR111" s="78">
        <v>0</v>
      </c>
      <c r="AS111" s="78">
        <v>0</v>
      </c>
      <c r="AT111" s="78">
        <v>0</v>
      </c>
      <c r="AU111" s="78">
        <v>0</v>
      </c>
      <c r="AV111" s="76">
        <v>5</v>
      </c>
      <c r="AW111" s="1" t="s">
        <v>345</v>
      </c>
      <c r="AX111" s="78">
        <v>5</v>
      </c>
      <c r="AY111" s="78">
        <v>0</v>
      </c>
      <c r="AZ111" s="78">
        <v>1</v>
      </c>
      <c r="BA111" s="78">
        <v>0</v>
      </c>
      <c r="BB111" s="78">
        <v>0</v>
      </c>
      <c r="BC111" s="78">
        <v>0</v>
      </c>
      <c r="BD111" s="78">
        <v>0</v>
      </c>
      <c r="BE111" s="78">
        <v>0</v>
      </c>
      <c r="BF111" s="76">
        <v>1</v>
      </c>
      <c r="BG111" s="1" t="s">
        <v>400</v>
      </c>
      <c r="BH111" s="78">
        <v>5</v>
      </c>
      <c r="BI111" s="78">
        <v>1</v>
      </c>
      <c r="BJ111" s="78">
        <v>1</v>
      </c>
      <c r="BK111" s="78">
        <v>1</v>
      </c>
      <c r="BL111" s="78">
        <v>0</v>
      </c>
      <c r="BM111" s="78">
        <v>0</v>
      </c>
      <c r="BN111" s="78">
        <v>0</v>
      </c>
      <c r="BO111" s="78">
        <v>0</v>
      </c>
      <c r="BP111" s="76">
        <v>4</v>
      </c>
      <c r="BQ111" s="1" t="s">
        <v>405</v>
      </c>
      <c r="BR111" s="78">
        <v>4</v>
      </c>
      <c r="BS111" s="78">
        <v>2</v>
      </c>
      <c r="BT111" s="78">
        <v>1</v>
      </c>
      <c r="BU111" s="78">
        <v>1</v>
      </c>
      <c r="BV111" s="78">
        <v>1</v>
      </c>
      <c r="BW111" s="78">
        <v>2</v>
      </c>
      <c r="BX111" s="78">
        <v>0</v>
      </c>
      <c r="BY111" s="78">
        <v>0</v>
      </c>
      <c r="BZ111" s="76">
        <v>4</v>
      </c>
      <c r="CA111" s="1" t="s">
        <v>403</v>
      </c>
      <c r="CB111" s="78">
        <v>5</v>
      </c>
      <c r="CC111" s="78">
        <v>1</v>
      </c>
      <c r="CD111" s="78">
        <v>1</v>
      </c>
      <c r="CE111" s="78">
        <v>0</v>
      </c>
      <c r="CF111" s="78">
        <v>0</v>
      </c>
      <c r="CG111" s="78">
        <v>1</v>
      </c>
      <c r="CH111" s="78">
        <v>0</v>
      </c>
      <c r="CI111" s="78">
        <v>0</v>
      </c>
      <c r="CJ111" s="76">
        <v>1</v>
      </c>
      <c r="CK111" s="1" t="s">
        <v>401</v>
      </c>
      <c r="CL111" s="78">
        <v>2</v>
      </c>
      <c r="CM111" s="78">
        <v>1</v>
      </c>
      <c r="CN111" s="78">
        <v>0</v>
      </c>
      <c r="CO111" s="78">
        <v>0</v>
      </c>
      <c r="CP111" s="78">
        <v>3</v>
      </c>
      <c r="CQ111" s="78">
        <v>0</v>
      </c>
      <c r="CR111" s="78">
        <v>0</v>
      </c>
      <c r="CS111" s="78">
        <v>0</v>
      </c>
      <c r="CT111" s="76">
        <v>0</v>
      </c>
      <c r="CU111" s="1" t="s">
        <v>331</v>
      </c>
      <c r="CV111" s="78">
        <v>5</v>
      </c>
      <c r="CW111" s="78">
        <v>1</v>
      </c>
      <c r="CX111" s="78">
        <v>2</v>
      </c>
      <c r="CY111" s="78">
        <v>1</v>
      </c>
      <c r="CZ111" s="78">
        <v>0</v>
      </c>
      <c r="DA111" s="78">
        <v>0</v>
      </c>
      <c r="DB111" s="78">
        <v>0</v>
      </c>
      <c r="DC111" s="78">
        <v>0</v>
      </c>
      <c r="DD111" s="76">
        <v>2</v>
      </c>
      <c r="DE111" s="1" t="s">
        <v>407</v>
      </c>
      <c r="DF111" s="78">
        <v>5</v>
      </c>
      <c r="DG111" s="78">
        <v>1</v>
      </c>
      <c r="DH111" s="78">
        <v>2</v>
      </c>
      <c r="DI111" s="78">
        <v>1</v>
      </c>
      <c r="DJ111" s="78">
        <v>0</v>
      </c>
      <c r="DK111" s="78">
        <v>1</v>
      </c>
      <c r="DL111" s="78">
        <v>0</v>
      </c>
      <c r="DM111" s="78">
        <v>0</v>
      </c>
      <c r="DN111" s="76">
        <v>2</v>
      </c>
      <c r="DO111" s="1" t="s">
        <v>330</v>
      </c>
      <c r="DP111" s="78">
        <v>3</v>
      </c>
      <c r="DQ111" s="78">
        <v>1</v>
      </c>
      <c r="DR111" s="78">
        <v>2</v>
      </c>
      <c r="DS111" s="78">
        <v>1</v>
      </c>
      <c r="DT111" s="78">
        <v>1</v>
      </c>
      <c r="DU111" s="78">
        <v>0</v>
      </c>
      <c r="DV111" s="78">
        <v>0</v>
      </c>
      <c r="DW111" s="78">
        <v>0</v>
      </c>
      <c r="DX111" s="76">
        <v>2</v>
      </c>
      <c r="DY111" s="77">
        <v>2</v>
      </c>
      <c r="DZ111" s="43">
        <v>0</v>
      </c>
      <c r="EA111" s="43">
        <v>0</v>
      </c>
      <c r="EB111" s="45">
        <v>7</v>
      </c>
      <c r="EC111" s="43">
        <v>0</v>
      </c>
      <c r="ED111" s="44">
        <v>0</v>
      </c>
      <c r="EE111" s="71">
        <v>1</v>
      </c>
      <c r="EF111" s="43">
        <v>0</v>
      </c>
      <c r="EG111" s="43">
        <v>0</v>
      </c>
      <c r="EH111" s="43">
        <v>1</v>
      </c>
      <c r="EI111" s="43">
        <v>0</v>
      </c>
      <c r="EJ111" s="43">
        <v>0</v>
      </c>
      <c r="EK111" s="43">
        <v>0</v>
      </c>
      <c r="EL111" s="43">
        <v>7</v>
      </c>
      <c r="EM111" s="43">
        <v>0</v>
      </c>
      <c r="EN111" s="43"/>
      <c r="EO111" s="43"/>
      <c r="EP111" s="43"/>
      <c r="EQ111" s="44">
        <f t="shared" si="24"/>
        <v>9</v>
      </c>
      <c r="ER111" s="43">
        <v>0</v>
      </c>
      <c r="ES111" s="43">
        <v>0</v>
      </c>
      <c r="ET111" s="43">
        <v>1</v>
      </c>
      <c r="EU111" s="43">
        <v>0</v>
      </c>
      <c r="EV111" s="43">
        <v>2</v>
      </c>
      <c r="EW111" s="43">
        <v>0</v>
      </c>
      <c r="EX111" s="43">
        <v>0</v>
      </c>
      <c r="EY111" s="43">
        <v>0</v>
      </c>
      <c r="EZ111" s="43">
        <v>0</v>
      </c>
      <c r="FA111" s="43"/>
      <c r="FB111" s="43"/>
      <c r="FC111" s="43"/>
      <c r="FD111" s="43">
        <f t="shared" si="25"/>
        <v>3</v>
      </c>
      <c r="FE111" s="73">
        <f t="shared" si="26"/>
        <v>0</v>
      </c>
      <c r="FF111" s="73">
        <f t="shared" si="27"/>
        <v>0</v>
      </c>
      <c r="FG111" s="38"/>
    </row>
    <row r="112" spans="1:163" x14ac:dyDescent="0.25">
      <c r="A112" s="325">
        <v>40392</v>
      </c>
      <c r="B112" s="325" t="s">
        <v>133</v>
      </c>
      <c r="C112" s="325" t="s">
        <v>131</v>
      </c>
      <c r="D112" s="325" t="s">
        <v>350</v>
      </c>
      <c r="E112" s="322">
        <v>9535</v>
      </c>
      <c r="F112" s="307">
        <v>5</v>
      </c>
      <c r="G112" s="308" t="s">
        <v>398</v>
      </c>
      <c r="H112" s="309">
        <v>0</v>
      </c>
      <c r="I112" s="309">
        <v>1</v>
      </c>
      <c r="J112" s="310">
        <v>3</v>
      </c>
      <c r="K112" s="309">
        <v>8</v>
      </c>
      <c r="L112" s="309">
        <v>10</v>
      </c>
      <c r="M112" s="309">
        <v>9</v>
      </c>
      <c r="N112" s="309">
        <v>4</v>
      </c>
      <c r="O112" s="309">
        <v>2</v>
      </c>
      <c r="P112" s="309">
        <v>1</v>
      </c>
      <c r="Q112" s="309">
        <v>0</v>
      </c>
      <c r="R112" s="309">
        <v>21</v>
      </c>
      <c r="S112" s="309">
        <v>79</v>
      </c>
      <c r="T112" s="309">
        <v>42</v>
      </c>
      <c r="U112" s="309">
        <v>0</v>
      </c>
      <c r="V112" s="311">
        <v>0</v>
      </c>
      <c r="W112" s="323">
        <v>0</v>
      </c>
      <c r="X112" s="323">
        <v>0</v>
      </c>
      <c r="Y112" s="323">
        <v>0</v>
      </c>
      <c r="Z112" s="323">
        <v>0</v>
      </c>
      <c r="AA112" s="323">
        <v>0</v>
      </c>
      <c r="AB112" s="324">
        <v>5</v>
      </c>
      <c r="AC112" s="323">
        <v>3</v>
      </c>
      <c r="AD112" s="323">
        <v>2</v>
      </c>
      <c r="AE112" s="323">
        <v>2</v>
      </c>
      <c r="AF112" s="323">
        <v>2</v>
      </c>
      <c r="AG112" s="323">
        <v>2</v>
      </c>
      <c r="AH112" s="323">
        <v>0</v>
      </c>
      <c r="AI112" s="323">
        <v>0</v>
      </c>
      <c r="AJ112" s="323">
        <v>19</v>
      </c>
      <c r="AK112" s="323">
        <v>80</v>
      </c>
      <c r="AL112" s="323">
        <v>43</v>
      </c>
      <c r="AM112" s="312" t="s">
        <v>399</v>
      </c>
      <c r="AN112" s="313">
        <v>4</v>
      </c>
      <c r="AO112" s="313">
        <v>0</v>
      </c>
      <c r="AP112" s="313">
        <v>0</v>
      </c>
      <c r="AQ112" s="313">
        <v>0</v>
      </c>
      <c r="AR112" s="313">
        <v>0</v>
      </c>
      <c r="AS112" s="313">
        <v>2</v>
      </c>
      <c r="AT112" s="313">
        <v>0</v>
      </c>
      <c r="AU112" s="313">
        <v>0</v>
      </c>
      <c r="AV112" s="314">
        <v>0</v>
      </c>
      <c r="AW112" s="312" t="s">
        <v>345</v>
      </c>
      <c r="AX112" s="313">
        <v>4</v>
      </c>
      <c r="AY112" s="313">
        <v>0</v>
      </c>
      <c r="AZ112" s="313">
        <v>0</v>
      </c>
      <c r="BA112" s="313">
        <v>0</v>
      </c>
      <c r="BB112" s="313">
        <v>0</v>
      </c>
      <c r="BC112" s="313">
        <v>0</v>
      </c>
      <c r="BD112" s="313">
        <v>0</v>
      </c>
      <c r="BE112" s="313">
        <v>0</v>
      </c>
      <c r="BF112" s="314">
        <v>0</v>
      </c>
      <c r="BG112" s="312" t="s">
        <v>400</v>
      </c>
      <c r="BH112" s="313">
        <v>4</v>
      </c>
      <c r="BI112" s="313">
        <v>0</v>
      </c>
      <c r="BJ112" s="313">
        <v>0</v>
      </c>
      <c r="BK112" s="313">
        <v>0</v>
      </c>
      <c r="BL112" s="313">
        <v>0</v>
      </c>
      <c r="BM112" s="313">
        <v>2</v>
      </c>
      <c r="BN112" s="313">
        <v>0</v>
      </c>
      <c r="BO112" s="313">
        <v>0</v>
      </c>
      <c r="BP112" s="314">
        <v>0</v>
      </c>
      <c r="BQ112" s="312" t="s">
        <v>405</v>
      </c>
      <c r="BR112" s="313">
        <v>3</v>
      </c>
      <c r="BS112" s="313">
        <v>0</v>
      </c>
      <c r="BT112" s="313">
        <v>1</v>
      </c>
      <c r="BU112" s="313">
        <v>0</v>
      </c>
      <c r="BV112" s="313">
        <v>1</v>
      </c>
      <c r="BW112" s="313">
        <v>1</v>
      </c>
      <c r="BX112" s="313">
        <v>0</v>
      </c>
      <c r="BY112" s="313">
        <v>0</v>
      </c>
      <c r="BZ112" s="314">
        <v>1</v>
      </c>
      <c r="CA112" s="312" t="s">
        <v>403</v>
      </c>
      <c r="CB112" s="313">
        <v>3</v>
      </c>
      <c r="CC112" s="313">
        <v>0</v>
      </c>
      <c r="CD112" s="313">
        <v>1</v>
      </c>
      <c r="CE112" s="313">
        <v>0</v>
      </c>
      <c r="CF112" s="313">
        <v>0</v>
      </c>
      <c r="CG112" s="313">
        <v>2</v>
      </c>
      <c r="CH112" s="313">
        <v>1</v>
      </c>
      <c r="CI112" s="313">
        <v>0</v>
      </c>
      <c r="CJ112" s="314">
        <v>1</v>
      </c>
      <c r="CK112" s="312" t="s">
        <v>406</v>
      </c>
      <c r="CL112" s="313">
        <v>4</v>
      </c>
      <c r="CM112" s="313">
        <v>0</v>
      </c>
      <c r="CN112" s="313">
        <v>2</v>
      </c>
      <c r="CO112" s="313">
        <v>0</v>
      </c>
      <c r="CP112" s="313">
        <v>0</v>
      </c>
      <c r="CQ112" s="313">
        <v>0</v>
      </c>
      <c r="CR112" s="313">
        <v>0</v>
      </c>
      <c r="CS112" s="313">
        <v>0</v>
      </c>
      <c r="CT112" s="314">
        <v>4</v>
      </c>
      <c r="CU112" s="312" t="s">
        <v>401</v>
      </c>
      <c r="CV112" s="313">
        <v>3</v>
      </c>
      <c r="CW112" s="313">
        <v>0</v>
      </c>
      <c r="CX112" s="313">
        <v>0</v>
      </c>
      <c r="CY112" s="313">
        <v>0</v>
      </c>
      <c r="CZ112" s="313">
        <v>0</v>
      </c>
      <c r="DA112" s="313">
        <v>1</v>
      </c>
      <c r="DB112" s="313">
        <v>0</v>
      </c>
      <c r="DC112" s="313">
        <v>0</v>
      </c>
      <c r="DD112" s="314">
        <v>0</v>
      </c>
      <c r="DE112" s="312" t="s">
        <v>331</v>
      </c>
      <c r="DF112" s="313">
        <v>3</v>
      </c>
      <c r="DG112" s="313">
        <v>0</v>
      </c>
      <c r="DH112" s="313">
        <v>0</v>
      </c>
      <c r="DI112" s="313">
        <v>0</v>
      </c>
      <c r="DJ112" s="313">
        <v>0</v>
      </c>
      <c r="DK112" s="313">
        <v>3</v>
      </c>
      <c r="DL112" s="313">
        <v>0</v>
      </c>
      <c r="DM112" s="313">
        <v>0</v>
      </c>
      <c r="DN112" s="314">
        <v>0</v>
      </c>
      <c r="DO112" s="312" t="s">
        <v>330</v>
      </c>
      <c r="DP112" s="313">
        <v>2</v>
      </c>
      <c r="DQ112" s="313">
        <v>0</v>
      </c>
      <c r="DR112" s="313">
        <v>0</v>
      </c>
      <c r="DS112" s="313">
        <v>0</v>
      </c>
      <c r="DT112" s="313">
        <v>0</v>
      </c>
      <c r="DU112" s="313">
        <v>1</v>
      </c>
      <c r="DV112" s="313">
        <v>1</v>
      </c>
      <c r="DW112" s="313">
        <v>0</v>
      </c>
      <c r="DX112" s="314">
        <v>0</v>
      </c>
      <c r="DY112" s="315">
        <v>0</v>
      </c>
      <c r="DZ112" s="316">
        <v>0</v>
      </c>
      <c r="EA112" s="316">
        <v>0</v>
      </c>
      <c r="EB112" s="317">
        <v>9</v>
      </c>
      <c r="EC112" s="316">
        <v>0</v>
      </c>
      <c r="ED112" s="318">
        <v>1</v>
      </c>
      <c r="EE112" s="319">
        <v>0</v>
      </c>
      <c r="EF112" s="316">
        <v>0</v>
      </c>
      <c r="EG112" s="316">
        <v>0</v>
      </c>
      <c r="EH112" s="316">
        <v>0</v>
      </c>
      <c r="EI112" s="316">
        <v>0</v>
      </c>
      <c r="EJ112" s="316">
        <v>0</v>
      </c>
      <c r="EK112" s="316">
        <v>0</v>
      </c>
      <c r="EL112" s="316">
        <v>0</v>
      </c>
      <c r="EM112" s="316">
        <v>0</v>
      </c>
      <c r="EN112" s="316"/>
      <c r="EO112" s="316"/>
      <c r="EP112" s="316"/>
      <c r="EQ112" s="318">
        <f t="shared" ref="EQ112:EQ117" si="28">SUM(EE112:EP112)</f>
        <v>0</v>
      </c>
      <c r="ER112" s="316">
        <v>7</v>
      </c>
      <c r="ES112" s="316">
        <v>0</v>
      </c>
      <c r="ET112" s="316">
        <v>3</v>
      </c>
      <c r="EU112" s="316">
        <v>0</v>
      </c>
      <c r="EV112" s="316">
        <v>2</v>
      </c>
      <c r="EW112" s="316">
        <v>0</v>
      </c>
      <c r="EX112" s="316">
        <v>0</v>
      </c>
      <c r="EY112" s="316">
        <v>0</v>
      </c>
      <c r="EZ112" s="316"/>
      <c r="FA112" s="316"/>
      <c r="FB112" s="316"/>
      <c r="FC112" s="316"/>
      <c r="FD112" s="316">
        <f t="shared" ref="FD112:FD117" si="29">SUM(ER112:FC112)</f>
        <v>12</v>
      </c>
      <c r="FE112" s="320">
        <f t="shared" ref="FE112:FE117" si="30">((SUM(L112,AD112))-(FD112))</f>
        <v>0</v>
      </c>
      <c r="FF112" s="320">
        <f t="shared" ref="FF112:FF117" si="31">((SUM(AO112,AY112,BI112,BS112,CC112,CM112,CW112,DG112,DQ112))-(EQ112))</f>
        <v>0</v>
      </c>
      <c r="FG112" s="321"/>
    </row>
    <row r="113" spans="1:163" x14ac:dyDescent="0.25">
      <c r="A113" s="325">
        <v>40393</v>
      </c>
      <c r="B113" s="325" t="s">
        <v>133</v>
      </c>
      <c r="C113" s="325" t="s">
        <v>131</v>
      </c>
      <c r="D113" s="325" t="s">
        <v>350</v>
      </c>
      <c r="E113" s="322">
        <v>12083</v>
      </c>
      <c r="F113" s="307">
        <v>1</v>
      </c>
      <c r="G113" s="308" t="s">
        <v>636</v>
      </c>
      <c r="H113" s="309">
        <v>0</v>
      </c>
      <c r="I113" s="309">
        <v>0</v>
      </c>
      <c r="J113" s="310">
        <v>2</v>
      </c>
      <c r="K113" s="309">
        <v>5</v>
      </c>
      <c r="L113" s="309">
        <v>1</v>
      </c>
      <c r="M113" s="309">
        <v>1</v>
      </c>
      <c r="N113" s="309">
        <v>0</v>
      </c>
      <c r="O113" s="309">
        <v>2</v>
      </c>
      <c r="P113" s="309">
        <v>0</v>
      </c>
      <c r="Q113" s="309">
        <v>0</v>
      </c>
      <c r="R113" s="309">
        <v>11</v>
      </c>
      <c r="S113" s="309">
        <v>35</v>
      </c>
      <c r="T113" s="309">
        <v>24</v>
      </c>
      <c r="U113" s="309">
        <v>0</v>
      </c>
      <c r="V113" s="311">
        <v>0</v>
      </c>
      <c r="W113" s="323">
        <v>0</v>
      </c>
      <c r="X113" s="323">
        <v>1</v>
      </c>
      <c r="Y113" s="323">
        <v>0</v>
      </c>
      <c r="Z113" s="323">
        <v>0</v>
      </c>
      <c r="AA113" s="323">
        <v>0</v>
      </c>
      <c r="AB113" s="324">
        <f>6+2/3</f>
        <v>6.666666666666667</v>
      </c>
      <c r="AC113" s="323">
        <v>7</v>
      </c>
      <c r="AD113" s="323">
        <v>4</v>
      </c>
      <c r="AE113" s="323">
        <v>4</v>
      </c>
      <c r="AF113" s="323">
        <v>0</v>
      </c>
      <c r="AG113" s="323">
        <v>4</v>
      </c>
      <c r="AH113" s="323">
        <v>1</v>
      </c>
      <c r="AI113" s="323">
        <v>2</v>
      </c>
      <c r="AJ113" s="323">
        <v>29</v>
      </c>
      <c r="AK113" s="323">
        <v>130</v>
      </c>
      <c r="AL113" s="323">
        <v>68</v>
      </c>
      <c r="AM113" s="312" t="s">
        <v>399</v>
      </c>
      <c r="AN113" s="313">
        <v>4</v>
      </c>
      <c r="AO113" s="313">
        <v>1</v>
      </c>
      <c r="AP113" s="313">
        <v>1</v>
      </c>
      <c r="AQ113" s="313">
        <v>1</v>
      </c>
      <c r="AR113" s="313">
        <v>0</v>
      </c>
      <c r="AS113" s="313">
        <v>1</v>
      </c>
      <c r="AT113" s="313">
        <v>0</v>
      </c>
      <c r="AU113" s="313">
        <v>0</v>
      </c>
      <c r="AV113" s="314">
        <v>1</v>
      </c>
      <c r="AW113" s="312" t="s">
        <v>345</v>
      </c>
      <c r="AX113" s="313">
        <v>4</v>
      </c>
      <c r="AY113" s="313">
        <v>2</v>
      </c>
      <c r="AZ113" s="313">
        <v>2</v>
      </c>
      <c r="BA113" s="313">
        <v>2</v>
      </c>
      <c r="BB113" s="313">
        <v>0</v>
      </c>
      <c r="BC113" s="313">
        <v>0</v>
      </c>
      <c r="BD113" s="313">
        <v>0</v>
      </c>
      <c r="BE113" s="313">
        <v>0</v>
      </c>
      <c r="BF113" s="314">
        <v>6</v>
      </c>
      <c r="BG113" s="312" t="s">
        <v>400</v>
      </c>
      <c r="BH113" s="313">
        <v>2</v>
      </c>
      <c r="BI113" s="313">
        <v>0</v>
      </c>
      <c r="BJ113" s="313">
        <v>0</v>
      </c>
      <c r="BK113" s="313">
        <v>0</v>
      </c>
      <c r="BL113" s="313">
        <v>2</v>
      </c>
      <c r="BM113" s="313">
        <v>1</v>
      </c>
      <c r="BN113" s="313">
        <v>0</v>
      </c>
      <c r="BO113" s="313">
        <v>0</v>
      </c>
      <c r="BP113" s="314">
        <v>0</v>
      </c>
      <c r="BQ113" s="312" t="s">
        <v>405</v>
      </c>
      <c r="BR113" s="313">
        <v>3</v>
      </c>
      <c r="BS113" s="313">
        <v>0</v>
      </c>
      <c r="BT113" s="313">
        <v>0</v>
      </c>
      <c r="BU113" s="313">
        <v>1</v>
      </c>
      <c r="BV113" s="313">
        <v>0</v>
      </c>
      <c r="BW113" s="313">
        <v>0</v>
      </c>
      <c r="BX113" s="313">
        <v>0</v>
      </c>
      <c r="BY113" s="313">
        <v>1</v>
      </c>
      <c r="BZ113" s="314">
        <v>0</v>
      </c>
      <c r="CA113" s="312" t="s">
        <v>403</v>
      </c>
      <c r="CB113" s="313">
        <v>4</v>
      </c>
      <c r="CC113" s="313">
        <v>0</v>
      </c>
      <c r="CD113" s="313">
        <v>0</v>
      </c>
      <c r="CE113" s="313">
        <v>0</v>
      </c>
      <c r="CF113" s="313">
        <v>0</v>
      </c>
      <c r="CG113" s="313">
        <v>2</v>
      </c>
      <c r="CH113" s="313">
        <v>0</v>
      </c>
      <c r="CI113" s="313">
        <v>0</v>
      </c>
      <c r="CJ113" s="314">
        <v>0</v>
      </c>
      <c r="CK113" s="312" t="s">
        <v>331</v>
      </c>
      <c r="CL113" s="313">
        <v>3</v>
      </c>
      <c r="CM113" s="313">
        <v>0</v>
      </c>
      <c r="CN113" s="313">
        <v>2</v>
      </c>
      <c r="CO113" s="313">
        <v>0</v>
      </c>
      <c r="CP113" s="313">
        <v>1</v>
      </c>
      <c r="CQ113" s="313">
        <v>1</v>
      </c>
      <c r="CR113" s="313">
        <v>0</v>
      </c>
      <c r="CS113" s="313">
        <v>0</v>
      </c>
      <c r="CT113" s="314">
        <v>2</v>
      </c>
      <c r="CU113" s="312" t="s">
        <v>407</v>
      </c>
      <c r="CV113" s="313">
        <v>4</v>
      </c>
      <c r="CW113" s="313">
        <v>0</v>
      </c>
      <c r="CX113" s="313">
        <v>0</v>
      </c>
      <c r="CY113" s="313">
        <v>0</v>
      </c>
      <c r="CZ113" s="313">
        <v>0</v>
      </c>
      <c r="DA113" s="313">
        <v>2</v>
      </c>
      <c r="DB113" s="313">
        <v>0</v>
      </c>
      <c r="DC113" s="313">
        <v>0</v>
      </c>
      <c r="DD113" s="314">
        <v>0</v>
      </c>
      <c r="DE113" s="312" t="s">
        <v>401</v>
      </c>
      <c r="DF113" s="313">
        <v>2</v>
      </c>
      <c r="DG113" s="313">
        <v>1</v>
      </c>
      <c r="DH113" s="313">
        <v>0</v>
      </c>
      <c r="DI113" s="313">
        <v>0</v>
      </c>
      <c r="DJ113" s="313">
        <v>1</v>
      </c>
      <c r="DK113" s="313">
        <v>1</v>
      </c>
      <c r="DL113" s="313">
        <v>0</v>
      </c>
      <c r="DM113" s="313">
        <v>0</v>
      </c>
      <c r="DN113" s="314">
        <v>0</v>
      </c>
      <c r="DO113" s="312" t="s">
        <v>335</v>
      </c>
      <c r="DP113" s="313">
        <v>2</v>
      </c>
      <c r="DQ113" s="313">
        <v>0</v>
      </c>
      <c r="DR113" s="313">
        <v>0</v>
      </c>
      <c r="DS113" s="313">
        <v>0</v>
      </c>
      <c r="DT113" s="313">
        <v>0</v>
      </c>
      <c r="DU113" s="313">
        <v>0</v>
      </c>
      <c r="DV113" s="313">
        <v>1</v>
      </c>
      <c r="DW113" s="313">
        <v>0</v>
      </c>
      <c r="DX113" s="314">
        <v>0</v>
      </c>
      <c r="DY113" s="315">
        <f>3+2/3</f>
        <v>3.6666666666666665</v>
      </c>
      <c r="DZ113" s="316">
        <v>0</v>
      </c>
      <c r="EA113" s="316">
        <v>0</v>
      </c>
      <c r="EB113" s="317">
        <f>5+1/3</f>
        <v>5.333333333333333</v>
      </c>
      <c r="EC113" s="316">
        <v>0</v>
      </c>
      <c r="ED113" s="318">
        <v>1</v>
      </c>
      <c r="EE113" s="319">
        <v>1</v>
      </c>
      <c r="EF113" s="316">
        <v>0</v>
      </c>
      <c r="EG113" s="316">
        <v>2</v>
      </c>
      <c r="EH113" s="316">
        <v>0</v>
      </c>
      <c r="EI113" s="316">
        <v>1</v>
      </c>
      <c r="EJ113" s="316">
        <v>0</v>
      </c>
      <c r="EK113" s="316">
        <v>0</v>
      </c>
      <c r="EL113" s="316">
        <v>0</v>
      </c>
      <c r="EM113" s="316">
        <v>0</v>
      </c>
      <c r="EN113" s="316"/>
      <c r="EO113" s="316"/>
      <c r="EP113" s="316"/>
      <c r="EQ113" s="318">
        <f t="shared" si="28"/>
        <v>4</v>
      </c>
      <c r="ER113" s="316">
        <v>1</v>
      </c>
      <c r="ES113" s="316">
        <v>0</v>
      </c>
      <c r="ET113" s="316">
        <v>0</v>
      </c>
      <c r="EU113" s="316">
        <v>2</v>
      </c>
      <c r="EV113" s="316">
        <v>1</v>
      </c>
      <c r="EW113" s="316">
        <v>0</v>
      </c>
      <c r="EX113" s="316">
        <v>0</v>
      </c>
      <c r="EY113" s="316">
        <v>0</v>
      </c>
      <c r="EZ113" s="316">
        <v>1</v>
      </c>
      <c r="FA113" s="316"/>
      <c r="FB113" s="316"/>
      <c r="FC113" s="316"/>
      <c r="FD113" s="316">
        <f t="shared" si="29"/>
        <v>5</v>
      </c>
      <c r="FE113" s="320">
        <f t="shared" si="30"/>
        <v>0</v>
      </c>
      <c r="FF113" s="320">
        <f t="shared" si="31"/>
        <v>0</v>
      </c>
      <c r="FG113" s="321" t="s">
        <v>637</v>
      </c>
    </row>
    <row r="114" spans="1:163" x14ac:dyDescent="0.25">
      <c r="A114" s="325">
        <v>40396</v>
      </c>
      <c r="B114" s="325" t="s">
        <v>19</v>
      </c>
      <c r="C114" s="325" t="s">
        <v>129</v>
      </c>
      <c r="D114" s="325" t="s">
        <v>342</v>
      </c>
      <c r="E114" s="322"/>
      <c r="F114" s="307">
        <v>2</v>
      </c>
      <c r="G114" s="308" t="s">
        <v>334</v>
      </c>
      <c r="H114" s="309">
        <v>1</v>
      </c>
      <c r="I114" s="309">
        <v>0</v>
      </c>
      <c r="J114" s="310">
        <f>5+2/3</f>
        <v>5.666666666666667</v>
      </c>
      <c r="K114" s="309">
        <v>6</v>
      </c>
      <c r="L114" s="309">
        <v>1</v>
      </c>
      <c r="M114" s="309">
        <v>1</v>
      </c>
      <c r="N114" s="309">
        <v>2</v>
      </c>
      <c r="O114" s="309">
        <v>3</v>
      </c>
      <c r="P114" s="309">
        <v>0</v>
      </c>
      <c r="Q114" s="309">
        <v>0</v>
      </c>
      <c r="R114" s="309">
        <v>23</v>
      </c>
      <c r="S114" s="309">
        <v>85</v>
      </c>
      <c r="T114" s="309">
        <v>55</v>
      </c>
      <c r="U114" s="309">
        <v>1</v>
      </c>
      <c r="V114" s="311">
        <v>0</v>
      </c>
      <c r="W114" s="323">
        <v>0</v>
      </c>
      <c r="X114" s="323">
        <v>0</v>
      </c>
      <c r="Y114" s="323">
        <v>0</v>
      </c>
      <c r="Z114" s="323">
        <v>0</v>
      </c>
      <c r="AA114" s="323">
        <v>0</v>
      </c>
      <c r="AB114" s="324">
        <f>1+1/3</f>
        <v>1.3333333333333333</v>
      </c>
      <c r="AC114" s="323">
        <v>0</v>
      </c>
      <c r="AD114" s="323">
        <v>0</v>
      </c>
      <c r="AE114" s="323">
        <v>0</v>
      </c>
      <c r="AF114" s="323">
        <v>0</v>
      </c>
      <c r="AG114" s="323">
        <v>1</v>
      </c>
      <c r="AH114" s="323">
        <v>0</v>
      </c>
      <c r="AI114" s="323">
        <v>0</v>
      </c>
      <c r="AJ114" s="323">
        <v>4</v>
      </c>
      <c r="AK114" s="323">
        <v>12</v>
      </c>
      <c r="AL114" s="323">
        <v>9</v>
      </c>
      <c r="AM114" s="312" t="s">
        <v>399</v>
      </c>
      <c r="AN114" s="313">
        <v>3</v>
      </c>
      <c r="AO114" s="313">
        <v>2</v>
      </c>
      <c r="AP114" s="313">
        <v>2</v>
      </c>
      <c r="AQ114" s="313">
        <v>1</v>
      </c>
      <c r="AR114" s="313">
        <v>1</v>
      </c>
      <c r="AS114" s="313">
        <v>0</v>
      </c>
      <c r="AT114" s="313">
        <v>0</v>
      </c>
      <c r="AU114" s="313">
        <v>0</v>
      </c>
      <c r="AV114" s="314">
        <v>2</v>
      </c>
      <c r="AW114" s="312" t="s">
        <v>345</v>
      </c>
      <c r="AX114" s="313">
        <v>3</v>
      </c>
      <c r="AY114" s="313">
        <v>1</v>
      </c>
      <c r="AZ114" s="313">
        <v>2</v>
      </c>
      <c r="BA114" s="313">
        <v>3</v>
      </c>
      <c r="BB114" s="313">
        <v>0</v>
      </c>
      <c r="BC114" s="313">
        <v>0</v>
      </c>
      <c r="BD114" s="313">
        <v>1</v>
      </c>
      <c r="BE114" s="313">
        <v>0</v>
      </c>
      <c r="BF114" s="314">
        <v>4</v>
      </c>
      <c r="BG114" s="312" t="s">
        <v>400</v>
      </c>
      <c r="BH114" s="313">
        <v>4</v>
      </c>
      <c r="BI114" s="313">
        <v>0</v>
      </c>
      <c r="BJ114" s="313">
        <v>1</v>
      </c>
      <c r="BK114" s="313">
        <v>1</v>
      </c>
      <c r="BL114" s="313">
        <v>0</v>
      </c>
      <c r="BM114" s="313">
        <v>2</v>
      </c>
      <c r="BN114" s="313">
        <v>0</v>
      </c>
      <c r="BO114" s="313">
        <v>0</v>
      </c>
      <c r="BP114" s="314">
        <v>2</v>
      </c>
      <c r="BQ114" s="312" t="s">
        <v>405</v>
      </c>
      <c r="BR114" s="313">
        <v>4</v>
      </c>
      <c r="BS114" s="313">
        <v>1</v>
      </c>
      <c r="BT114" s="313">
        <v>1</v>
      </c>
      <c r="BU114" s="313">
        <v>1</v>
      </c>
      <c r="BV114" s="313">
        <v>0</v>
      </c>
      <c r="BW114" s="313">
        <v>1</v>
      </c>
      <c r="BX114" s="313">
        <v>0</v>
      </c>
      <c r="BY114" s="313">
        <v>0</v>
      </c>
      <c r="BZ114" s="314">
        <v>2</v>
      </c>
      <c r="CA114" s="312" t="s">
        <v>403</v>
      </c>
      <c r="CB114" s="313">
        <v>3</v>
      </c>
      <c r="CC114" s="313">
        <v>2</v>
      </c>
      <c r="CD114" s="313">
        <v>2</v>
      </c>
      <c r="CE114" s="313">
        <v>0</v>
      </c>
      <c r="CF114" s="313">
        <v>1</v>
      </c>
      <c r="CG114" s="313">
        <v>0</v>
      </c>
      <c r="CH114" s="313">
        <v>0</v>
      </c>
      <c r="CI114" s="313">
        <v>0</v>
      </c>
      <c r="CJ114" s="314">
        <v>2</v>
      </c>
      <c r="CK114" s="312" t="s">
        <v>501</v>
      </c>
      <c r="CL114" s="313">
        <v>4</v>
      </c>
      <c r="CM114" s="313">
        <v>1</v>
      </c>
      <c r="CN114" s="313">
        <v>2</v>
      </c>
      <c r="CO114" s="313">
        <v>1</v>
      </c>
      <c r="CP114" s="313">
        <v>0</v>
      </c>
      <c r="CQ114" s="313">
        <v>2</v>
      </c>
      <c r="CR114" s="313">
        <v>0</v>
      </c>
      <c r="CS114" s="313">
        <v>0</v>
      </c>
      <c r="CT114" s="314">
        <v>2</v>
      </c>
      <c r="CU114" s="312" t="s">
        <v>406</v>
      </c>
      <c r="CV114" s="313">
        <v>3</v>
      </c>
      <c r="CW114" s="313">
        <v>1</v>
      </c>
      <c r="CX114" s="313">
        <v>2</v>
      </c>
      <c r="CY114" s="313">
        <v>2</v>
      </c>
      <c r="CZ114" s="313">
        <v>0</v>
      </c>
      <c r="DA114" s="313">
        <v>1</v>
      </c>
      <c r="DB114" s="313">
        <v>0</v>
      </c>
      <c r="DC114" s="313">
        <v>0</v>
      </c>
      <c r="DD114" s="314">
        <v>3</v>
      </c>
      <c r="DE114" s="312" t="s">
        <v>407</v>
      </c>
      <c r="DF114" s="313">
        <v>3</v>
      </c>
      <c r="DG114" s="313">
        <v>0</v>
      </c>
      <c r="DH114" s="313">
        <v>0</v>
      </c>
      <c r="DI114" s="313">
        <v>0</v>
      </c>
      <c r="DJ114" s="313">
        <v>0</v>
      </c>
      <c r="DK114" s="313">
        <v>0</v>
      </c>
      <c r="DL114" s="313">
        <v>0</v>
      </c>
      <c r="DM114" s="313">
        <v>0</v>
      </c>
      <c r="DN114" s="314">
        <v>0</v>
      </c>
      <c r="DO114" s="312" t="s">
        <v>331</v>
      </c>
      <c r="DP114" s="313">
        <v>2</v>
      </c>
      <c r="DQ114" s="313">
        <v>2</v>
      </c>
      <c r="DR114" s="313">
        <v>1</v>
      </c>
      <c r="DS114" s="313">
        <v>0</v>
      </c>
      <c r="DT114" s="313">
        <v>1</v>
      </c>
      <c r="DU114" s="313">
        <v>0</v>
      </c>
      <c r="DV114" s="313">
        <v>0</v>
      </c>
      <c r="DW114" s="313">
        <v>0</v>
      </c>
      <c r="DX114" s="314">
        <v>1</v>
      </c>
      <c r="DY114" s="315">
        <v>1</v>
      </c>
      <c r="DZ114" s="316">
        <v>0</v>
      </c>
      <c r="EA114" s="316">
        <v>0</v>
      </c>
      <c r="EB114" s="317">
        <v>5</v>
      </c>
      <c r="EC114" s="316">
        <v>0</v>
      </c>
      <c r="ED114" s="318">
        <v>0</v>
      </c>
      <c r="EE114" s="319">
        <v>0</v>
      </c>
      <c r="EF114" s="316">
        <v>5</v>
      </c>
      <c r="EG114" s="316">
        <v>0</v>
      </c>
      <c r="EH114" s="316">
        <v>5</v>
      </c>
      <c r="EI114" s="316">
        <v>0</v>
      </c>
      <c r="EJ114" s="316">
        <v>0</v>
      </c>
      <c r="EK114" s="316"/>
      <c r="EL114" s="316"/>
      <c r="EM114" s="316"/>
      <c r="EN114" s="316"/>
      <c r="EO114" s="316"/>
      <c r="EP114" s="316"/>
      <c r="EQ114" s="318">
        <f t="shared" si="28"/>
        <v>10</v>
      </c>
      <c r="ER114" s="316">
        <v>0</v>
      </c>
      <c r="ES114" s="316">
        <v>0</v>
      </c>
      <c r="ET114" s="316">
        <v>0</v>
      </c>
      <c r="EU114" s="316">
        <v>0</v>
      </c>
      <c r="EV114" s="316">
        <v>0</v>
      </c>
      <c r="EW114" s="316">
        <v>1</v>
      </c>
      <c r="EX114" s="316">
        <v>0</v>
      </c>
      <c r="EY114" s="316"/>
      <c r="EZ114" s="316"/>
      <c r="FA114" s="316"/>
      <c r="FB114" s="316"/>
      <c r="FC114" s="316"/>
      <c r="FD114" s="316">
        <f t="shared" si="29"/>
        <v>1</v>
      </c>
      <c r="FE114" s="320">
        <f t="shared" si="30"/>
        <v>0</v>
      </c>
      <c r="FF114" s="320">
        <f t="shared" si="31"/>
        <v>0</v>
      </c>
      <c r="FG114" s="321" t="s">
        <v>475</v>
      </c>
    </row>
    <row r="115" spans="1:163" x14ac:dyDescent="0.25">
      <c r="A115" s="325">
        <v>40396</v>
      </c>
      <c r="B115" s="325" t="s">
        <v>19</v>
      </c>
      <c r="C115" s="325" t="s">
        <v>131</v>
      </c>
      <c r="D115" s="325" t="s">
        <v>342</v>
      </c>
      <c r="E115" s="322">
        <v>9499</v>
      </c>
      <c r="F115" s="307">
        <v>3</v>
      </c>
      <c r="G115" s="308" t="s">
        <v>326</v>
      </c>
      <c r="H115" s="309">
        <v>0</v>
      </c>
      <c r="I115" s="309">
        <v>1</v>
      </c>
      <c r="J115" s="310">
        <v>7</v>
      </c>
      <c r="K115" s="309">
        <v>6</v>
      </c>
      <c r="L115" s="309">
        <v>4</v>
      </c>
      <c r="M115" s="309">
        <v>4</v>
      </c>
      <c r="N115" s="309">
        <v>1</v>
      </c>
      <c r="O115" s="309">
        <v>3</v>
      </c>
      <c r="P115" s="309">
        <v>2</v>
      </c>
      <c r="Q115" s="309">
        <v>0</v>
      </c>
      <c r="R115" s="309">
        <v>27</v>
      </c>
      <c r="S115" s="309">
        <v>101</v>
      </c>
      <c r="T115" s="309">
        <v>64</v>
      </c>
      <c r="U115" s="309">
        <v>0</v>
      </c>
      <c r="V115" s="311">
        <v>0</v>
      </c>
      <c r="W115" s="323">
        <v>0</v>
      </c>
      <c r="X115" s="323">
        <v>0</v>
      </c>
      <c r="Y115" s="323">
        <v>0</v>
      </c>
      <c r="Z115" s="323">
        <v>0</v>
      </c>
      <c r="AA115" s="323">
        <v>0</v>
      </c>
      <c r="AB115" s="324">
        <v>0</v>
      </c>
      <c r="AC115" s="323">
        <v>0</v>
      </c>
      <c r="AD115" s="323">
        <v>0</v>
      </c>
      <c r="AE115" s="323">
        <v>0</v>
      </c>
      <c r="AF115" s="323">
        <v>0</v>
      </c>
      <c r="AG115" s="323">
        <v>0</v>
      </c>
      <c r="AH115" s="323">
        <v>0</v>
      </c>
      <c r="AI115" s="323">
        <v>0</v>
      </c>
      <c r="AJ115" s="323">
        <v>0</v>
      </c>
      <c r="AK115" s="323">
        <v>0</v>
      </c>
      <c r="AL115" s="323">
        <v>0</v>
      </c>
      <c r="AM115" s="312" t="s">
        <v>399</v>
      </c>
      <c r="AN115" s="313">
        <v>3</v>
      </c>
      <c r="AO115" s="313">
        <v>0</v>
      </c>
      <c r="AP115" s="313">
        <v>0</v>
      </c>
      <c r="AQ115" s="313">
        <v>0</v>
      </c>
      <c r="AR115" s="313">
        <v>0</v>
      </c>
      <c r="AS115" s="313">
        <v>0</v>
      </c>
      <c r="AT115" s="313">
        <v>0</v>
      </c>
      <c r="AU115" s="313">
        <v>0</v>
      </c>
      <c r="AV115" s="314">
        <v>0</v>
      </c>
      <c r="AW115" s="312" t="s">
        <v>401</v>
      </c>
      <c r="AX115" s="313">
        <v>1</v>
      </c>
      <c r="AY115" s="313">
        <v>0</v>
      </c>
      <c r="AZ115" s="313">
        <v>0</v>
      </c>
      <c r="BA115" s="313">
        <v>0</v>
      </c>
      <c r="BB115" s="313">
        <v>2</v>
      </c>
      <c r="BC115" s="313">
        <v>0</v>
      </c>
      <c r="BD115" s="313">
        <v>0</v>
      </c>
      <c r="BE115" s="313">
        <v>0</v>
      </c>
      <c r="BF115" s="314">
        <v>0</v>
      </c>
      <c r="BG115" s="312" t="s">
        <v>345</v>
      </c>
      <c r="BH115" s="313">
        <v>2</v>
      </c>
      <c r="BI115" s="313">
        <v>1</v>
      </c>
      <c r="BJ115" s="313">
        <v>0</v>
      </c>
      <c r="BK115" s="313">
        <v>0</v>
      </c>
      <c r="BL115" s="313">
        <v>1</v>
      </c>
      <c r="BM115" s="313">
        <v>0</v>
      </c>
      <c r="BN115" s="313">
        <v>0</v>
      </c>
      <c r="BO115" s="313">
        <v>0</v>
      </c>
      <c r="BP115" s="314">
        <v>0</v>
      </c>
      <c r="BQ115" s="312" t="s">
        <v>400</v>
      </c>
      <c r="BR115" s="313">
        <v>3</v>
      </c>
      <c r="BS115" s="313">
        <v>0</v>
      </c>
      <c r="BT115" s="313">
        <v>0</v>
      </c>
      <c r="BU115" s="313">
        <v>0</v>
      </c>
      <c r="BV115" s="313">
        <v>0</v>
      </c>
      <c r="BW115" s="313">
        <v>2</v>
      </c>
      <c r="BX115" s="313">
        <v>0</v>
      </c>
      <c r="BY115" s="313">
        <v>0</v>
      </c>
      <c r="BZ115" s="314">
        <v>0</v>
      </c>
      <c r="CA115" s="312" t="s">
        <v>403</v>
      </c>
      <c r="CB115" s="313">
        <v>3</v>
      </c>
      <c r="CC115" s="313">
        <v>0</v>
      </c>
      <c r="CD115" s="313">
        <v>2</v>
      </c>
      <c r="CE115" s="313">
        <v>1</v>
      </c>
      <c r="CF115" s="313">
        <v>0</v>
      </c>
      <c r="CG115" s="313">
        <v>0</v>
      </c>
      <c r="CH115" s="313">
        <v>0</v>
      </c>
      <c r="CI115" s="313">
        <v>0</v>
      </c>
      <c r="CJ115" s="314">
        <v>4</v>
      </c>
      <c r="CK115" s="312" t="s">
        <v>501</v>
      </c>
      <c r="CL115" s="313">
        <v>2</v>
      </c>
      <c r="CM115" s="313">
        <v>0</v>
      </c>
      <c r="CN115" s="313">
        <v>0</v>
      </c>
      <c r="CO115" s="313">
        <v>0</v>
      </c>
      <c r="CP115" s="313">
        <v>1</v>
      </c>
      <c r="CQ115" s="313">
        <v>0</v>
      </c>
      <c r="CR115" s="313">
        <v>0</v>
      </c>
      <c r="CS115" s="313">
        <v>0</v>
      </c>
      <c r="CT115" s="314">
        <v>0</v>
      </c>
      <c r="CU115" s="312" t="s">
        <v>406</v>
      </c>
      <c r="CV115" s="313">
        <v>3</v>
      </c>
      <c r="CW115" s="313">
        <v>0</v>
      </c>
      <c r="CX115" s="313">
        <v>0</v>
      </c>
      <c r="CY115" s="313">
        <v>0</v>
      </c>
      <c r="CZ115" s="313">
        <v>0</v>
      </c>
      <c r="DA115" s="313">
        <v>0</v>
      </c>
      <c r="DB115" s="313">
        <v>0</v>
      </c>
      <c r="DC115" s="313">
        <v>0</v>
      </c>
      <c r="DD115" s="314">
        <v>0</v>
      </c>
      <c r="DE115" s="312" t="s">
        <v>331</v>
      </c>
      <c r="DF115" s="313">
        <v>2</v>
      </c>
      <c r="DG115" s="313">
        <v>0</v>
      </c>
      <c r="DH115" s="313">
        <v>1</v>
      </c>
      <c r="DI115" s="313">
        <v>0</v>
      </c>
      <c r="DJ115" s="313">
        <v>1</v>
      </c>
      <c r="DK115" s="313">
        <v>1</v>
      </c>
      <c r="DL115" s="313">
        <v>0</v>
      </c>
      <c r="DM115" s="313">
        <v>0</v>
      </c>
      <c r="DN115" s="314">
        <v>1</v>
      </c>
      <c r="DO115" s="312" t="s">
        <v>335</v>
      </c>
      <c r="DP115" s="313">
        <v>3</v>
      </c>
      <c r="DQ115" s="313">
        <v>0</v>
      </c>
      <c r="DR115" s="313">
        <v>0</v>
      </c>
      <c r="DS115" s="313">
        <v>0</v>
      </c>
      <c r="DT115" s="313">
        <v>0</v>
      </c>
      <c r="DU115" s="313">
        <v>1</v>
      </c>
      <c r="DV115" s="313">
        <v>0</v>
      </c>
      <c r="DW115" s="313">
        <v>0</v>
      </c>
      <c r="DX115" s="314">
        <v>0</v>
      </c>
      <c r="DY115" s="315">
        <f>5+2/3</f>
        <v>5.666666666666667</v>
      </c>
      <c r="DZ115" s="316">
        <v>0</v>
      </c>
      <c r="EA115" s="316">
        <v>0</v>
      </c>
      <c r="EB115" s="317">
        <f>1+1/3</f>
        <v>1.3333333333333333</v>
      </c>
      <c r="EC115" s="316">
        <v>0</v>
      </c>
      <c r="ED115" s="318">
        <v>0</v>
      </c>
      <c r="EE115" s="319">
        <v>0</v>
      </c>
      <c r="EF115" s="316">
        <v>0</v>
      </c>
      <c r="EG115" s="316">
        <v>0</v>
      </c>
      <c r="EH115" s="316">
        <v>0</v>
      </c>
      <c r="EI115" s="316">
        <v>0</v>
      </c>
      <c r="EJ115" s="316">
        <v>1</v>
      </c>
      <c r="EK115" s="316">
        <v>0</v>
      </c>
      <c r="EL115" s="316"/>
      <c r="EM115" s="316"/>
      <c r="EN115" s="316"/>
      <c r="EO115" s="316"/>
      <c r="EP115" s="316"/>
      <c r="EQ115" s="318">
        <f t="shared" si="28"/>
        <v>1</v>
      </c>
      <c r="ER115" s="316">
        <v>2</v>
      </c>
      <c r="ES115" s="316">
        <v>0</v>
      </c>
      <c r="ET115" s="316">
        <v>2</v>
      </c>
      <c r="EU115" s="316">
        <v>0</v>
      </c>
      <c r="EV115" s="316">
        <v>0</v>
      </c>
      <c r="EW115" s="316">
        <v>0</v>
      </c>
      <c r="EX115" s="316">
        <v>0</v>
      </c>
      <c r="EY115" s="316"/>
      <c r="EZ115" s="316"/>
      <c r="FA115" s="316"/>
      <c r="FB115" s="316"/>
      <c r="FC115" s="316"/>
      <c r="FD115" s="316">
        <f t="shared" si="29"/>
        <v>4</v>
      </c>
      <c r="FE115" s="320">
        <f t="shared" si="30"/>
        <v>0</v>
      </c>
      <c r="FF115" s="320">
        <f t="shared" si="31"/>
        <v>0</v>
      </c>
      <c r="FG115" s="321" t="s">
        <v>378</v>
      </c>
    </row>
    <row r="116" spans="1:163" x14ac:dyDescent="0.25">
      <c r="A116" s="325">
        <v>40397</v>
      </c>
      <c r="B116" s="325" t="s">
        <v>19</v>
      </c>
      <c r="C116" s="325" t="s">
        <v>129</v>
      </c>
      <c r="D116" s="325" t="s">
        <v>342</v>
      </c>
      <c r="E116" s="322">
        <v>10014</v>
      </c>
      <c r="F116" s="307">
        <v>4</v>
      </c>
      <c r="G116" s="308" t="s">
        <v>337</v>
      </c>
      <c r="H116" s="309">
        <v>0</v>
      </c>
      <c r="I116" s="309">
        <v>0</v>
      </c>
      <c r="J116" s="310">
        <v>6</v>
      </c>
      <c r="K116" s="309">
        <v>5</v>
      </c>
      <c r="L116" s="309">
        <v>3</v>
      </c>
      <c r="M116" s="309">
        <v>2</v>
      </c>
      <c r="N116" s="309">
        <v>1</v>
      </c>
      <c r="O116" s="309">
        <v>0</v>
      </c>
      <c r="P116" s="309">
        <v>0</v>
      </c>
      <c r="Q116" s="309">
        <v>1</v>
      </c>
      <c r="R116" s="309">
        <v>24</v>
      </c>
      <c r="S116" s="309">
        <v>93</v>
      </c>
      <c r="T116" s="309">
        <v>57</v>
      </c>
      <c r="U116" s="309">
        <v>0</v>
      </c>
      <c r="V116" s="311">
        <v>0</v>
      </c>
      <c r="W116" s="323">
        <v>1</v>
      </c>
      <c r="X116" s="323">
        <v>0</v>
      </c>
      <c r="Y116" s="323">
        <v>0</v>
      </c>
      <c r="Z116" s="323">
        <v>1</v>
      </c>
      <c r="AA116" s="323">
        <v>0</v>
      </c>
      <c r="AB116" s="324">
        <v>3</v>
      </c>
      <c r="AC116" s="323">
        <v>5</v>
      </c>
      <c r="AD116" s="323">
        <v>1</v>
      </c>
      <c r="AE116" s="323">
        <v>0</v>
      </c>
      <c r="AF116" s="323">
        <v>0</v>
      </c>
      <c r="AG116" s="323">
        <v>5</v>
      </c>
      <c r="AH116" s="323">
        <v>0</v>
      </c>
      <c r="AI116" s="323">
        <v>0</v>
      </c>
      <c r="AJ116" s="323">
        <v>13</v>
      </c>
      <c r="AK116" s="323">
        <v>52</v>
      </c>
      <c r="AL116" s="323">
        <v>37</v>
      </c>
      <c r="AM116" s="312" t="s">
        <v>399</v>
      </c>
      <c r="AN116" s="313">
        <v>5</v>
      </c>
      <c r="AO116" s="313">
        <v>0</v>
      </c>
      <c r="AP116" s="313">
        <v>0</v>
      </c>
      <c r="AQ116" s="313">
        <v>0</v>
      </c>
      <c r="AR116" s="313">
        <v>0</v>
      </c>
      <c r="AS116" s="313">
        <v>0</v>
      </c>
      <c r="AT116" s="313">
        <v>0</v>
      </c>
      <c r="AU116" s="313">
        <v>0</v>
      </c>
      <c r="AV116" s="314">
        <v>0</v>
      </c>
      <c r="AW116" s="312" t="s">
        <v>345</v>
      </c>
      <c r="AX116" s="313">
        <v>5</v>
      </c>
      <c r="AY116" s="313">
        <v>1</v>
      </c>
      <c r="AZ116" s="313">
        <v>1</v>
      </c>
      <c r="BA116" s="313">
        <v>0</v>
      </c>
      <c r="BB116" s="313">
        <v>0</v>
      </c>
      <c r="BC116" s="313">
        <v>3</v>
      </c>
      <c r="BD116" s="313">
        <v>0</v>
      </c>
      <c r="BE116" s="313">
        <v>0</v>
      </c>
      <c r="BF116" s="314">
        <v>1</v>
      </c>
      <c r="BG116" s="312" t="s">
        <v>400</v>
      </c>
      <c r="BH116" s="313">
        <v>3</v>
      </c>
      <c r="BI116" s="313">
        <v>1</v>
      </c>
      <c r="BJ116" s="313">
        <v>1</v>
      </c>
      <c r="BK116" s="313">
        <v>0</v>
      </c>
      <c r="BL116" s="313">
        <v>1</v>
      </c>
      <c r="BM116" s="313">
        <v>1</v>
      </c>
      <c r="BN116" s="313">
        <v>0</v>
      </c>
      <c r="BO116" s="313">
        <v>0</v>
      </c>
      <c r="BP116" s="314">
        <v>1</v>
      </c>
      <c r="BQ116" s="312" t="s">
        <v>405</v>
      </c>
      <c r="BR116" s="313">
        <v>3</v>
      </c>
      <c r="BS116" s="313">
        <v>0</v>
      </c>
      <c r="BT116" s="313">
        <v>0</v>
      </c>
      <c r="BU116" s="313">
        <v>0</v>
      </c>
      <c r="BV116" s="313">
        <v>1</v>
      </c>
      <c r="BW116" s="313">
        <v>1</v>
      </c>
      <c r="BX116" s="313">
        <v>0</v>
      </c>
      <c r="BY116" s="313">
        <v>0</v>
      </c>
      <c r="BZ116" s="314">
        <v>0</v>
      </c>
      <c r="CA116" s="312" t="s">
        <v>403</v>
      </c>
      <c r="CB116" s="313">
        <v>3</v>
      </c>
      <c r="CC116" s="313">
        <v>1</v>
      </c>
      <c r="CD116" s="313">
        <v>0</v>
      </c>
      <c r="CE116" s="313">
        <v>0</v>
      </c>
      <c r="CF116" s="313">
        <v>1</v>
      </c>
      <c r="CG116" s="313">
        <v>1</v>
      </c>
      <c r="CH116" s="313">
        <v>0</v>
      </c>
      <c r="CI116" s="313">
        <v>0</v>
      </c>
      <c r="CJ116" s="314">
        <v>0</v>
      </c>
      <c r="CK116" s="312" t="s">
        <v>501</v>
      </c>
      <c r="CL116" s="313">
        <v>3</v>
      </c>
      <c r="CM116" s="313">
        <v>2</v>
      </c>
      <c r="CN116" s="313">
        <v>1</v>
      </c>
      <c r="CO116" s="313">
        <v>1</v>
      </c>
      <c r="CP116" s="313">
        <v>0</v>
      </c>
      <c r="CQ116" s="313">
        <v>0</v>
      </c>
      <c r="CR116" s="313">
        <v>1</v>
      </c>
      <c r="CS116" s="313">
        <v>0</v>
      </c>
      <c r="CT116" s="314">
        <v>1</v>
      </c>
      <c r="CU116" s="312" t="s">
        <v>331</v>
      </c>
      <c r="CV116" s="313">
        <v>3</v>
      </c>
      <c r="CW116" s="313">
        <v>1</v>
      </c>
      <c r="CX116" s="313">
        <v>2</v>
      </c>
      <c r="CY116" s="313">
        <v>1</v>
      </c>
      <c r="CZ116" s="313">
        <v>1</v>
      </c>
      <c r="DA116" s="313">
        <v>0</v>
      </c>
      <c r="DB116" s="313">
        <v>0</v>
      </c>
      <c r="DC116" s="313">
        <v>0</v>
      </c>
      <c r="DD116" s="314">
        <v>3</v>
      </c>
      <c r="DE116" s="312" t="s">
        <v>407</v>
      </c>
      <c r="DF116" s="313">
        <v>3</v>
      </c>
      <c r="DG116" s="313">
        <v>0</v>
      </c>
      <c r="DH116" s="313">
        <v>0</v>
      </c>
      <c r="DI116" s="313">
        <v>1</v>
      </c>
      <c r="DJ116" s="313">
        <v>1</v>
      </c>
      <c r="DK116" s="313">
        <v>0</v>
      </c>
      <c r="DL116" s="313">
        <v>0</v>
      </c>
      <c r="DM116" s="313">
        <v>0</v>
      </c>
      <c r="DN116" s="314">
        <v>0</v>
      </c>
      <c r="DO116" s="312" t="s">
        <v>401</v>
      </c>
      <c r="DP116" s="313">
        <v>4</v>
      </c>
      <c r="DQ116" s="313">
        <v>0</v>
      </c>
      <c r="DR116" s="313">
        <v>3</v>
      </c>
      <c r="DS116" s="313">
        <v>3</v>
      </c>
      <c r="DT116" s="313">
        <v>0</v>
      </c>
      <c r="DU116" s="313">
        <v>0</v>
      </c>
      <c r="DV116" s="313">
        <v>0</v>
      </c>
      <c r="DW116" s="313">
        <v>0</v>
      </c>
      <c r="DX116" s="314">
        <v>4</v>
      </c>
      <c r="DY116" s="315">
        <f>0+1/3</f>
        <v>0.33333333333333331</v>
      </c>
      <c r="DZ116" s="316">
        <v>0</v>
      </c>
      <c r="EA116" s="316">
        <v>0</v>
      </c>
      <c r="EB116" s="317">
        <f>7+2/3</f>
        <v>7.666666666666667</v>
      </c>
      <c r="EC116" s="316">
        <v>1</v>
      </c>
      <c r="ED116" s="318">
        <v>0</v>
      </c>
      <c r="EE116" s="319">
        <v>0</v>
      </c>
      <c r="EF116" s="316">
        <v>0</v>
      </c>
      <c r="EG116" s="316">
        <v>0</v>
      </c>
      <c r="EH116" s="316">
        <v>0</v>
      </c>
      <c r="EI116" s="316">
        <v>1</v>
      </c>
      <c r="EJ116" s="316">
        <v>0</v>
      </c>
      <c r="EK116" s="316">
        <v>0</v>
      </c>
      <c r="EL116" s="316">
        <v>5</v>
      </c>
      <c r="EM116" s="316"/>
      <c r="EN116" s="316"/>
      <c r="EO116" s="316"/>
      <c r="EP116" s="316"/>
      <c r="EQ116" s="318">
        <f t="shared" si="28"/>
        <v>6</v>
      </c>
      <c r="ER116" s="316">
        <v>2</v>
      </c>
      <c r="ES116" s="316">
        <v>1</v>
      </c>
      <c r="ET116" s="316">
        <v>0</v>
      </c>
      <c r="EU116" s="316">
        <v>0</v>
      </c>
      <c r="EV116" s="316">
        <v>0</v>
      </c>
      <c r="EW116" s="316">
        <v>0</v>
      </c>
      <c r="EX116" s="316">
        <v>0</v>
      </c>
      <c r="EY116" s="316">
        <v>0</v>
      </c>
      <c r="EZ116" s="316">
        <v>1</v>
      </c>
      <c r="FA116" s="316"/>
      <c r="FB116" s="316"/>
      <c r="FC116" s="316"/>
      <c r="FD116" s="316">
        <f t="shared" si="29"/>
        <v>4</v>
      </c>
      <c r="FE116" s="320">
        <f t="shared" si="30"/>
        <v>0</v>
      </c>
      <c r="FF116" s="320">
        <f t="shared" si="31"/>
        <v>0</v>
      </c>
      <c r="FG116" s="321"/>
    </row>
    <row r="117" spans="1:163" x14ac:dyDescent="0.25">
      <c r="A117" s="325">
        <v>40398</v>
      </c>
      <c r="B117" s="325" t="s">
        <v>19</v>
      </c>
      <c r="C117" s="325" t="s">
        <v>129</v>
      </c>
      <c r="D117" s="325" t="s">
        <v>342</v>
      </c>
      <c r="E117" s="322">
        <v>9139</v>
      </c>
      <c r="F117" s="307">
        <v>5</v>
      </c>
      <c r="G117" s="308" t="s">
        <v>341</v>
      </c>
      <c r="H117" s="309">
        <v>0</v>
      </c>
      <c r="I117" s="309">
        <v>0</v>
      </c>
      <c r="J117" s="310">
        <f>4+1/3</f>
        <v>4.333333333333333</v>
      </c>
      <c r="K117" s="309">
        <v>1</v>
      </c>
      <c r="L117" s="309">
        <v>0</v>
      </c>
      <c r="M117" s="309">
        <v>0</v>
      </c>
      <c r="N117" s="309">
        <v>4</v>
      </c>
      <c r="O117" s="309">
        <v>6</v>
      </c>
      <c r="P117" s="309">
        <v>0</v>
      </c>
      <c r="Q117" s="309">
        <v>0</v>
      </c>
      <c r="R117" s="309">
        <v>18</v>
      </c>
      <c r="S117" s="309">
        <v>75</v>
      </c>
      <c r="T117" s="309">
        <v>41</v>
      </c>
      <c r="U117" s="309">
        <v>2</v>
      </c>
      <c r="V117" s="311">
        <v>0</v>
      </c>
      <c r="W117" s="323">
        <v>1</v>
      </c>
      <c r="X117" s="323">
        <v>0</v>
      </c>
      <c r="Y117" s="323">
        <v>2</v>
      </c>
      <c r="Z117" s="323">
        <v>1</v>
      </c>
      <c r="AA117" s="323">
        <v>0</v>
      </c>
      <c r="AB117" s="324">
        <f>4+2/3</f>
        <v>4.666666666666667</v>
      </c>
      <c r="AC117" s="323">
        <v>1</v>
      </c>
      <c r="AD117" s="323">
        <v>0</v>
      </c>
      <c r="AE117" s="323">
        <v>0</v>
      </c>
      <c r="AF117" s="323">
        <v>0</v>
      </c>
      <c r="AG117" s="323">
        <v>8</v>
      </c>
      <c r="AH117" s="323">
        <v>0</v>
      </c>
      <c r="AI117" s="323">
        <v>0</v>
      </c>
      <c r="AJ117" s="323">
        <v>15</v>
      </c>
      <c r="AK117" s="323">
        <v>68</v>
      </c>
      <c r="AL117" s="323">
        <v>46</v>
      </c>
      <c r="AM117" s="312" t="s">
        <v>399</v>
      </c>
      <c r="AN117" s="313">
        <v>3</v>
      </c>
      <c r="AO117" s="313">
        <v>1</v>
      </c>
      <c r="AP117" s="313">
        <v>1</v>
      </c>
      <c r="AQ117" s="313">
        <v>0</v>
      </c>
      <c r="AR117" s="313">
        <v>0</v>
      </c>
      <c r="AS117" s="313">
        <v>0</v>
      </c>
      <c r="AT117" s="313">
        <v>1</v>
      </c>
      <c r="AU117" s="313">
        <v>0</v>
      </c>
      <c r="AV117" s="314">
        <v>1</v>
      </c>
      <c r="AW117" s="312" t="s">
        <v>345</v>
      </c>
      <c r="AX117" s="313">
        <v>3</v>
      </c>
      <c r="AY117" s="313">
        <v>0</v>
      </c>
      <c r="AZ117" s="313">
        <v>0</v>
      </c>
      <c r="BA117" s="313">
        <v>0</v>
      </c>
      <c r="BB117" s="313">
        <v>1</v>
      </c>
      <c r="BC117" s="313">
        <v>0</v>
      </c>
      <c r="BD117" s="313">
        <v>0</v>
      </c>
      <c r="BE117" s="313">
        <v>0</v>
      </c>
      <c r="BF117" s="314">
        <v>0</v>
      </c>
      <c r="BG117" s="312" t="s">
        <v>400</v>
      </c>
      <c r="BH117" s="313">
        <v>4</v>
      </c>
      <c r="BI117" s="313">
        <v>0</v>
      </c>
      <c r="BJ117" s="313">
        <v>4</v>
      </c>
      <c r="BK117" s="313">
        <v>2</v>
      </c>
      <c r="BL117" s="313">
        <v>0</v>
      </c>
      <c r="BM117" s="313">
        <v>0</v>
      </c>
      <c r="BN117" s="313">
        <v>0</v>
      </c>
      <c r="BO117" s="313">
        <v>0</v>
      </c>
      <c r="BP117" s="314">
        <v>5</v>
      </c>
      <c r="BQ117" s="312" t="s">
        <v>405</v>
      </c>
      <c r="BR117" s="313">
        <v>4</v>
      </c>
      <c r="BS117" s="313">
        <v>0</v>
      </c>
      <c r="BT117" s="313">
        <v>2</v>
      </c>
      <c r="BU117" s="313">
        <v>0</v>
      </c>
      <c r="BV117" s="313">
        <v>0</v>
      </c>
      <c r="BW117" s="313">
        <v>2</v>
      </c>
      <c r="BX117" s="313">
        <v>0</v>
      </c>
      <c r="BY117" s="313">
        <v>0</v>
      </c>
      <c r="BZ117" s="314">
        <v>2</v>
      </c>
      <c r="CA117" s="312" t="s">
        <v>403</v>
      </c>
      <c r="CB117" s="313">
        <v>4</v>
      </c>
      <c r="CC117" s="313">
        <v>0</v>
      </c>
      <c r="CD117" s="313">
        <v>0</v>
      </c>
      <c r="CE117" s="313">
        <v>0</v>
      </c>
      <c r="CF117" s="313">
        <v>0</v>
      </c>
      <c r="CG117" s="313">
        <v>0</v>
      </c>
      <c r="CH117" s="313">
        <v>0</v>
      </c>
      <c r="CI117" s="313">
        <v>0</v>
      </c>
      <c r="CJ117" s="314">
        <v>0</v>
      </c>
      <c r="CK117" s="312" t="s">
        <v>501</v>
      </c>
      <c r="CL117" s="313">
        <v>4</v>
      </c>
      <c r="CM117" s="313">
        <v>0</v>
      </c>
      <c r="CN117" s="313">
        <v>2</v>
      </c>
      <c r="CO117" s="313">
        <v>0</v>
      </c>
      <c r="CP117" s="313">
        <v>0</v>
      </c>
      <c r="CQ117" s="313">
        <v>0</v>
      </c>
      <c r="CR117" s="313">
        <v>0</v>
      </c>
      <c r="CS117" s="313">
        <v>0</v>
      </c>
      <c r="CT117" s="314">
        <v>2</v>
      </c>
      <c r="CU117" s="312" t="s">
        <v>406</v>
      </c>
      <c r="CV117" s="313">
        <v>3</v>
      </c>
      <c r="CW117" s="313">
        <v>0</v>
      </c>
      <c r="CX117" s="313">
        <v>1</v>
      </c>
      <c r="CY117" s="313">
        <v>0</v>
      </c>
      <c r="CZ117" s="313">
        <v>0</v>
      </c>
      <c r="DA117" s="313">
        <v>0</v>
      </c>
      <c r="DB117" s="313">
        <v>0</v>
      </c>
      <c r="DC117" s="313">
        <v>0</v>
      </c>
      <c r="DD117" s="314">
        <v>1</v>
      </c>
      <c r="DE117" s="312" t="s">
        <v>331</v>
      </c>
      <c r="DF117" s="313">
        <v>3</v>
      </c>
      <c r="DG117" s="313">
        <v>0</v>
      </c>
      <c r="DH117" s="313">
        <v>0</v>
      </c>
      <c r="DI117" s="313">
        <v>0</v>
      </c>
      <c r="DJ117" s="313">
        <v>0</v>
      </c>
      <c r="DK117" s="313">
        <v>1</v>
      </c>
      <c r="DL117" s="313">
        <v>0</v>
      </c>
      <c r="DM117" s="313">
        <v>0</v>
      </c>
      <c r="DN117" s="314">
        <v>0</v>
      </c>
      <c r="DO117" s="312" t="s">
        <v>401</v>
      </c>
      <c r="DP117" s="313">
        <v>3</v>
      </c>
      <c r="DQ117" s="313">
        <v>1</v>
      </c>
      <c r="DR117" s="313">
        <v>0</v>
      </c>
      <c r="DS117" s="313">
        <v>0</v>
      </c>
      <c r="DT117" s="313">
        <v>0</v>
      </c>
      <c r="DU117" s="313">
        <v>0</v>
      </c>
      <c r="DV117" s="313">
        <v>0</v>
      </c>
      <c r="DW117" s="313">
        <v>0</v>
      </c>
      <c r="DX117" s="314">
        <v>0</v>
      </c>
      <c r="DY117" s="315">
        <f>1+2/3</f>
        <v>1.6666666666666665</v>
      </c>
      <c r="DZ117" s="316">
        <v>0</v>
      </c>
      <c r="EA117" s="316">
        <v>1</v>
      </c>
      <c r="EB117" s="317">
        <f>6+1/3</f>
        <v>6.333333333333333</v>
      </c>
      <c r="EC117" s="316">
        <v>2</v>
      </c>
      <c r="ED117" s="318">
        <v>0</v>
      </c>
      <c r="EE117" s="319">
        <v>0</v>
      </c>
      <c r="EF117" s="316">
        <v>0</v>
      </c>
      <c r="EG117" s="316">
        <v>1</v>
      </c>
      <c r="EH117" s="316">
        <v>0</v>
      </c>
      <c r="EI117" s="316">
        <v>1</v>
      </c>
      <c r="EJ117" s="316">
        <v>0</v>
      </c>
      <c r="EK117" s="316">
        <v>0</v>
      </c>
      <c r="EL117" s="316">
        <v>0</v>
      </c>
      <c r="EM117" s="316"/>
      <c r="EN117" s="316"/>
      <c r="EO117" s="316"/>
      <c r="EP117" s="316"/>
      <c r="EQ117" s="318">
        <f t="shared" si="28"/>
        <v>2</v>
      </c>
      <c r="ER117" s="316">
        <v>0</v>
      </c>
      <c r="ES117" s="316">
        <v>0</v>
      </c>
      <c r="ET117" s="316">
        <v>0</v>
      </c>
      <c r="EU117" s="316">
        <v>0</v>
      </c>
      <c r="EV117" s="316">
        <v>0</v>
      </c>
      <c r="EW117" s="316">
        <v>0</v>
      </c>
      <c r="EX117" s="316">
        <v>0</v>
      </c>
      <c r="EY117" s="316">
        <v>0</v>
      </c>
      <c r="EZ117" s="316">
        <v>0</v>
      </c>
      <c r="FA117" s="316"/>
      <c r="FB117" s="316"/>
      <c r="FC117" s="316"/>
      <c r="FD117" s="316">
        <f t="shared" si="29"/>
        <v>0</v>
      </c>
      <c r="FE117" s="320">
        <f t="shared" si="30"/>
        <v>0</v>
      </c>
      <c r="FF117" s="320">
        <f t="shared" si="31"/>
        <v>0</v>
      </c>
      <c r="FG117" s="321"/>
    </row>
    <row r="118" spans="1:163" x14ac:dyDescent="0.25">
      <c r="A118" s="325">
        <v>40400</v>
      </c>
      <c r="B118" s="325" t="s">
        <v>19</v>
      </c>
      <c r="C118" s="325" t="s">
        <v>131</v>
      </c>
      <c r="D118" s="325" t="s">
        <v>358</v>
      </c>
      <c r="E118" s="322">
        <v>4384</v>
      </c>
      <c r="F118" s="307">
        <v>1</v>
      </c>
      <c r="G118" s="308" t="s">
        <v>398</v>
      </c>
      <c r="H118" s="309">
        <v>0</v>
      </c>
      <c r="I118" s="309">
        <v>1</v>
      </c>
      <c r="J118" s="310">
        <f>5+1/3</f>
        <v>5.333333333333333</v>
      </c>
      <c r="K118" s="309">
        <v>8</v>
      </c>
      <c r="L118" s="309">
        <v>4</v>
      </c>
      <c r="M118" s="309">
        <v>4</v>
      </c>
      <c r="N118" s="309">
        <v>3</v>
      </c>
      <c r="O118" s="309">
        <v>4</v>
      </c>
      <c r="P118" s="309">
        <v>1</v>
      </c>
      <c r="Q118" s="309">
        <v>1</v>
      </c>
      <c r="R118" s="309">
        <v>26</v>
      </c>
      <c r="S118" s="309">
        <v>88</v>
      </c>
      <c r="T118" s="309">
        <v>52</v>
      </c>
      <c r="U118" s="309">
        <v>2</v>
      </c>
      <c r="V118" s="311">
        <v>0</v>
      </c>
      <c r="W118" s="323">
        <v>0</v>
      </c>
      <c r="X118" s="323">
        <v>0</v>
      </c>
      <c r="Y118" s="323">
        <v>0</v>
      </c>
      <c r="Z118" s="323">
        <v>0</v>
      </c>
      <c r="AA118" s="323">
        <v>0</v>
      </c>
      <c r="AB118" s="324">
        <f>3+2/3</f>
        <v>3.6666666666666665</v>
      </c>
      <c r="AC118" s="323">
        <v>2</v>
      </c>
      <c r="AD118" s="323">
        <v>1</v>
      </c>
      <c r="AE118" s="323">
        <v>1</v>
      </c>
      <c r="AF118" s="323">
        <v>0</v>
      </c>
      <c r="AG118" s="323">
        <v>5</v>
      </c>
      <c r="AH118" s="323">
        <v>1</v>
      </c>
      <c r="AI118" s="323">
        <v>1</v>
      </c>
      <c r="AJ118" s="323">
        <v>14</v>
      </c>
      <c r="AK118" s="323">
        <v>57</v>
      </c>
      <c r="AL118" s="323">
        <v>39</v>
      </c>
      <c r="AM118" s="312" t="s">
        <v>399</v>
      </c>
      <c r="AN118" s="313">
        <v>3</v>
      </c>
      <c r="AO118" s="313">
        <v>3</v>
      </c>
      <c r="AP118" s="313">
        <v>2</v>
      </c>
      <c r="AQ118" s="313">
        <v>0</v>
      </c>
      <c r="AR118" s="313">
        <v>2</v>
      </c>
      <c r="AS118" s="313">
        <v>1</v>
      </c>
      <c r="AT118" s="313">
        <v>0</v>
      </c>
      <c r="AU118" s="313">
        <v>0</v>
      </c>
      <c r="AV118" s="314">
        <v>3</v>
      </c>
      <c r="AW118" s="312" t="s">
        <v>345</v>
      </c>
      <c r="AX118" s="313">
        <v>5</v>
      </c>
      <c r="AY118" s="313">
        <v>0</v>
      </c>
      <c r="AZ118" s="313">
        <v>2</v>
      </c>
      <c r="BA118" s="313">
        <v>1</v>
      </c>
      <c r="BB118" s="313">
        <v>0</v>
      </c>
      <c r="BC118" s="313">
        <v>2</v>
      </c>
      <c r="BD118" s="313">
        <v>0</v>
      </c>
      <c r="BE118" s="313">
        <v>0</v>
      </c>
      <c r="BF118" s="314">
        <v>4</v>
      </c>
      <c r="BG118" s="312" t="s">
        <v>400</v>
      </c>
      <c r="BH118" s="313">
        <v>5</v>
      </c>
      <c r="BI118" s="313">
        <v>0</v>
      </c>
      <c r="BJ118" s="313">
        <v>3</v>
      </c>
      <c r="BK118" s="313">
        <v>2</v>
      </c>
      <c r="BL118" s="313">
        <v>0</v>
      </c>
      <c r="BM118" s="313">
        <v>0</v>
      </c>
      <c r="BN118" s="313">
        <v>0</v>
      </c>
      <c r="BO118" s="313">
        <v>0</v>
      </c>
      <c r="BP118" s="314">
        <v>4</v>
      </c>
      <c r="BQ118" s="312" t="s">
        <v>405</v>
      </c>
      <c r="BR118" s="313">
        <v>2</v>
      </c>
      <c r="BS118" s="313">
        <v>0</v>
      </c>
      <c r="BT118" s="313">
        <v>1</v>
      </c>
      <c r="BU118" s="313">
        <v>0</v>
      </c>
      <c r="BV118" s="313">
        <v>2</v>
      </c>
      <c r="BW118" s="313">
        <v>0</v>
      </c>
      <c r="BX118" s="313">
        <v>1</v>
      </c>
      <c r="BY118" s="313">
        <v>0</v>
      </c>
      <c r="BZ118" s="314">
        <v>1</v>
      </c>
      <c r="CA118" s="312" t="s">
        <v>403</v>
      </c>
      <c r="CB118" s="313">
        <v>5</v>
      </c>
      <c r="CC118" s="313">
        <v>0</v>
      </c>
      <c r="CD118" s="313">
        <v>0</v>
      </c>
      <c r="CE118" s="313">
        <v>0</v>
      </c>
      <c r="CF118" s="313">
        <v>0</v>
      </c>
      <c r="CG118" s="313">
        <v>1</v>
      </c>
      <c r="CH118" s="313">
        <v>0</v>
      </c>
      <c r="CI118" s="313">
        <v>0</v>
      </c>
      <c r="CJ118" s="314">
        <v>0</v>
      </c>
      <c r="CK118" s="312" t="s">
        <v>501</v>
      </c>
      <c r="CL118" s="313">
        <v>5</v>
      </c>
      <c r="CM118" s="313">
        <v>1</v>
      </c>
      <c r="CN118" s="313">
        <v>2</v>
      </c>
      <c r="CO118" s="313">
        <v>0</v>
      </c>
      <c r="CP118" s="313">
        <v>0</v>
      </c>
      <c r="CQ118" s="313">
        <v>2</v>
      </c>
      <c r="CR118" s="313">
        <v>0</v>
      </c>
      <c r="CS118" s="313">
        <v>0</v>
      </c>
      <c r="CT118" s="314">
        <v>2</v>
      </c>
      <c r="CU118" s="312" t="s">
        <v>406</v>
      </c>
      <c r="CV118" s="313">
        <v>4</v>
      </c>
      <c r="CW118" s="313">
        <v>0</v>
      </c>
      <c r="CX118" s="313">
        <v>1</v>
      </c>
      <c r="CY118" s="313">
        <v>0</v>
      </c>
      <c r="CZ118" s="313">
        <v>0</v>
      </c>
      <c r="DA118" s="313">
        <v>0</v>
      </c>
      <c r="DB118" s="313">
        <v>0</v>
      </c>
      <c r="DC118" s="313">
        <v>0</v>
      </c>
      <c r="DD118" s="314">
        <v>1</v>
      </c>
      <c r="DE118" s="312" t="s">
        <v>407</v>
      </c>
      <c r="DF118" s="313">
        <v>2</v>
      </c>
      <c r="DG118" s="313">
        <v>0</v>
      </c>
      <c r="DH118" s="313">
        <v>0</v>
      </c>
      <c r="DI118" s="313">
        <v>1</v>
      </c>
      <c r="DJ118" s="313">
        <v>1</v>
      </c>
      <c r="DK118" s="313">
        <v>1</v>
      </c>
      <c r="DL118" s="313">
        <v>0</v>
      </c>
      <c r="DM118" s="313">
        <v>0</v>
      </c>
      <c r="DN118" s="314">
        <v>0</v>
      </c>
      <c r="DO118" s="312" t="s">
        <v>401</v>
      </c>
      <c r="DP118" s="313">
        <v>4</v>
      </c>
      <c r="DQ118" s="313">
        <v>0</v>
      </c>
      <c r="DR118" s="313">
        <v>0</v>
      </c>
      <c r="DS118" s="313">
        <v>0</v>
      </c>
      <c r="DT118" s="313">
        <v>0</v>
      </c>
      <c r="DU118" s="313">
        <v>0</v>
      </c>
      <c r="DV118" s="313">
        <v>0</v>
      </c>
      <c r="DW118" s="313">
        <v>0</v>
      </c>
      <c r="DX118" s="314">
        <v>0</v>
      </c>
      <c r="DY118" s="315">
        <v>0</v>
      </c>
      <c r="DZ118" s="316">
        <v>0</v>
      </c>
      <c r="EA118" s="316">
        <v>0</v>
      </c>
      <c r="EB118" s="317">
        <v>9</v>
      </c>
      <c r="EC118" s="316">
        <v>1</v>
      </c>
      <c r="ED118" s="318">
        <v>0</v>
      </c>
      <c r="EE118" s="319">
        <v>1</v>
      </c>
      <c r="EF118" s="316">
        <v>0</v>
      </c>
      <c r="EG118" s="316">
        <v>1</v>
      </c>
      <c r="EH118" s="316">
        <v>0</v>
      </c>
      <c r="EI118" s="316">
        <v>0</v>
      </c>
      <c r="EJ118" s="316">
        <v>1</v>
      </c>
      <c r="EK118" s="316">
        <v>0</v>
      </c>
      <c r="EL118" s="316">
        <v>0</v>
      </c>
      <c r="EM118" s="316">
        <v>1</v>
      </c>
      <c r="EN118" s="316"/>
      <c r="EO118" s="316"/>
      <c r="EP118" s="316"/>
      <c r="EQ118" s="318">
        <f t="shared" ref="EQ118:EQ124" si="32">SUM(EE118:EP118)</f>
        <v>4</v>
      </c>
      <c r="ER118" s="316">
        <v>0</v>
      </c>
      <c r="ES118" s="316">
        <v>0</v>
      </c>
      <c r="ET118" s="316">
        <v>0</v>
      </c>
      <c r="EU118" s="316">
        <v>3</v>
      </c>
      <c r="EV118" s="316">
        <v>0</v>
      </c>
      <c r="EW118" s="316">
        <v>1</v>
      </c>
      <c r="EX118" s="316">
        <v>0</v>
      </c>
      <c r="EY118" s="316">
        <v>0</v>
      </c>
      <c r="EZ118" s="316">
        <v>1</v>
      </c>
      <c r="FA118" s="316"/>
      <c r="FB118" s="316"/>
      <c r="FC118" s="316"/>
      <c r="FD118" s="316">
        <f t="shared" ref="FD118:FD124" si="33">SUM(ER118:FC118)</f>
        <v>5</v>
      </c>
      <c r="FE118" s="320">
        <f t="shared" ref="FE118:FE124" si="34">((SUM(L118,AD118))-(FD118))</f>
        <v>0</v>
      </c>
      <c r="FF118" s="320">
        <f t="shared" ref="FF118:FF124" si="35">((SUM(AO118,AY118,BI118,BS118,CC118,CM118,CW118,DG118,DQ118))-(EQ118))</f>
        <v>0</v>
      </c>
      <c r="FG118" s="321"/>
    </row>
    <row r="119" spans="1:163" x14ac:dyDescent="0.25">
      <c r="A119" s="325">
        <v>40401</v>
      </c>
      <c r="B119" s="325" t="s">
        <v>19</v>
      </c>
      <c r="C119" s="325" t="s">
        <v>129</v>
      </c>
      <c r="D119" s="325" t="s">
        <v>358</v>
      </c>
      <c r="E119" s="322">
        <v>4709</v>
      </c>
      <c r="F119" s="307">
        <v>2</v>
      </c>
      <c r="G119" s="308" t="s">
        <v>326</v>
      </c>
      <c r="H119" s="309">
        <v>0</v>
      </c>
      <c r="I119" s="309">
        <v>0</v>
      </c>
      <c r="J119" s="310">
        <f>3+1/3</f>
        <v>3.3333333333333335</v>
      </c>
      <c r="K119" s="309">
        <v>8</v>
      </c>
      <c r="L119" s="309">
        <v>7</v>
      </c>
      <c r="M119" s="309">
        <v>7</v>
      </c>
      <c r="N119" s="309">
        <v>2</v>
      </c>
      <c r="O119" s="309">
        <v>2</v>
      </c>
      <c r="P119" s="309">
        <v>0</v>
      </c>
      <c r="Q119" s="309">
        <v>1</v>
      </c>
      <c r="R119" s="309">
        <v>21</v>
      </c>
      <c r="S119" s="309">
        <v>73</v>
      </c>
      <c r="T119" s="309">
        <v>49</v>
      </c>
      <c r="U119" s="309">
        <v>3</v>
      </c>
      <c r="V119" s="311">
        <v>3</v>
      </c>
      <c r="W119" s="323">
        <v>1</v>
      </c>
      <c r="X119" s="323">
        <v>0</v>
      </c>
      <c r="Y119" s="323">
        <v>2</v>
      </c>
      <c r="Z119" s="323">
        <v>0</v>
      </c>
      <c r="AA119" s="323">
        <v>1</v>
      </c>
      <c r="AB119" s="324">
        <f>7+2/3</f>
        <v>7.666666666666667</v>
      </c>
      <c r="AC119" s="323">
        <v>6</v>
      </c>
      <c r="AD119" s="323">
        <v>2</v>
      </c>
      <c r="AE119" s="323">
        <v>2</v>
      </c>
      <c r="AF119" s="323">
        <v>0</v>
      </c>
      <c r="AG119" s="323">
        <v>10</v>
      </c>
      <c r="AH119" s="323">
        <v>0</v>
      </c>
      <c r="AI119" s="323">
        <v>0</v>
      </c>
      <c r="AJ119" s="323">
        <v>29</v>
      </c>
      <c r="AK119" s="323">
        <v>115</v>
      </c>
      <c r="AL119" s="323">
        <v>81</v>
      </c>
      <c r="AM119" s="312" t="s">
        <v>399</v>
      </c>
      <c r="AN119" s="313">
        <v>6</v>
      </c>
      <c r="AO119" s="313">
        <v>0</v>
      </c>
      <c r="AP119" s="313">
        <v>2</v>
      </c>
      <c r="AQ119" s="313">
        <v>0</v>
      </c>
      <c r="AR119" s="313">
        <v>1</v>
      </c>
      <c r="AS119" s="313">
        <v>0</v>
      </c>
      <c r="AT119" s="313">
        <v>0</v>
      </c>
      <c r="AU119" s="313">
        <v>0</v>
      </c>
      <c r="AV119" s="314">
        <v>4</v>
      </c>
      <c r="AW119" s="312" t="s">
        <v>401</v>
      </c>
      <c r="AX119" s="313">
        <v>4</v>
      </c>
      <c r="AY119" s="313">
        <v>0</v>
      </c>
      <c r="AZ119" s="313">
        <v>1</v>
      </c>
      <c r="BA119" s="313">
        <v>0</v>
      </c>
      <c r="BB119" s="313">
        <v>2</v>
      </c>
      <c r="BC119" s="313">
        <v>0</v>
      </c>
      <c r="BD119" s="313">
        <v>0</v>
      </c>
      <c r="BE119" s="313">
        <v>0</v>
      </c>
      <c r="BF119" s="314">
        <v>1</v>
      </c>
      <c r="BG119" s="312" t="s">
        <v>400</v>
      </c>
      <c r="BH119" s="313">
        <v>5</v>
      </c>
      <c r="BI119" s="313">
        <v>1</v>
      </c>
      <c r="BJ119" s="313">
        <v>1</v>
      </c>
      <c r="BK119" s="313">
        <v>1</v>
      </c>
      <c r="BL119" s="313">
        <v>1</v>
      </c>
      <c r="BM119" s="313">
        <v>3</v>
      </c>
      <c r="BN119" s="313">
        <v>0</v>
      </c>
      <c r="BO119" s="313">
        <v>0</v>
      </c>
      <c r="BP119" s="314">
        <v>4</v>
      </c>
      <c r="BQ119" s="312" t="s">
        <v>405</v>
      </c>
      <c r="BR119" s="313">
        <v>6</v>
      </c>
      <c r="BS119" s="313">
        <v>2</v>
      </c>
      <c r="BT119" s="313">
        <v>3</v>
      </c>
      <c r="BU119" s="313">
        <v>1</v>
      </c>
      <c r="BV119" s="313">
        <v>0</v>
      </c>
      <c r="BW119" s="313">
        <v>0</v>
      </c>
      <c r="BX119" s="313">
        <v>0</v>
      </c>
      <c r="BY119" s="313">
        <v>0</v>
      </c>
      <c r="BZ119" s="314">
        <v>6</v>
      </c>
      <c r="CA119" s="312" t="s">
        <v>406</v>
      </c>
      <c r="CB119" s="313">
        <v>6</v>
      </c>
      <c r="CC119" s="313">
        <v>2</v>
      </c>
      <c r="CD119" s="313">
        <v>3</v>
      </c>
      <c r="CE119" s="313">
        <v>0</v>
      </c>
      <c r="CF119" s="313">
        <v>0</v>
      </c>
      <c r="CG119" s="313">
        <v>2</v>
      </c>
      <c r="CH119" s="313">
        <v>0</v>
      </c>
      <c r="CI119" s="313">
        <v>0</v>
      </c>
      <c r="CJ119" s="314">
        <v>4</v>
      </c>
      <c r="CK119" s="312" t="s">
        <v>501</v>
      </c>
      <c r="CL119" s="313">
        <v>5</v>
      </c>
      <c r="CM119" s="313">
        <v>1</v>
      </c>
      <c r="CN119" s="313">
        <v>3</v>
      </c>
      <c r="CO119" s="313">
        <v>1</v>
      </c>
      <c r="CP119" s="313">
        <v>1</v>
      </c>
      <c r="CQ119" s="313">
        <v>0</v>
      </c>
      <c r="CR119" s="313">
        <v>0</v>
      </c>
      <c r="CS119" s="313">
        <v>0</v>
      </c>
      <c r="CT119" s="314">
        <v>3</v>
      </c>
      <c r="CU119" s="312" t="s">
        <v>403</v>
      </c>
      <c r="CV119" s="313">
        <v>3</v>
      </c>
      <c r="CW119" s="313">
        <v>3</v>
      </c>
      <c r="CX119" s="313">
        <v>1</v>
      </c>
      <c r="CY119" s="313">
        <v>3</v>
      </c>
      <c r="CZ119" s="313">
        <v>2</v>
      </c>
      <c r="DA119" s="313">
        <v>0</v>
      </c>
      <c r="DB119" s="313">
        <v>0</v>
      </c>
      <c r="DC119" s="313">
        <v>0</v>
      </c>
      <c r="DD119" s="314">
        <v>4</v>
      </c>
      <c r="DE119" s="312" t="s">
        <v>331</v>
      </c>
      <c r="DF119" s="313">
        <v>5</v>
      </c>
      <c r="DG119" s="313">
        <v>1</v>
      </c>
      <c r="DH119" s="313">
        <v>2</v>
      </c>
      <c r="DI119" s="313">
        <v>3</v>
      </c>
      <c r="DJ119" s="313">
        <v>1</v>
      </c>
      <c r="DK119" s="313">
        <v>0</v>
      </c>
      <c r="DL119" s="313">
        <v>0</v>
      </c>
      <c r="DM119" s="313">
        <v>0</v>
      </c>
      <c r="DN119" s="314">
        <v>6</v>
      </c>
      <c r="DO119" s="312" t="s">
        <v>335</v>
      </c>
      <c r="DP119" s="313">
        <v>5</v>
      </c>
      <c r="DQ119" s="313">
        <v>0</v>
      </c>
      <c r="DR119" s="313">
        <v>0</v>
      </c>
      <c r="DS119" s="313">
        <v>0</v>
      </c>
      <c r="DT119" s="313">
        <v>0</v>
      </c>
      <c r="DU119" s="313">
        <v>2</v>
      </c>
      <c r="DV119" s="313">
        <v>0</v>
      </c>
      <c r="DW119" s="313">
        <v>0</v>
      </c>
      <c r="DX119" s="314">
        <v>0</v>
      </c>
      <c r="DY119" s="315">
        <v>1</v>
      </c>
      <c r="DZ119" s="316">
        <v>0</v>
      </c>
      <c r="EA119" s="316">
        <v>0</v>
      </c>
      <c r="EB119" s="317">
        <v>9</v>
      </c>
      <c r="EC119" s="316">
        <v>2</v>
      </c>
      <c r="ED119" s="318">
        <v>0</v>
      </c>
      <c r="EE119" s="319">
        <v>0</v>
      </c>
      <c r="EF119" s="316">
        <v>4</v>
      </c>
      <c r="EG119" s="316">
        <v>5</v>
      </c>
      <c r="EH119" s="316">
        <v>0</v>
      </c>
      <c r="EI119" s="316">
        <v>0</v>
      </c>
      <c r="EJ119" s="316">
        <v>0</v>
      </c>
      <c r="EK119" s="316">
        <v>0</v>
      </c>
      <c r="EL119" s="316">
        <v>0</v>
      </c>
      <c r="EM119" s="316">
        <v>0</v>
      </c>
      <c r="EN119" s="316">
        <v>0</v>
      </c>
      <c r="EO119" s="316">
        <v>1</v>
      </c>
      <c r="EP119" s="316"/>
      <c r="EQ119" s="318">
        <f t="shared" si="32"/>
        <v>10</v>
      </c>
      <c r="ER119" s="316">
        <v>2</v>
      </c>
      <c r="ES119" s="316">
        <v>2</v>
      </c>
      <c r="ET119" s="316">
        <v>0</v>
      </c>
      <c r="EU119" s="316">
        <v>3</v>
      </c>
      <c r="EV119" s="316">
        <v>0</v>
      </c>
      <c r="EW119" s="316">
        <v>0</v>
      </c>
      <c r="EX119" s="316">
        <v>0</v>
      </c>
      <c r="EY119" s="316">
        <v>0</v>
      </c>
      <c r="EZ119" s="316">
        <v>2</v>
      </c>
      <c r="FA119" s="316">
        <v>0</v>
      </c>
      <c r="FB119" s="316">
        <v>0</v>
      </c>
      <c r="FC119" s="316"/>
      <c r="FD119" s="316">
        <f t="shared" si="33"/>
        <v>9</v>
      </c>
      <c r="FE119" s="320">
        <f t="shared" si="34"/>
        <v>0</v>
      </c>
      <c r="FF119" s="320">
        <f t="shared" si="35"/>
        <v>0</v>
      </c>
      <c r="FG119" s="321"/>
    </row>
    <row r="120" spans="1:163" x14ac:dyDescent="0.25">
      <c r="A120" s="325">
        <v>40402</v>
      </c>
      <c r="B120" s="325" t="s">
        <v>19</v>
      </c>
      <c r="C120" s="325" t="s">
        <v>129</v>
      </c>
      <c r="D120" s="325" t="s">
        <v>358</v>
      </c>
      <c r="E120" s="322">
        <v>8210</v>
      </c>
      <c r="F120" s="307">
        <v>3</v>
      </c>
      <c r="G120" s="308" t="s">
        <v>334</v>
      </c>
      <c r="H120" s="309">
        <v>1</v>
      </c>
      <c r="I120" s="309">
        <v>0</v>
      </c>
      <c r="J120" s="310">
        <v>7</v>
      </c>
      <c r="K120" s="309">
        <v>5</v>
      </c>
      <c r="L120" s="309">
        <v>2</v>
      </c>
      <c r="M120" s="309">
        <v>2</v>
      </c>
      <c r="N120" s="309">
        <v>2</v>
      </c>
      <c r="O120" s="309">
        <v>5</v>
      </c>
      <c r="P120" s="309">
        <v>0</v>
      </c>
      <c r="Q120" s="309">
        <v>0</v>
      </c>
      <c r="R120" s="309">
        <v>28</v>
      </c>
      <c r="S120" s="309">
        <v>100</v>
      </c>
      <c r="T120" s="309">
        <v>69</v>
      </c>
      <c r="U120" s="309">
        <v>0</v>
      </c>
      <c r="V120" s="311">
        <v>0</v>
      </c>
      <c r="W120" s="323">
        <v>0</v>
      </c>
      <c r="X120" s="323">
        <v>0</v>
      </c>
      <c r="Y120" s="323">
        <v>0</v>
      </c>
      <c r="Z120" s="323">
        <v>1</v>
      </c>
      <c r="AA120" s="323">
        <v>0</v>
      </c>
      <c r="AB120" s="324">
        <v>2</v>
      </c>
      <c r="AC120" s="323">
        <v>1</v>
      </c>
      <c r="AD120" s="323">
        <v>0</v>
      </c>
      <c r="AE120" s="323">
        <v>0</v>
      </c>
      <c r="AF120" s="323">
        <v>0</v>
      </c>
      <c r="AG120" s="323">
        <v>2</v>
      </c>
      <c r="AH120" s="323">
        <v>0</v>
      </c>
      <c r="AI120" s="323">
        <v>0</v>
      </c>
      <c r="AJ120" s="323">
        <v>7</v>
      </c>
      <c r="AK120" s="323">
        <v>26</v>
      </c>
      <c r="AL120" s="323">
        <v>19</v>
      </c>
      <c r="AM120" s="312" t="s">
        <v>399</v>
      </c>
      <c r="AN120" s="313">
        <v>5</v>
      </c>
      <c r="AO120" s="313">
        <v>1</v>
      </c>
      <c r="AP120" s="313">
        <v>2</v>
      </c>
      <c r="AQ120" s="313">
        <v>0</v>
      </c>
      <c r="AR120" s="313">
        <v>0</v>
      </c>
      <c r="AS120" s="313">
        <v>0</v>
      </c>
      <c r="AT120" s="313">
        <v>0</v>
      </c>
      <c r="AU120" s="313">
        <v>0</v>
      </c>
      <c r="AV120" s="314">
        <v>3</v>
      </c>
      <c r="AW120" s="312" t="s">
        <v>401</v>
      </c>
      <c r="AX120" s="313">
        <v>4</v>
      </c>
      <c r="AY120" s="313">
        <v>0</v>
      </c>
      <c r="AZ120" s="313">
        <v>1</v>
      </c>
      <c r="BA120" s="313">
        <v>1</v>
      </c>
      <c r="BB120" s="313">
        <v>0</v>
      </c>
      <c r="BC120" s="313">
        <v>1</v>
      </c>
      <c r="BD120" s="313">
        <v>0</v>
      </c>
      <c r="BE120" s="313">
        <v>0</v>
      </c>
      <c r="BF120" s="314">
        <v>1</v>
      </c>
      <c r="BG120" s="312" t="s">
        <v>406</v>
      </c>
      <c r="BH120" s="313">
        <v>5</v>
      </c>
      <c r="BI120" s="313">
        <v>0</v>
      </c>
      <c r="BJ120" s="313">
        <v>3</v>
      </c>
      <c r="BK120" s="313">
        <v>1</v>
      </c>
      <c r="BL120" s="313">
        <v>0</v>
      </c>
      <c r="BM120" s="313">
        <v>1</v>
      </c>
      <c r="BN120" s="313">
        <v>0</v>
      </c>
      <c r="BO120" s="313">
        <v>0</v>
      </c>
      <c r="BP120" s="314">
        <v>4</v>
      </c>
      <c r="BQ120" s="312" t="s">
        <v>405</v>
      </c>
      <c r="BR120" s="313">
        <v>5</v>
      </c>
      <c r="BS120" s="313">
        <v>1</v>
      </c>
      <c r="BT120" s="313">
        <v>1</v>
      </c>
      <c r="BU120" s="313">
        <v>0</v>
      </c>
      <c r="BV120" s="313">
        <v>0</v>
      </c>
      <c r="BW120" s="313">
        <v>0</v>
      </c>
      <c r="BX120" s="313">
        <v>0</v>
      </c>
      <c r="BY120" s="313">
        <v>0</v>
      </c>
      <c r="BZ120" s="314">
        <v>1</v>
      </c>
      <c r="CA120" s="312" t="s">
        <v>407</v>
      </c>
      <c r="CB120" s="313">
        <v>3</v>
      </c>
      <c r="CC120" s="313">
        <v>1</v>
      </c>
      <c r="CD120" s="313">
        <v>0</v>
      </c>
      <c r="CE120" s="313">
        <v>0</v>
      </c>
      <c r="CF120" s="313">
        <v>2</v>
      </c>
      <c r="CG120" s="313">
        <v>0</v>
      </c>
      <c r="CH120" s="313">
        <v>0</v>
      </c>
      <c r="CI120" s="313">
        <v>0</v>
      </c>
      <c r="CJ120" s="314">
        <v>0</v>
      </c>
      <c r="CK120" s="312" t="s">
        <v>501</v>
      </c>
      <c r="CL120" s="313">
        <v>3</v>
      </c>
      <c r="CM120" s="313">
        <v>2</v>
      </c>
      <c r="CN120" s="313">
        <v>2</v>
      </c>
      <c r="CO120" s="313">
        <v>1</v>
      </c>
      <c r="CP120" s="313">
        <v>1</v>
      </c>
      <c r="CQ120" s="313">
        <v>0</v>
      </c>
      <c r="CR120" s="313">
        <v>0</v>
      </c>
      <c r="CS120" s="313">
        <v>0</v>
      </c>
      <c r="CT120" s="314">
        <v>3</v>
      </c>
      <c r="CU120" s="312" t="s">
        <v>403</v>
      </c>
      <c r="CV120" s="313">
        <v>4</v>
      </c>
      <c r="CW120" s="313">
        <v>0</v>
      </c>
      <c r="CX120" s="313">
        <v>2</v>
      </c>
      <c r="CY120" s="313">
        <v>1</v>
      </c>
      <c r="CZ120" s="313">
        <v>0</v>
      </c>
      <c r="DA120" s="313">
        <v>0</v>
      </c>
      <c r="DB120" s="313">
        <v>0</v>
      </c>
      <c r="DC120" s="313">
        <v>0</v>
      </c>
      <c r="DD120" s="314">
        <v>2</v>
      </c>
      <c r="DE120" s="312" t="s">
        <v>331</v>
      </c>
      <c r="DF120" s="313">
        <v>4</v>
      </c>
      <c r="DG120" s="313">
        <v>1</v>
      </c>
      <c r="DH120" s="313">
        <v>2</v>
      </c>
      <c r="DI120" s="313">
        <v>2</v>
      </c>
      <c r="DJ120" s="313">
        <v>0</v>
      </c>
      <c r="DK120" s="313">
        <v>1</v>
      </c>
      <c r="DL120" s="313">
        <v>0</v>
      </c>
      <c r="DM120" s="313">
        <v>0</v>
      </c>
      <c r="DN120" s="314">
        <v>2</v>
      </c>
      <c r="DO120" s="312" t="s">
        <v>335</v>
      </c>
      <c r="DP120" s="313">
        <v>3</v>
      </c>
      <c r="DQ120" s="313">
        <v>0</v>
      </c>
      <c r="DR120" s="313">
        <v>1</v>
      </c>
      <c r="DS120" s="313">
        <v>0</v>
      </c>
      <c r="DT120" s="313">
        <v>0</v>
      </c>
      <c r="DU120" s="313">
        <v>0</v>
      </c>
      <c r="DV120" s="313">
        <v>0</v>
      </c>
      <c r="DW120" s="313">
        <v>0</v>
      </c>
      <c r="DX120" s="314">
        <v>1</v>
      </c>
      <c r="DY120" s="315">
        <v>0</v>
      </c>
      <c r="DZ120" s="316">
        <v>0</v>
      </c>
      <c r="EA120" s="316">
        <v>0</v>
      </c>
      <c r="EB120" s="317">
        <v>8</v>
      </c>
      <c r="EC120" s="316">
        <v>1</v>
      </c>
      <c r="ED120" s="318">
        <v>0</v>
      </c>
      <c r="EE120" s="319">
        <v>0</v>
      </c>
      <c r="EF120" s="316">
        <v>3</v>
      </c>
      <c r="EG120" s="316">
        <v>0</v>
      </c>
      <c r="EH120" s="316">
        <v>0</v>
      </c>
      <c r="EI120" s="316">
        <v>0</v>
      </c>
      <c r="EJ120" s="316">
        <v>1</v>
      </c>
      <c r="EK120" s="316">
        <v>1</v>
      </c>
      <c r="EL120" s="316">
        <v>1</v>
      </c>
      <c r="EM120" s="316"/>
      <c r="EN120" s="316"/>
      <c r="EO120" s="316"/>
      <c r="EP120" s="316"/>
      <c r="EQ120" s="318">
        <f t="shared" si="32"/>
        <v>6</v>
      </c>
      <c r="ER120" s="316">
        <v>0</v>
      </c>
      <c r="ES120" s="316">
        <v>0</v>
      </c>
      <c r="ET120" s="316">
        <v>1</v>
      </c>
      <c r="EU120" s="316">
        <v>0</v>
      </c>
      <c r="EV120" s="316">
        <v>0</v>
      </c>
      <c r="EW120" s="316">
        <v>1</v>
      </c>
      <c r="EX120" s="316">
        <v>0</v>
      </c>
      <c r="EY120" s="316">
        <v>0</v>
      </c>
      <c r="EZ120" s="316">
        <v>0</v>
      </c>
      <c r="FA120" s="316"/>
      <c r="FB120" s="316"/>
      <c r="FC120" s="316"/>
      <c r="FD120" s="316">
        <f t="shared" si="33"/>
        <v>2</v>
      </c>
      <c r="FE120" s="320">
        <f t="shared" si="34"/>
        <v>0</v>
      </c>
      <c r="FF120" s="320">
        <f t="shared" si="35"/>
        <v>0</v>
      </c>
      <c r="FG120" s="321"/>
    </row>
    <row r="121" spans="1:163" x14ac:dyDescent="0.25">
      <c r="A121" s="325">
        <v>40403</v>
      </c>
      <c r="B121" s="325" t="s">
        <v>133</v>
      </c>
      <c r="C121" s="325" t="s">
        <v>131</v>
      </c>
      <c r="D121" s="325" t="s">
        <v>333</v>
      </c>
      <c r="E121" s="322">
        <v>4897</v>
      </c>
      <c r="F121" s="307">
        <v>4</v>
      </c>
      <c r="G121" s="308" t="s">
        <v>337</v>
      </c>
      <c r="H121" s="309">
        <v>0</v>
      </c>
      <c r="I121" s="309">
        <v>1</v>
      </c>
      <c r="J121" s="310">
        <v>1</v>
      </c>
      <c r="K121" s="309">
        <v>5</v>
      </c>
      <c r="L121" s="309">
        <v>4</v>
      </c>
      <c r="M121" s="309">
        <v>4</v>
      </c>
      <c r="N121" s="309">
        <v>1</v>
      </c>
      <c r="O121" s="309">
        <v>0</v>
      </c>
      <c r="P121" s="309">
        <v>1</v>
      </c>
      <c r="Q121" s="309">
        <v>0</v>
      </c>
      <c r="R121" s="309">
        <v>9</v>
      </c>
      <c r="S121" s="309">
        <v>28</v>
      </c>
      <c r="T121" s="309">
        <v>18</v>
      </c>
      <c r="U121" s="309">
        <v>0</v>
      </c>
      <c r="V121" s="311">
        <v>0</v>
      </c>
      <c r="W121" s="323">
        <v>0</v>
      </c>
      <c r="X121" s="323">
        <v>0</v>
      </c>
      <c r="Y121" s="323">
        <v>0</v>
      </c>
      <c r="Z121" s="323">
        <v>0</v>
      </c>
      <c r="AA121" s="323">
        <v>0</v>
      </c>
      <c r="AB121" s="324">
        <v>7</v>
      </c>
      <c r="AC121" s="323">
        <v>5</v>
      </c>
      <c r="AD121" s="323">
        <v>0</v>
      </c>
      <c r="AE121" s="323">
        <v>0</v>
      </c>
      <c r="AF121" s="323">
        <v>6</v>
      </c>
      <c r="AG121" s="323">
        <v>4</v>
      </c>
      <c r="AH121" s="323">
        <v>0</v>
      </c>
      <c r="AI121" s="323">
        <v>0</v>
      </c>
      <c r="AJ121" s="323">
        <v>31</v>
      </c>
      <c r="AK121" s="323">
        <v>113</v>
      </c>
      <c r="AL121" s="323">
        <v>63</v>
      </c>
      <c r="AM121" s="312" t="s">
        <v>399</v>
      </c>
      <c r="AN121" s="313">
        <v>4</v>
      </c>
      <c r="AO121" s="313">
        <v>1</v>
      </c>
      <c r="AP121" s="313">
        <v>2</v>
      </c>
      <c r="AQ121" s="313">
        <v>1</v>
      </c>
      <c r="AR121" s="313">
        <v>0</v>
      </c>
      <c r="AS121" s="313">
        <v>1</v>
      </c>
      <c r="AT121" s="313">
        <v>0</v>
      </c>
      <c r="AU121" s="313">
        <v>0</v>
      </c>
      <c r="AV121" s="314">
        <v>2</v>
      </c>
      <c r="AW121" s="312" t="s">
        <v>441</v>
      </c>
      <c r="AX121" s="313">
        <v>4</v>
      </c>
      <c r="AY121" s="313">
        <v>0</v>
      </c>
      <c r="AZ121" s="313">
        <v>1</v>
      </c>
      <c r="BA121" s="313">
        <v>0</v>
      </c>
      <c r="BB121" s="313">
        <v>0</v>
      </c>
      <c r="BC121" s="313">
        <v>1</v>
      </c>
      <c r="BD121" s="313">
        <v>0</v>
      </c>
      <c r="BE121" s="313">
        <v>0</v>
      </c>
      <c r="BF121" s="314">
        <v>2</v>
      </c>
      <c r="BG121" s="312" t="s">
        <v>400</v>
      </c>
      <c r="BH121" s="313">
        <v>4</v>
      </c>
      <c r="BI121" s="313">
        <v>0</v>
      </c>
      <c r="BJ121" s="313">
        <v>1</v>
      </c>
      <c r="BK121" s="313">
        <v>0</v>
      </c>
      <c r="BL121" s="313">
        <v>0</v>
      </c>
      <c r="BM121" s="313">
        <v>1</v>
      </c>
      <c r="BN121" s="313">
        <v>0</v>
      </c>
      <c r="BO121" s="313">
        <v>0</v>
      </c>
      <c r="BP121" s="314">
        <v>1</v>
      </c>
      <c r="BQ121" s="312" t="s">
        <v>405</v>
      </c>
      <c r="BR121" s="313">
        <v>4</v>
      </c>
      <c r="BS121" s="313">
        <v>0</v>
      </c>
      <c r="BT121" s="313">
        <v>1</v>
      </c>
      <c r="BU121" s="313">
        <v>0</v>
      </c>
      <c r="BV121" s="313">
        <v>0</v>
      </c>
      <c r="BW121" s="313">
        <v>2</v>
      </c>
      <c r="BX121" s="313">
        <v>0</v>
      </c>
      <c r="BY121" s="313">
        <v>0</v>
      </c>
      <c r="BZ121" s="314">
        <v>1</v>
      </c>
      <c r="CA121" s="312" t="s">
        <v>407</v>
      </c>
      <c r="CB121" s="313">
        <v>4</v>
      </c>
      <c r="CC121" s="313">
        <v>0</v>
      </c>
      <c r="CD121" s="313">
        <v>0</v>
      </c>
      <c r="CE121" s="313">
        <v>0</v>
      </c>
      <c r="CF121" s="313">
        <v>0</v>
      </c>
      <c r="CG121" s="313">
        <v>1</v>
      </c>
      <c r="CH121" s="313">
        <v>0</v>
      </c>
      <c r="CI121" s="313">
        <v>0</v>
      </c>
      <c r="CJ121" s="314">
        <v>0</v>
      </c>
      <c r="CK121" s="312" t="s">
        <v>501</v>
      </c>
      <c r="CL121" s="313">
        <v>4</v>
      </c>
      <c r="CM121" s="313">
        <v>0</v>
      </c>
      <c r="CN121" s="313">
        <v>0</v>
      </c>
      <c r="CO121" s="313">
        <v>0</v>
      </c>
      <c r="CP121" s="313">
        <v>0</v>
      </c>
      <c r="CQ121" s="313">
        <v>3</v>
      </c>
      <c r="CR121" s="313">
        <v>0</v>
      </c>
      <c r="CS121" s="313">
        <v>0</v>
      </c>
      <c r="CT121" s="314">
        <v>0</v>
      </c>
      <c r="CU121" s="312" t="s">
        <v>331</v>
      </c>
      <c r="CV121" s="313">
        <v>4</v>
      </c>
      <c r="CW121" s="313">
        <v>1</v>
      </c>
      <c r="CX121" s="313">
        <v>2</v>
      </c>
      <c r="CY121" s="313">
        <v>0</v>
      </c>
      <c r="CZ121" s="313">
        <v>0</v>
      </c>
      <c r="DA121" s="313">
        <v>2</v>
      </c>
      <c r="DB121" s="313">
        <v>0</v>
      </c>
      <c r="DC121" s="313">
        <v>0</v>
      </c>
      <c r="DD121" s="314">
        <v>3</v>
      </c>
      <c r="DE121" s="312" t="s">
        <v>401</v>
      </c>
      <c r="DF121" s="313">
        <v>4</v>
      </c>
      <c r="DG121" s="313">
        <v>1</v>
      </c>
      <c r="DH121" s="313">
        <v>2</v>
      </c>
      <c r="DI121" s="313">
        <v>0</v>
      </c>
      <c r="DJ121" s="313">
        <v>0</v>
      </c>
      <c r="DK121" s="313">
        <v>1</v>
      </c>
      <c r="DL121" s="313">
        <v>0</v>
      </c>
      <c r="DM121" s="313">
        <v>0</v>
      </c>
      <c r="DN121" s="314">
        <v>4</v>
      </c>
      <c r="DO121" s="312" t="s">
        <v>335</v>
      </c>
      <c r="DP121" s="313">
        <v>4</v>
      </c>
      <c r="DQ121" s="313">
        <v>0</v>
      </c>
      <c r="DR121" s="313">
        <v>0</v>
      </c>
      <c r="DS121" s="313">
        <v>1</v>
      </c>
      <c r="DT121" s="313">
        <v>0</v>
      </c>
      <c r="DU121" s="313">
        <v>2</v>
      </c>
      <c r="DV121" s="313">
        <v>0</v>
      </c>
      <c r="DW121" s="313">
        <v>0</v>
      </c>
      <c r="DX121" s="314">
        <v>0</v>
      </c>
      <c r="DY121" s="315">
        <v>1</v>
      </c>
      <c r="DZ121" s="316">
        <v>0</v>
      </c>
      <c r="EA121" s="316">
        <v>0</v>
      </c>
      <c r="EB121" s="317">
        <v>8</v>
      </c>
      <c r="EC121" s="316">
        <v>0</v>
      </c>
      <c r="ED121" s="318">
        <v>0</v>
      </c>
      <c r="EE121" s="319">
        <v>0</v>
      </c>
      <c r="EF121" s="316">
        <v>0</v>
      </c>
      <c r="EG121" s="316">
        <v>0</v>
      </c>
      <c r="EH121" s="316">
        <v>0</v>
      </c>
      <c r="EI121" s="316">
        <v>3</v>
      </c>
      <c r="EJ121" s="316">
        <v>0</v>
      </c>
      <c r="EK121" s="316">
        <v>0</v>
      </c>
      <c r="EL121" s="316">
        <v>0</v>
      </c>
      <c r="EM121" s="316">
        <v>0</v>
      </c>
      <c r="EN121" s="316"/>
      <c r="EO121" s="316"/>
      <c r="EP121" s="316"/>
      <c r="EQ121" s="318">
        <f t="shared" si="32"/>
        <v>3</v>
      </c>
      <c r="ER121" s="316">
        <v>4</v>
      </c>
      <c r="ES121" s="316">
        <v>0</v>
      </c>
      <c r="ET121" s="316">
        <v>0</v>
      </c>
      <c r="EU121" s="316">
        <v>0</v>
      </c>
      <c r="EV121" s="316">
        <v>0</v>
      </c>
      <c r="EW121" s="316">
        <v>0</v>
      </c>
      <c r="EX121" s="316">
        <v>0</v>
      </c>
      <c r="EY121" s="316">
        <v>0</v>
      </c>
      <c r="EZ121" s="316"/>
      <c r="FA121" s="316"/>
      <c r="FB121" s="316"/>
      <c r="FC121" s="316"/>
      <c r="FD121" s="316">
        <f t="shared" si="33"/>
        <v>4</v>
      </c>
      <c r="FE121" s="320">
        <f t="shared" si="34"/>
        <v>0</v>
      </c>
      <c r="FF121" s="320">
        <f t="shared" si="35"/>
        <v>0</v>
      </c>
      <c r="FG121" s="321"/>
    </row>
    <row r="122" spans="1:163" x14ac:dyDescent="0.25">
      <c r="A122" s="53">
        <v>40404</v>
      </c>
      <c r="B122" s="53" t="s">
        <v>133</v>
      </c>
      <c r="C122" s="53" t="s">
        <v>131</v>
      </c>
      <c r="D122" s="53" t="s">
        <v>333</v>
      </c>
      <c r="E122" s="54"/>
      <c r="F122" s="58" t="s">
        <v>523</v>
      </c>
      <c r="G122" s="59" t="s">
        <v>464</v>
      </c>
      <c r="H122" s="6">
        <v>0</v>
      </c>
      <c r="I122" s="6">
        <v>1</v>
      </c>
      <c r="J122" s="60">
        <v>2</v>
      </c>
      <c r="K122" s="6">
        <v>6</v>
      </c>
      <c r="L122" s="6">
        <v>4</v>
      </c>
      <c r="M122" s="6">
        <v>4</v>
      </c>
      <c r="N122" s="6">
        <v>1</v>
      </c>
      <c r="O122" s="6">
        <v>2</v>
      </c>
      <c r="P122" s="6">
        <v>0</v>
      </c>
      <c r="Q122" s="6">
        <v>0</v>
      </c>
      <c r="R122" s="6">
        <v>13</v>
      </c>
      <c r="S122" s="6">
        <v>40</v>
      </c>
      <c r="T122" s="6">
        <v>24</v>
      </c>
      <c r="U122" s="6">
        <v>0</v>
      </c>
      <c r="V122" s="61">
        <v>0</v>
      </c>
      <c r="W122" s="62">
        <v>0</v>
      </c>
      <c r="X122" s="62">
        <v>0</v>
      </c>
      <c r="Y122" s="62">
        <v>0</v>
      </c>
      <c r="Z122" s="62">
        <v>0</v>
      </c>
      <c r="AA122" s="62">
        <v>0</v>
      </c>
      <c r="AB122" s="63">
        <v>4</v>
      </c>
      <c r="AC122" s="62">
        <v>1</v>
      </c>
      <c r="AD122" s="62">
        <v>0</v>
      </c>
      <c r="AE122" s="62">
        <v>0</v>
      </c>
      <c r="AF122" s="62">
        <v>1</v>
      </c>
      <c r="AG122" s="62">
        <v>6</v>
      </c>
      <c r="AH122" s="62">
        <v>0</v>
      </c>
      <c r="AI122" s="62">
        <v>0</v>
      </c>
      <c r="AJ122" s="62">
        <v>14</v>
      </c>
      <c r="AK122" s="62">
        <v>53</v>
      </c>
      <c r="AL122" s="62">
        <v>36</v>
      </c>
      <c r="AM122" s="1" t="s">
        <v>399</v>
      </c>
      <c r="AN122" s="78">
        <v>4</v>
      </c>
      <c r="AO122" s="78">
        <v>0</v>
      </c>
      <c r="AP122" s="78">
        <v>1</v>
      </c>
      <c r="AQ122" s="78">
        <v>1</v>
      </c>
      <c r="AR122" s="78">
        <v>0</v>
      </c>
      <c r="AS122" s="78">
        <v>1</v>
      </c>
      <c r="AT122" s="78">
        <v>0</v>
      </c>
      <c r="AU122" s="78">
        <v>0</v>
      </c>
      <c r="AV122" s="76">
        <v>1</v>
      </c>
      <c r="AW122" s="1" t="s">
        <v>401</v>
      </c>
      <c r="AX122" s="78">
        <v>3</v>
      </c>
      <c r="AY122" s="78">
        <v>0</v>
      </c>
      <c r="AZ122" s="78">
        <v>1</v>
      </c>
      <c r="BA122" s="78">
        <v>1</v>
      </c>
      <c r="BB122" s="78">
        <v>1</v>
      </c>
      <c r="BC122" s="78">
        <v>0</v>
      </c>
      <c r="BD122" s="78">
        <v>0</v>
      </c>
      <c r="BE122" s="78">
        <v>0</v>
      </c>
      <c r="BF122" s="76">
        <v>2</v>
      </c>
      <c r="BG122" s="1" t="s">
        <v>345</v>
      </c>
      <c r="BH122" s="78">
        <v>3</v>
      </c>
      <c r="BI122" s="78">
        <v>0</v>
      </c>
      <c r="BJ122" s="78">
        <v>1</v>
      </c>
      <c r="BK122" s="78">
        <v>0</v>
      </c>
      <c r="BL122" s="78">
        <v>1</v>
      </c>
      <c r="BM122" s="78">
        <v>0</v>
      </c>
      <c r="BN122" s="78">
        <v>0</v>
      </c>
      <c r="BO122" s="78">
        <v>0</v>
      </c>
      <c r="BP122" s="76">
        <v>1</v>
      </c>
      <c r="BQ122" s="1" t="s">
        <v>400</v>
      </c>
      <c r="BR122" s="78">
        <v>2</v>
      </c>
      <c r="BS122" s="78">
        <v>0</v>
      </c>
      <c r="BT122" s="78">
        <v>0</v>
      </c>
      <c r="BU122" s="78">
        <v>0</v>
      </c>
      <c r="BV122" s="78">
        <v>1</v>
      </c>
      <c r="BW122" s="78">
        <v>2</v>
      </c>
      <c r="BX122" s="78">
        <v>0</v>
      </c>
      <c r="BY122" s="78">
        <v>0</v>
      </c>
      <c r="BZ122" s="76">
        <v>0</v>
      </c>
      <c r="CA122" s="1" t="s">
        <v>406</v>
      </c>
      <c r="CB122" s="78">
        <v>2</v>
      </c>
      <c r="CC122" s="78">
        <v>0</v>
      </c>
      <c r="CD122" s="78">
        <v>0</v>
      </c>
      <c r="CE122" s="78">
        <v>0</v>
      </c>
      <c r="CF122" s="78">
        <v>1</v>
      </c>
      <c r="CG122" s="78">
        <v>1</v>
      </c>
      <c r="CH122" s="78">
        <v>0</v>
      </c>
      <c r="CI122" s="78">
        <v>0</v>
      </c>
      <c r="CJ122" s="76">
        <v>0</v>
      </c>
      <c r="CK122" s="1" t="s">
        <v>403</v>
      </c>
      <c r="CL122" s="78">
        <v>3</v>
      </c>
      <c r="CM122" s="78">
        <v>0</v>
      </c>
      <c r="CN122" s="78">
        <v>1</v>
      </c>
      <c r="CO122" s="78">
        <v>0</v>
      </c>
      <c r="CP122" s="78">
        <v>0</v>
      </c>
      <c r="CQ122" s="78">
        <v>0</v>
      </c>
      <c r="CR122" s="78">
        <v>0</v>
      </c>
      <c r="CS122" s="78">
        <v>0</v>
      </c>
      <c r="CT122" s="76">
        <v>1</v>
      </c>
      <c r="CU122" s="1" t="s">
        <v>331</v>
      </c>
      <c r="CV122" s="78">
        <v>3</v>
      </c>
      <c r="CW122" s="78">
        <v>0</v>
      </c>
      <c r="CX122" s="78">
        <v>0</v>
      </c>
      <c r="CY122" s="78">
        <v>0</v>
      </c>
      <c r="CZ122" s="78">
        <v>0</v>
      </c>
      <c r="DA122" s="78">
        <v>1</v>
      </c>
      <c r="DB122" s="78">
        <v>0</v>
      </c>
      <c r="DC122" s="78">
        <v>0</v>
      </c>
      <c r="DD122" s="76">
        <v>0</v>
      </c>
      <c r="DE122" s="1" t="s">
        <v>441</v>
      </c>
      <c r="DF122" s="78">
        <v>3</v>
      </c>
      <c r="DG122" s="78">
        <v>1</v>
      </c>
      <c r="DH122" s="78">
        <v>0</v>
      </c>
      <c r="DI122" s="78">
        <v>0</v>
      </c>
      <c r="DJ122" s="78">
        <v>0</v>
      </c>
      <c r="DK122" s="78">
        <v>1</v>
      </c>
      <c r="DL122" s="78">
        <v>0</v>
      </c>
      <c r="DM122" s="78">
        <v>0</v>
      </c>
      <c r="DN122" s="76">
        <v>0</v>
      </c>
      <c r="DO122" s="1" t="s">
        <v>335</v>
      </c>
      <c r="DP122" s="78">
        <v>3</v>
      </c>
      <c r="DQ122" s="78">
        <v>1</v>
      </c>
      <c r="DR122" s="78">
        <v>1</v>
      </c>
      <c r="DS122" s="78">
        <v>0</v>
      </c>
      <c r="DT122" s="78">
        <v>0</v>
      </c>
      <c r="DU122" s="78">
        <v>1</v>
      </c>
      <c r="DV122" s="78">
        <v>0</v>
      </c>
      <c r="DW122" s="78">
        <v>0</v>
      </c>
      <c r="DX122" s="76">
        <v>2</v>
      </c>
      <c r="DY122" s="77">
        <f>4+2/3</f>
        <v>4.666666666666667</v>
      </c>
      <c r="DZ122" s="43">
        <v>1</v>
      </c>
      <c r="EA122" s="43">
        <v>0</v>
      </c>
      <c r="EB122" s="45">
        <f>2+1/3</f>
        <v>2.3333333333333335</v>
      </c>
      <c r="EC122" s="43">
        <v>0</v>
      </c>
      <c r="ED122" s="44">
        <v>0</v>
      </c>
      <c r="EE122" s="71">
        <v>0</v>
      </c>
      <c r="EF122" s="43">
        <v>0</v>
      </c>
      <c r="EG122" s="43">
        <v>0</v>
      </c>
      <c r="EH122" s="43">
        <v>0</v>
      </c>
      <c r="EI122" s="43">
        <v>1</v>
      </c>
      <c r="EJ122" s="43">
        <v>0</v>
      </c>
      <c r="EK122" s="43">
        <v>1</v>
      </c>
      <c r="EL122" s="43"/>
      <c r="EM122" s="43"/>
      <c r="EN122" s="43"/>
      <c r="EO122" s="43"/>
      <c r="EP122" s="43"/>
      <c r="EQ122" s="44">
        <f t="shared" si="32"/>
        <v>2</v>
      </c>
      <c r="ER122" s="43">
        <v>4</v>
      </c>
      <c r="ES122" s="43">
        <v>0</v>
      </c>
      <c r="ET122" s="43">
        <v>0</v>
      </c>
      <c r="EU122" s="43">
        <v>0</v>
      </c>
      <c r="EV122" s="43">
        <v>0</v>
      </c>
      <c r="EW122" s="43">
        <v>0</v>
      </c>
      <c r="EX122" s="43"/>
      <c r="EY122" s="43"/>
      <c r="EZ122" s="43"/>
      <c r="FA122" s="43"/>
      <c r="FB122" s="43"/>
      <c r="FC122" s="43"/>
      <c r="FD122" s="43">
        <f t="shared" si="33"/>
        <v>4</v>
      </c>
      <c r="FE122" s="73">
        <f t="shared" si="34"/>
        <v>0</v>
      </c>
      <c r="FF122" s="73">
        <f t="shared" si="35"/>
        <v>0</v>
      </c>
      <c r="FG122" s="321" t="s">
        <v>475</v>
      </c>
    </row>
    <row r="123" spans="1:163" x14ac:dyDescent="0.25">
      <c r="A123" s="53">
        <v>40404</v>
      </c>
      <c r="B123" s="53" t="s">
        <v>133</v>
      </c>
      <c r="C123" s="53" t="s">
        <v>129</v>
      </c>
      <c r="D123" s="53" t="s">
        <v>333</v>
      </c>
      <c r="E123" s="54">
        <v>7245</v>
      </c>
      <c r="F123" s="58">
        <v>5</v>
      </c>
      <c r="G123" s="59" t="s">
        <v>439</v>
      </c>
      <c r="H123" s="6">
        <v>0</v>
      </c>
      <c r="I123" s="6">
        <v>0</v>
      </c>
      <c r="J123" s="60">
        <v>2</v>
      </c>
      <c r="K123" s="6">
        <v>1</v>
      </c>
      <c r="L123" s="6">
        <v>0</v>
      </c>
      <c r="M123" s="6">
        <v>0</v>
      </c>
      <c r="N123" s="6">
        <v>0</v>
      </c>
      <c r="O123" s="6">
        <v>4</v>
      </c>
      <c r="P123" s="6">
        <v>0</v>
      </c>
      <c r="Q123" s="6">
        <v>0</v>
      </c>
      <c r="R123" s="6">
        <v>7</v>
      </c>
      <c r="S123" s="6">
        <v>31</v>
      </c>
      <c r="T123" s="6">
        <v>22</v>
      </c>
      <c r="U123" s="6">
        <v>0</v>
      </c>
      <c r="V123" s="61">
        <v>0</v>
      </c>
      <c r="W123" s="62">
        <v>1</v>
      </c>
      <c r="X123" s="62">
        <v>0</v>
      </c>
      <c r="Y123" s="62">
        <v>0</v>
      </c>
      <c r="Z123" s="62">
        <v>0</v>
      </c>
      <c r="AA123" s="62">
        <v>0</v>
      </c>
      <c r="AB123" s="63">
        <v>5</v>
      </c>
      <c r="AC123" s="62">
        <v>5</v>
      </c>
      <c r="AD123" s="62">
        <v>2</v>
      </c>
      <c r="AE123" s="62">
        <v>2</v>
      </c>
      <c r="AF123" s="62">
        <v>2</v>
      </c>
      <c r="AG123" s="62">
        <v>2</v>
      </c>
      <c r="AH123" s="62">
        <v>1</v>
      </c>
      <c r="AI123" s="62">
        <v>0</v>
      </c>
      <c r="AJ123" s="62">
        <v>22</v>
      </c>
      <c r="AK123" s="62">
        <v>89</v>
      </c>
      <c r="AL123" s="62">
        <v>59</v>
      </c>
      <c r="AM123" s="1" t="s">
        <v>399</v>
      </c>
      <c r="AN123" s="78">
        <v>5</v>
      </c>
      <c r="AO123" s="78">
        <v>2</v>
      </c>
      <c r="AP123" s="78">
        <v>3</v>
      </c>
      <c r="AQ123" s="78">
        <v>1</v>
      </c>
      <c r="AR123" s="78">
        <v>0</v>
      </c>
      <c r="AS123" s="78">
        <v>0</v>
      </c>
      <c r="AT123" s="78">
        <v>0</v>
      </c>
      <c r="AU123" s="78">
        <v>0</v>
      </c>
      <c r="AV123" s="76">
        <v>4</v>
      </c>
      <c r="AW123" s="1" t="s">
        <v>345</v>
      </c>
      <c r="AX123" s="78">
        <v>3</v>
      </c>
      <c r="AY123" s="78">
        <v>1</v>
      </c>
      <c r="AZ123" s="78">
        <v>1</v>
      </c>
      <c r="BA123" s="78">
        <v>1</v>
      </c>
      <c r="BB123" s="78">
        <v>0</v>
      </c>
      <c r="BC123" s="78">
        <v>2</v>
      </c>
      <c r="BD123" s="78">
        <v>0</v>
      </c>
      <c r="BE123" s="78">
        <v>0</v>
      </c>
      <c r="BF123" s="76">
        <v>1</v>
      </c>
      <c r="BG123" s="1" t="s">
        <v>400</v>
      </c>
      <c r="BH123" s="78">
        <v>4</v>
      </c>
      <c r="BI123" s="78">
        <v>0</v>
      </c>
      <c r="BJ123" s="78">
        <v>2</v>
      </c>
      <c r="BK123" s="78">
        <v>1</v>
      </c>
      <c r="BL123" s="78">
        <v>0</v>
      </c>
      <c r="BM123" s="78">
        <v>2</v>
      </c>
      <c r="BN123" s="78">
        <v>0</v>
      </c>
      <c r="BO123" s="78">
        <v>0</v>
      </c>
      <c r="BP123" s="76">
        <v>2</v>
      </c>
      <c r="BQ123" s="1" t="s">
        <v>405</v>
      </c>
      <c r="BR123" s="78">
        <v>3</v>
      </c>
      <c r="BS123" s="78">
        <v>0</v>
      </c>
      <c r="BT123" s="78">
        <v>1</v>
      </c>
      <c r="BU123" s="78">
        <v>1</v>
      </c>
      <c r="BV123" s="78">
        <v>1</v>
      </c>
      <c r="BW123" s="78">
        <v>0</v>
      </c>
      <c r="BX123" s="78">
        <v>0</v>
      </c>
      <c r="BY123" s="78">
        <v>0</v>
      </c>
      <c r="BZ123" s="76">
        <v>1</v>
      </c>
      <c r="CA123" s="1" t="s">
        <v>407</v>
      </c>
      <c r="CB123" s="78">
        <v>3</v>
      </c>
      <c r="CC123" s="78">
        <v>0</v>
      </c>
      <c r="CD123" s="78">
        <v>0</v>
      </c>
      <c r="CE123" s="78">
        <v>1</v>
      </c>
      <c r="CF123" s="78">
        <v>1</v>
      </c>
      <c r="CG123" s="78">
        <v>0</v>
      </c>
      <c r="CH123" s="78">
        <v>0</v>
      </c>
      <c r="CI123" s="78">
        <v>0</v>
      </c>
      <c r="CJ123" s="76">
        <v>0</v>
      </c>
      <c r="CK123" s="1" t="s">
        <v>501</v>
      </c>
      <c r="CL123" s="78">
        <v>4</v>
      </c>
      <c r="CM123" s="78">
        <v>1</v>
      </c>
      <c r="CN123" s="78">
        <v>2</v>
      </c>
      <c r="CO123" s="78">
        <v>0</v>
      </c>
      <c r="CP123" s="78">
        <v>0</v>
      </c>
      <c r="CQ123" s="78">
        <v>0</v>
      </c>
      <c r="CR123" s="78">
        <v>0</v>
      </c>
      <c r="CS123" s="78">
        <v>0</v>
      </c>
      <c r="CT123" s="76">
        <v>2</v>
      </c>
      <c r="CU123" s="1" t="s">
        <v>331</v>
      </c>
      <c r="CV123" s="78">
        <v>4</v>
      </c>
      <c r="CW123" s="78">
        <v>1</v>
      </c>
      <c r="CX123" s="78">
        <v>3</v>
      </c>
      <c r="CY123" s="78">
        <v>0</v>
      </c>
      <c r="CZ123" s="78">
        <v>0</v>
      </c>
      <c r="DA123" s="78">
        <v>0</v>
      </c>
      <c r="DB123" s="78">
        <v>0</v>
      </c>
      <c r="DC123" s="78">
        <v>0</v>
      </c>
      <c r="DD123" s="76">
        <v>3</v>
      </c>
      <c r="DE123" s="1" t="s">
        <v>401</v>
      </c>
      <c r="DF123" s="78">
        <v>3</v>
      </c>
      <c r="DG123" s="78">
        <v>1</v>
      </c>
      <c r="DH123" s="78">
        <v>0</v>
      </c>
      <c r="DI123" s="78">
        <v>0</v>
      </c>
      <c r="DJ123" s="78">
        <v>1</v>
      </c>
      <c r="DK123" s="78">
        <v>1</v>
      </c>
      <c r="DL123" s="78">
        <v>0</v>
      </c>
      <c r="DM123" s="78">
        <v>0</v>
      </c>
      <c r="DN123" s="76">
        <v>0</v>
      </c>
      <c r="DO123" s="1" t="s">
        <v>441</v>
      </c>
      <c r="DP123" s="78">
        <v>4</v>
      </c>
      <c r="DQ123" s="78">
        <v>0</v>
      </c>
      <c r="DR123" s="78">
        <v>1</v>
      </c>
      <c r="DS123" s="78">
        <v>1</v>
      </c>
      <c r="DT123" s="78">
        <v>0</v>
      </c>
      <c r="DU123" s="78">
        <v>1</v>
      </c>
      <c r="DV123" s="78">
        <v>0</v>
      </c>
      <c r="DW123" s="78">
        <v>0</v>
      </c>
      <c r="DX123" s="76">
        <v>2</v>
      </c>
      <c r="DY123" s="77">
        <f>1+1/3</f>
        <v>1.3333333333333333</v>
      </c>
      <c r="DZ123" s="43">
        <v>0</v>
      </c>
      <c r="EA123" s="43">
        <v>0</v>
      </c>
      <c r="EB123" s="45">
        <f>5+2/3</f>
        <v>5.666666666666667</v>
      </c>
      <c r="EC123" s="43">
        <v>0</v>
      </c>
      <c r="ED123" s="44">
        <v>0</v>
      </c>
      <c r="EE123" s="71">
        <v>0</v>
      </c>
      <c r="EF123" s="43">
        <v>0</v>
      </c>
      <c r="EG123" s="43">
        <v>1</v>
      </c>
      <c r="EH123" s="43">
        <v>1</v>
      </c>
      <c r="EI123" s="43">
        <v>0</v>
      </c>
      <c r="EJ123" s="43">
        <v>4</v>
      </c>
      <c r="EK123" s="43">
        <v>0</v>
      </c>
      <c r="EL123" s="43"/>
      <c r="EM123" s="43"/>
      <c r="EN123" s="43"/>
      <c r="EO123" s="43"/>
      <c r="EP123" s="43"/>
      <c r="EQ123" s="44">
        <f t="shared" si="32"/>
        <v>6</v>
      </c>
      <c r="ER123" s="43">
        <v>0</v>
      </c>
      <c r="ES123" s="43">
        <v>0</v>
      </c>
      <c r="ET123" s="43">
        <v>0</v>
      </c>
      <c r="EU123" s="43">
        <v>1</v>
      </c>
      <c r="EV123" s="43">
        <v>0</v>
      </c>
      <c r="EW123" s="43">
        <v>1</v>
      </c>
      <c r="EX123" s="43">
        <v>0</v>
      </c>
      <c r="EY123" s="43"/>
      <c r="EZ123" s="43"/>
      <c r="FA123" s="43"/>
      <c r="FB123" s="43"/>
      <c r="FC123" s="43"/>
      <c r="FD123" s="43">
        <f t="shared" si="33"/>
        <v>2</v>
      </c>
      <c r="FE123" s="73">
        <f t="shared" si="34"/>
        <v>0</v>
      </c>
      <c r="FF123" s="73">
        <f t="shared" si="35"/>
        <v>0</v>
      </c>
      <c r="FG123" s="321" t="s">
        <v>378</v>
      </c>
    </row>
    <row r="124" spans="1:163" x14ac:dyDescent="0.25">
      <c r="A124" s="53">
        <v>40405</v>
      </c>
      <c r="B124" s="53" t="s">
        <v>133</v>
      </c>
      <c r="C124" s="53" t="s">
        <v>131</v>
      </c>
      <c r="D124" s="53" t="s">
        <v>333</v>
      </c>
      <c r="E124" s="54">
        <v>5034</v>
      </c>
      <c r="F124" s="58">
        <v>1</v>
      </c>
      <c r="G124" s="59" t="s">
        <v>398</v>
      </c>
      <c r="H124" s="6">
        <v>0</v>
      </c>
      <c r="I124" s="6">
        <v>1</v>
      </c>
      <c r="J124" s="60">
        <v>6</v>
      </c>
      <c r="K124" s="6">
        <v>5</v>
      </c>
      <c r="L124" s="6">
        <v>3</v>
      </c>
      <c r="M124" s="6">
        <v>1</v>
      </c>
      <c r="N124" s="6">
        <v>2</v>
      </c>
      <c r="O124" s="6">
        <v>4</v>
      </c>
      <c r="P124" s="6">
        <v>1</v>
      </c>
      <c r="Q124" s="6">
        <v>0</v>
      </c>
      <c r="R124" s="6">
        <v>25</v>
      </c>
      <c r="S124" s="6">
        <v>95</v>
      </c>
      <c r="T124" s="6">
        <v>65</v>
      </c>
      <c r="U124" s="6">
        <v>0</v>
      </c>
      <c r="V124" s="61">
        <v>0</v>
      </c>
      <c r="W124" s="62">
        <v>0</v>
      </c>
      <c r="X124" s="62">
        <v>0</v>
      </c>
      <c r="Y124" s="62">
        <v>0</v>
      </c>
      <c r="Z124" s="62">
        <v>0</v>
      </c>
      <c r="AA124" s="62">
        <v>0</v>
      </c>
      <c r="AB124" s="63">
        <v>2</v>
      </c>
      <c r="AC124" s="62">
        <v>5</v>
      </c>
      <c r="AD124" s="62">
        <v>1</v>
      </c>
      <c r="AE124" s="62">
        <v>0</v>
      </c>
      <c r="AF124" s="62">
        <v>0</v>
      </c>
      <c r="AG124" s="62">
        <v>2</v>
      </c>
      <c r="AH124" s="62">
        <v>0</v>
      </c>
      <c r="AI124" s="62">
        <v>0</v>
      </c>
      <c r="AJ124" s="62">
        <v>10</v>
      </c>
      <c r="AK124" s="62">
        <v>35</v>
      </c>
      <c r="AL124" s="62">
        <v>21</v>
      </c>
      <c r="AM124" s="1" t="s">
        <v>399</v>
      </c>
      <c r="AN124" s="78">
        <v>3</v>
      </c>
      <c r="AO124" s="78">
        <v>0</v>
      </c>
      <c r="AP124" s="78">
        <v>1</v>
      </c>
      <c r="AQ124" s="78">
        <v>0</v>
      </c>
      <c r="AR124" s="78">
        <v>1</v>
      </c>
      <c r="AS124" s="78">
        <v>0</v>
      </c>
      <c r="AT124" s="78">
        <v>0</v>
      </c>
      <c r="AU124" s="78">
        <v>0</v>
      </c>
      <c r="AV124" s="76">
        <v>1</v>
      </c>
      <c r="AW124" s="1" t="s">
        <v>345</v>
      </c>
      <c r="AX124" s="78">
        <v>4</v>
      </c>
      <c r="AY124" s="78">
        <v>0</v>
      </c>
      <c r="AZ124" s="78">
        <v>2</v>
      </c>
      <c r="BA124" s="78">
        <v>0</v>
      </c>
      <c r="BB124" s="78">
        <v>0</v>
      </c>
      <c r="BC124" s="78">
        <v>0</v>
      </c>
      <c r="BD124" s="78">
        <v>0</v>
      </c>
      <c r="BE124" s="78">
        <v>0</v>
      </c>
      <c r="BF124" s="76">
        <v>2</v>
      </c>
      <c r="BG124" s="1" t="s">
        <v>400</v>
      </c>
      <c r="BH124" s="78">
        <v>4</v>
      </c>
      <c r="BI124" s="78">
        <v>0</v>
      </c>
      <c r="BJ124" s="78">
        <v>1</v>
      </c>
      <c r="BK124" s="78">
        <v>0</v>
      </c>
      <c r="BL124" s="78">
        <v>0</v>
      </c>
      <c r="BM124" s="78">
        <v>0</v>
      </c>
      <c r="BN124" s="78">
        <v>0</v>
      </c>
      <c r="BO124" s="78">
        <v>0</v>
      </c>
      <c r="BP124" s="76">
        <v>2</v>
      </c>
      <c r="BQ124" s="1" t="s">
        <v>405</v>
      </c>
      <c r="BR124" s="78">
        <v>3</v>
      </c>
      <c r="BS124" s="78">
        <v>0</v>
      </c>
      <c r="BT124" s="78">
        <v>0</v>
      </c>
      <c r="BU124" s="78">
        <v>0</v>
      </c>
      <c r="BV124" s="78">
        <v>1</v>
      </c>
      <c r="BW124" s="78">
        <v>1</v>
      </c>
      <c r="BX124" s="78">
        <v>0</v>
      </c>
      <c r="BY124" s="78">
        <v>0</v>
      </c>
      <c r="BZ124" s="76">
        <v>0</v>
      </c>
      <c r="CA124" s="1" t="s">
        <v>331</v>
      </c>
      <c r="CB124" s="78">
        <v>4</v>
      </c>
      <c r="CC124" s="78">
        <v>1</v>
      </c>
      <c r="CD124" s="78">
        <v>1</v>
      </c>
      <c r="CE124" s="78">
        <v>0</v>
      </c>
      <c r="CF124" s="78">
        <v>0</v>
      </c>
      <c r="CG124" s="78">
        <v>0</v>
      </c>
      <c r="CH124" s="78">
        <v>0</v>
      </c>
      <c r="CI124" s="78">
        <v>0</v>
      </c>
      <c r="CJ124" s="76">
        <v>2</v>
      </c>
      <c r="CK124" s="1" t="s">
        <v>501</v>
      </c>
      <c r="CL124" s="78">
        <v>4</v>
      </c>
      <c r="CM124" s="78">
        <v>0</v>
      </c>
      <c r="CN124" s="78">
        <v>0</v>
      </c>
      <c r="CO124" s="78">
        <v>0</v>
      </c>
      <c r="CP124" s="78">
        <v>0</v>
      </c>
      <c r="CQ124" s="78">
        <v>2</v>
      </c>
      <c r="CR124" s="78">
        <v>0</v>
      </c>
      <c r="CS124" s="78">
        <v>0</v>
      </c>
      <c r="CT124" s="76">
        <v>0</v>
      </c>
      <c r="CU124" s="1" t="s">
        <v>403</v>
      </c>
      <c r="CV124" s="78">
        <v>2</v>
      </c>
      <c r="CW124" s="78">
        <v>0</v>
      </c>
      <c r="CX124" s="78">
        <v>0</v>
      </c>
      <c r="CY124" s="78">
        <v>0</v>
      </c>
      <c r="CZ124" s="78">
        <v>2</v>
      </c>
      <c r="DA124" s="78">
        <v>0</v>
      </c>
      <c r="DB124" s="78">
        <v>0</v>
      </c>
      <c r="DC124" s="78">
        <v>0</v>
      </c>
      <c r="DD124" s="76">
        <v>0</v>
      </c>
      <c r="DE124" s="1" t="s">
        <v>407</v>
      </c>
      <c r="DF124" s="78">
        <v>4</v>
      </c>
      <c r="DG124" s="78">
        <v>0</v>
      </c>
      <c r="DH124" s="78">
        <v>1</v>
      </c>
      <c r="DI124" s="78">
        <v>1</v>
      </c>
      <c r="DJ124" s="78">
        <v>0</v>
      </c>
      <c r="DK124" s="78">
        <v>1</v>
      </c>
      <c r="DL124" s="78">
        <v>0</v>
      </c>
      <c r="DM124" s="78">
        <v>0</v>
      </c>
      <c r="DN124" s="76">
        <v>1</v>
      </c>
      <c r="DO124" s="1" t="s">
        <v>335</v>
      </c>
      <c r="DP124" s="78">
        <v>3</v>
      </c>
      <c r="DQ124" s="78">
        <v>0</v>
      </c>
      <c r="DR124" s="78">
        <v>0</v>
      </c>
      <c r="DS124" s="78">
        <v>0</v>
      </c>
      <c r="DT124" s="78">
        <v>0</v>
      </c>
      <c r="DU124" s="78">
        <v>1</v>
      </c>
      <c r="DV124" s="78">
        <v>0</v>
      </c>
      <c r="DW124" s="78">
        <v>0</v>
      </c>
      <c r="DX124" s="76">
        <v>0</v>
      </c>
      <c r="DY124" s="77">
        <v>6</v>
      </c>
      <c r="DZ124" s="43">
        <v>0</v>
      </c>
      <c r="EA124" s="43">
        <v>0</v>
      </c>
      <c r="EB124" s="45">
        <v>3</v>
      </c>
      <c r="EC124" s="43">
        <v>0</v>
      </c>
      <c r="ED124" s="44">
        <v>0</v>
      </c>
      <c r="EE124" s="71">
        <v>0</v>
      </c>
      <c r="EF124" s="43">
        <v>0</v>
      </c>
      <c r="EG124" s="43">
        <v>0</v>
      </c>
      <c r="EH124" s="43">
        <v>1</v>
      </c>
      <c r="EI124" s="43">
        <v>0</v>
      </c>
      <c r="EJ124" s="43">
        <v>0</v>
      </c>
      <c r="EK124" s="43">
        <v>0</v>
      </c>
      <c r="EL124" s="43">
        <v>0</v>
      </c>
      <c r="EM124" s="43">
        <v>0</v>
      </c>
      <c r="EN124" s="43"/>
      <c r="EO124" s="43"/>
      <c r="EP124" s="43"/>
      <c r="EQ124" s="44">
        <f t="shared" si="32"/>
        <v>1</v>
      </c>
      <c r="ER124" s="43">
        <v>0</v>
      </c>
      <c r="ES124" s="43">
        <v>0</v>
      </c>
      <c r="ET124" s="43">
        <v>0</v>
      </c>
      <c r="EU124" s="43">
        <v>0</v>
      </c>
      <c r="EV124" s="43">
        <v>1</v>
      </c>
      <c r="EW124" s="43">
        <v>2</v>
      </c>
      <c r="EX124" s="43">
        <v>1</v>
      </c>
      <c r="EY124" s="43">
        <v>0</v>
      </c>
      <c r="EZ124" s="43"/>
      <c r="FA124" s="43"/>
      <c r="FB124" s="43"/>
      <c r="FC124" s="43"/>
      <c r="FD124" s="43">
        <f t="shared" si="33"/>
        <v>4</v>
      </c>
      <c r="FE124" s="73">
        <f t="shared" si="34"/>
        <v>0</v>
      </c>
      <c r="FF124" s="73">
        <f t="shared" si="35"/>
        <v>0</v>
      </c>
      <c r="FG124" s="38"/>
    </row>
    <row r="125" spans="1:163" x14ac:dyDescent="0.25">
      <c r="A125" s="380">
        <v>40406</v>
      </c>
      <c r="B125" s="380" t="s">
        <v>133</v>
      </c>
      <c r="C125" s="380" t="s">
        <v>129</v>
      </c>
      <c r="D125" s="380" t="s">
        <v>358</v>
      </c>
      <c r="E125" s="374">
        <v>1296</v>
      </c>
      <c r="F125" s="358">
        <v>2</v>
      </c>
      <c r="G125" s="359" t="s">
        <v>664</v>
      </c>
      <c r="H125" s="360">
        <v>0</v>
      </c>
      <c r="I125" s="360">
        <v>0</v>
      </c>
      <c r="J125" s="361">
        <f>3+1/3</f>
        <v>3.3333333333333335</v>
      </c>
      <c r="K125" s="360">
        <v>6</v>
      </c>
      <c r="L125" s="360">
        <v>5</v>
      </c>
      <c r="M125" s="360">
        <v>5</v>
      </c>
      <c r="N125" s="360">
        <v>1</v>
      </c>
      <c r="O125" s="360">
        <v>5</v>
      </c>
      <c r="P125" s="360">
        <v>2</v>
      </c>
      <c r="Q125" s="360">
        <v>0</v>
      </c>
      <c r="R125" s="360">
        <v>17</v>
      </c>
      <c r="S125" s="360">
        <v>54</v>
      </c>
      <c r="T125" s="360">
        <v>34</v>
      </c>
      <c r="U125" s="360">
        <v>0</v>
      </c>
      <c r="V125" s="362">
        <v>0</v>
      </c>
      <c r="W125" s="376">
        <v>1</v>
      </c>
      <c r="X125" s="376">
        <v>0</v>
      </c>
      <c r="Y125" s="376">
        <v>2</v>
      </c>
      <c r="Z125" s="376">
        <v>1</v>
      </c>
      <c r="AA125" s="376">
        <v>0</v>
      </c>
      <c r="AB125" s="377">
        <f>5+2/3</f>
        <v>5.666666666666667</v>
      </c>
      <c r="AC125" s="376">
        <v>4</v>
      </c>
      <c r="AD125" s="376">
        <v>2</v>
      </c>
      <c r="AE125" s="376">
        <v>2</v>
      </c>
      <c r="AF125" s="376">
        <v>3</v>
      </c>
      <c r="AG125" s="376">
        <v>7</v>
      </c>
      <c r="AH125" s="376">
        <v>1</v>
      </c>
      <c r="AI125" s="376">
        <v>0</v>
      </c>
      <c r="AJ125" s="376">
        <v>24</v>
      </c>
      <c r="AK125" s="376">
        <v>92</v>
      </c>
      <c r="AL125" s="376">
        <v>62</v>
      </c>
      <c r="AM125" s="363" t="s">
        <v>401</v>
      </c>
      <c r="AN125" s="364">
        <v>3</v>
      </c>
      <c r="AO125" s="364">
        <v>2</v>
      </c>
      <c r="AP125" s="364">
        <v>1</v>
      </c>
      <c r="AQ125" s="364">
        <v>2</v>
      </c>
      <c r="AR125" s="364">
        <v>1</v>
      </c>
      <c r="AS125" s="364">
        <v>1</v>
      </c>
      <c r="AT125" s="364">
        <v>1</v>
      </c>
      <c r="AU125" s="364">
        <v>0</v>
      </c>
      <c r="AV125" s="365">
        <v>4</v>
      </c>
      <c r="AW125" s="363" t="s">
        <v>345</v>
      </c>
      <c r="AX125" s="364">
        <v>5</v>
      </c>
      <c r="AY125" s="364">
        <v>0</v>
      </c>
      <c r="AZ125" s="364">
        <v>2</v>
      </c>
      <c r="BA125" s="364">
        <v>0</v>
      </c>
      <c r="BB125" s="364">
        <v>0</v>
      </c>
      <c r="BC125" s="364">
        <v>1</v>
      </c>
      <c r="BD125" s="364">
        <v>0</v>
      </c>
      <c r="BE125" s="364">
        <v>0</v>
      </c>
      <c r="BF125" s="365">
        <v>2</v>
      </c>
      <c r="BG125" s="363" t="s">
        <v>400</v>
      </c>
      <c r="BH125" s="364">
        <v>5</v>
      </c>
      <c r="BI125" s="364">
        <v>1</v>
      </c>
      <c r="BJ125" s="364">
        <v>1</v>
      </c>
      <c r="BK125" s="364">
        <v>0</v>
      </c>
      <c r="BL125" s="364">
        <v>0</v>
      </c>
      <c r="BM125" s="364">
        <v>1</v>
      </c>
      <c r="BN125" s="364">
        <v>0</v>
      </c>
      <c r="BO125" s="364">
        <v>0</v>
      </c>
      <c r="BP125" s="365">
        <v>1</v>
      </c>
      <c r="BQ125" s="363" t="s">
        <v>405</v>
      </c>
      <c r="BR125" s="364">
        <v>5</v>
      </c>
      <c r="BS125" s="364">
        <v>1</v>
      </c>
      <c r="BT125" s="364">
        <v>1</v>
      </c>
      <c r="BU125" s="364">
        <v>2</v>
      </c>
      <c r="BV125" s="364">
        <v>0</v>
      </c>
      <c r="BW125" s="364">
        <v>3</v>
      </c>
      <c r="BX125" s="364">
        <v>0</v>
      </c>
      <c r="BY125" s="364">
        <v>0</v>
      </c>
      <c r="BZ125" s="365">
        <v>4</v>
      </c>
      <c r="CA125" s="363" t="s">
        <v>575</v>
      </c>
      <c r="CB125" s="364">
        <v>4</v>
      </c>
      <c r="CC125" s="364">
        <v>1</v>
      </c>
      <c r="CD125" s="364">
        <v>1</v>
      </c>
      <c r="CE125" s="364">
        <v>1</v>
      </c>
      <c r="CF125" s="364">
        <v>0</v>
      </c>
      <c r="CG125" s="364">
        <v>1</v>
      </c>
      <c r="CH125" s="364">
        <v>0</v>
      </c>
      <c r="CI125" s="364">
        <v>1</v>
      </c>
      <c r="CJ125" s="365">
        <v>1</v>
      </c>
      <c r="CK125" s="363" t="s">
        <v>501</v>
      </c>
      <c r="CL125" s="364">
        <v>4</v>
      </c>
      <c r="CM125" s="364">
        <v>1</v>
      </c>
      <c r="CN125" s="364">
        <v>1</v>
      </c>
      <c r="CO125" s="364">
        <v>0</v>
      </c>
      <c r="CP125" s="364">
        <v>0</v>
      </c>
      <c r="CQ125" s="364">
        <v>0</v>
      </c>
      <c r="CR125" s="364">
        <v>0</v>
      </c>
      <c r="CS125" s="364">
        <v>0</v>
      </c>
      <c r="CT125" s="365">
        <v>1</v>
      </c>
      <c r="CU125" s="363" t="s">
        <v>406</v>
      </c>
      <c r="CV125" s="364">
        <v>4</v>
      </c>
      <c r="CW125" s="364">
        <v>1</v>
      </c>
      <c r="CX125" s="364">
        <v>1</v>
      </c>
      <c r="CY125" s="364">
        <v>2</v>
      </c>
      <c r="CZ125" s="364">
        <v>0</v>
      </c>
      <c r="DA125" s="364">
        <v>2</v>
      </c>
      <c r="DB125" s="364">
        <v>0</v>
      </c>
      <c r="DC125" s="364">
        <v>0</v>
      </c>
      <c r="DD125" s="365">
        <v>2</v>
      </c>
      <c r="DE125" s="363" t="s">
        <v>403</v>
      </c>
      <c r="DF125" s="364">
        <v>3</v>
      </c>
      <c r="DG125" s="364">
        <v>1</v>
      </c>
      <c r="DH125" s="364">
        <v>1</v>
      </c>
      <c r="DI125" s="364">
        <v>0</v>
      </c>
      <c r="DJ125" s="364">
        <v>0</v>
      </c>
      <c r="DK125" s="364">
        <v>0</v>
      </c>
      <c r="DL125" s="364">
        <v>1</v>
      </c>
      <c r="DM125" s="364">
        <v>0</v>
      </c>
      <c r="DN125" s="365">
        <v>1</v>
      </c>
      <c r="DO125" s="363" t="s">
        <v>335</v>
      </c>
      <c r="DP125" s="364">
        <v>4</v>
      </c>
      <c r="DQ125" s="364">
        <v>0</v>
      </c>
      <c r="DR125" s="364">
        <v>1</v>
      </c>
      <c r="DS125" s="364">
        <v>1</v>
      </c>
      <c r="DT125" s="364">
        <v>0</v>
      </c>
      <c r="DU125" s="364">
        <v>0</v>
      </c>
      <c r="DV125" s="364">
        <v>0</v>
      </c>
      <c r="DW125" s="364">
        <v>0</v>
      </c>
      <c r="DX125" s="365">
        <v>1</v>
      </c>
      <c r="DY125" s="366">
        <v>1</v>
      </c>
      <c r="DZ125" s="367">
        <v>0</v>
      </c>
      <c r="EA125" s="367">
        <v>0</v>
      </c>
      <c r="EB125" s="368">
        <v>8</v>
      </c>
      <c r="EC125" s="367">
        <v>0</v>
      </c>
      <c r="ED125" s="369">
        <v>0</v>
      </c>
      <c r="EE125" s="370">
        <v>1</v>
      </c>
      <c r="EF125" s="367">
        <v>0</v>
      </c>
      <c r="EG125" s="367">
        <v>0</v>
      </c>
      <c r="EH125" s="367">
        <v>5</v>
      </c>
      <c r="EI125" s="367">
        <v>2</v>
      </c>
      <c r="EJ125" s="367">
        <v>0</v>
      </c>
      <c r="EK125" s="367">
        <v>0</v>
      </c>
      <c r="EL125" s="367">
        <v>0</v>
      </c>
      <c r="EM125" s="367">
        <v>0</v>
      </c>
      <c r="EN125" s="367"/>
      <c r="EO125" s="367"/>
      <c r="EP125" s="367"/>
      <c r="EQ125" s="369">
        <f t="shared" ref="EQ125:EQ130" si="36">SUM(EE125:EP125)</f>
        <v>8</v>
      </c>
      <c r="ER125" s="367">
        <v>0</v>
      </c>
      <c r="ES125" s="367">
        <v>4</v>
      </c>
      <c r="ET125" s="367">
        <v>1</v>
      </c>
      <c r="EU125" s="367">
        <v>0</v>
      </c>
      <c r="EV125" s="367">
        <v>0</v>
      </c>
      <c r="EW125" s="367">
        <v>0</v>
      </c>
      <c r="EX125" s="367">
        <v>0</v>
      </c>
      <c r="EY125" s="367">
        <v>2</v>
      </c>
      <c r="EZ125" s="367">
        <v>0</v>
      </c>
      <c r="FA125" s="367"/>
      <c r="FB125" s="367"/>
      <c r="FC125" s="367"/>
      <c r="FD125" s="367">
        <f t="shared" ref="FD125:FD130" si="37">SUM(ER125:FC125)</f>
        <v>7</v>
      </c>
      <c r="FE125" s="371">
        <f t="shared" ref="FE125:FE130" si="38">((SUM(L125,AD125))-(FD125))</f>
        <v>0</v>
      </c>
      <c r="FF125" s="371">
        <f t="shared" ref="FF125:FF130" si="39">((SUM(AO125,AY125,BI125,BS125,CC125,CM125,CW125,DG125,DQ125))-(EQ125))</f>
        <v>0</v>
      </c>
      <c r="FG125" s="372"/>
    </row>
    <row r="126" spans="1:163" x14ac:dyDescent="0.25">
      <c r="A126" s="380">
        <v>40407</v>
      </c>
      <c r="B126" s="380" t="s">
        <v>133</v>
      </c>
      <c r="C126" s="380" t="s">
        <v>129</v>
      </c>
      <c r="D126" s="380" t="s">
        <v>358</v>
      </c>
      <c r="E126" s="374">
        <v>2427</v>
      </c>
      <c r="F126" s="358">
        <v>3</v>
      </c>
      <c r="G126" s="359" t="s">
        <v>334</v>
      </c>
      <c r="H126" s="360">
        <v>1</v>
      </c>
      <c r="I126" s="360">
        <v>0</v>
      </c>
      <c r="J126" s="361">
        <v>6</v>
      </c>
      <c r="K126" s="360">
        <v>9</v>
      </c>
      <c r="L126" s="360">
        <v>2</v>
      </c>
      <c r="M126" s="360">
        <v>2</v>
      </c>
      <c r="N126" s="360">
        <v>1</v>
      </c>
      <c r="O126" s="360">
        <v>4</v>
      </c>
      <c r="P126" s="360">
        <v>0</v>
      </c>
      <c r="Q126" s="360">
        <v>0</v>
      </c>
      <c r="R126" s="360">
        <v>30</v>
      </c>
      <c r="S126" s="360">
        <v>93</v>
      </c>
      <c r="T126" s="360">
        <v>59</v>
      </c>
      <c r="U126" s="360">
        <v>0</v>
      </c>
      <c r="V126" s="362">
        <v>0</v>
      </c>
      <c r="W126" s="376">
        <v>0</v>
      </c>
      <c r="X126" s="376">
        <v>0</v>
      </c>
      <c r="Y126" s="376">
        <v>2</v>
      </c>
      <c r="Z126" s="376">
        <v>0</v>
      </c>
      <c r="AA126" s="376">
        <v>0</v>
      </c>
      <c r="AB126" s="377">
        <v>3</v>
      </c>
      <c r="AC126" s="376">
        <v>1</v>
      </c>
      <c r="AD126" s="376">
        <v>0</v>
      </c>
      <c r="AE126" s="376">
        <v>0</v>
      </c>
      <c r="AF126" s="376">
        <v>0</v>
      </c>
      <c r="AG126" s="376">
        <v>4</v>
      </c>
      <c r="AH126" s="376">
        <v>0</v>
      </c>
      <c r="AI126" s="376">
        <v>0</v>
      </c>
      <c r="AJ126" s="376">
        <v>10</v>
      </c>
      <c r="AK126" s="376">
        <v>34</v>
      </c>
      <c r="AL126" s="376">
        <v>22</v>
      </c>
      <c r="AM126" s="363" t="s">
        <v>399</v>
      </c>
      <c r="AN126" s="364">
        <v>3</v>
      </c>
      <c r="AO126" s="364">
        <v>1</v>
      </c>
      <c r="AP126" s="364">
        <v>1</v>
      </c>
      <c r="AQ126" s="364">
        <v>0</v>
      </c>
      <c r="AR126" s="364">
        <v>1</v>
      </c>
      <c r="AS126" s="364">
        <v>1</v>
      </c>
      <c r="AT126" s="364">
        <v>0</v>
      </c>
      <c r="AU126" s="364">
        <v>0</v>
      </c>
      <c r="AV126" s="365">
        <v>2</v>
      </c>
      <c r="AW126" s="363" t="s">
        <v>345</v>
      </c>
      <c r="AX126" s="364">
        <v>4</v>
      </c>
      <c r="AY126" s="364">
        <v>2</v>
      </c>
      <c r="AZ126" s="364">
        <v>4</v>
      </c>
      <c r="BA126" s="364">
        <v>3</v>
      </c>
      <c r="BB126" s="364">
        <v>1</v>
      </c>
      <c r="BC126" s="364">
        <v>0</v>
      </c>
      <c r="BD126" s="364">
        <v>0</v>
      </c>
      <c r="BE126" s="364">
        <v>0</v>
      </c>
      <c r="BF126" s="365">
        <v>11</v>
      </c>
      <c r="BG126" s="363" t="s">
        <v>400</v>
      </c>
      <c r="BH126" s="364">
        <v>4</v>
      </c>
      <c r="BI126" s="364">
        <v>0</v>
      </c>
      <c r="BJ126" s="364">
        <v>1</v>
      </c>
      <c r="BK126" s="364">
        <v>1</v>
      </c>
      <c r="BL126" s="364">
        <v>1</v>
      </c>
      <c r="BM126" s="364">
        <v>2</v>
      </c>
      <c r="BN126" s="364">
        <v>0</v>
      </c>
      <c r="BO126" s="364">
        <v>0</v>
      </c>
      <c r="BP126" s="365">
        <v>1</v>
      </c>
      <c r="BQ126" s="363" t="s">
        <v>405</v>
      </c>
      <c r="BR126" s="364">
        <v>5</v>
      </c>
      <c r="BS126" s="364">
        <v>1</v>
      </c>
      <c r="BT126" s="364">
        <v>1</v>
      </c>
      <c r="BU126" s="364">
        <v>0</v>
      </c>
      <c r="BV126" s="364">
        <v>0</v>
      </c>
      <c r="BW126" s="364">
        <v>0</v>
      </c>
      <c r="BX126" s="364">
        <v>0</v>
      </c>
      <c r="BY126" s="364">
        <v>0</v>
      </c>
      <c r="BZ126" s="365">
        <v>1</v>
      </c>
      <c r="CA126" s="363" t="s">
        <v>575</v>
      </c>
      <c r="CB126" s="364">
        <v>5</v>
      </c>
      <c r="CC126" s="364">
        <v>1</v>
      </c>
      <c r="CD126" s="364">
        <v>2</v>
      </c>
      <c r="CE126" s="364">
        <v>0</v>
      </c>
      <c r="CF126" s="364">
        <v>0</v>
      </c>
      <c r="CG126" s="364">
        <v>1</v>
      </c>
      <c r="CH126" s="364">
        <v>0</v>
      </c>
      <c r="CI126" s="364">
        <v>0</v>
      </c>
      <c r="CJ126" s="365">
        <v>2</v>
      </c>
      <c r="CK126" s="363" t="s">
        <v>501</v>
      </c>
      <c r="CL126" s="364">
        <v>4</v>
      </c>
      <c r="CM126" s="364">
        <v>0</v>
      </c>
      <c r="CN126" s="364">
        <v>2</v>
      </c>
      <c r="CO126" s="364">
        <v>0</v>
      </c>
      <c r="CP126" s="364">
        <v>0</v>
      </c>
      <c r="CQ126" s="364">
        <v>1</v>
      </c>
      <c r="CR126" s="364">
        <v>0</v>
      </c>
      <c r="CS126" s="364">
        <v>0</v>
      </c>
      <c r="CT126" s="365">
        <v>3</v>
      </c>
      <c r="CU126" s="363" t="s">
        <v>403</v>
      </c>
      <c r="CV126" s="364">
        <v>3</v>
      </c>
      <c r="CW126" s="364">
        <v>0</v>
      </c>
      <c r="CX126" s="364">
        <v>1</v>
      </c>
      <c r="CY126" s="364">
        <v>1</v>
      </c>
      <c r="CZ126" s="364">
        <v>0</v>
      </c>
      <c r="DA126" s="364">
        <v>1</v>
      </c>
      <c r="DB126" s="364">
        <v>0</v>
      </c>
      <c r="DC126" s="364">
        <v>0</v>
      </c>
      <c r="DD126" s="365">
        <v>1</v>
      </c>
      <c r="DE126" s="363" t="s">
        <v>331</v>
      </c>
      <c r="DF126" s="364">
        <v>4</v>
      </c>
      <c r="DG126" s="364">
        <v>0</v>
      </c>
      <c r="DH126" s="364">
        <v>1</v>
      </c>
      <c r="DI126" s="364">
        <v>1</v>
      </c>
      <c r="DJ126" s="364">
        <v>0</v>
      </c>
      <c r="DK126" s="364">
        <v>2</v>
      </c>
      <c r="DL126" s="364">
        <v>0</v>
      </c>
      <c r="DM126" s="364">
        <v>0</v>
      </c>
      <c r="DN126" s="365">
        <v>1</v>
      </c>
      <c r="DO126" s="363" t="s">
        <v>407</v>
      </c>
      <c r="DP126" s="364">
        <v>4</v>
      </c>
      <c r="DQ126" s="364">
        <v>1</v>
      </c>
      <c r="DR126" s="364">
        <v>1</v>
      </c>
      <c r="DS126" s="364">
        <v>0</v>
      </c>
      <c r="DT126" s="364">
        <v>0</v>
      </c>
      <c r="DU126" s="364">
        <v>0</v>
      </c>
      <c r="DV126" s="364">
        <v>0</v>
      </c>
      <c r="DW126" s="364">
        <v>0</v>
      </c>
      <c r="DX126" s="365">
        <v>1</v>
      </c>
      <c r="DY126" s="366">
        <v>1</v>
      </c>
      <c r="DZ126" s="367">
        <v>0</v>
      </c>
      <c r="EA126" s="367">
        <v>0</v>
      </c>
      <c r="EB126" s="368">
        <v>8</v>
      </c>
      <c r="EC126" s="367">
        <v>0</v>
      </c>
      <c r="ED126" s="369">
        <v>1</v>
      </c>
      <c r="EE126" s="370">
        <v>0</v>
      </c>
      <c r="EF126" s="367">
        <v>0</v>
      </c>
      <c r="EG126" s="367">
        <v>1</v>
      </c>
      <c r="EH126" s="367">
        <v>2</v>
      </c>
      <c r="EI126" s="367">
        <v>1</v>
      </c>
      <c r="EJ126" s="367">
        <v>0</v>
      </c>
      <c r="EK126" s="367">
        <v>1</v>
      </c>
      <c r="EL126" s="367">
        <v>0</v>
      </c>
      <c r="EM126" s="367">
        <v>1</v>
      </c>
      <c r="EN126" s="367"/>
      <c r="EO126" s="367"/>
      <c r="EP126" s="367"/>
      <c r="EQ126" s="369">
        <f t="shared" si="36"/>
        <v>6</v>
      </c>
      <c r="ER126" s="367">
        <v>0</v>
      </c>
      <c r="ES126" s="367">
        <v>0</v>
      </c>
      <c r="ET126" s="367">
        <v>0</v>
      </c>
      <c r="EU126" s="367">
        <v>0</v>
      </c>
      <c r="EV126" s="367">
        <v>0</v>
      </c>
      <c r="EW126" s="367">
        <v>2</v>
      </c>
      <c r="EX126" s="367">
        <v>0</v>
      </c>
      <c r="EY126" s="367">
        <v>0</v>
      </c>
      <c r="EZ126" s="367">
        <v>0</v>
      </c>
      <c r="FA126" s="367"/>
      <c r="FB126" s="367"/>
      <c r="FC126" s="367"/>
      <c r="FD126" s="367">
        <f t="shared" si="37"/>
        <v>2</v>
      </c>
      <c r="FE126" s="371">
        <f t="shared" si="38"/>
        <v>0</v>
      </c>
      <c r="FF126" s="371">
        <f t="shared" si="39"/>
        <v>0</v>
      </c>
      <c r="FG126" s="372"/>
    </row>
    <row r="127" spans="1:163" x14ac:dyDescent="0.25">
      <c r="A127" s="380">
        <v>40408</v>
      </c>
      <c r="B127" s="380" t="s">
        <v>133</v>
      </c>
      <c r="C127" s="380" t="s">
        <v>129</v>
      </c>
      <c r="D127" s="380" t="s">
        <v>358</v>
      </c>
      <c r="E127" s="374">
        <v>2471</v>
      </c>
      <c r="F127" s="358">
        <v>4</v>
      </c>
      <c r="G127" s="359" t="s">
        <v>341</v>
      </c>
      <c r="H127" s="360">
        <v>1</v>
      </c>
      <c r="I127" s="360">
        <v>0</v>
      </c>
      <c r="J127" s="361">
        <f>6+1/3</f>
        <v>6.333333333333333</v>
      </c>
      <c r="K127" s="360">
        <v>4</v>
      </c>
      <c r="L127" s="360">
        <v>1</v>
      </c>
      <c r="M127" s="360">
        <v>1</v>
      </c>
      <c r="N127" s="360">
        <v>0</v>
      </c>
      <c r="O127" s="360">
        <v>8</v>
      </c>
      <c r="P127" s="360">
        <v>0</v>
      </c>
      <c r="Q127" s="360">
        <v>0</v>
      </c>
      <c r="R127" s="360">
        <v>23</v>
      </c>
      <c r="S127" s="360">
        <v>97</v>
      </c>
      <c r="T127" s="360">
        <v>66</v>
      </c>
      <c r="U127" s="360">
        <v>1</v>
      </c>
      <c r="V127" s="362">
        <v>1</v>
      </c>
      <c r="W127" s="376">
        <v>0</v>
      </c>
      <c r="X127" s="376">
        <v>0</v>
      </c>
      <c r="Y127" s="376">
        <v>0</v>
      </c>
      <c r="Z127" s="376">
        <v>0</v>
      </c>
      <c r="AA127" s="376">
        <v>0</v>
      </c>
      <c r="AB127" s="377">
        <f>2+2/3</f>
        <v>2.6666666666666665</v>
      </c>
      <c r="AC127" s="376">
        <v>5</v>
      </c>
      <c r="AD127" s="376">
        <v>0</v>
      </c>
      <c r="AE127" s="376">
        <v>0</v>
      </c>
      <c r="AF127" s="376">
        <v>0</v>
      </c>
      <c r="AG127" s="376">
        <v>4</v>
      </c>
      <c r="AH127" s="376">
        <v>0</v>
      </c>
      <c r="AI127" s="376">
        <v>0</v>
      </c>
      <c r="AJ127" s="376">
        <v>12</v>
      </c>
      <c r="AK127" s="376">
        <v>37</v>
      </c>
      <c r="AL127" s="376">
        <v>31</v>
      </c>
      <c r="AM127" s="363" t="s">
        <v>399</v>
      </c>
      <c r="AN127" s="364">
        <v>4</v>
      </c>
      <c r="AO127" s="364">
        <v>0</v>
      </c>
      <c r="AP127" s="364">
        <v>1</v>
      </c>
      <c r="AQ127" s="364">
        <v>0</v>
      </c>
      <c r="AR127" s="364">
        <v>1</v>
      </c>
      <c r="AS127" s="364">
        <v>0</v>
      </c>
      <c r="AT127" s="364">
        <v>0</v>
      </c>
      <c r="AU127" s="364">
        <v>0</v>
      </c>
      <c r="AV127" s="365">
        <v>1</v>
      </c>
      <c r="AW127" s="363" t="s">
        <v>345</v>
      </c>
      <c r="AX127" s="364">
        <v>5</v>
      </c>
      <c r="AY127" s="364">
        <v>1</v>
      </c>
      <c r="AZ127" s="364">
        <v>2</v>
      </c>
      <c r="BA127" s="364">
        <v>1</v>
      </c>
      <c r="BB127" s="364">
        <v>0</v>
      </c>
      <c r="BC127" s="364">
        <v>0</v>
      </c>
      <c r="BD127" s="364">
        <v>0</v>
      </c>
      <c r="BE127" s="364">
        <v>0</v>
      </c>
      <c r="BF127" s="365">
        <v>3</v>
      </c>
      <c r="BG127" s="363" t="s">
        <v>400</v>
      </c>
      <c r="BH127" s="364">
        <v>4</v>
      </c>
      <c r="BI127" s="364">
        <v>1</v>
      </c>
      <c r="BJ127" s="364">
        <v>1</v>
      </c>
      <c r="BK127" s="364">
        <v>1</v>
      </c>
      <c r="BL127" s="364">
        <v>1</v>
      </c>
      <c r="BM127" s="364">
        <v>0</v>
      </c>
      <c r="BN127" s="364">
        <v>0</v>
      </c>
      <c r="BO127" s="364">
        <v>0</v>
      </c>
      <c r="BP127" s="365">
        <v>1</v>
      </c>
      <c r="BQ127" s="363" t="s">
        <v>405</v>
      </c>
      <c r="BR127" s="364">
        <v>4</v>
      </c>
      <c r="BS127" s="364">
        <v>1</v>
      </c>
      <c r="BT127" s="364">
        <v>1</v>
      </c>
      <c r="BU127" s="364">
        <v>2</v>
      </c>
      <c r="BV127" s="364">
        <v>1</v>
      </c>
      <c r="BW127" s="364">
        <v>2</v>
      </c>
      <c r="BX127" s="364">
        <v>0</v>
      </c>
      <c r="BY127" s="364">
        <v>0</v>
      </c>
      <c r="BZ127" s="365">
        <v>4</v>
      </c>
      <c r="CA127" s="363" t="s">
        <v>406</v>
      </c>
      <c r="CB127" s="364">
        <v>3</v>
      </c>
      <c r="CC127" s="364">
        <v>1</v>
      </c>
      <c r="CD127" s="364">
        <v>0</v>
      </c>
      <c r="CE127" s="364">
        <v>0</v>
      </c>
      <c r="CF127" s="364">
        <v>2</v>
      </c>
      <c r="CG127" s="364">
        <v>0</v>
      </c>
      <c r="CH127" s="364">
        <v>0</v>
      </c>
      <c r="CI127" s="364">
        <v>0</v>
      </c>
      <c r="CJ127" s="365">
        <v>0</v>
      </c>
      <c r="CK127" s="363" t="s">
        <v>501</v>
      </c>
      <c r="CL127" s="364">
        <v>5</v>
      </c>
      <c r="CM127" s="364">
        <v>0</v>
      </c>
      <c r="CN127" s="364">
        <v>2</v>
      </c>
      <c r="CO127" s="364">
        <v>0</v>
      </c>
      <c r="CP127" s="364">
        <v>0</v>
      </c>
      <c r="CQ127" s="364">
        <v>1</v>
      </c>
      <c r="CR127" s="364">
        <v>0</v>
      </c>
      <c r="CS127" s="364">
        <v>0</v>
      </c>
      <c r="CT127" s="365">
        <v>2</v>
      </c>
      <c r="CU127" s="363" t="s">
        <v>331</v>
      </c>
      <c r="CV127" s="364">
        <v>5</v>
      </c>
      <c r="CW127" s="364">
        <v>0</v>
      </c>
      <c r="CX127" s="364">
        <v>1</v>
      </c>
      <c r="CY127" s="364">
        <v>0</v>
      </c>
      <c r="CZ127" s="364">
        <v>0</v>
      </c>
      <c r="DA127" s="364">
        <v>2</v>
      </c>
      <c r="DB127" s="364">
        <v>0</v>
      </c>
      <c r="DC127" s="364">
        <v>0</v>
      </c>
      <c r="DD127" s="365">
        <v>1</v>
      </c>
      <c r="DE127" s="363" t="s">
        <v>401</v>
      </c>
      <c r="DF127" s="364">
        <v>5</v>
      </c>
      <c r="DG127" s="364">
        <v>0</v>
      </c>
      <c r="DH127" s="364">
        <v>2</v>
      </c>
      <c r="DI127" s="364">
        <v>1</v>
      </c>
      <c r="DJ127" s="364">
        <v>0</v>
      </c>
      <c r="DK127" s="364">
        <v>0</v>
      </c>
      <c r="DL127" s="364">
        <v>0</v>
      </c>
      <c r="DM127" s="364">
        <v>0</v>
      </c>
      <c r="DN127" s="365">
        <v>2</v>
      </c>
      <c r="DO127" s="363" t="s">
        <v>335</v>
      </c>
      <c r="DP127" s="364">
        <v>4</v>
      </c>
      <c r="DQ127" s="364">
        <v>1</v>
      </c>
      <c r="DR127" s="364">
        <v>2</v>
      </c>
      <c r="DS127" s="364">
        <v>0</v>
      </c>
      <c r="DT127" s="364">
        <v>0</v>
      </c>
      <c r="DU127" s="364">
        <v>1</v>
      </c>
      <c r="DV127" s="364">
        <v>0</v>
      </c>
      <c r="DW127" s="364">
        <v>0</v>
      </c>
      <c r="DX127" s="365">
        <v>2</v>
      </c>
      <c r="DY127" s="366">
        <v>0</v>
      </c>
      <c r="DZ127" s="367">
        <v>0</v>
      </c>
      <c r="EA127" s="367">
        <v>0</v>
      </c>
      <c r="EB127" s="368">
        <v>9</v>
      </c>
      <c r="EC127" s="367">
        <v>5</v>
      </c>
      <c r="ED127" s="369">
        <v>0</v>
      </c>
      <c r="EE127" s="370">
        <v>2</v>
      </c>
      <c r="EF127" s="367">
        <v>0</v>
      </c>
      <c r="EG127" s="367">
        <v>0</v>
      </c>
      <c r="EH127" s="367">
        <v>0</v>
      </c>
      <c r="EI127" s="367">
        <v>1</v>
      </c>
      <c r="EJ127" s="367">
        <v>1</v>
      </c>
      <c r="EK127" s="367">
        <v>0</v>
      </c>
      <c r="EL127" s="367">
        <v>0</v>
      </c>
      <c r="EM127" s="367">
        <v>1</v>
      </c>
      <c r="EN127" s="367"/>
      <c r="EO127" s="367"/>
      <c r="EP127" s="367"/>
      <c r="EQ127" s="369">
        <f t="shared" si="36"/>
        <v>5</v>
      </c>
      <c r="ER127" s="367">
        <v>0</v>
      </c>
      <c r="ES127" s="367">
        <v>0</v>
      </c>
      <c r="ET127" s="367">
        <v>0</v>
      </c>
      <c r="EU127" s="367">
        <v>0</v>
      </c>
      <c r="EV127" s="367">
        <v>0</v>
      </c>
      <c r="EW127" s="367">
        <v>0</v>
      </c>
      <c r="EX127" s="367">
        <v>1</v>
      </c>
      <c r="EY127" s="367">
        <v>0</v>
      </c>
      <c r="EZ127" s="367">
        <v>0</v>
      </c>
      <c r="FA127" s="367"/>
      <c r="FB127" s="367"/>
      <c r="FC127" s="367"/>
      <c r="FD127" s="367">
        <f t="shared" si="37"/>
        <v>1</v>
      </c>
      <c r="FE127" s="371">
        <f t="shared" si="38"/>
        <v>0</v>
      </c>
      <c r="FF127" s="371">
        <f t="shared" si="39"/>
        <v>0</v>
      </c>
      <c r="FG127" s="372"/>
    </row>
    <row r="128" spans="1:163" x14ac:dyDescent="0.25">
      <c r="A128" s="380">
        <v>40409</v>
      </c>
      <c r="B128" s="380" t="s">
        <v>133</v>
      </c>
      <c r="C128" s="380" t="s">
        <v>129</v>
      </c>
      <c r="D128" s="380" t="s">
        <v>359</v>
      </c>
      <c r="E128" s="374">
        <v>5422</v>
      </c>
      <c r="F128" s="358" t="s">
        <v>523</v>
      </c>
      <c r="G128" s="359" t="s">
        <v>437</v>
      </c>
      <c r="H128" s="360">
        <v>0</v>
      </c>
      <c r="I128" s="360">
        <v>0</v>
      </c>
      <c r="J128" s="361">
        <v>4</v>
      </c>
      <c r="K128" s="360">
        <v>8</v>
      </c>
      <c r="L128" s="360">
        <v>4</v>
      </c>
      <c r="M128" s="360">
        <v>4</v>
      </c>
      <c r="N128" s="360">
        <v>1</v>
      </c>
      <c r="O128" s="360">
        <v>4</v>
      </c>
      <c r="P128" s="360">
        <v>0</v>
      </c>
      <c r="Q128" s="360">
        <v>1</v>
      </c>
      <c r="R128" s="360">
        <v>21</v>
      </c>
      <c r="S128" s="360">
        <v>79</v>
      </c>
      <c r="T128" s="360">
        <v>53</v>
      </c>
      <c r="U128" s="360">
        <v>0</v>
      </c>
      <c r="V128" s="362">
        <v>0</v>
      </c>
      <c r="W128" s="376">
        <v>1</v>
      </c>
      <c r="X128" s="376">
        <v>0</v>
      </c>
      <c r="Y128" s="376">
        <v>1</v>
      </c>
      <c r="Z128" s="376">
        <v>1</v>
      </c>
      <c r="AA128" s="376">
        <v>0</v>
      </c>
      <c r="AB128" s="377">
        <v>5</v>
      </c>
      <c r="AC128" s="376">
        <v>6</v>
      </c>
      <c r="AD128" s="376">
        <v>2</v>
      </c>
      <c r="AE128" s="376">
        <v>2</v>
      </c>
      <c r="AF128" s="376">
        <v>3</v>
      </c>
      <c r="AG128" s="376">
        <v>2</v>
      </c>
      <c r="AH128" s="376">
        <v>1</v>
      </c>
      <c r="AI128" s="376">
        <v>0</v>
      </c>
      <c r="AJ128" s="376">
        <v>23</v>
      </c>
      <c r="AK128" s="376">
        <v>74</v>
      </c>
      <c r="AL128" s="376">
        <v>47</v>
      </c>
      <c r="AM128" s="363" t="s">
        <v>399</v>
      </c>
      <c r="AN128" s="364">
        <v>3</v>
      </c>
      <c r="AO128" s="364">
        <v>3</v>
      </c>
      <c r="AP128" s="364">
        <v>2</v>
      </c>
      <c r="AQ128" s="364">
        <v>1</v>
      </c>
      <c r="AR128" s="364">
        <v>2</v>
      </c>
      <c r="AS128" s="364">
        <v>1</v>
      </c>
      <c r="AT128" s="364">
        <v>0</v>
      </c>
      <c r="AU128" s="364">
        <v>0</v>
      </c>
      <c r="AV128" s="365">
        <v>2</v>
      </c>
      <c r="AW128" s="363" t="s">
        <v>401</v>
      </c>
      <c r="AX128" s="364">
        <v>4</v>
      </c>
      <c r="AY128" s="364">
        <v>1</v>
      </c>
      <c r="AZ128" s="364">
        <v>3</v>
      </c>
      <c r="BA128" s="364">
        <v>1</v>
      </c>
      <c r="BB128" s="364">
        <v>1</v>
      </c>
      <c r="BC128" s="364">
        <v>1</v>
      </c>
      <c r="BD128" s="364">
        <v>0</v>
      </c>
      <c r="BE128" s="364">
        <v>0</v>
      </c>
      <c r="BF128" s="365">
        <v>4</v>
      </c>
      <c r="BG128" s="363" t="s">
        <v>345</v>
      </c>
      <c r="BH128" s="364">
        <v>4</v>
      </c>
      <c r="BI128" s="364">
        <v>0</v>
      </c>
      <c r="BJ128" s="364">
        <v>1</v>
      </c>
      <c r="BK128" s="364">
        <v>1</v>
      </c>
      <c r="BL128" s="364">
        <v>1</v>
      </c>
      <c r="BM128" s="364">
        <v>0</v>
      </c>
      <c r="BN128" s="364">
        <v>0</v>
      </c>
      <c r="BO128" s="364">
        <v>0</v>
      </c>
      <c r="BP128" s="365">
        <v>1</v>
      </c>
      <c r="BQ128" s="363" t="s">
        <v>400</v>
      </c>
      <c r="BR128" s="364">
        <v>5</v>
      </c>
      <c r="BS128" s="364">
        <v>0</v>
      </c>
      <c r="BT128" s="364">
        <v>1</v>
      </c>
      <c r="BU128" s="364">
        <v>2</v>
      </c>
      <c r="BV128" s="364">
        <v>0</v>
      </c>
      <c r="BW128" s="364">
        <v>3</v>
      </c>
      <c r="BX128" s="364">
        <v>0</v>
      </c>
      <c r="BY128" s="364">
        <v>0</v>
      </c>
      <c r="BZ128" s="365">
        <v>1</v>
      </c>
      <c r="CA128" s="363" t="s">
        <v>575</v>
      </c>
      <c r="CB128" s="364">
        <v>5</v>
      </c>
      <c r="CC128" s="364">
        <v>0</v>
      </c>
      <c r="CD128" s="364">
        <v>0</v>
      </c>
      <c r="CE128" s="364">
        <v>0</v>
      </c>
      <c r="CF128" s="364">
        <v>0</v>
      </c>
      <c r="CG128" s="364">
        <v>2</v>
      </c>
      <c r="CH128" s="364">
        <v>0</v>
      </c>
      <c r="CI128" s="364">
        <v>0</v>
      </c>
      <c r="CJ128" s="365">
        <v>0</v>
      </c>
      <c r="CK128" s="363" t="s">
        <v>501</v>
      </c>
      <c r="CL128" s="364">
        <v>5</v>
      </c>
      <c r="CM128" s="364">
        <v>1</v>
      </c>
      <c r="CN128" s="364">
        <v>2</v>
      </c>
      <c r="CO128" s="364">
        <v>2</v>
      </c>
      <c r="CP128" s="364">
        <v>0</v>
      </c>
      <c r="CQ128" s="364">
        <v>1</v>
      </c>
      <c r="CR128" s="364">
        <v>0</v>
      </c>
      <c r="CS128" s="364">
        <v>0</v>
      </c>
      <c r="CT128" s="365">
        <v>5</v>
      </c>
      <c r="CU128" s="363" t="s">
        <v>331</v>
      </c>
      <c r="CV128" s="364">
        <v>5</v>
      </c>
      <c r="CW128" s="364">
        <v>1</v>
      </c>
      <c r="CX128" s="364">
        <v>1</v>
      </c>
      <c r="CY128" s="364">
        <v>0</v>
      </c>
      <c r="CZ128" s="364">
        <v>0</v>
      </c>
      <c r="DA128" s="364">
        <v>1</v>
      </c>
      <c r="DB128" s="364">
        <v>0</v>
      </c>
      <c r="DC128" s="364">
        <v>0</v>
      </c>
      <c r="DD128" s="365">
        <v>2</v>
      </c>
      <c r="DE128" s="363" t="s">
        <v>407</v>
      </c>
      <c r="DF128" s="364">
        <v>5</v>
      </c>
      <c r="DG128" s="364">
        <v>1</v>
      </c>
      <c r="DH128" s="364">
        <v>2</v>
      </c>
      <c r="DI128" s="364">
        <v>0</v>
      </c>
      <c r="DJ128" s="364">
        <v>0</v>
      </c>
      <c r="DK128" s="364">
        <v>0</v>
      </c>
      <c r="DL128" s="364">
        <v>0</v>
      </c>
      <c r="DM128" s="364">
        <v>0</v>
      </c>
      <c r="DN128" s="365">
        <v>3</v>
      </c>
      <c r="DO128" s="363" t="s">
        <v>335</v>
      </c>
      <c r="DP128" s="364">
        <v>4</v>
      </c>
      <c r="DQ128" s="364">
        <v>1</v>
      </c>
      <c r="DR128" s="364">
        <v>2</v>
      </c>
      <c r="DS128" s="364">
        <v>0</v>
      </c>
      <c r="DT128" s="364">
        <v>0</v>
      </c>
      <c r="DU128" s="364">
        <v>0</v>
      </c>
      <c r="DV128" s="364">
        <v>0</v>
      </c>
      <c r="DW128" s="364">
        <v>0</v>
      </c>
      <c r="DX128" s="365">
        <v>3</v>
      </c>
      <c r="DY128" s="366">
        <f>4+1/3</f>
        <v>4.333333333333333</v>
      </c>
      <c r="DZ128" s="367">
        <v>0</v>
      </c>
      <c r="EA128" s="367">
        <v>1</v>
      </c>
      <c r="EB128" s="368">
        <f>4+2/3</f>
        <v>4.666666666666667</v>
      </c>
      <c r="EC128" s="367">
        <v>2</v>
      </c>
      <c r="ED128" s="369">
        <v>0</v>
      </c>
      <c r="EE128" s="370">
        <v>0</v>
      </c>
      <c r="EF128" s="367">
        <v>0</v>
      </c>
      <c r="EG128" s="367">
        <v>0</v>
      </c>
      <c r="EH128" s="367">
        <v>1</v>
      </c>
      <c r="EI128" s="367">
        <v>2</v>
      </c>
      <c r="EJ128" s="367">
        <v>0</v>
      </c>
      <c r="EK128" s="367">
        <v>1</v>
      </c>
      <c r="EL128" s="367">
        <v>4</v>
      </c>
      <c r="EM128" s="367">
        <v>0</v>
      </c>
      <c r="EN128" s="367"/>
      <c r="EO128" s="367"/>
      <c r="EP128" s="367"/>
      <c r="EQ128" s="369">
        <f t="shared" si="36"/>
        <v>8</v>
      </c>
      <c r="ER128" s="367">
        <v>3</v>
      </c>
      <c r="ES128" s="367">
        <v>1</v>
      </c>
      <c r="ET128" s="367">
        <v>0</v>
      </c>
      <c r="EU128" s="367">
        <v>0</v>
      </c>
      <c r="EV128" s="367">
        <v>0</v>
      </c>
      <c r="EW128" s="367">
        <v>0</v>
      </c>
      <c r="EX128" s="367">
        <v>0</v>
      </c>
      <c r="EY128" s="367">
        <v>2</v>
      </c>
      <c r="EZ128" s="367">
        <v>0</v>
      </c>
      <c r="FA128" s="367"/>
      <c r="FB128" s="367"/>
      <c r="FC128" s="367"/>
      <c r="FD128" s="367">
        <f t="shared" si="37"/>
        <v>6</v>
      </c>
      <c r="FE128" s="371">
        <f t="shared" si="38"/>
        <v>0</v>
      </c>
      <c r="FF128" s="371">
        <f t="shared" si="39"/>
        <v>0</v>
      </c>
      <c r="FG128" s="372"/>
    </row>
    <row r="129" spans="1:163" x14ac:dyDescent="0.25">
      <c r="A129" s="380">
        <v>40410</v>
      </c>
      <c r="B129" s="380" t="s">
        <v>133</v>
      </c>
      <c r="C129" s="380" t="s">
        <v>129</v>
      </c>
      <c r="D129" s="380" t="s">
        <v>359</v>
      </c>
      <c r="E129" s="374">
        <v>5372</v>
      </c>
      <c r="F129" s="358">
        <v>5</v>
      </c>
      <c r="G129" s="359" t="s">
        <v>665</v>
      </c>
      <c r="H129" s="360">
        <v>0</v>
      </c>
      <c r="I129" s="360">
        <v>0</v>
      </c>
      <c r="J129" s="361">
        <f>5+2/3</f>
        <v>5.666666666666667</v>
      </c>
      <c r="K129" s="360">
        <v>4</v>
      </c>
      <c r="L129" s="360">
        <v>1</v>
      </c>
      <c r="M129" s="360">
        <v>1</v>
      </c>
      <c r="N129" s="360">
        <v>3</v>
      </c>
      <c r="O129" s="360">
        <v>3</v>
      </c>
      <c r="P129" s="360">
        <v>0</v>
      </c>
      <c r="Q129" s="360">
        <v>0</v>
      </c>
      <c r="R129" s="360">
        <v>24</v>
      </c>
      <c r="S129" s="360">
        <v>81</v>
      </c>
      <c r="T129" s="360">
        <v>51</v>
      </c>
      <c r="U129" s="360">
        <v>1</v>
      </c>
      <c r="V129" s="362">
        <v>0</v>
      </c>
      <c r="W129" s="376">
        <v>1</v>
      </c>
      <c r="X129" s="376">
        <v>0</v>
      </c>
      <c r="Y129" s="376">
        <v>0</v>
      </c>
      <c r="Z129" s="376">
        <v>1</v>
      </c>
      <c r="AA129" s="376">
        <v>0</v>
      </c>
      <c r="AB129" s="377">
        <f>3+1/3</f>
        <v>3.3333333333333335</v>
      </c>
      <c r="AC129" s="376">
        <v>3</v>
      </c>
      <c r="AD129" s="376">
        <v>0</v>
      </c>
      <c r="AE129" s="376">
        <v>0</v>
      </c>
      <c r="AF129" s="376">
        <v>1</v>
      </c>
      <c r="AG129" s="376">
        <v>6</v>
      </c>
      <c r="AH129" s="376">
        <v>0</v>
      </c>
      <c r="AI129" s="376">
        <v>0</v>
      </c>
      <c r="AJ129" s="376">
        <v>13</v>
      </c>
      <c r="AK129" s="376">
        <v>63</v>
      </c>
      <c r="AL129" s="376">
        <v>45</v>
      </c>
      <c r="AM129" s="363" t="s">
        <v>399</v>
      </c>
      <c r="AN129" s="364">
        <v>3</v>
      </c>
      <c r="AO129" s="364">
        <v>0</v>
      </c>
      <c r="AP129" s="364">
        <v>0</v>
      </c>
      <c r="AQ129" s="364">
        <v>0</v>
      </c>
      <c r="AR129" s="364">
        <v>0</v>
      </c>
      <c r="AS129" s="364">
        <v>2</v>
      </c>
      <c r="AT129" s="364">
        <v>1</v>
      </c>
      <c r="AU129" s="364">
        <v>0</v>
      </c>
      <c r="AV129" s="365">
        <v>0</v>
      </c>
      <c r="AW129" s="363" t="s">
        <v>345</v>
      </c>
      <c r="AX129" s="364">
        <v>3</v>
      </c>
      <c r="AY129" s="364">
        <v>1</v>
      </c>
      <c r="AZ129" s="364">
        <v>0</v>
      </c>
      <c r="BA129" s="364">
        <v>0</v>
      </c>
      <c r="BB129" s="364">
        <v>1</v>
      </c>
      <c r="BC129" s="364">
        <v>2</v>
      </c>
      <c r="BD129" s="364">
        <v>0</v>
      </c>
      <c r="BE129" s="364">
        <v>0</v>
      </c>
      <c r="BF129" s="365">
        <v>0</v>
      </c>
      <c r="BG129" s="363" t="s">
        <v>400</v>
      </c>
      <c r="BH129" s="364">
        <v>4</v>
      </c>
      <c r="BI129" s="364">
        <v>0</v>
      </c>
      <c r="BJ129" s="364">
        <v>0</v>
      </c>
      <c r="BK129" s="364">
        <v>0</v>
      </c>
      <c r="BL129" s="364">
        <v>0</v>
      </c>
      <c r="BM129" s="364">
        <v>3</v>
      </c>
      <c r="BN129" s="364">
        <v>0</v>
      </c>
      <c r="BO129" s="364">
        <v>0</v>
      </c>
      <c r="BP129" s="365">
        <v>0</v>
      </c>
      <c r="BQ129" s="363" t="s">
        <v>405</v>
      </c>
      <c r="BR129" s="364">
        <v>4</v>
      </c>
      <c r="BS129" s="364">
        <v>0</v>
      </c>
      <c r="BT129" s="364">
        <v>2</v>
      </c>
      <c r="BU129" s="364">
        <v>0</v>
      </c>
      <c r="BV129" s="364">
        <v>0</v>
      </c>
      <c r="BW129" s="364">
        <v>1</v>
      </c>
      <c r="BX129" s="364">
        <v>0</v>
      </c>
      <c r="BY129" s="364">
        <v>0</v>
      </c>
      <c r="BZ129" s="365">
        <v>3</v>
      </c>
      <c r="CA129" s="363" t="s">
        <v>575</v>
      </c>
      <c r="CB129" s="364">
        <v>4</v>
      </c>
      <c r="CC129" s="364">
        <v>1</v>
      </c>
      <c r="CD129" s="364">
        <v>2</v>
      </c>
      <c r="CE129" s="364">
        <v>2</v>
      </c>
      <c r="CF129" s="364">
        <v>0</v>
      </c>
      <c r="CG129" s="364">
        <v>1</v>
      </c>
      <c r="CH129" s="364">
        <v>0</v>
      </c>
      <c r="CI129" s="364">
        <v>0</v>
      </c>
      <c r="CJ129" s="365">
        <v>6</v>
      </c>
      <c r="CK129" s="363" t="s">
        <v>406</v>
      </c>
      <c r="CL129" s="364">
        <v>4</v>
      </c>
      <c r="CM129" s="364">
        <v>0</v>
      </c>
      <c r="CN129" s="364">
        <v>0</v>
      </c>
      <c r="CO129" s="364">
        <v>0</v>
      </c>
      <c r="CP129" s="364">
        <v>0</v>
      </c>
      <c r="CQ129" s="364">
        <v>2</v>
      </c>
      <c r="CR129" s="364">
        <v>0</v>
      </c>
      <c r="CS129" s="364">
        <v>0</v>
      </c>
      <c r="CT129" s="365">
        <v>0</v>
      </c>
      <c r="CU129" s="363" t="s">
        <v>401</v>
      </c>
      <c r="CV129" s="364">
        <v>3</v>
      </c>
      <c r="CW129" s="364">
        <v>1</v>
      </c>
      <c r="CX129" s="364">
        <v>0</v>
      </c>
      <c r="CY129" s="364">
        <v>0</v>
      </c>
      <c r="CZ129" s="364">
        <v>1</v>
      </c>
      <c r="DA129" s="364">
        <v>0</v>
      </c>
      <c r="DB129" s="364">
        <v>0</v>
      </c>
      <c r="DC129" s="364">
        <v>0</v>
      </c>
      <c r="DD129" s="365">
        <v>0</v>
      </c>
      <c r="DE129" s="363" t="s">
        <v>331</v>
      </c>
      <c r="DF129" s="364">
        <v>3</v>
      </c>
      <c r="DG129" s="364">
        <v>0</v>
      </c>
      <c r="DH129" s="364">
        <v>0</v>
      </c>
      <c r="DI129" s="364">
        <v>0</v>
      </c>
      <c r="DJ129" s="364">
        <v>1</v>
      </c>
      <c r="DK129" s="364">
        <v>0</v>
      </c>
      <c r="DL129" s="364">
        <v>0</v>
      </c>
      <c r="DM129" s="364">
        <v>0</v>
      </c>
      <c r="DN129" s="365">
        <v>0</v>
      </c>
      <c r="DO129" s="363" t="s">
        <v>330</v>
      </c>
      <c r="DP129" s="364">
        <v>3</v>
      </c>
      <c r="DQ129" s="364">
        <v>0</v>
      </c>
      <c r="DR129" s="364">
        <v>0</v>
      </c>
      <c r="DS129" s="364">
        <v>0</v>
      </c>
      <c r="DT129" s="364">
        <v>0</v>
      </c>
      <c r="DU129" s="364">
        <v>1</v>
      </c>
      <c r="DV129" s="364">
        <v>0</v>
      </c>
      <c r="DW129" s="364">
        <v>0</v>
      </c>
      <c r="DX129" s="365">
        <v>0</v>
      </c>
      <c r="DY129" s="366">
        <f>6+1/3</f>
        <v>6.333333333333333</v>
      </c>
      <c r="DZ129" s="367">
        <v>0</v>
      </c>
      <c r="EA129" s="367">
        <v>0</v>
      </c>
      <c r="EB129" s="368">
        <f>2+2/3</f>
        <v>2.6666666666666665</v>
      </c>
      <c r="EC129" s="367">
        <v>2</v>
      </c>
      <c r="ED129" s="369">
        <v>0</v>
      </c>
      <c r="EE129" s="370">
        <v>1</v>
      </c>
      <c r="EF129" s="367">
        <v>0</v>
      </c>
      <c r="EG129" s="367">
        <v>0</v>
      </c>
      <c r="EH129" s="367">
        <v>0</v>
      </c>
      <c r="EI129" s="367">
        <v>0</v>
      </c>
      <c r="EJ129" s="367">
        <v>0</v>
      </c>
      <c r="EK129" s="367">
        <v>1</v>
      </c>
      <c r="EL129" s="367">
        <v>0</v>
      </c>
      <c r="EM129" s="367">
        <v>1</v>
      </c>
      <c r="EN129" s="367"/>
      <c r="EO129" s="367"/>
      <c r="EP129" s="367"/>
      <c r="EQ129" s="369">
        <f t="shared" si="36"/>
        <v>3</v>
      </c>
      <c r="ER129" s="367">
        <v>0</v>
      </c>
      <c r="ES129" s="367">
        <v>0</v>
      </c>
      <c r="ET129" s="367">
        <v>1</v>
      </c>
      <c r="EU129" s="367">
        <v>0</v>
      </c>
      <c r="EV129" s="367">
        <v>0</v>
      </c>
      <c r="EW129" s="367">
        <v>0</v>
      </c>
      <c r="EX129" s="367">
        <v>0</v>
      </c>
      <c r="EY129" s="367">
        <v>0</v>
      </c>
      <c r="EZ129" s="367">
        <v>0</v>
      </c>
      <c r="FA129" s="367"/>
      <c r="FB129" s="367"/>
      <c r="FC129" s="367"/>
      <c r="FD129" s="367">
        <f t="shared" si="37"/>
        <v>1</v>
      </c>
      <c r="FE129" s="371">
        <f t="shared" si="38"/>
        <v>0</v>
      </c>
      <c r="FF129" s="371">
        <f t="shared" si="39"/>
        <v>0</v>
      </c>
      <c r="FG129" s="372"/>
    </row>
    <row r="130" spans="1:163" x14ac:dyDescent="0.25">
      <c r="A130" s="380">
        <v>40411</v>
      </c>
      <c r="B130" s="380" t="s">
        <v>133</v>
      </c>
      <c r="C130" s="380" t="s">
        <v>129</v>
      </c>
      <c r="D130" s="380" t="s">
        <v>359</v>
      </c>
      <c r="E130" s="374">
        <v>7370</v>
      </c>
      <c r="F130" s="358">
        <v>1</v>
      </c>
      <c r="G130" s="359" t="s">
        <v>398</v>
      </c>
      <c r="H130" s="360">
        <v>1</v>
      </c>
      <c r="I130" s="360">
        <v>0</v>
      </c>
      <c r="J130" s="361">
        <v>7</v>
      </c>
      <c r="K130" s="360">
        <v>1</v>
      </c>
      <c r="L130" s="360">
        <v>0</v>
      </c>
      <c r="M130" s="360">
        <v>0</v>
      </c>
      <c r="N130" s="360">
        <v>4</v>
      </c>
      <c r="O130" s="360">
        <v>4</v>
      </c>
      <c r="P130" s="360">
        <v>0</v>
      </c>
      <c r="Q130" s="360">
        <v>0</v>
      </c>
      <c r="R130" s="360">
        <v>26</v>
      </c>
      <c r="S130" s="360">
        <v>103</v>
      </c>
      <c r="T130" s="360">
        <v>60</v>
      </c>
      <c r="U130" s="360">
        <v>0</v>
      </c>
      <c r="V130" s="362">
        <v>0</v>
      </c>
      <c r="W130" s="376">
        <v>0</v>
      </c>
      <c r="X130" s="376">
        <v>0</v>
      </c>
      <c r="Y130" s="376">
        <v>1</v>
      </c>
      <c r="Z130" s="376">
        <v>1</v>
      </c>
      <c r="AA130" s="376">
        <v>0</v>
      </c>
      <c r="AB130" s="377">
        <v>2</v>
      </c>
      <c r="AC130" s="376">
        <v>1</v>
      </c>
      <c r="AD130" s="376">
        <v>0</v>
      </c>
      <c r="AE130" s="376">
        <v>0</v>
      </c>
      <c r="AF130" s="376">
        <v>0</v>
      </c>
      <c r="AG130" s="376">
        <v>4</v>
      </c>
      <c r="AH130" s="376">
        <v>0</v>
      </c>
      <c r="AI130" s="376">
        <v>0</v>
      </c>
      <c r="AJ130" s="376">
        <v>7</v>
      </c>
      <c r="AK130" s="376">
        <v>29</v>
      </c>
      <c r="AL130" s="376">
        <v>21</v>
      </c>
      <c r="AM130" s="363" t="s">
        <v>399</v>
      </c>
      <c r="AN130" s="364">
        <v>4</v>
      </c>
      <c r="AO130" s="364">
        <v>1</v>
      </c>
      <c r="AP130" s="364">
        <v>1</v>
      </c>
      <c r="AQ130" s="364">
        <v>0</v>
      </c>
      <c r="AR130" s="364">
        <v>0</v>
      </c>
      <c r="AS130" s="364">
        <v>0</v>
      </c>
      <c r="AT130" s="364">
        <v>0</v>
      </c>
      <c r="AU130" s="364">
        <v>0</v>
      </c>
      <c r="AV130" s="365">
        <v>1</v>
      </c>
      <c r="AW130" s="363" t="s">
        <v>345</v>
      </c>
      <c r="AX130" s="364">
        <v>4</v>
      </c>
      <c r="AY130" s="364">
        <v>0</v>
      </c>
      <c r="AZ130" s="364">
        <v>1</v>
      </c>
      <c r="BA130" s="364">
        <v>0</v>
      </c>
      <c r="BB130" s="364">
        <v>0</v>
      </c>
      <c r="BC130" s="364">
        <v>3</v>
      </c>
      <c r="BD130" s="364">
        <v>0</v>
      </c>
      <c r="BE130" s="364">
        <v>0</v>
      </c>
      <c r="BF130" s="365">
        <v>2</v>
      </c>
      <c r="BG130" s="363" t="s">
        <v>400</v>
      </c>
      <c r="BH130" s="364">
        <v>4</v>
      </c>
      <c r="BI130" s="364">
        <v>0</v>
      </c>
      <c r="BJ130" s="364">
        <v>1</v>
      </c>
      <c r="BK130" s="364">
        <v>1</v>
      </c>
      <c r="BL130" s="364">
        <v>0</v>
      </c>
      <c r="BM130" s="364">
        <v>0</v>
      </c>
      <c r="BN130" s="364">
        <v>0</v>
      </c>
      <c r="BO130" s="364">
        <v>0</v>
      </c>
      <c r="BP130" s="365">
        <v>2</v>
      </c>
      <c r="BQ130" s="363" t="s">
        <v>405</v>
      </c>
      <c r="BR130" s="364">
        <v>2</v>
      </c>
      <c r="BS130" s="364">
        <v>0</v>
      </c>
      <c r="BT130" s="364">
        <v>0</v>
      </c>
      <c r="BU130" s="364">
        <v>0</v>
      </c>
      <c r="BV130" s="364">
        <v>2</v>
      </c>
      <c r="BW130" s="364">
        <v>0</v>
      </c>
      <c r="BX130" s="364">
        <v>0</v>
      </c>
      <c r="BY130" s="364">
        <v>0</v>
      </c>
      <c r="BZ130" s="365">
        <v>0</v>
      </c>
      <c r="CA130" s="363" t="s">
        <v>407</v>
      </c>
      <c r="CB130" s="364">
        <v>4</v>
      </c>
      <c r="CC130" s="364">
        <v>0</v>
      </c>
      <c r="CD130" s="364">
        <v>0</v>
      </c>
      <c r="CE130" s="364">
        <v>0</v>
      </c>
      <c r="CF130" s="364">
        <v>0</v>
      </c>
      <c r="CG130" s="364">
        <v>1</v>
      </c>
      <c r="CH130" s="364">
        <v>0</v>
      </c>
      <c r="CI130" s="364">
        <v>0</v>
      </c>
      <c r="CJ130" s="365">
        <v>0</v>
      </c>
      <c r="CK130" s="363" t="s">
        <v>501</v>
      </c>
      <c r="CL130" s="364">
        <v>4</v>
      </c>
      <c r="CM130" s="364">
        <v>0</v>
      </c>
      <c r="CN130" s="364">
        <v>0</v>
      </c>
      <c r="CO130" s="364">
        <v>0</v>
      </c>
      <c r="CP130" s="364">
        <v>0</v>
      </c>
      <c r="CQ130" s="364">
        <v>2</v>
      </c>
      <c r="CR130" s="364">
        <v>0</v>
      </c>
      <c r="CS130" s="364">
        <v>0</v>
      </c>
      <c r="CT130" s="365">
        <v>0</v>
      </c>
      <c r="CU130" s="363" t="s">
        <v>401</v>
      </c>
      <c r="CV130" s="364">
        <v>4</v>
      </c>
      <c r="CW130" s="364">
        <v>0</v>
      </c>
      <c r="CX130" s="364">
        <v>1</v>
      </c>
      <c r="CY130" s="364">
        <v>0</v>
      </c>
      <c r="CZ130" s="364">
        <v>0</v>
      </c>
      <c r="DA130" s="364">
        <v>0</v>
      </c>
      <c r="DB130" s="364">
        <v>0</v>
      </c>
      <c r="DC130" s="364">
        <v>0</v>
      </c>
      <c r="DD130" s="365">
        <v>1</v>
      </c>
      <c r="DE130" s="363" t="s">
        <v>335</v>
      </c>
      <c r="DF130" s="364">
        <v>3</v>
      </c>
      <c r="DG130" s="364">
        <v>0</v>
      </c>
      <c r="DH130" s="364">
        <v>0</v>
      </c>
      <c r="DI130" s="364">
        <v>0</v>
      </c>
      <c r="DJ130" s="364">
        <v>0</v>
      </c>
      <c r="DK130" s="364">
        <v>2</v>
      </c>
      <c r="DL130" s="364">
        <v>0</v>
      </c>
      <c r="DM130" s="364">
        <v>0</v>
      </c>
      <c r="DN130" s="365">
        <v>0</v>
      </c>
      <c r="DO130" s="363" t="s">
        <v>330</v>
      </c>
      <c r="DP130" s="364">
        <v>3</v>
      </c>
      <c r="DQ130" s="364">
        <v>0</v>
      </c>
      <c r="DR130" s="364">
        <v>0</v>
      </c>
      <c r="DS130" s="364">
        <v>0</v>
      </c>
      <c r="DT130" s="364">
        <v>0</v>
      </c>
      <c r="DU130" s="364">
        <v>3</v>
      </c>
      <c r="DV130" s="364">
        <v>0</v>
      </c>
      <c r="DW130" s="364">
        <v>0</v>
      </c>
      <c r="DX130" s="365">
        <v>0</v>
      </c>
      <c r="DY130" s="366">
        <v>0</v>
      </c>
      <c r="DZ130" s="367">
        <v>0</v>
      </c>
      <c r="EA130" s="367">
        <v>0</v>
      </c>
      <c r="EB130" s="368">
        <v>9</v>
      </c>
      <c r="EC130" s="367">
        <v>1</v>
      </c>
      <c r="ED130" s="369">
        <v>0</v>
      </c>
      <c r="EE130" s="370">
        <v>0</v>
      </c>
      <c r="EF130" s="367">
        <v>0</v>
      </c>
      <c r="EG130" s="367">
        <v>0</v>
      </c>
      <c r="EH130" s="367">
        <v>0</v>
      </c>
      <c r="EI130" s="367">
        <v>0</v>
      </c>
      <c r="EJ130" s="367">
        <v>0</v>
      </c>
      <c r="EK130" s="367">
        <v>0</v>
      </c>
      <c r="EL130" s="367">
        <v>1</v>
      </c>
      <c r="EM130" s="367">
        <v>0</v>
      </c>
      <c r="EN130" s="367"/>
      <c r="EO130" s="367"/>
      <c r="EP130" s="367"/>
      <c r="EQ130" s="369">
        <f t="shared" si="36"/>
        <v>1</v>
      </c>
      <c r="ER130" s="367">
        <v>0</v>
      </c>
      <c r="ES130" s="367">
        <v>0</v>
      </c>
      <c r="ET130" s="367">
        <v>0</v>
      </c>
      <c r="EU130" s="367">
        <v>0</v>
      </c>
      <c r="EV130" s="367">
        <v>0</v>
      </c>
      <c r="EW130" s="367">
        <v>0</v>
      </c>
      <c r="EX130" s="367">
        <v>0</v>
      </c>
      <c r="EY130" s="367">
        <v>0</v>
      </c>
      <c r="EZ130" s="367">
        <v>0</v>
      </c>
      <c r="FA130" s="367"/>
      <c r="FB130" s="367"/>
      <c r="FC130" s="367"/>
      <c r="FD130" s="367">
        <f t="shared" si="37"/>
        <v>0</v>
      </c>
      <c r="FE130" s="371">
        <f t="shared" si="38"/>
        <v>0</v>
      </c>
      <c r="FF130" s="371">
        <f t="shared" si="39"/>
        <v>0</v>
      </c>
      <c r="FG130" s="372"/>
    </row>
    <row r="131" spans="1:163" x14ac:dyDescent="0.25">
      <c r="A131" s="380">
        <v>40412</v>
      </c>
      <c r="B131" s="380" t="s">
        <v>133</v>
      </c>
      <c r="C131" s="380" t="s">
        <v>129</v>
      </c>
      <c r="D131" s="380" t="s">
        <v>359</v>
      </c>
      <c r="E131" s="374">
        <v>5713</v>
      </c>
      <c r="F131" s="358">
        <v>2</v>
      </c>
      <c r="G131" s="359" t="s">
        <v>664</v>
      </c>
      <c r="H131" s="360">
        <v>0</v>
      </c>
      <c r="I131" s="360">
        <v>0</v>
      </c>
      <c r="J131" s="361">
        <v>5</v>
      </c>
      <c r="K131" s="360">
        <v>9</v>
      </c>
      <c r="L131" s="360">
        <v>6</v>
      </c>
      <c r="M131" s="360">
        <v>5</v>
      </c>
      <c r="N131" s="360">
        <v>1</v>
      </c>
      <c r="O131" s="360">
        <v>4</v>
      </c>
      <c r="P131" s="360">
        <v>0</v>
      </c>
      <c r="Q131" s="360">
        <v>0</v>
      </c>
      <c r="R131" s="360">
        <v>26</v>
      </c>
      <c r="S131" s="360">
        <v>91</v>
      </c>
      <c r="T131" s="360">
        <v>59</v>
      </c>
      <c r="U131" s="360">
        <v>0</v>
      </c>
      <c r="V131" s="362">
        <v>0</v>
      </c>
      <c r="W131" s="376">
        <v>1</v>
      </c>
      <c r="X131" s="376">
        <v>0</v>
      </c>
      <c r="Y131" s="376">
        <v>0</v>
      </c>
      <c r="Z131" s="376">
        <v>1</v>
      </c>
      <c r="AA131" s="376">
        <v>1</v>
      </c>
      <c r="AB131" s="377">
        <v>4</v>
      </c>
      <c r="AC131" s="376">
        <v>2</v>
      </c>
      <c r="AD131" s="376">
        <v>2</v>
      </c>
      <c r="AE131" s="376">
        <v>2</v>
      </c>
      <c r="AF131" s="376">
        <v>5</v>
      </c>
      <c r="AG131" s="376">
        <v>5</v>
      </c>
      <c r="AH131" s="376">
        <v>0</v>
      </c>
      <c r="AI131" s="376">
        <v>0</v>
      </c>
      <c r="AJ131" s="376">
        <v>19</v>
      </c>
      <c r="AK131" s="376">
        <v>88</v>
      </c>
      <c r="AL131" s="376">
        <v>47</v>
      </c>
      <c r="AM131" s="363" t="s">
        <v>399</v>
      </c>
      <c r="AN131" s="364">
        <v>4</v>
      </c>
      <c r="AO131" s="364">
        <v>1</v>
      </c>
      <c r="AP131" s="364">
        <v>0</v>
      </c>
      <c r="AQ131" s="364">
        <v>0</v>
      </c>
      <c r="AR131" s="364">
        <v>1</v>
      </c>
      <c r="AS131" s="364">
        <v>0</v>
      </c>
      <c r="AT131" s="364">
        <v>0</v>
      </c>
      <c r="AU131" s="364">
        <v>0</v>
      </c>
      <c r="AV131" s="365">
        <v>0</v>
      </c>
      <c r="AW131" s="363" t="s">
        <v>401</v>
      </c>
      <c r="AX131" s="364">
        <v>2</v>
      </c>
      <c r="AY131" s="364">
        <v>2</v>
      </c>
      <c r="AZ131" s="364">
        <v>0</v>
      </c>
      <c r="BA131" s="364">
        <v>0</v>
      </c>
      <c r="BB131" s="364">
        <v>3</v>
      </c>
      <c r="BC131" s="364">
        <v>1</v>
      </c>
      <c r="BD131" s="364">
        <v>0</v>
      </c>
      <c r="BE131" s="364">
        <v>0</v>
      </c>
      <c r="BF131" s="365">
        <v>0</v>
      </c>
      <c r="BG131" s="363" t="s">
        <v>406</v>
      </c>
      <c r="BH131" s="364">
        <v>4</v>
      </c>
      <c r="BI131" s="364">
        <v>1</v>
      </c>
      <c r="BJ131" s="364">
        <v>3</v>
      </c>
      <c r="BK131" s="364">
        <v>1</v>
      </c>
      <c r="BL131" s="364">
        <v>1</v>
      </c>
      <c r="BM131" s="364">
        <v>0</v>
      </c>
      <c r="BN131" s="364">
        <v>0</v>
      </c>
      <c r="BO131" s="364">
        <v>0</v>
      </c>
      <c r="BP131" s="365">
        <v>3</v>
      </c>
      <c r="BQ131" s="363" t="s">
        <v>405</v>
      </c>
      <c r="BR131" s="364">
        <v>5</v>
      </c>
      <c r="BS131" s="364">
        <v>0</v>
      </c>
      <c r="BT131" s="364">
        <v>1</v>
      </c>
      <c r="BU131" s="364">
        <v>2</v>
      </c>
      <c r="BV131" s="364">
        <v>0</v>
      </c>
      <c r="BW131" s="364">
        <v>1</v>
      </c>
      <c r="BX131" s="364">
        <v>0</v>
      </c>
      <c r="BY131" s="364">
        <v>0</v>
      </c>
      <c r="BZ131" s="365">
        <v>2</v>
      </c>
      <c r="CA131" s="363" t="s">
        <v>575</v>
      </c>
      <c r="CB131" s="364">
        <v>5</v>
      </c>
      <c r="CC131" s="364">
        <v>2</v>
      </c>
      <c r="CD131" s="364">
        <v>2</v>
      </c>
      <c r="CE131" s="364">
        <v>2</v>
      </c>
      <c r="CF131" s="364">
        <v>0</v>
      </c>
      <c r="CG131" s="364">
        <v>1</v>
      </c>
      <c r="CH131" s="364">
        <v>0</v>
      </c>
      <c r="CI131" s="364">
        <v>0</v>
      </c>
      <c r="CJ131" s="365">
        <v>6</v>
      </c>
      <c r="CK131" s="363" t="s">
        <v>501</v>
      </c>
      <c r="CL131" s="364">
        <v>5</v>
      </c>
      <c r="CM131" s="364">
        <v>1</v>
      </c>
      <c r="CN131" s="364">
        <v>1</v>
      </c>
      <c r="CO131" s="364">
        <v>0</v>
      </c>
      <c r="CP131" s="364">
        <v>0</v>
      </c>
      <c r="CQ131" s="364">
        <v>0</v>
      </c>
      <c r="CR131" s="364">
        <v>0</v>
      </c>
      <c r="CS131" s="364">
        <v>0</v>
      </c>
      <c r="CT131" s="365">
        <v>1</v>
      </c>
      <c r="CU131" s="363" t="s">
        <v>331</v>
      </c>
      <c r="CV131" s="364">
        <v>4</v>
      </c>
      <c r="CW131" s="364">
        <v>1</v>
      </c>
      <c r="CX131" s="364">
        <v>4</v>
      </c>
      <c r="CY131" s="364">
        <v>3</v>
      </c>
      <c r="CZ131" s="364">
        <v>0</v>
      </c>
      <c r="DA131" s="364">
        <v>0</v>
      </c>
      <c r="DB131" s="364">
        <v>0</v>
      </c>
      <c r="DC131" s="364">
        <v>1</v>
      </c>
      <c r="DD131" s="365">
        <v>7</v>
      </c>
      <c r="DE131" s="363" t="s">
        <v>335</v>
      </c>
      <c r="DF131" s="364">
        <v>5</v>
      </c>
      <c r="DG131" s="364">
        <v>0</v>
      </c>
      <c r="DH131" s="364">
        <v>1</v>
      </c>
      <c r="DI131" s="364">
        <v>0</v>
      </c>
      <c r="DJ131" s="364">
        <v>0</v>
      </c>
      <c r="DK131" s="364">
        <v>1</v>
      </c>
      <c r="DL131" s="364">
        <v>0</v>
      </c>
      <c r="DM131" s="364">
        <v>0</v>
      </c>
      <c r="DN131" s="365">
        <v>1</v>
      </c>
      <c r="DO131" s="363" t="s">
        <v>330</v>
      </c>
      <c r="DP131" s="364">
        <v>3</v>
      </c>
      <c r="DQ131" s="364">
        <v>1</v>
      </c>
      <c r="DR131" s="364">
        <v>2</v>
      </c>
      <c r="DS131" s="364">
        <v>0</v>
      </c>
      <c r="DT131" s="364">
        <v>0</v>
      </c>
      <c r="DU131" s="364">
        <v>1</v>
      </c>
      <c r="DV131" s="364">
        <v>0</v>
      </c>
      <c r="DW131" s="364">
        <v>0</v>
      </c>
      <c r="DX131" s="365">
        <v>2</v>
      </c>
      <c r="DY131" s="366">
        <f>1+1/3</f>
        <v>1.3333333333333333</v>
      </c>
      <c r="DZ131" s="367">
        <v>0</v>
      </c>
      <c r="EA131" s="367">
        <v>0</v>
      </c>
      <c r="EB131" s="368">
        <f>7+2/3</f>
        <v>7.666666666666667</v>
      </c>
      <c r="EC131" s="367">
        <v>1</v>
      </c>
      <c r="ED131" s="369">
        <v>0</v>
      </c>
      <c r="EE131" s="370">
        <v>0</v>
      </c>
      <c r="EF131" s="367">
        <v>0</v>
      </c>
      <c r="EG131" s="367">
        <v>0</v>
      </c>
      <c r="EH131" s="367">
        <v>2</v>
      </c>
      <c r="EI131" s="367">
        <v>2</v>
      </c>
      <c r="EJ131" s="367">
        <v>4</v>
      </c>
      <c r="EK131" s="367">
        <v>0</v>
      </c>
      <c r="EL131" s="367">
        <v>0</v>
      </c>
      <c r="EM131" s="367">
        <v>1</v>
      </c>
      <c r="EN131" s="367"/>
      <c r="EO131" s="367"/>
      <c r="EP131" s="367"/>
      <c r="EQ131" s="369">
        <f t="shared" ref="EQ131:EQ137" si="40">SUM(EE131:EP131)</f>
        <v>9</v>
      </c>
      <c r="ER131" s="367">
        <v>0</v>
      </c>
      <c r="ES131" s="367">
        <v>0</v>
      </c>
      <c r="ET131" s="367">
        <v>0</v>
      </c>
      <c r="EU131" s="367">
        <v>2</v>
      </c>
      <c r="EV131" s="367">
        <v>4</v>
      </c>
      <c r="EW131" s="367">
        <v>2</v>
      </c>
      <c r="EX131" s="367">
        <v>0</v>
      </c>
      <c r="EY131" s="367">
        <v>0</v>
      </c>
      <c r="EZ131" s="367">
        <v>0</v>
      </c>
      <c r="FA131" s="367"/>
      <c r="FB131" s="367"/>
      <c r="FC131" s="367"/>
      <c r="FD131" s="367">
        <f t="shared" ref="FD131:FD137" si="41">SUM(ER131:FC131)</f>
        <v>8</v>
      </c>
      <c r="FE131" s="371">
        <f t="shared" ref="FE131:FE137" si="42">((SUM(L131,AD131))-(FD131))</f>
        <v>0</v>
      </c>
      <c r="FF131" s="371">
        <f t="shared" ref="FF131:FF137" si="43">((SUM(AO131,AY131,BI131,BS131,CC131,CM131,CW131,DG131,DQ131))-(EQ131))</f>
        <v>0</v>
      </c>
      <c r="FG131" s="372"/>
    </row>
    <row r="132" spans="1:163" x14ac:dyDescent="0.25">
      <c r="A132" s="380">
        <v>40413</v>
      </c>
      <c r="B132" s="380" t="s">
        <v>133</v>
      </c>
      <c r="C132" s="380" t="s">
        <v>129</v>
      </c>
      <c r="D132" s="380" t="s">
        <v>359</v>
      </c>
      <c r="E132" s="374">
        <v>5161</v>
      </c>
      <c r="F132" s="358">
        <v>3</v>
      </c>
      <c r="G132" s="359" t="s">
        <v>341</v>
      </c>
      <c r="H132" s="360">
        <v>1</v>
      </c>
      <c r="I132" s="360">
        <v>0</v>
      </c>
      <c r="J132" s="361">
        <f>5+2/3</f>
        <v>5.666666666666667</v>
      </c>
      <c r="K132" s="360">
        <v>7</v>
      </c>
      <c r="L132" s="360">
        <v>3</v>
      </c>
      <c r="M132" s="360">
        <v>3</v>
      </c>
      <c r="N132" s="360">
        <v>3</v>
      </c>
      <c r="O132" s="360">
        <v>3</v>
      </c>
      <c r="P132" s="360">
        <v>1</v>
      </c>
      <c r="Q132" s="360">
        <v>0</v>
      </c>
      <c r="R132" s="360">
        <v>27</v>
      </c>
      <c r="S132" s="360">
        <v>112</v>
      </c>
      <c r="T132" s="360">
        <v>73</v>
      </c>
      <c r="U132" s="360">
        <v>2</v>
      </c>
      <c r="V132" s="362">
        <v>0</v>
      </c>
      <c r="W132" s="376">
        <v>0</v>
      </c>
      <c r="X132" s="376">
        <v>0</v>
      </c>
      <c r="Y132" s="376">
        <v>1</v>
      </c>
      <c r="Z132" s="376">
        <v>0</v>
      </c>
      <c r="AA132" s="376">
        <v>0</v>
      </c>
      <c r="AB132" s="377">
        <f>3+1/3</f>
        <v>3.3333333333333335</v>
      </c>
      <c r="AC132" s="376">
        <v>5</v>
      </c>
      <c r="AD132" s="376">
        <v>1</v>
      </c>
      <c r="AE132" s="376">
        <v>1</v>
      </c>
      <c r="AF132" s="376">
        <v>2</v>
      </c>
      <c r="AG132" s="376">
        <v>1</v>
      </c>
      <c r="AH132" s="376">
        <v>0</v>
      </c>
      <c r="AI132" s="376">
        <v>0</v>
      </c>
      <c r="AJ132" s="376">
        <v>16</v>
      </c>
      <c r="AK132" s="376">
        <v>56</v>
      </c>
      <c r="AL132" s="376">
        <v>34</v>
      </c>
      <c r="AM132" s="363" t="s">
        <v>401</v>
      </c>
      <c r="AN132" s="364">
        <v>5</v>
      </c>
      <c r="AO132" s="364">
        <v>2</v>
      </c>
      <c r="AP132" s="364">
        <v>1</v>
      </c>
      <c r="AQ132" s="364">
        <v>1</v>
      </c>
      <c r="AR132" s="364">
        <v>1</v>
      </c>
      <c r="AS132" s="364">
        <v>1</v>
      </c>
      <c r="AT132" s="364">
        <v>0</v>
      </c>
      <c r="AU132" s="364">
        <v>0</v>
      </c>
      <c r="AV132" s="365">
        <v>3</v>
      </c>
      <c r="AW132" s="363" t="s">
        <v>345</v>
      </c>
      <c r="AX132" s="364">
        <v>5</v>
      </c>
      <c r="AY132" s="364">
        <v>2</v>
      </c>
      <c r="AZ132" s="364">
        <v>3</v>
      </c>
      <c r="BA132" s="364">
        <v>0</v>
      </c>
      <c r="BB132" s="364">
        <v>0</v>
      </c>
      <c r="BC132" s="364">
        <v>1</v>
      </c>
      <c r="BD132" s="364">
        <v>0</v>
      </c>
      <c r="BE132" s="364">
        <v>0</v>
      </c>
      <c r="BF132" s="365">
        <v>3</v>
      </c>
      <c r="BG132" s="363" t="s">
        <v>400</v>
      </c>
      <c r="BH132" s="364">
        <v>5</v>
      </c>
      <c r="BI132" s="364">
        <v>1</v>
      </c>
      <c r="BJ132" s="364">
        <v>2</v>
      </c>
      <c r="BK132" s="364">
        <v>1</v>
      </c>
      <c r="BL132" s="364">
        <v>0</v>
      </c>
      <c r="BM132" s="364">
        <v>1</v>
      </c>
      <c r="BN132" s="364">
        <v>0</v>
      </c>
      <c r="BO132" s="364">
        <v>0</v>
      </c>
      <c r="BP132" s="365">
        <v>2</v>
      </c>
      <c r="BQ132" s="363" t="s">
        <v>575</v>
      </c>
      <c r="BR132" s="364">
        <v>4</v>
      </c>
      <c r="BS132" s="364">
        <v>0</v>
      </c>
      <c r="BT132" s="364">
        <v>2</v>
      </c>
      <c r="BU132" s="364">
        <v>2</v>
      </c>
      <c r="BV132" s="364">
        <v>0</v>
      </c>
      <c r="BW132" s="364">
        <v>1</v>
      </c>
      <c r="BX132" s="364">
        <v>0</v>
      </c>
      <c r="BY132" s="364">
        <v>1</v>
      </c>
      <c r="BZ132" s="365">
        <v>3</v>
      </c>
      <c r="CA132" s="363" t="s">
        <v>331</v>
      </c>
      <c r="CB132" s="364">
        <v>4</v>
      </c>
      <c r="CC132" s="364">
        <v>1</v>
      </c>
      <c r="CD132" s="364">
        <v>1</v>
      </c>
      <c r="CE132" s="364">
        <v>0</v>
      </c>
      <c r="CF132" s="364">
        <v>1</v>
      </c>
      <c r="CG132" s="364">
        <v>2</v>
      </c>
      <c r="CH132" s="364">
        <v>0</v>
      </c>
      <c r="CI132" s="364">
        <v>0</v>
      </c>
      <c r="CJ132" s="365">
        <v>1</v>
      </c>
      <c r="CK132" s="363" t="s">
        <v>501</v>
      </c>
      <c r="CL132" s="364">
        <v>5</v>
      </c>
      <c r="CM132" s="364">
        <v>1</v>
      </c>
      <c r="CN132" s="364">
        <v>1</v>
      </c>
      <c r="CO132" s="364">
        <v>2</v>
      </c>
      <c r="CP132" s="364">
        <v>0</v>
      </c>
      <c r="CQ132" s="364">
        <v>0</v>
      </c>
      <c r="CR132" s="364">
        <v>0</v>
      </c>
      <c r="CS132" s="364">
        <v>0</v>
      </c>
      <c r="CT132" s="365">
        <v>1</v>
      </c>
      <c r="CU132" s="363" t="s">
        <v>407</v>
      </c>
      <c r="CV132" s="364">
        <v>5</v>
      </c>
      <c r="CW132" s="364">
        <v>0</v>
      </c>
      <c r="CX132" s="364">
        <v>2</v>
      </c>
      <c r="CY132" s="364">
        <v>0</v>
      </c>
      <c r="CZ132" s="364">
        <v>0</v>
      </c>
      <c r="DA132" s="364">
        <v>0</v>
      </c>
      <c r="DB132" s="364">
        <v>0</v>
      </c>
      <c r="DC132" s="364">
        <v>0</v>
      </c>
      <c r="DD132" s="365">
        <v>2</v>
      </c>
      <c r="DE132" s="363" t="s">
        <v>335</v>
      </c>
      <c r="DF132" s="364">
        <v>4</v>
      </c>
      <c r="DG132" s="364">
        <v>0</v>
      </c>
      <c r="DH132" s="364">
        <v>2</v>
      </c>
      <c r="DI132" s="364">
        <v>1</v>
      </c>
      <c r="DJ132" s="364">
        <v>1</v>
      </c>
      <c r="DK132" s="364">
        <v>1</v>
      </c>
      <c r="DL132" s="364">
        <v>0</v>
      </c>
      <c r="DM132" s="364">
        <v>0</v>
      </c>
      <c r="DN132" s="365">
        <v>2</v>
      </c>
      <c r="DO132" s="363" t="s">
        <v>330</v>
      </c>
      <c r="DP132" s="364">
        <v>3</v>
      </c>
      <c r="DQ132" s="364">
        <v>1</v>
      </c>
      <c r="DR132" s="364">
        <v>0</v>
      </c>
      <c r="DS132" s="364">
        <v>1</v>
      </c>
      <c r="DT132" s="364">
        <v>1</v>
      </c>
      <c r="DU132" s="364">
        <v>0</v>
      </c>
      <c r="DV132" s="364">
        <v>0</v>
      </c>
      <c r="DW132" s="364">
        <v>1</v>
      </c>
      <c r="DX132" s="365">
        <v>0</v>
      </c>
      <c r="DY132" s="366">
        <f>2+2/3</f>
        <v>2.6666666666666665</v>
      </c>
      <c r="DZ132" s="367">
        <v>1</v>
      </c>
      <c r="EA132" s="367">
        <v>0</v>
      </c>
      <c r="EB132" s="368">
        <f>6+1/3</f>
        <v>6.333333333333333</v>
      </c>
      <c r="EC132" s="367">
        <v>2</v>
      </c>
      <c r="ED132" s="369">
        <v>1</v>
      </c>
      <c r="EE132" s="370">
        <v>0</v>
      </c>
      <c r="EF132" s="367">
        <v>1</v>
      </c>
      <c r="EG132" s="367">
        <v>3</v>
      </c>
      <c r="EH132" s="367">
        <v>1</v>
      </c>
      <c r="EI132" s="367">
        <v>0</v>
      </c>
      <c r="EJ132" s="367">
        <v>1</v>
      </c>
      <c r="EK132" s="367">
        <v>0</v>
      </c>
      <c r="EL132" s="367">
        <v>2</v>
      </c>
      <c r="EM132" s="367">
        <v>0</v>
      </c>
      <c r="EN132" s="367"/>
      <c r="EO132" s="367"/>
      <c r="EP132" s="367"/>
      <c r="EQ132" s="369">
        <f t="shared" si="40"/>
        <v>8</v>
      </c>
      <c r="ER132" s="367">
        <v>0</v>
      </c>
      <c r="ES132" s="367">
        <v>1</v>
      </c>
      <c r="ET132" s="367">
        <v>0</v>
      </c>
      <c r="EU132" s="367">
        <v>1</v>
      </c>
      <c r="EV132" s="367">
        <v>1</v>
      </c>
      <c r="EW132" s="367">
        <v>0</v>
      </c>
      <c r="EX132" s="367">
        <v>0</v>
      </c>
      <c r="EY132" s="367">
        <v>0</v>
      </c>
      <c r="EZ132" s="367">
        <v>1</v>
      </c>
      <c r="FA132" s="367"/>
      <c r="FB132" s="367"/>
      <c r="FC132" s="367"/>
      <c r="FD132" s="367">
        <f t="shared" si="41"/>
        <v>4</v>
      </c>
      <c r="FE132" s="371">
        <f t="shared" si="42"/>
        <v>0</v>
      </c>
      <c r="FF132" s="371">
        <f t="shared" si="43"/>
        <v>0</v>
      </c>
      <c r="FG132" s="372"/>
    </row>
    <row r="133" spans="1:163" x14ac:dyDescent="0.25">
      <c r="A133" s="380">
        <v>40414</v>
      </c>
      <c r="B133" s="380" t="s">
        <v>19</v>
      </c>
      <c r="C133" s="380" t="s">
        <v>129</v>
      </c>
      <c r="D133" s="380" t="s">
        <v>359</v>
      </c>
      <c r="E133" s="374">
        <v>4799</v>
      </c>
      <c r="F133" s="358">
        <v>4</v>
      </c>
      <c r="G133" s="359" t="s">
        <v>334</v>
      </c>
      <c r="H133" s="360">
        <v>1</v>
      </c>
      <c r="I133" s="360">
        <v>0</v>
      </c>
      <c r="J133" s="361">
        <f>6+2/3</f>
        <v>6.666666666666667</v>
      </c>
      <c r="K133" s="360">
        <v>6</v>
      </c>
      <c r="L133" s="360">
        <v>0</v>
      </c>
      <c r="M133" s="360">
        <v>0</v>
      </c>
      <c r="N133" s="360">
        <v>2</v>
      </c>
      <c r="O133" s="360">
        <v>4</v>
      </c>
      <c r="P133" s="360">
        <v>0</v>
      </c>
      <c r="Q133" s="360">
        <v>0</v>
      </c>
      <c r="R133" s="360">
        <v>27</v>
      </c>
      <c r="S133" s="360">
        <v>87</v>
      </c>
      <c r="T133" s="360">
        <v>57</v>
      </c>
      <c r="U133" s="360">
        <v>1</v>
      </c>
      <c r="V133" s="362">
        <v>0</v>
      </c>
      <c r="W133" s="376">
        <v>0</v>
      </c>
      <c r="X133" s="376">
        <v>0</v>
      </c>
      <c r="Y133" s="376">
        <v>1</v>
      </c>
      <c r="Z133" s="376">
        <v>1</v>
      </c>
      <c r="AA133" s="376">
        <v>0</v>
      </c>
      <c r="AB133" s="377">
        <f>2+1/3</f>
        <v>2.3333333333333335</v>
      </c>
      <c r="AC133" s="376">
        <v>0</v>
      </c>
      <c r="AD133" s="376">
        <v>0</v>
      </c>
      <c r="AE133" s="376">
        <v>0</v>
      </c>
      <c r="AF133" s="376">
        <v>0</v>
      </c>
      <c r="AG133" s="376">
        <v>5</v>
      </c>
      <c r="AH133" s="376">
        <v>0</v>
      </c>
      <c r="AI133" s="376">
        <v>0</v>
      </c>
      <c r="AJ133" s="376">
        <v>7</v>
      </c>
      <c r="AK133" s="376">
        <v>31</v>
      </c>
      <c r="AL133" s="376">
        <v>22</v>
      </c>
      <c r="AM133" s="363" t="s">
        <v>399</v>
      </c>
      <c r="AN133" s="364">
        <v>2</v>
      </c>
      <c r="AO133" s="364">
        <v>0</v>
      </c>
      <c r="AP133" s="364">
        <v>0</v>
      </c>
      <c r="AQ133" s="364">
        <v>0</v>
      </c>
      <c r="AR133" s="364">
        <v>2</v>
      </c>
      <c r="AS133" s="364">
        <v>2</v>
      </c>
      <c r="AT133" s="364">
        <v>0</v>
      </c>
      <c r="AU133" s="364">
        <v>0</v>
      </c>
      <c r="AV133" s="365">
        <v>0</v>
      </c>
      <c r="AW133" s="363" t="s">
        <v>345</v>
      </c>
      <c r="AX133" s="364">
        <v>4</v>
      </c>
      <c r="AY133" s="364">
        <v>0</v>
      </c>
      <c r="AZ133" s="364">
        <v>2</v>
      </c>
      <c r="BA133" s="364">
        <v>0</v>
      </c>
      <c r="BB133" s="364">
        <v>0</v>
      </c>
      <c r="BC133" s="364">
        <v>1</v>
      </c>
      <c r="BD133" s="364">
        <v>0</v>
      </c>
      <c r="BE133" s="364">
        <v>0</v>
      </c>
      <c r="BF133" s="365">
        <v>2</v>
      </c>
      <c r="BG133" s="363" t="s">
        <v>400</v>
      </c>
      <c r="BH133" s="364">
        <v>4</v>
      </c>
      <c r="BI133" s="364">
        <v>1</v>
      </c>
      <c r="BJ133" s="364">
        <v>2</v>
      </c>
      <c r="BK133" s="364">
        <v>0</v>
      </c>
      <c r="BL133" s="364">
        <v>0</v>
      </c>
      <c r="BM133" s="364">
        <v>1</v>
      </c>
      <c r="BN133" s="364">
        <v>0</v>
      </c>
      <c r="BO133" s="364">
        <v>0</v>
      </c>
      <c r="BP133" s="365">
        <v>2</v>
      </c>
      <c r="BQ133" s="363" t="s">
        <v>405</v>
      </c>
      <c r="BR133" s="364">
        <v>3</v>
      </c>
      <c r="BS133" s="364">
        <v>0</v>
      </c>
      <c r="BT133" s="364">
        <v>0</v>
      </c>
      <c r="BU133" s="364">
        <v>0</v>
      </c>
      <c r="BV133" s="364">
        <v>0</v>
      </c>
      <c r="BW133" s="364">
        <v>1</v>
      </c>
      <c r="BX133" s="364">
        <v>1</v>
      </c>
      <c r="BY133" s="364">
        <v>0</v>
      </c>
      <c r="BZ133" s="365">
        <v>0</v>
      </c>
      <c r="CA133" s="363" t="s">
        <v>575</v>
      </c>
      <c r="CB133" s="364">
        <v>3</v>
      </c>
      <c r="CC133" s="364">
        <v>0</v>
      </c>
      <c r="CD133" s="364">
        <v>1</v>
      </c>
      <c r="CE133" s="364">
        <v>0</v>
      </c>
      <c r="CF133" s="364">
        <v>0</v>
      </c>
      <c r="CG133" s="364">
        <v>0</v>
      </c>
      <c r="CH133" s="364">
        <v>1</v>
      </c>
      <c r="CI133" s="364">
        <v>0</v>
      </c>
      <c r="CJ133" s="365">
        <v>1</v>
      </c>
      <c r="CK133" s="363" t="s">
        <v>406</v>
      </c>
      <c r="CL133" s="364">
        <v>2</v>
      </c>
      <c r="CM133" s="364">
        <v>0</v>
      </c>
      <c r="CN133" s="364">
        <v>0</v>
      </c>
      <c r="CO133" s="364">
        <v>1</v>
      </c>
      <c r="CP133" s="364">
        <v>0</v>
      </c>
      <c r="CQ133" s="364">
        <v>0</v>
      </c>
      <c r="CR133" s="364">
        <v>0</v>
      </c>
      <c r="CS133" s="364">
        <v>1</v>
      </c>
      <c r="CT133" s="365">
        <v>0</v>
      </c>
      <c r="CU133" s="363" t="s">
        <v>331</v>
      </c>
      <c r="CV133" s="364">
        <v>3</v>
      </c>
      <c r="CW133" s="364">
        <v>0</v>
      </c>
      <c r="CX133" s="364">
        <v>0</v>
      </c>
      <c r="CY133" s="364">
        <v>0</v>
      </c>
      <c r="CZ133" s="364">
        <v>0</v>
      </c>
      <c r="DA133" s="364">
        <v>1</v>
      </c>
      <c r="DB133" s="364">
        <v>0</v>
      </c>
      <c r="DC133" s="364">
        <v>0</v>
      </c>
      <c r="DD133" s="365">
        <v>0</v>
      </c>
      <c r="DE133" s="363" t="s">
        <v>335</v>
      </c>
      <c r="DF133" s="364">
        <v>3</v>
      </c>
      <c r="DG133" s="364">
        <v>0</v>
      </c>
      <c r="DH133" s="364">
        <v>0</v>
      </c>
      <c r="DI133" s="364">
        <v>0</v>
      </c>
      <c r="DJ133" s="364">
        <v>0</v>
      </c>
      <c r="DK133" s="364">
        <v>2</v>
      </c>
      <c r="DL133" s="364">
        <v>0</v>
      </c>
      <c r="DM133" s="364">
        <v>0</v>
      </c>
      <c r="DN133" s="365">
        <v>0</v>
      </c>
      <c r="DO133" s="363" t="s">
        <v>330</v>
      </c>
      <c r="DP133" s="364">
        <v>2</v>
      </c>
      <c r="DQ133" s="364">
        <v>0</v>
      </c>
      <c r="DR133" s="364">
        <v>1</v>
      </c>
      <c r="DS133" s="364">
        <v>0</v>
      </c>
      <c r="DT133" s="364">
        <v>1</v>
      </c>
      <c r="DU133" s="364">
        <v>0</v>
      </c>
      <c r="DV133" s="364">
        <v>0</v>
      </c>
      <c r="DW133" s="364">
        <v>0</v>
      </c>
      <c r="DX133" s="365">
        <v>2</v>
      </c>
      <c r="DY133" s="366">
        <f>6+1/3</f>
        <v>6.333333333333333</v>
      </c>
      <c r="DZ133" s="367">
        <v>0</v>
      </c>
      <c r="EA133" s="367">
        <v>1</v>
      </c>
      <c r="EB133" s="368">
        <f>1+2/3</f>
        <v>1.6666666666666665</v>
      </c>
      <c r="EC133" s="367">
        <v>0</v>
      </c>
      <c r="ED133" s="369">
        <v>1</v>
      </c>
      <c r="EE133" s="370">
        <v>0</v>
      </c>
      <c r="EF133" s="367">
        <v>0</v>
      </c>
      <c r="EG133" s="367">
        <v>0</v>
      </c>
      <c r="EH133" s="367">
        <v>1</v>
      </c>
      <c r="EI133" s="367">
        <v>0</v>
      </c>
      <c r="EJ133" s="367">
        <v>0</v>
      </c>
      <c r="EK133" s="367">
        <v>0</v>
      </c>
      <c r="EL133" s="367">
        <v>0</v>
      </c>
      <c r="EM133" s="367"/>
      <c r="EN133" s="367"/>
      <c r="EO133" s="367"/>
      <c r="EP133" s="367"/>
      <c r="EQ133" s="369">
        <f t="shared" si="40"/>
        <v>1</v>
      </c>
      <c r="ER133" s="367">
        <v>0</v>
      </c>
      <c r="ES133" s="367">
        <v>0</v>
      </c>
      <c r="ET133" s="367">
        <v>0</v>
      </c>
      <c r="EU133" s="367">
        <v>0</v>
      </c>
      <c r="EV133" s="367">
        <v>0</v>
      </c>
      <c r="EW133" s="367">
        <v>0</v>
      </c>
      <c r="EX133" s="367">
        <v>0</v>
      </c>
      <c r="EY133" s="367">
        <v>0</v>
      </c>
      <c r="EZ133" s="367">
        <v>0</v>
      </c>
      <c r="FA133" s="367"/>
      <c r="FB133" s="367"/>
      <c r="FC133" s="367"/>
      <c r="FD133" s="367">
        <f t="shared" si="41"/>
        <v>0</v>
      </c>
      <c r="FE133" s="371">
        <f t="shared" si="42"/>
        <v>0</v>
      </c>
      <c r="FF133" s="371">
        <f t="shared" si="43"/>
        <v>0</v>
      </c>
      <c r="FG133" s="372"/>
    </row>
    <row r="134" spans="1:163" x14ac:dyDescent="0.25">
      <c r="A134" s="380">
        <v>40415</v>
      </c>
      <c r="B134" s="380" t="s">
        <v>19</v>
      </c>
      <c r="C134" s="380" t="s">
        <v>131</v>
      </c>
      <c r="D134" s="380" t="s">
        <v>359</v>
      </c>
      <c r="E134" s="374">
        <v>7549</v>
      </c>
      <c r="F134" s="358">
        <v>5</v>
      </c>
      <c r="G134" s="359" t="s">
        <v>665</v>
      </c>
      <c r="H134" s="360">
        <v>0</v>
      </c>
      <c r="I134" s="360">
        <v>1</v>
      </c>
      <c r="J134" s="361">
        <v>6</v>
      </c>
      <c r="K134" s="360">
        <v>9</v>
      </c>
      <c r="L134" s="360">
        <v>5</v>
      </c>
      <c r="M134" s="360">
        <v>5</v>
      </c>
      <c r="N134" s="360">
        <v>1</v>
      </c>
      <c r="O134" s="360">
        <v>3</v>
      </c>
      <c r="P134" s="360">
        <v>1</v>
      </c>
      <c r="Q134" s="360">
        <v>0</v>
      </c>
      <c r="R134" s="360">
        <v>27</v>
      </c>
      <c r="S134" s="360">
        <v>100</v>
      </c>
      <c r="T134" s="360">
        <v>65</v>
      </c>
      <c r="U134" s="360">
        <v>0</v>
      </c>
      <c r="V134" s="362">
        <v>0</v>
      </c>
      <c r="W134" s="376">
        <v>0</v>
      </c>
      <c r="X134" s="376">
        <v>0</v>
      </c>
      <c r="Y134" s="376">
        <v>0</v>
      </c>
      <c r="Z134" s="376">
        <v>0</v>
      </c>
      <c r="AA134" s="376">
        <v>0</v>
      </c>
      <c r="AB134" s="377">
        <v>3</v>
      </c>
      <c r="AC134" s="376">
        <v>3</v>
      </c>
      <c r="AD134" s="376">
        <v>1</v>
      </c>
      <c r="AE134" s="376">
        <v>1</v>
      </c>
      <c r="AF134" s="376">
        <v>1</v>
      </c>
      <c r="AG134" s="376">
        <v>5</v>
      </c>
      <c r="AH134" s="376">
        <v>0</v>
      </c>
      <c r="AI134" s="376">
        <v>0</v>
      </c>
      <c r="AJ134" s="376">
        <v>13</v>
      </c>
      <c r="AK134" s="376">
        <v>52</v>
      </c>
      <c r="AL134" s="376">
        <v>33</v>
      </c>
      <c r="AM134" s="363" t="s">
        <v>399</v>
      </c>
      <c r="AN134" s="364">
        <v>4</v>
      </c>
      <c r="AO134" s="364">
        <v>0</v>
      </c>
      <c r="AP134" s="364">
        <v>0</v>
      </c>
      <c r="AQ134" s="364">
        <v>0</v>
      </c>
      <c r="AR134" s="364">
        <v>1</v>
      </c>
      <c r="AS134" s="364">
        <v>0</v>
      </c>
      <c r="AT134" s="364">
        <v>0</v>
      </c>
      <c r="AU134" s="364">
        <v>0</v>
      </c>
      <c r="AV134" s="365">
        <v>0</v>
      </c>
      <c r="AW134" s="363" t="s">
        <v>345</v>
      </c>
      <c r="AX134" s="364">
        <v>5</v>
      </c>
      <c r="AY134" s="364">
        <v>0</v>
      </c>
      <c r="AZ134" s="364">
        <v>2</v>
      </c>
      <c r="BA134" s="364">
        <v>0</v>
      </c>
      <c r="BB134" s="364">
        <v>0</v>
      </c>
      <c r="BC134" s="364">
        <v>0</v>
      </c>
      <c r="BD134" s="364">
        <v>0</v>
      </c>
      <c r="BE134" s="364">
        <v>0</v>
      </c>
      <c r="BF134" s="365">
        <v>2</v>
      </c>
      <c r="BG134" s="363" t="s">
        <v>400</v>
      </c>
      <c r="BH134" s="364">
        <v>3</v>
      </c>
      <c r="BI134" s="364">
        <v>1</v>
      </c>
      <c r="BJ134" s="364">
        <v>1</v>
      </c>
      <c r="BK134" s="364">
        <v>0</v>
      </c>
      <c r="BL134" s="364">
        <v>1</v>
      </c>
      <c r="BM134" s="364">
        <v>1</v>
      </c>
      <c r="BN134" s="364">
        <v>0</v>
      </c>
      <c r="BO134" s="364">
        <v>0</v>
      </c>
      <c r="BP134" s="365">
        <v>1</v>
      </c>
      <c r="BQ134" s="363" t="s">
        <v>405</v>
      </c>
      <c r="BR134" s="364">
        <v>4</v>
      </c>
      <c r="BS134" s="364">
        <v>1</v>
      </c>
      <c r="BT134" s="364">
        <v>1</v>
      </c>
      <c r="BU134" s="364">
        <v>2</v>
      </c>
      <c r="BV134" s="364">
        <v>0</v>
      </c>
      <c r="BW134" s="364">
        <v>1</v>
      </c>
      <c r="BX134" s="364">
        <v>0</v>
      </c>
      <c r="BY134" s="364">
        <v>0</v>
      </c>
      <c r="BZ134" s="365">
        <v>4</v>
      </c>
      <c r="CA134" s="363" t="s">
        <v>406</v>
      </c>
      <c r="CB134" s="364">
        <v>4</v>
      </c>
      <c r="CC134" s="364">
        <v>0</v>
      </c>
      <c r="CD134" s="364">
        <v>2</v>
      </c>
      <c r="CE134" s="364">
        <v>0</v>
      </c>
      <c r="CF134" s="364">
        <v>0</v>
      </c>
      <c r="CG134" s="364">
        <v>1</v>
      </c>
      <c r="CH134" s="364">
        <v>0</v>
      </c>
      <c r="CI134" s="364">
        <v>0</v>
      </c>
      <c r="CJ134" s="365">
        <v>3</v>
      </c>
      <c r="CK134" s="363" t="s">
        <v>501</v>
      </c>
      <c r="CL134" s="364">
        <v>4</v>
      </c>
      <c r="CM134" s="364">
        <v>0</v>
      </c>
      <c r="CN134" s="364">
        <v>1</v>
      </c>
      <c r="CO134" s="364">
        <v>0</v>
      </c>
      <c r="CP134" s="364">
        <v>0</v>
      </c>
      <c r="CQ134" s="364">
        <v>1</v>
      </c>
      <c r="CR134" s="364">
        <v>0</v>
      </c>
      <c r="CS134" s="364">
        <v>0</v>
      </c>
      <c r="CT134" s="365">
        <v>1</v>
      </c>
      <c r="CU134" s="363" t="s">
        <v>403</v>
      </c>
      <c r="CV134" s="364">
        <v>4</v>
      </c>
      <c r="CW134" s="364">
        <v>0</v>
      </c>
      <c r="CX134" s="364">
        <v>1</v>
      </c>
      <c r="CY134" s="364">
        <v>0</v>
      </c>
      <c r="CZ134" s="364">
        <v>0</v>
      </c>
      <c r="DA134" s="364">
        <v>0</v>
      </c>
      <c r="DB134" s="364">
        <v>0</v>
      </c>
      <c r="DC134" s="364">
        <v>0</v>
      </c>
      <c r="DD134" s="365">
        <v>2</v>
      </c>
      <c r="DE134" s="363" t="s">
        <v>331</v>
      </c>
      <c r="DF134" s="364">
        <v>4</v>
      </c>
      <c r="DG134" s="364">
        <v>0</v>
      </c>
      <c r="DH134" s="364">
        <v>0</v>
      </c>
      <c r="DI134" s="364">
        <v>0</v>
      </c>
      <c r="DJ134" s="364">
        <v>0</v>
      </c>
      <c r="DK134" s="364">
        <v>1</v>
      </c>
      <c r="DL134" s="364">
        <v>0</v>
      </c>
      <c r="DM134" s="364">
        <v>0</v>
      </c>
      <c r="DN134" s="365">
        <v>0</v>
      </c>
      <c r="DO134" s="363" t="s">
        <v>401</v>
      </c>
      <c r="DP134" s="364">
        <v>4</v>
      </c>
      <c r="DQ134" s="364">
        <v>0</v>
      </c>
      <c r="DR134" s="364">
        <v>1</v>
      </c>
      <c r="DS134" s="364">
        <v>0</v>
      </c>
      <c r="DT134" s="364">
        <v>0</v>
      </c>
      <c r="DU134" s="364">
        <v>2</v>
      </c>
      <c r="DV134" s="364">
        <v>0</v>
      </c>
      <c r="DW134" s="364">
        <v>0</v>
      </c>
      <c r="DX134" s="365">
        <v>1</v>
      </c>
      <c r="DY134" s="366">
        <f>6+2/3</f>
        <v>6.666666666666667</v>
      </c>
      <c r="DZ134" s="367">
        <v>1</v>
      </c>
      <c r="EA134" s="367">
        <v>1</v>
      </c>
      <c r="EB134" s="368">
        <f>2+1/3</f>
        <v>2.3333333333333335</v>
      </c>
      <c r="EC134" s="367">
        <v>2</v>
      </c>
      <c r="ED134" s="369">
        <v>0</v>
      </c>
      <c r="EE134" s="370">
        <v>2</v>
      </c>
      <c r="EF134" s="367">
        <v>0</v>
      </c>
      <c r="EG134" s="367">
        <v>0</v>
      </c>
      <c r="EH134" s="367">
        <v>0</v>
      </c>
      <c r="EI134" s="367">
        <v>0</v>
      </c>
      <c r="EJ134" s="367">
        <v>0</v>
      </c>
      <c r="EK134" s="367">
        <v>0</v>
      </c>
      <c r="EL134" s="367">
        <v>0</v>
      </c>
      <c r="EM134" s="367">
        <v>0</v>
      </c>
      <c r="EN134" s="367"/>
      <c r="EO134" s="367"/>
      <c r="EP134" s="367"/>
      <c r="EQ134" s="369">
        <f t="shared" si="40"/>
        <v>2</v>
      </c>
      <c r="ER134" s="367">
        <v>0</v>
      </c>
      <c r="ES134" s="367">
        <v>4</v>
      </c>
      <c r="ET134" s="367">
        <v>1</v>
      </c>
      <c r="EU134" s="367">
        <v>0</v>
      </c>
      <c r="EV134" s="367">
        <v>0</v>
      </c>
      <c r="EW134" s="367">
        <v>0</v>
      </c>
      <c r="EX134" s="367">
        <v>1</v>
      </c>
      <c r="EY134" s="367">
        <v>0</v>
      </c>
      <c r="EZ134" s="367">
        <v>0</v>
      </c>
      <c r="FA134" s="367"/>
      <c r="FB134" s="367"/>
      <c r="FC134" s="367"/>
      <c r="FD134" s="367">
        <f t="shared" si="41"/>
        <v>6</v>
      </c>
      <c r="FE134" s="371">
        <f t="shared" si="42"/>
        <v>0</v>
      </c>
      <c r="FF134" s="371">
        <f t="shared" si="43"/>
        <v>0</v>
      </c>
      <c r="FG134" s="372"/>
    </row>
    <row r="135" spans="1:163" x14ac:dyDescent="0.25">
      <c r="A135" s="380">
        <v>40416</v>
      </c>
      <c r="B135" s="380" t="s">
        <v>133</v>
      </c>
      <c r="C135" s="380" t="s">
        <v>131</v>
      </c>
      <c r="D135" s="380" t="s">
        <v>333</v>
      </c>
      <c r="E135" s="374">
        <v>5056</v>
      </c>
      <c r="F135" s="358">
        <v>1</v>
      </c>
      <c r="G135" s="359" t="s">
        <v>398</v>
      </c>
      <c r="H135" s="360">
        <v>0</v>
      </c>
      <c r="I135" s="360">
        <v>1</v>
      </c>
      <c r="J135" s="361">
        <f>4+1/3</f>
        <v>4.333333333333333</v>
      </c>
      <c r="K135" s="360">
        <v>11</v>
      </c>
      <c r="L135" s="360">
        <v>7</v>
      </c>
      <c r="M135" s="360">
        <v>6</v>
      </c>
      <c r="N135" s="360">
        <v>3</v>
      </c>
      <c r="O135" s="360">
        <v>5</v>
      </c>
      <c r="P135" s="360">
        <v>1</v>
      </c>
      <c r="Q135" s="360">
        <v>0</v>
      </c>
      <c r="R135" s="360">
        <v>26</v>
      </c>
      <c r="S135" s="360">
        <v>100</v>
      </c>
      <c r="T135" s="360">
        <v>59</v>
      </c>
      <c r="U135" s="360">
        <v>2</v>
      </c>
      <c r="V135" s="362">
        <v>0</v>
      </c>
      <c r="W135" s="376">
        <v>0</v>
      </c>
      <c r="X135" s="376">
        <v>0</v>
      </c>
      <c r="Y135" s="376">
        <v>0</v>
      </c>
      <c r="Z135" s="376">
        <v>0</v>
      </c>
      <c r="AA135" s="376">
        <v>0</v>
      </c>
      <c r="AB135" s="377">
        <f>3+2/3</f>
        <v>3.6666666666666665</v>
      </c>
      <c r="AC135" s="376">
        <v>7</v>
      </c>
      <c r="AD135" s="376">
        <v>4</v>
      </c>
      <c r="AE135" s="376">
        <v>1</v>
      </c>
      <c r="AF135" s="376">
        <v>0</v>
      </c>
      <c r="AG135" s="376">
        <v>3</v>
      </c>
      <c r="AH135" s="376">
        <v>0</v>
      </c>
      <c r="AI135" s="376">
        <v>0</v>
      </c>
      <c r="AJ135" s="376">
        <v>19</v>
      </c>
      <c r="AK135" s="376">
        <v>79</v>
      </c>
      <c r="AL135" s="376">
        <v>51</v>
      </c>
      <c r="AM135" s="363" t="s">
        <v>399</v>
      </c>
      <c r="AN135" s="364">
        <v>5</v>
      </c>
      <c r="AO135" s="364">
        <v>1</v>
      </c>
      <c r="AP135" s="364">
        <v>2</v>
      </c>
      <c r="AQ135" s="364">
        <v>0</v>
      </c>
      <c r="AR135" s="364">
        <v>0</v>
      </c>
      <c r="AS135" s="364">
        <v>0</v>
      </c>
      <c r="AT135" s="364">
        <v>0</v>
      </c>
      <c r="AU135" s="364">
        <v>0</v>
      </c>
      <c r="AV135" s="365">
        <v>2</v>
      </c>
      <c r="AW135" s="363" t="s">
        <v>345</v>
      </c>
      <c r="AX135" s="364">
        <v>5</v>
      </c>
      <c r="AY135" s="364">
        <v>0</v>
      </c>
      <c r="AZ135" s="364">
        <v>1</v>
      </c>
      <c r="BA135" s="364">
        <v>0</v>
      </c>
      <c r="BB135" s="364">
        <v>0</v>
      </c>
      <c r="BC135" s="364">
        <v>0</v>
      </c>
      <c r="BD135" s="364">
        <v>0</v>
      </c>
      <c r="BE135" s="364">
        <v>0</v>
      </c>
      <c r="BF135" s="365">
        <v>2</v>
      </c>
      <c r="BG135" s="363" t="s">
        <v>400</v>
      </c>
      <c r="BH135" s="364">
        <v>3</v>
      </c>
      <c r="BI135" s="364">
        <v>1</v>
      </c>
      <c r="BJ135" s="364">
        <v>0</v>
      </c>
      <c r="BK135" s="364">
        <v>0</v>
      </c>
      <c r="BL135" s="364">
        <v>1</v>
      </c>
      <c r="BM135" s="364">
        <v>2</v>
      </c>
      <c r="BN135" s="364">
        <v>1</v>
      </c>
      <c r="BO135" s="364">
        <v>0</v>
      </c>
      <c r="BP135" s="365">
        <v>0</v>
      </c>
      <c r="BQ135" s="363" t="s">
        <v>575</v>
      </c>
      <c r="BR135" s="364">
        <v>4</v>
      </c>
      <c r="BS135" s="364">
        <v>1</v>
      </c>
      <c r="BT135" s="364">
        <v>1</v>
      </c>
      <c r="BU135" s="364">
        <v>0</v>
      </c>
      <c r="BV135" s="364">
        <v>1</v>
      </c>
      <c r="BW135" s="364">
        <v>1</v>
      </c>
      <c r="BX135" s="364">
        <v>0</v>
      </c>
      <c r="BY135" s="364">
        <v>0</v>
      </c>
      <c r="BZ135" s="365">
        <v>1</v>
      </c>
      <c r="CA135" s="363" t="s">
        <v>406</v>
      </c>
      <c r="CB135" s="364">
        <v>5</v>
      </c>
      <c r="CC135" s="364">
        <v>0</v>
      </c>
      <c r="CD135" s="364">
        <v>2</v>
      </c>
      <c r="CE135" s="364">
        <v>2</v>
      </c>
      <c r="CF135" s="364">
        <v>0</v>
      </c>
      <c r="CG135" s="364">
        <v>1</v>
      </c>
      <c r="CH135" s="364">
        <v>0</v>
      </c>
      <c r="CI135" s="364">
        <v>0</v>
      </c>
      <c r="CJ135" s="365">
        <v>2</v>
      </c>
      <c r="CK135" s="363" t="s">
        <v>501</v>
      </c>
      <c r="CL135" s="364">
        <v>5</v>
      </c>
      <c r="CM135" s="364">
        <v>0</v>
      </c>
      <c r="CN135" s="364">
        <v>3</v>
      </c>
      <c r="CO135" s="364">
        <v>1</v>
      </c>
      <c r="CP135" s="364">
        <v>0</v>
      </c>
      <c r="CQ135" s="364">
        <v>0</v>
      </c>
      <c r="CR135" s="364">
        <v>0</v>
      </c>
      <c r="CS135" s="364">
        <v>0</v>
      </c>
      <c r="CT135" s="365">
        <v>4</v>
      </c>
      <c r="CU135" s="363" t="s">
        <v>403</v>
      </c>
      <c r="CV135" s="364">
        <v>4</v>
      </c>
      <c r="CW135" s="364">
        <v>1</v>
      </c>
      <c r="CX135" s="364">
        <v>0</v>
      </c>
      <c r="CY135" s="364">
        <v>0</v>
      </c>
      <c r="CZ135" s="364">
        <v>0</v>
      </c>
      <c r="DA135" s="364">
        <v>1</v>
      </c>
      <c r="DB135" s="364">
        <v>0</v>
      </c>
      <c r="DC135" s="364">
        <v>0</v>
      </c>
      <c r="DD135" s="365">
        <v>0</v>
      </c>
      <c r="DE135" s="363" t="s">
        <v>401</v>
      </c>
      <c r="DF135" s="364">
        <v>2</v>
      </c>
      <c r="DG135" s="364">
        <v>0</v>
      </c>
      <c r="DH135" s="364">
        <v>0</v>
      </c>
      <c r="DI135" s="364">
        <v>0</v>
      </c>
      <c r="DJ135" s="364">
        <v>2</v>
      </c>
      <c r="DK135" s="364">
        <v>2</v>
      </c>
      <c r="DL135" s="364">
        <v>0</v>
      </c>
      <c r="DM135" s="364">
        <v>0</v>
      </c>
      <c r="DN135" s="365">
        <v>0</v>
      </c>
      <c r="DO135" s="363" t="s">
        <v>330</v>
      </c>
      <c r="DP135" s="364">
        <v>4</v>
      </c>
      <c r="DQ135" s="364">
        <v>0</v>
      </c>
      <c r="DR135" s="364">
        <v>2</v>
      </c>
      <c r="DS135" s="364">
        <v>1</v>
      </c>
      <c r="DT135" s="364">
        <v>0</v>
      </c>
      <c r="DU135" s="364">
        <v>0</v>
      </c>
      <c r="DV135" s="364">
        <v>0</v>
      </c>
      <c r="DW135" s="364">
        <v>0</v>
      </c>
      <c r="DX135" s="365">
        <v>3</v>
      </c>
      <c r="DY135" s="366">
        <f>5+2/3</f>
        <v>5.666666666666667</v>
      </c>
      <c r="DZ135" s="367">
        <v>0</v>
      </c>
      <c r="EA135" s="367">
        <v>0</v>
      </c>
      <c r="EB135" s="368">
        <f>3+1/3</f>
        <v>3.3333333333333335</v>
      </c>
      <c r="EC135" s="367">
        <v>0</v>
      </c>
      <c r="ED135" s="369">
        <v>0</v>
      </c>
      <c r="EE135" s="370">
        <v>0</v>
      </c>
      <c r="EF135" s="367">
        <v>0</v>
      </c>
      <c r="EG135" s="367">
        <v>0</v>
      </c>
      <c r="EH135" s="367">
        <v>1</v>
      </c>
      <c r="EI135" s="367">
        <v>2</v>
      </c>
      <c r="EJ135" s="367">
        <v>0</v>
      </c>
      <c r="EK135" s="367">
        <v>0</v>
      </c>
      <c r="EL135" s="367">
        <v>0</v>
      </c>
      <c r="EM135" s="367">
        <v>1</v>
      </c>
      <c r="EN135" s="367"/>
      <c r="EO135" s="367"/>
      <c r="EP135" s="367"/>
      <c r="EQ135" s="369">
        <f t="shared" si="40"/>
        <v>4</v>
      </c>
      <c r="ER135" s="367">
        <v>0</v>
      </c>
      <c r="ES135" s="367">
        <v>2</v>
      </c>
      <c r="ET135" s="367">
        <v>1</v>
      </c>
      <c r="EU135" s="367">
        <v>0</v>
      </c>
      <c r="EV135" s="367">
        <v>4</v>
      </c>
      <c r="EW135" s="367">
        <v>4</v>
      </c>
      <c r="EX135" s="367">
        <v>0</v>
      </c>
      <c r="EY135" s="367">
        <v>0</v>
      </c>
      <c r="EZ135" s="367"/>
      <c r="FA135" s="367"/>
      <c r="FB135" s="367"/>
      <c r="FC135" s="367"/>
      <c r="FD135" s="367">
        <f t="shared" si="41"/>
        <v>11</v>
      </c>
      <c r="FE135" s="371">
        <f t="shared" si="42"/>
        <v>0</v>
      </c>
      <c r="FF135" s="371">
        <f t="shared" si="43"/>
        <v>0</v>
      </c>
      <c r="FG135" s="372"/>
    </row>
    <row r="136" spans="1:163" x14ac:dyDescent="0.25">
      <c r="A136" s="380">
        <v>40417</v>
      </c>
      <c r="B136" s="380" t="s">
        <v>133</v>
      </c>
      <c r="C136" s="380" t="s">
        <v>131</v>
      </c>
      <c r="D136" s="380" t="s">
        <v>333</v>
      </c>
      <c r="E136" s="374">
        <v>7099</v>
      </c>
      <c r="F136" s="358">
        <v>2</v>
      </c>
      <c r="G136" s="359" t="s">
        <v>664</v>
      </c>
      <c r="H136" s="360">
        <v>0</v>
      </c>
      <c r="I136" s="360">
        <v>0</v>
      </c>
      <c r="J136" s="361">
        <v>6</v>
      </c>
      <c r="K136" s="360">
        <v>5</v>
      </c>
      <c r="L136" s="360">
        <v>1</v>
      </c>
      <c r="M136" s="360">
        <v>1</v>
      </c>
      <c r="N136" s="360">
        <v>1</v>
      </c>
      <c r="O136" s="360">
        <v>2</v>
      </c>
      <c r="P136" s="360">
        <v>1</v>
      </c>
      <c r="Q136" s="360">
        <v>0</v>
      </c>
      <c r="R136" s="360">
        <v>24</v>
      </c>
      <c r="S136" s="360">
        <v>82</v>
      </c>
      <c r="T136" s="360">
        <v>49</v>
      </c>
      <c r="U136" s="360">
        <v>0</v>
      </c>
      <c r="V136" s="362">
        <v>0</v>
      </c>
      <c r="W136" s="376">
        <v>0</v>
      </c>
      <c r="X136" s="376">
        <v>1</v>
      </c>
      <c r="Y136" s="376">
        <v>1</v>
      </c>
      <c r="Z136" s="376">
        <v>0</v>
      </c>
      <c r="AA136" s="376">
        <v>1</v>
      </c>
      <c r="AB136" s="377">
        <f>2+2/3</f>
        <v>2.6666666666666665</v>
      </c>
      <c r="AC136" s="376">
        <v>4</v>
      </c>
      <c r="AD136" s="376">
        <v>3</v>
      </c>
      <c r="AE136" s="376">
        <v>3</v>
      </c>
      <c r="AF136" s="376">
        <v>2</v>
      </c>
      <c r="AG136" s="376">
        <v>2</v>
      </c>
      <c r="AH136" s="376">
        <v>0</v>
      </c>
      <c r="AI136" s="376">
        <v>0</v>
      </c>
      <c r="AJ136" s="376">
        <v>14</v>
      </c>
      <c r="AK136" s="376">
        <v>49</v>
      </c>
      <c r="AL136" s="376">
        <v>30</v>
      </c>
      <c r="AM136" s="363" t="s">
        <v>399</v>
      </c>
      <c r="AN136" s="364">
        <v>4</v>
      </c>
      <c r="AO136" s="364">
        <v>0</v>
      </c>
      <c r="AP136" s="364">
        <v>1</v>
      </c>
      <c r="AQ136" s="364">
        <v>0</v>
      </c>
      <c r="AR136" s="364">
        <v>0</v>
      </c>
      <c r="AS136" s="364">
        <v>0</v>
      </c>
      <c r="AT136" s="364">
        <v>0</v>
      </c>
      <c r="AU136" s="364">
        <v>0</v>
      </c>
      <c r="AV136" s="365">
        <v>1</v>
      </c>
      <c r="AW136" s="363" t="s">
        <v>401</v>
      </c>
      <c r="AX136" s="364">
        <v>4</v>
      </c>
      <c r="AY136" s="364">
        <v>1</v>
      </c>
      <c r="AZ136" s="364">
        <v>1</v>
      </c>
      <c r="BA136" s="364">
        <v>0</v>
      </c>
      <c r="BB136" s="364">
        <v>0</v>
      </c>
      <c r="BC136" s="364">
        <v>0</v>
      </c>
      <c r="BD136" s="364">
        <v>0</v>
      </c>
      <c r="BE136" s="364">
        <v>0</v>
      </c>
      <c r="BF136" s="365">
        <v>2</v>
      </c>
      <c r="BG136" s="363" t="s">
        <v>345</v>
      </c>
      <c r="BH136" s="364">
        <v>3</v>
      </c>
      <c r="BI136" s="364">
        <v>0</v>
      </c>
      <c r="BJ136" s="364">
        <v>1</v>
      </c>
      <c r="BK136" s="364">
        <v>1</v>
      </c>
      <c r="BL136" s="364">
        <v>1</v>
      </c>
      <c r="BM136" s="364">
        <v>1</v>
      </c>
      <c r="BN136" s="364">
        <v>0</v>
      </c>
      <c r="BO136" s="364">
        <v>0</v>
      </c>
      <c r="BP136" s="365">
        <v>1</v>
      </c>
      <c r="BQ136" s="363" t="s">
        <v>405</v>
      </c>
      <c r="BR136" s="364">
        <v>4</v>
      </c>
      <c r="BS136" s="364">
        <v>0</v>
      </c>
      <c r="BT136" s="364">
        <v>0</v>
      </c>
      <c r="BU136" s="364">
        <v>0</v>
      </c>
      <c r="BV136" s="364">
        <v>0</v>
      </c>
      <c r="BW136" s="364">
        <v>2</v>
      </c>
      <c r="BX136" s="364">
        <v>0</v>
      </c>
      <c r="BY136" s="364">
        <v>0</v>
      </c>
      <c r="BZ136" s="365">
        <v>0</v>
      </c>
      <c r="CA136" s="363" t="s">
        <v>406</v>
      </c>
      <c r="CB136" s="364">
        <v>4</v>
      </c>
      <c r="CC136" s="364">
        <v>1</v>
      </c>
      <c r="CD136" s="364">
        <v>1</v>
      </c>
      <c r="CE136" s="364">
        <v>0</v>
      </c>
      <c r="CF136" s="364">
        <v>0</v>
      </c>
      <c r="CG136" s="364">
        <v>1</v>
      </c>
      <c r="CH136" s="364">
        <v>0</v>
      </c>
      <c r="CI136" s="364">
        <v>0</v>
      </c>
      <c r="CJ136" s="365">
        <v>2</v>
      </c>
      <c r="CK136" s="363" t="s">
        <v>501</v>
      </c>
      <c r="CL136" s="364">
        <v>3</v>
      </c>
      <c r="CM136" s="364">
        <v>1</v>
      </c>
      <c r="CN136" s="364">
        <v>2</v>
      </c>
      <c r="CO136" s="364">
        <v>1</v>
      </c>
      <c r="CP136" s="364">
        <v>1</v>
      </c>
      <c r="CQ136" s="364">
        <v>0</v>
      </c>
      <c r="CR136" s="364">
        <v>0</v>
      </c>
      <c r="CS136" s="364">
        <v>0</v>
      </c>
      <c r="CT136" s="365">
        <v>5</v>
      </c>
      <c r="CU136" s="363" t="s">
        <v>403</v>
      </c>
      <c r="CV136" s="364">
        <v>4</v>
      </c>
      <c r="CW136" s="364">
        <v>0</v>
      </c>
      <c r="CX136" s="364">
        <v>1</v>
      </c>
      <c r="CY136" s="364">
        <v>1</v>
      </c>
      <c r="CZ136" s="364">
        <v>0</v>
      </c>
      <c r="DA136" s="364">
        <v>1</v>
      </c>
      <c r="DB136" s="364">
        <v>0</v>
      </c>
      <c r="DC136" s="364">
        <v>0</v>
      </c>
      <c r="DD136" s="365">
        <v>1</v>
      </c>
      <c r="DE136" s="363" t="s">
        <v>331</v>
      </c>
      <c r="DF136" s="364">
        <v>4</v>
      </c>
      <c r="DG136" s="364">
        <v>0</v>
      </c>
      <c r="DH136" s="364">
        <v>2</v>
      </c>
      <c r="DI136" s="364">
        <v>0</v>
      </c>
      <c r="DJ136" s="364">
        <v>0</v>
      </c>
      <c r="DK136" s="364">
        <v>0</v>
      </c>
      <c r="DL136" s="364">
        <v>0</v>
      </c>
      <c r="DM136" s="364">
        <v>0</v>
      </c>
      <c r="DN136" s="365">
        <v>2</v>
      </c>
      <c r="DO136" s="363" t="s">
        <v>330</v>
      </c>
      <c r="DP136" s="364">
        <v>2</v>
      </c>
      <c r="DQ136" s="364">
        <v>0</v>
      </c>
      <c r="DR136" s="364">
        <v>0</v>
      </c>
      <c r="DS136" s="364">
        <v>0</v>
      </c>
      <c r="DT136" s="364">
        <v>1</v>
      </c>
      <c r="DU136" s="364">
        <v>1</v>
      </c>
      <c r="DV136" s="364">
        <v>0</v>
      </c>
      <c r="DW136" s="364">
        <v>0</v>
      </c>
      <c r="DX136" s="365">
        <v>0</v>
      </c>
      <c r="DY136" s="366">
        <v>1</v>
      </c>
      <c r="DZ136" s="367">
        <v>0</v>
      </c>
      <c r="EA136" s="367">
        <v>0</v>
      </c>
      <c r="EB136" s="368">
        <v>8</v>
      </c>
      <c r="EC136" s="367">
        <v>0</v>
      </c>
      <c r="ED136" s="369">
        <v>1</v>
      </c>
      <c r="EE136" s="370">
        <v>1</v>
      </c>
      <c r="EF136" s="367">
        <v>1</v>
      </c>
      <c r="EG136" s="367">
        <v>0</v>
      </c>
      <c r="EH136" s="367">
        <v>1</v>
      </c>
      <c r="EI136" s="367">
        <v>0</v>
      </c>
      <c r="EJ136" s="367">
        <v>0</v>
      </c>
      <c r="EK136" s="367">
        <v>0</v>
      </c>
      <c r="EL136" s="367">
        <v>0</v>
      </c>
      <c r="EM136" s="367">
        <v>0</v>
      </c>
      <c r="EN136" s="367"/>
      <c r="EO136" s="367"/>
      <c r="EP136" s="367"/>
      <c r="EQ136" s="369">
        <f t="shared" si="40"/>
        <v>3</v>
      </c>
      <c r="ER136" s="367">
        <v>0</v>
      </c>
      <c r="ES136" s="367">
        <v>0</v>
      </c>
      <c r="ET136" s="367">
        <v>1</v>
      </c>
      <c r="EU136" s="367">
        <v>0</v>
      </c>
      <c r="EV136" s="367">
        <v>0</v>
      </c>
      <c r="EW136" s="367">
        <v>0</v>
      </c>
      <c r="EX136" s="367">
        <v>0</v>
      </c>
      <c r="EY136" s="367">
        <v>0</v>
      </c>
      <c r="EZ136" s="367">
        <v>3</v>
      </c>
      <c r="FA136" s="367"/>
      <c r="FB136" s="367"/>
      <c r="FC136" s="367"/>
      <c r="FD136" s="367">
        <f t="shared" si="41"/>
        <v>4</v>
      </c>
      <c r="FE136" s="371">
        <f t="shared" si="42"/>
        <v>0</v>
      </c>
      <c r="FF136" s="371">
        <f t="shared" si="43"/>
        <v>0</v>
      </c>
      <c r="FG136" s="372"/>
    </row>
    <row r="137" spans="1:163" x14ac:dyDescent="0.25">
      <c r="A137" s="380">
        <v>40418</v>
      </c>
      <c r="B137" s="380" t="s">
        <v>133</v>
      </c>
      <c r="C137" s="380" t="s">
        <v>131</v>
      </c>
      <c r="D137" s="380" t="s">
        <v>358</v>
      </c>
      <c r="E137" s="374">
        <v>8875</v>
      </c>
      <c r="F137" s="358">
        <v>3</v>
      </c>
      <c r="G137" s="359" t="s">
        <v>341</v>
      </c>
      <c r="H137" s="360">
        <v>0</v>
      </c>
      <c r="I137" s="360">
        <v>0</v>
      </c>
      <c r="J137" s="361">
        <f>6+1/3</f>
        <v>6.333333333333333</v>
      </c>
      <c r="K137" s="360">
        <v>4</v>
      </c>
      <c r="L137" s="360">
        <v>1</v>
      </c>
      <c r="M137" s="360">
        <v>1</v>
      </c>
      <c r="N137" s="360">
        <v>1</v>
      </c>
      <c r="O137" s="360">
        <v>3</v>
      </c>
      <c r="P137" s="360">
        <v>0</v>
      </c>
      <c r="Q137" s="360">
        <v>0</v>
      </c>
      <c r="R137" s="360">
        <v>23</v>
      </c>
      <c r="S137" s="360">
        <v>98</v>
      </c>
      <c r="T137" s="360">
        <v>59</v>
      </c>
      <c r="U137" s="360">
        <v>0</v>
      </c>
      <c r="V137" s="362">
        <v>0</v>
      </c>
      <c r="W137" s="376">
        <v>0</v>
      </c>
      <c r="X137" s="376">
        <v>1</v>
      </c>
      <c r="Y137" s="376">
        <v>0</v>
      </c>
      <c r="Z137" s="376">
        <v>0</v>
      </c>
      <c r="AA137" s="376">
        <v>0</v>
      </c>
      <c r="AB137" s="377">
        <v>4</v>
      </c>
      <c r="AC137" s="376">
        <v>4</v>
      </c>
      <c r="AD137" s="376">
        <v>2</v>
      </c>
      <c r="AE137" s="376">
        <v>2</v>
      </c>
      <c r="AF137" s="376">
        <v>2</v>
      </c>
      <c r="AG137" s="376">
        <v>4</v>
      </c>
      <c r="AH137" s="376">
        <v>1</v>
      </c>
      <c r="AI137" s="376">
        <v>0</v>
      </c>
      <c r="AJ137" s="376">
        <v>18</v>
      </c>
      <c r="AK137" s="376">
        <v>75</v>
      </c>
      <c r="AL137" s="376">
        <v>46</v>
      </c>
      <c r="AM137" s="363" t="s">
        <v>399</v>
      </c>
      <c r="AN137" s="364">
        <v>4</v>
      </c>
      <c r="AO137" s="364">
        <v>0</v>
      </c>
      <c r="AP137" s="364">
        <v>0</v>
      </c>
      <c r="AQ137" s="364">
        <v>0</v>
      </c>
      <c r="AR137" s="364">
        <v>1</v>
      </c>
      <c r="AS137" s="364">
        <v>2</v>
      </c>
      <c r="AT137" s="364">
        <v>1</v>
      </c>
      <c r="AU137" s="364">
        <v>0</v>
      </c>
      <c r="AV137" s="365">
        <v>0</v>
      </c>
      <c r="AW137" s="363" t="s">
        <v>345</v>
      </c>
      <c r="AX137" s="364">
        <v>4</v>
      </c>
      <c r="AY137" s="364">
        <v>0</v>
      </c>
      <c r="AZ137" s="364">
        <v>1</v>
      </c>
      <c r="BA137" s="364">
        <v>0</v>
      </c>
      <c r="BB137" s="364">
        <v>0</v>
      </c>
      <c r="BC137" s="364">
        <v>0</v>
      </c>
      <c r="BD137" s="364">
        <v>0</v>
      </c>
      <c r="BE137" s="364">
        <v>0</v>
      </c>
      <c r="BF137" s="365">
        <v>1</v>
      </c>
      <c r="BG137" s="363" t="s">
        <v>400</v>
      </c>
      <c r="BH137" s="364">
        <v>5</v>
      </c>
      <c r="BI137" s="364">
        <v>0</v>
      </c>
      <c r="BJ137" s="364">
        <v>2</v>
      </c>
      <c r="BK137" s="364">
        <v>0</v>
      </c>
      <c r="BL137" s="364">
        <v>1</v>
      </c>
      <c r="BM137" s="364">
        <v>2</v>
      </c>
      <c r="BN137" s="364">
        <v>0</v>
      </c>
      <c r="BO137" s="364">
        <v>0</v>
      </c>
      <c r="BP137" s="365">
        <v>2</v>
      </c>
      <c r="BQ137" s="363" t="s">
        <v>405</v>
      </c>
      <c r="BR137" s="364">
        <v>6</v>
      </c>
      <c r="BS137" s="364">
        <v>0</v>
      </c>
      <c r="BT137" s="364">
        <v>1</v>
      </c>
      <c r="BU137" s="364">
        <v>0</v>
      </c>
      <c r="BV137" s="364">
        <v>0</v>
      </c>
      <c r="BW137" s="364">
        <v>3</v>
      </c>
      <c r="BX137" s="364">
        <v>0</v>
      </c>
      <c r="BY137" s="364">
        <v>0</v>
      </c>
      <c r="BZ137" s="365">
        <v>1</v>
      </c>
      <c r="CA137" s="363" t="s">
        <v>406</v>
      </c>
      <c r="CB137" s="364">
        <v>3</v>
      </c>
      <c r="CC137" s="364">
        <v>1</v>
      </c>
      <c r="CD137" s="364">
        <v>1</v>
      </c>
      <c r="CE137" s="364">
        <v>0</v>
      </c>
      <c r="CF137" s="364">
        <v>2</v>
      </c>
      <c r="CG137" s="364">
        <v>0</v>
      </c>
      <c r="CH137" s="364">
        <v>0</v>
      </c>
      <c r="CI137" s="364">
        <v>0</v>
      </c>
      <c r="CJ137" s="365">
        <v>1</v>
      </c>
      <c r="CK137" s="363" t="s">
        <v>501</v>
      </c>
      <c r="CL137" s="364">
        <v>4</v>
      </c>
      <c r="CM137" s="364">
        <v>0</v>
      </c>
      <c r="CN137" s="364">
        <v>1</v>
      </c>
      <c r="CO137" s="364">
        <v>0</v>
      </c>
      <c r="CP137" s="364">
        <v>1</v>
      </c>
      <c r="CQ137" s="364">
        <v>0</v>
      </c>
      <c r="CR137" s="364">
        <v>0</v>
      </c>
      <c r="CS137" s="364">
        <v>0</v>
      </c>
      <c r="CT137" s="365">
        <v>2</v>
      </c>
      <c r="CU137" s="363" t="s">
        <v>403</v>
      </c>
      <c r="CV137" s="364">
        <v>4</v>
      </c>
      <c r="CW137" s="364">
        <v>0</v>
      </c>
      <c r="CX137" s="364">
        <v>2</v>
      </c>
      <c r="CY137" s="364">
        <v>1</v>
      </c>
      <c r="CZ137" s="364">
        <v>1</v>
      </c>
      <c r="DA137" s="364">
        <v>0</v>
      </c>
      <c r="DB137" s="364">
        <v>0</v>
      </c>
      <c r="DC137" s="364">
        <v>0</v>
      </c>
      <c r="DD137" s="365">
        <v>2</v>
      </c>
      <c r="DE137" s="363" t="s">
        <v>331</v>
      </c>
      <c r="DF137" s="364">
        <v>5</v>
      </c>
      <c r="DG137" s="364">
        <v>0</v>
      </c>
      <c r="DH137" s="364">
        <v>2</v>
      </c>
      <c r="DI137" s="364">
        <v>0</v>
      </c>
      <c r="DJ137" s="364">
        <v>0</v>
      </c>
      <c r="DK137" s="364">
        <v>2</v>
      </c>
      <c r="DL137" s="364">
        <v>0</v>
      </c>
      <c r="DM137" s="364">
        <v>0</v>
      </c>
      <c r="DN137" s="365">
        <v>2</v>
      </c>
      <c r="DO137" s="363" t="s">
        <v>401</v>
      </c>
      <c r="DP137" s="364">
        <v>5</v>
      </c>
      <c r="DQ137" s="364">
        <v>0</v>
      </c>
      <c r="DR137" s="364">
        <v>1</v>
      </c>
      <c r="DS137" s="364">
        <v>0</v>
      </c>
      <c r="DT137" s="364">
        <v>0</v>
      </c>
      <c r="DU137" s="364">
        <v>0</v>
      </c>
      <c r="DV137" s="364">
        <v>0</v>
      </c>
      <c r="DW137" s="364">
        <v>0</v>
      </c>
      <c r="DX137" s="365">
        <v>2</v>
      </c>
      <c r="DY137" s="366">
        <v>3</v>
      </c>
      <c r="DZ137" s="367">
        <v>1</v>
      </c>
      <c r="EA137" s="367">
        <v>0</v>
      </c>
      <c r="EB137" s="368">
        <v>8</v>
      </c>
      <c r="EC137" s="367">
        <v>0</v>
      </c>
      <c r="ED137" s="369">
        <v>0</v>
      </c>
      <c r="EE137" s="370">
        <v>0</v>
      </c>
      <c r="EF137" s="367">
        <v>0</v>
      </c>
      <c r="EG137" s="367">
        <v>0</v>
      </c>
      <c r="EH137" s="367">
        <v>0</v>
      </c>
      <c r="EI137" s="367">
        <v>0</v>
      </c>
      <c r="EJ137" s="367">
        <v>1</v>
      </c>
      <c r="EK137" s="367">
        <v>0</v>
      </c>
      <c r="EL137" s="367">
        <v>0</v>
      </c>
      <c r="EM137" s="367">
        <v>0</v>
      </c>
      <c r="EN137" s="367">
        <v>0</v>
      </c>
      <c r="EO137" s="367">
        <v>0</v>
      </c>
      <c r="EP137" s="367"/>
      <c r="EQ137" s="369">
        <f t="shared" si="40"/>
        <v>1</v>
      </c>
      <c r="ER137" s="367">
        <v>0</v>
      </c>
      <c r="ES137" s="367">
        <v>0</v>
      </c>
      <c r="ET137" s="367">
        <v>1</v>
      </c>
      <c r="EU137" s="367">
        <v>0</v>
      </c>
      <c r="EV137" s="367">
        <v>0</v>
      </c>
      <c r="EW137" s="367">
        <v>0</v>
      </c>
      <c r="EX137" s="367">
        <v>0</v>
      </c>
      <c r="EY137" s="367">
        <v>0</v>
      </c>
      <c r="EZ137" s="367">
        <v>0</v>
      </c>
      <c r="FA137" s="367">
        <v>0</v>
      </c>
      <c r="FB137" s="367">
        <v>2</v>
      </c>
      <c r="FC137" s="367"/>
      <c r="FD137" s="367">
        <f t="shared" si="41"/>
        <v>3</v>
      </c>
      <c r="FE137" s="371">
        <f t="shared" si="42"/>
        <v>0</v>
      </c>
      <c r="FF137" s="371">
        <f t="shared" si="43"/>
        <v>0</v>
      </c>
      <c r="FG137" s="372"/>
    </row>
    <row r="138" spans="1:163" x14ac:dyDescent="0.25">
      <c r="A138" s="380">
        <v>40419</v>
      </c>
      <c r="B138" s="380" t="s">
        <v>133</v>
      </c>
      <c r="C138" s="380" t="s">
        <v>129</v>
      </c>
      <c r="D138" s="380" t="s">
        <v>358</v>
      </c>
      <c r="E138" s="374">
        <v>3462</v>
      </c>
      <c r="F138" s="358">
        <v>4</v>
      </c>
      <c r="G138" s="359" t="s">
        <v>334</v>
      </c>
      <c r="H138" s="360">
        <v>0</v>
      </c>
      <c r="I138" s="360">
        <v>0</v>
      </c>
      <c r="J138" s="361">
        <v>5</v>
      </c>
      <c r="K138" s="360">
        <v>3</v>
      </c>
      <c r="L138" s="360">
        <v>1</v>
      </c>
      <c r="M138" s="360">
        <v>1</v>
      </c>
      <c r="N138" s="360">
        <v>0</v>
      </c>
      <c r="O138" s="360">
        <v>0</v>
      </c>
      <c r="P138" s="360">
        <v>1</v>
      </c>
      <c r="Q138" s="360">
        <v>0</v>
      </c>
      <c r="R138" s="360">
        <v>17</v>
      </c>
      <c r="S138" s="360">
        <v>71</v>
      </c>
      <c r="T138" s="360">
        <v>49</v>
      </c>
      <c r="U138" s="360">
        <v>0</v>
      </c>
      <c r="V138" s="362">
        <v>0</v>
      </c>
      <c r="W138" s="376">
        <v>1</v>
      </c>
      <c r="X138" s="376">
        <v>0</v>
      </c>
      <c r="Y138" s="376">
        <v>1</v>
      </c>
      <c r="Z138" s="376">
        <v>1</v>
      </c>
      <c r="AA138" s="376">
        <v>0</v>
      </c>
      <c r="AB138" s="377">
        <v>4</v>
      </c>
      <c r="AC138" s="376">
        <v>5</v>
      </c>
      <c r="AD138" s="376">
        <v>4</v>
      </c>
      <c r="AE138" s="376">
        <v>4</v>
      </c>
      <c r="AF138" s="376">
        <v>1</v>
      </c>
      <c r="AG138" s="376">
        <v>9</v>
      </c>
      <c r="AH138" s="376">
        <v>1</v>
      </c>
      <c r="AI138" s="376">
        <v>0</v>
      </c>
      <c r="AJ138" s="376">
        <v>18</v>
      </c>
      <c r="AK138" s="376">
        <v>71</v>
      </c>
      <c r="AL138" s="376">
        <v>44</v>
      </c>
      <c r="AM138" s="363" t="s">
        <v>399</v>
      </c>
      <c r="AN138" s="364">
        <v>3</v>
      </c>
      <c r="AO138" s="364">
        <v>1</v>
      </c>
      <c r="AP138" s="364">
        <v>0</v>
      </c>
      <c r="AQ138" s="364">
        <v>0</v>
      </c>
      <c r="AR138" s="364">
        <v>2</v>
      </c>
      <c r="AS138" s="364">
        <v>0</v>
      </c>
      <c r="AT138" s="364">
        <v>0</v>
      </c>
      <c r="AU138" s="364">
        <v>0</v>
      </c>
      <c r="AV138" s="365">
        <v>0</v>
      </c>
      <c r="AW138" s="363" t="s">
        <v>345</v>
      </c>
      <c r="AX138" s="364">
        <v>4</v>
      </c>
      <c r="AY138" s="364">
        <v>0</v>
      </c>
      <c r="AZ138" s="364">
        <v>0</v>
      </c>
      <c r="BA138" s="364">
        <v>0</v>
      </c>
      <c r="BB138" s="364">
        <v>0</v>
      </c>
      <c r="BC138" s="364">
        <v>2</v>
      </c>
      <c r="BD138" s="364">
        <v>0</v>
      </c>
      <c r="BE138" s="364">
        <v>0</v>
      </c>
      <c r="BF138" s="365">
        <v>0</v>
      </c>
      <c r="BG138" s="363" t="s">
        <v>400</v>
      </c>
      <c r="BH138" s="364">
        <v>3</v>
      </c>
      <c r="BI138" s="364">
        <v>3</v>
      </c>
      <c r="BJ138" s="364">
        <v>2</v>
      </c>
      <c r="BK138" s="364">
        <v>0</v>
      </c>
      <c r="BL138" s="364">
        <v>2</v>
      </c>
      <c r="BM138" s="364">
        <v>0</v>
      </c>
      <c r="BN138" s="364">
        <v>0</v>
      </c>
      <c r="BO138" s="364">
        <v>0</v>
      </c>
      <c r="BP138" s="365">
        <v>3</v>
      </c>
      <c r="BQ138" s="363" t="s">
        <v>405</v>
      </c>
      <c r="BR138" s="364">
        <v>5</v>
      </c>
      <c r="BS138" s="364">
        <v>2</v>
      </c>
      <c r="BT138" s="364">
        <v>4</v>
      </c>
      <c r="BU138" s="364">
        <v>4</v>
      </c>
      <c r="BV138" s="364">
        <v>0</v>
      </c>
      <c r="BW138" s="364">
        <v>0</v>
      </c>
      <c r="BX138" s="364">
        <v>0</v>
      </c>
      <c r="BY138" s="364">
        <v>0</v>
      </c>
      <c r="BZ138" s="365">
        <v>8</v>
      </c>
      <c r="CA138" s="363" t="s">
        <v>575</v>
      </c>
      <c r="CB138" s="364">
        <v>4</v>
      </c>
      <c r="CC138" s="364">
        <v>1</v>
      </c>
      <c r="CD138" s="364">
        <v>1</v>
      </c>
      <c r="CE138" s="364">
        <v>1</v>
      </c>
      <c r="CF138" s="364">
        <v>0</v>
      </c>
      <c r="CG138" s="364">
        <v>1</v>
      </c>
      <c r="CH138" s="364">
        <v>0</v>
      </c>
      <c r="CI138" s="364">
        <v>0</v>
      </c>
      <c r="CJ138" s="365">
        <v>1</v>
      </c>
      <c r="CK138" s="363" t="s">
        <v>501</v>
      </c>
      <c r="CL138" s="364">
        <v>4</v>
      </c>
      <c r="CM138" s="364">
        <v>0</v>
      </c>
      <c r="CN138" s="364">
        <v>1</v>
      </c>
      <c r="CO138" s="364">
        <v>0</v>
      </c>
      <c r="CP138" s="364">
        <v>0</v>
      </c>
      <c r="CQ138" s="364">
        <v>0</v>
      </c>
      <c r="CR138" s="364">
        <v>0</v>
      </c>
      <c r="CS138" s="364">
        <v>0</v>
      </c>
      <c r="CT138" s="365">
        <v>1</v>
      </c>
      <c r="CU138" s="363" t="s">
        <v>331</v>
      </c>
      <c r="CV138" s="364">
        <v>4</v>
      </c>
      <c r="CW138" s="364">
        <v>0</v>
      </c>
      <c r="CX138" s="364">
        <v>0</v>
      </c>
      <c r="CY138" s="364">
        <v>0</v>
      </c>
      <c r="CZ138" s="364">
        <v>0</v>
      </c>
      <c r="DA138" s="364">
        <v>2</v>
      </c>
      <c r="DB138" s="364">
        <v>0</v>
      </c>
      <c r="DC138" s="364">
        <v>0</v>
      </c>
      <c r="DD138" s="365">
        <v>0</v>
      </c>
      <c r="DE138" s="363" t="s">
        <v>446</v>
      </c>
      <c r="DF138" s="364">
        <v>4</v>
      </c>
      <c r="DG138" s="364">
        <v>1</v>
      </c>
      <c r="DH138" s="364">
        <v>1</v>
      </c>
      <c r="DI138" s="364">
        <v>2</v>
      </c>
      <c r="DJ138" s="364">
        <v>0</v>
      </c>
      <c r="DK138" s="364">
        <v>0</v>
      </c>
      <c r="DL138" s="364">
        <v>0</v>
      </c>
      <c r="DM138" s="364">
        <v>0</v>
      </c>
      <c r="DN138" s="365">
        <v>4</v>
      </c>
      <c r="DO138" s="363" t="s">
        <v>401</v>
      </c>
      <c r="DP138" s="364">
        <v>4</v>
      </c>
      <c r="DQ138" s="364">
        <v>0</v>
      </c>
      <c r="DR138" s="364">
        <v>0</v>
      </c>
      <c r="DS138" s="364">
        <v>0</v>
      </c>
      <c r="DT138" s="364">
        <v>0</v>
      </c>
      <c r="DU138" s="364">
        <v>1</v>
      </c>
      <c r="DV138" s="364">
        <v>0</v>
      </c>
      <c r="DW138" s="364">
        <v>0</v>
      </c>
      <c r="DX138" s="365">
        <v>0</v>
      </c>
      <c r="DY138" s="366">
        <v>0</v>
      </c>
      <c r="DZ138" s="367">
        <v>0</v>
      </c>
      <c r="EA138" s="367">
        <v>0</v>
      </c>
      <c r="EB138" s="368">
        <v>9</v>
      </c>
      <c r="EC138" s="367">
        <v>1</v>
      </c>
      <c r="ED138" s="369">
        <v>0</v>
      </c>
      <c r="EE138" s="370">
        <v>1</v>
      </c>
      <c r="EF138" s="367">
        <v>0</v>
      </c>
      <c r="EG138" s="367">
        <v>0</v>
      </c>
      <c r="EH138" s="367">
        <v>4</v>
      </c>
      <c r="EI138" s="367">
        <v>0</v>
      </c>
      <c r="EJ138" s="367">
        <v>0</v>
      </c>
      <c r="EK138" s="367">
        <v>3</v>
      </c>
      <c r="EL138" s="367">
        <v>0</v>
      </c>
      <c r="EM138" s="367">
        <v>0</v>
      </c>
      <c r="EN138" s="367"/>
      <c r="EO138" s="367"/>
      <c r="EP138" s="367"/>
      <c r="EQ138" s="369">
        <f t="shared" ref="EQ138:EQ146" si="44">SUM(EE138:EP138)</f>
        <v>8</v>
      </c>
      <c r="ER138" s="367">
        <v>0</v>
      </c>
      <c r="ES138" s="367">
        <v>0</v>
      </c>
      <c r="ET138" s="367">
        <v>0</v>
      </c>
      <c r="EU138" s="367">
        <v>1</v>
      </c>
      <c r="EV138" s="367">
        <v>0</v>
      </c>
      <c r="EW138" s="367">
        <v>4</v>
      </c>
      <c r="EX138" s="367">
        <v>0</v>
      </c>
      <c r="EY138" s="367">
        <v>0</v>
      </c>
      <c r="EZ138" s="367">
        <v>0</v>
      </c>
      <c r="FA138" s="367"/>
      <c r="FB138" s="367"/>
      <c r="FC138" s="367"/>
      <c r="FD138" s="367">
        <f t="shared" ref="FD138:FD146" si="45">SUM(ER138:FC138)</f>
        <v>5</v>
      </c>
      <c r="FE138" s="371">
        <f t="shared" ref="FE138:FE146" si="46">((SUM(L138,AD138))-(FD138))</f>
        <v>0</v>
      </c>
      <c r="FF138" s="371">
        <f t="shared" ref="FF138:FF146" si="47">((SUM(AO138,AY138,BI138,BS138,CC138,CM138,CW138,DG138,DQ138))-(EQ138))</f>
        <v>0</v>
      </c>
      <c r="FG138" s="372"/>
    </row>
    <row r="139" spans="1:163" x14ac:dyDescent="0.25">
      <c r="A139" s="380">
        <v>40420</v>
      </c>
      <c r="B139" s="380" t="s">
        <v>19</v>
      </c>
      <c r="C139" s="380" t="s">
        <v>131</v>
      </c>
      <c r="D139" s="380" t="s">
        <v>358</v>
      </c>
      <c r="E139" s="374">
        <v>4557</v>
      </c>
      <c r="F139" s="358">
        <v>5</v>
      </c>
      <c r="G139" s="359" t="s">
        <v>665</v>
      </c>
      <c r="H139" s="360">
        <v>0</v>
      </c>
      <c r="I139" s="360">
        <v>0</v>
      </c>
      <c r="J139" s="361">
        <v>5</v>
      </c>
      <c r="K139" s="360">
        <v>7</v>
      </c>
      <c r="L139" s="360">
        <v>3</v>
      </c>
      <c r="M139" s="360">
        <v>3</v>
      </c>
      <c r="N139" s="360">
        <v>1</v>
      </c>
      <c r="O139" s="360">
        <v>6</v>
      </c>
      <c r="P139" s="360">
        <v>0</v>
      </c>
      <c r="Q139" s="360">
        <v>0</v>
      </c>
      <c r="R139" s="360">
        <v>23</v>
      </c>
      <c r="S139" s="360">
        <v>95</v>
      </c>
      <c r="T139" s="360">
        <v>63</v>
      </c>
      <c r="U139" s="360">
        <v>1</v>
      </c>
      <c r="V139" s="362">
        <v>0</v>
      </c>
      <c r="W139" s="376">
        <v>0</v>
      </c>
      <c r="X139" s="376">
        <v>1</v>
      </c>
      <c r="Y139" s="376">
        <v>0</v>
      </c>
      <c r="Z139" s="376">
        <v>0</v>
      </c>
      <c r="AA139" s="376">
        <v>1</v>
      </c>
      <c r="AB139" s="377">
        <v>4</v>
      </c>
      <c r="AC139" s="376">
        <v>6</v>
      </c>
      <c r="AD139" s="376">
        <v>5</v>
      </c>
      <c r="AE139" s="376">
        <v>4</v>
      </c>
      <c r="AF139" s="376">
        <v>4</v>
      </c>
      <c r="AG139" s="376">
        <v>4</v>
      </c>
      <c r="AH139" s="376">
        <v>0</v>
      </c>
      <c r="AI139" s="376">
        <v>0</v>
      </c>
      <c r="AJ139" s="376">
        <v>21</v>
      </c>
      <c r="AK139" s="376">
        <v>89</v>
      </c>
      <c r="AL139" s="376">
        <v>54</v>
      </c>
      <c r="AM139" s="363" t="s">
        <v>399</v>
      </c>
      <c r="AN139" s="364">
        <v>4</v>
      </c>
      <c r="AO139" s="364">
        <v>0</v>
      </c>
      <c r="AP139" s="364">
        <v>1</v>
      </c>
      <c r="AQ139" s="364">
        <v>0</v>
      </c>
      <c r="AR139" s="364">
        <v>0</v>
      </c>
      <c r="AS139" s="364">
        <v>0</v>
      </c>
      <c r="AT139" s="364">
        <v>0</v>
      </c>
      <c r="AU139" s="364">
        <v>0</v>
      </c>
      <c r="AV139" s="365">
        <v>1</v>
      </c>
      <c r="AW139" s="363" t="s">
        <v>345</v>
      </c>
      <c r="AX139" s="364">
        <v>3</v>
      </c>
      <c r="AY139" s="364">
        <v>0</v>
      </c>
      <c r="AZ139" s="364">
        <v>0</v>
      </c>
      <c r="BA139" s="364">
        <v>0</v>
      </c>
      <c r="BB139" s="364">
        <v>1</v>
      </c>
      <c r="BC139" s="364">
        <v>0</v>
      </c>
      <c r="BD139" s="364">
        <v>0</v>
      </c>
      <c r="BE139" s="364">
        <v>0</v>
      </c>
      <c r="BF139" s="365">
        <v>0</v>
      </c>
      <c r="BG139" s="363" t="s">
        <v>400</v>
      </c>
      <c r="BH139" s="364">
        <v>4</v>
      </c>
      <c r="BI139" s="364">
        <v>1</v>
      </c>
      <c r="BJ139" s="364">
        <v>2</v>
      </c>
      <c r="BK139" s="364">
        <v>1</v>
      </c>
      <c r="BL139" s="364">
        <v>0</v>
      </c>
      <c r="BM139" s="364">
        <v>1</v>
      </c>
      <c r="BN139" s="364">
        <v>0</v>
      </c>
      <c r="BO139" s="364">
        <v>0</v>
      </c>
      <c r="BP139" s="365">
        <v>5</v>
      </c>
      <c r="BQ139" s="363" t="s">
        <v>575</v>
      </c>
      <c r="BR139" s="364">
        <v>4</v>
      </c>
      <c r="BS139" s="364">
        <v>0</v>
      </c>
      <c r="BT139" s="364">
        <v>0</v>
      </c>
      <c r="BU139" s="364">
        <v>0</v>
      </c>
      <c r="BV139" s="364">
        <v>0</v>
      </c>
      <c r="BW139" s="364">
        <v>2</v>
      </c>
      <c r="BX139" s="364">
        <v>0</v>
      </c>
      <c r="BY139" s="364">
        <v>0</v>
      </c>
      <c r="BZ139" s="365">
        <v>0</v>
      </c>
      <c r="CA139" s="363" t="s">
        <v>406</v>
      </c>
      <c r="CB139" s="364">
        <v>4</v>
      </c>
      <c r="CC139" s="364">
        <v>1</v>
      </c>
      <c r="CD139" s="364">
        <v>0</v>
      </c>
      <c r="CE139" s="364">
        <v>0</v>
      </c>
      <c r="CF139" s="364">
        <v>0</v>
      </c>
      <c r="CG139" s="364">
        <v>0</v>
      </c>
      <c r="CH139" s="364">
        <v>0</v>
      </c>
      <c r="CI139" s="364">
        <v>0</v>
      </c>
      <c r="CJ139" s="365">
        <v>0</v>
      </c>
      <c r="CK139" s="363" t="s">
        <v>501</v>
      </c>
      <c r="CL139" s="364">
        <v>4</v>
      </c>
      <c r="CM139" s="364">
        <v>1</v>
      </c>
      <c r="CN139" s="364">
        <v>2</v>
      </c>
      <c r="CO139" s="364">
        <v>1</v>
      </c>
      <c r="CP139" s="364">
        <v>0</v>
      </c>
      <c r="CQ139" s="364">
        <v>0</v>
      </c>
      <c r="CR139" s="364">
        <v>0</v>
      </c>
      <c r="CS139" s="364">
        <v>0</v>
      </c>
      <c r="CT139" s="365">
        <v>3</v>
      </c>
      <c r="CU139" s="363" t="s">
        <v>403</v>
      </c>
      <c r="CV139" s="364">
        <v>4</v>
      </c>
      <c r="CW139" s="364">
        <v>0</v>
      </c>
      <c r="CX139" s="364">
        <v>0</v>
      </c>
      <c r="CY139" s="364">
        <v>0</v>
      </c>
      <c r="CZ139" s="364">
        <v>0</v>
      </c>
      <c r="DA139" s="364">
        <v>2</v>
      </c>
      <c r="DB139" s="364">
        <v>0</v>
      </c>
      <c r="DC139" s="364">
        <v>0</v>
      </c>
      <c r="DD139" s="365">
        <v>0</v>
      </c>
      <c r="DE139" s="363" t="s">
        <v>401</v>
      </c>
      <c r="DF139" s="364">
        <v>2</v>
      </c>
      <c r="DG139" s="364">
        <v>1</v>
      </c>
      <c r="DH139" s="364">
        <v>0</v>
      </c>
      <c r="DI139" s="364">
        <v>0</v>
      </c>
      <c r="DJ139" s="364">
        <v>1</v>
      </c>
      <c r="DK139" s="364">
        <v>1</v>
      </c>
      <c r="DL139" s="364">
        <v>0</v>
      </c>
      <c r="DM139" s="364">
        <v>0</v>
      </c>
      <c r="DN139" s="365">
        <v>0</v>
      </c>
      <c r="DO139" s="363" t="s">
        <v>330</v>
      </c>
      <c r="DP139" s="364">
        <v>3</v>
      </c>
      <c r="DQ139" s="364">
        <v>0</v>
      </c>
      <c r="DR139" s="364">
        <v>0</v>
      </c>
      <c r="DS139" s="364">
        <v>0</v>
      </c>
      <c r="DT139" s="364">
        <v>0</v>
      </c>
      <c r="DU139" s="364">
        <v>1</v>
      </c>
      <c r="DV139" s="364">
        <v>0</v>
      </c>
      <c r="DW139" s="364">
        <v>0</v>
      </c>
      <c r="DX139" s="365">
        <v>0</v>
      </c>
      <c r="DY139" s="366">
        <v>0</v>
      </c>
      <c r="DZ139" s="367">
        <v>0</v>
      </c>
      <c r="EA139" s="367">
        <v>0</v>
      </c>
      <c r="EB139" s="368">
        <v>9</v>
      </c>
      <c r="EC139" s="367">
        <v>0</v>
      </c>
      <c r="ED139" s="369">
        <v>0</v>
      </c>
      <c r="EE139" s="370">
        <v>1</v>
      </c>
      <c r="EF139" s="367">
        <v>3</v>
      </c>
      <c r="EG139" s="367">
        <v>0</v>
      </c>
      <c r="EH139" s="367">
        <v>0</v>
      </c>
      <c r="EI139" s="367">
        <v>0</v>
      </c>
      <c r="EJ139" s="367">
        <v>0</v>
      </c>
      <c r="EK139" s="367">
        <v>0</v>
      </c>
      <c r="EL139" s="367">
        <v>0</v>
      </c>
      <c r="EM139" s="367">
        <v>0</v>
      </c>
      <c r="EN139" s="367"/>
      <c r="EO139" s="367"/>
      <c r="EP139" s="367"/>
      <c r="EQ139" s="369">
        <f t="shared" si="44"/>
        <v>4</v>
      </c>
      <c r="ER139" s="367">
        <v>0</v>
      </c>
      <c r="ES139" s="367">
        <v>0</v>
      </c>
      <c r="ET139" s="367">
        <v>0</v>
      </c>
      <c r="EU139" s="367">
        <v>0</v>
      </c>
      <c r="EV139" s="367">
        <v>3</v>
      </c>
      <c r="EW139" s="367">
        <v>3</v>
      </c>
      <c r="EX139" s="367">
        <v>0</v>
      </c>
      <c r="EY139" s="367">
        <v>1</v>
      </c>
      <c r="EZ139" s="367">
        <v>1</v>
      </c>
      <c r="FA139" s="367"/>
      <c r="FB139" s="367"/>
      <c r="FC139" s="367"/>
      <c r="FD139" s="367">
        <f t="shared" si="45"/>
        <v>8</v>
      </c>
      <c r="FE139" s="371">
        <f t="shared" si="46"/>
        <v>0</v>
      </c>
      <c r="FF139" s="371">
        <f t="shared" si="47"/>
        <v>0</v>
      </c>
      <c r="FG139" s="372"/>
    </row>
    <row r="140" spans="1:163" x14ac:dyDescent="0.25">
      <c r="A140" s="380">
        <v>40421</v>
      </c>
      <c r="B140" s="380" t="s">
        <v>19</v>
      </c>
      <c r="C140" s="380" t="s">
        <v>129</v>
      </c>
      <c r="D140" s="380" t="s">
        <v>358</v>
      </c>
      <c r="E140" s="374">
        <v>5152</v>
      </c>
      <c r="F140" s="358">
        <v>1</v>
      </c>
      <c r="G140" s="359" t="s">
        <v>398</v>
      </c>
      <c r="H140" s="360">
        <v>1</v>
      </c>
      <c r="I140" s="360">
        <v>0</v>
      </c>
      <c r="J140" s="361">
        <v>5</v>
      </c>
      <c r="K140" s="360">
        <v>3</v>
      </c>
      <c r="L140" s="360">
        <v>0</v>
      </c>
      <c r="M140" s="360">
        <v>0</v>
      </c>
      <c r="N140" s="360">
        <v>0</v>
      </c>
      <c r="O140" s="360">
        <v>5</v>
      </c>
      <c r="P140" s="360">
        <v>0</v>
      </c>
      <c r="Q140" s="360">
        <v>1</v>
      </c>
      <c r="R140" s="360">
        <v>19</v>
      </c>
      <c r="S140" s="360">
        <v>67</v>
      </c>
      <c r="T140" s="360">
        <v>45</v>
      </c>
      <c r="U140" s="360">
        <v>0</v>
      </c>
      <c r="V140" s="362">
        <v>0</v>
      </c>
      <c r="W140" s="376">
        <v>0</v>
      </c>
      <c r="X140" s="376">
        <v>0</v>
      </c>
      <c r="Y140" s="376">
        <v>1</v>
      </c>
      <c r="Z140" s="376">
        <v>1</v>
      </c>
      <c r="AA140" s="376">
        <v>0</v>
      </c>
      <c r="AB140" s="377">
        <v>4</v>
      </c>
      <c r="AC140" s="376">
        <v>7</v>
      </c>
      <c r="AD140" s="376">
        <v>2</v>
      </c>
      <c r="AE140" s="376">
        <v>2</v>
      </c>
      <c r="AF140" s="376">
        <v>2</v>
      </c>
      <c r="AG140" s="376">
        <v>4</v>
      </c>
      <c r="AH140" s="376">
        <v>0</v>
      </c>
      <c r="AI140" s="376">
        <v>0</v>
      </c>
      <c r="AJ140" s="376">
        <v>19</v>
      </c>
      <c r="AK140" s="376">
        <v>69</v>
      </c>
      <c r="AL140" s="376">
        <v>42</v>
      </c>
      <c r="AM140" s="363" t="s">
        <v>401</v>
      </c>
      <c r="AN140" s="364">
        <v>4</v>
      </c>
      <c r="AO140" s="364">
        <v>1</v>
      </c>
      <c r="AP140" s="364">
        <v>1</v>
      </c>
      <c r="AQ140" s="364">
        <v>0</v>
      </c>
      <c r="AR140" s="364">
        <v>0</v>
      </c>
      <c r="AS140" s="364">
        <v>1</v>
      </c>
      <c r="AT140" s="364">
        <v>0</v>
      </c>
      <c r="AU140" s="364">
        <v>0</v>
      </c>
      <c r="AV140" s="365">
        <v>1</v>
      </c>
      <c r="AW140" s="363" t="s">
        <v>345</v>
      </c>
      <c r="AX140" s="364">
        <v>3</v>
      </c>
      <c r="AY140" s="364">
        <v>1</v>
      </c>
      <c r="AZ140" s="364">
        <v>1</v>
      </c>
      <c r="BA140" s="364">
        <v>0</v>
      </c>
      <c r="BB140" s="364">
        <v>1</v>
      </c>
      <c r="BC140" s="364">
        <v>1</v>
      </c>
      <c r="BD140" s="364">
        <v>0</v>
      </c>
      <c r="BE140" s="364">
        <v>0</v>
      </c>
      <c r="BF140" s="365">
        <v>1</v>
      </c>
      <c r="BG140" s="363" t="s">
        <v>400</v>
      </c>
      <c r="BH140" s="364">
        <v>3</v>
      </c>
      <c r="BI140" s="364">
        <v>0</v>
      </c>
      <c r="BJ140" s="364">
        <v>0</v>
      </c>
      <c r="BK140" s="364">
        <v>0</v>
      </c>
      <c r="BL140" s="364">
        <v>1</v>
      </c>
      <c r="BM140" s="364">
        <v>2</v>
      </c>
      <c r="BN140" s="364">
        <v>0</v>
      </c>
      <c r="BO140" s="364">
        <v>0</v>
      </c>
      <c r="BP140" s="365">
        <v>0</v>
      </c>
      <c r="BQ140" s="363" t="s">
        <v>405</v>
      </c>
      <c r="BR140" s="364">
        <v>4</v>
      </c>
      <c r="BS140" s="364">
        <v>1</v>
      </c>
      <c r="BT140" s="364">
        <v>2</v>
      </c>
      <c r="BU140" s="364">
        <v>3</v>
      </c>
      <c r="BV140" s="364">
        <v>0</v>
      </c>
      <c r="BW140" s="364">
        <v>0</v>
      </c>
      <c r="BX140" s="364">
        <v>0</v>
      </c>
      <c r="BY140" s="364">
        <v>0</v>
      </c>
      <c r="BZ140" s="365">
        <v>6</v>
      </c>
      <c r="CA140" s="363" t="s">
        <v>331</v>
      </c>
      <c r="CB140" s="364">
        <v>4</v>
      </c>
      <c r="CC140" s="364">
        <v>0</v>
      </c>
      <c r="CD140" s="364">
        <v>0</v>
      </c>
      <c r="CE140" s="364">
        <v>0</v>
      </c>
      <c r="CF140" s="364">
        <v>0</v>
      </c>
      <c r="CG140" s="364">
        <v>0</v>
      </c>
      <c r="CH140" s="364">
        <v>0</v>
      </c>
      <c r="CI140" s="364">
        <v>0</v>
      </c>
      <c r="CJ140" s="365">
        <v>0</v>
      </c>
      <c r="CK140" s="363" t="s">
        <v>501</v>
      </c>
      <c r="CL140" s="364">
        <v>3</v>
      </c>
      <c r="CM140" s="364">
        <v>0</v>
      </c>
      <c r="CN140" s="364">
        <v>1</v>
      </c>
      <c r="CO140" s="364">
        <v>0</v>
      </c>
      <c r="CP140" s="364">
        <v>0</v>
      </c>
      <c r="CQ140" s="364">
        <v>1</v>
      </c>
      <c r="CR140" s="364">
        <v>0</v>
      </c>
      <c r="CS140" s="364">
        <v>0</v>
      </c>
      <c r="CT140" s="365">
        <v>1</v>
      </c>
      <c r="CU140" s="363" t="s">
        <v>446</v>
      </c>
      <c r="CV140" s="364">
        <v>3</v>
      </c>
      <c r="CW140" s="364">
        <v>0</v>
      </c>
      <c r="CX140" s="364">
        <v>0</v>
      </c>
      <c r="CY140" s="364">
        <v>0</v>
      </c>
      <c r="CZ140" s="364">
        <v>0</v>
      </c>
      <c r="DA140" s="364">
        <v>1</v>
      </c>
      <c r="DB140" s="364">
        <v>0</v>
      </c>
      <c r="DC140" s="364">
        <v>0</v>
      </c>
      <c r="DD140" s="365">
        <v>0</v>
      </c>
      <c r="DE140" s="363" t="s">
        <v>335</v>
      </c>
      <c r="DF140" s="364">
        <v>3</v>
      </c>
      <c r="DG140" s="364">
        <v>1</v>
      </c>
      <c r="DH140" s="364">
        <v>1</v>
      </c>
      <c r="DI140" s="364">
        <v>0</v>
      </c>
      <c r="DJ140" s="364">
        <v>0</v>
      </c>
      <c r="DK140" s="364">
        <v>0</v>
      </c>
      <c r="DL140" s="364">
        <v>0</v>
      </c>
      <c r="DM140" s="364">
        <v>0</v>
      </c>
      <c r="DN140" s="365">
        <v>1</v>
      </c>
      <c r="DO140" s="363" t="s">
        <v>330</v>
      </c>
      <c r="DP140" s="364">
        <v>3</v>
      </c>
      <c r="DQ140" s="364">
        <v>1</v>
      </c>
      <c r="DR140" s="364">
        <v>1</v>
      </c>
      <c r="DS140" s="364">
        <v>1</v>
      </c>
      <c r="DT140" s="364">
        <v>0</v>
      </c>
      <c r="DU140" s="364">
        <v>1</v>
      </c>
      <c r="DV140" s="364">
        <v>0</v>
      </c>
      <c r="DW140" s="364">
        <v>0</v>
      </c>
      <c r="DX140" s="365">
        <v>1</v>
      </c>
      <c r="DY140" s="366">
        <v>1</v>
      </c>
      <c r="DZ140" s="367">
        <v>1</v>
      </c>
      <c r="EA140" s="367">
        <v>0</v>
      </c>
      <c r="EB140" s="368">
        <v>7</v>
      </c>
      <c r="EC140" s="367">
        <v>1</v>
      </c>
      <c r="ED140" s="369">
        <v>0</v>
      </c>
      <c r="EE140" s="370">
        <v>0</v>
      </c>
      <c r="EF140" s="367">
        <v>0</v>
      </c>
      <c r="EG140" s="367">
        <v>0</v>
      </c>
      <c r="EH140" s="367">
        <v>3</v>
      </c>
      <c r="EI140" s="367">
        <v>0</v>
      </c>
      <c r="EJ140" s="367">
        <v>0</v>
      </c>
      <c r="EK140" s="367">
        <v>2</v>
      </c>
      <c r="EL140" s="367">
        <v>0</v>
      </c>
      <c r="EM140" s="367"/>
      <c r="EN140" s="367"/>
      <c r="EO140" s="367"/>
      <c r="EP140" s="367"/>
      <c r="EQ140" s="369">
        <f t="shared" si="44"/>
        <v>5</v>
      </c>
      <c r="ER140" s="367">
        <v>0</v>
      </c>
      <c r="ES140" s="367">
        <v>0</v>
      </c>
      <c r="ET140" s="367">
        <v>0</v>
      </c>
      <c r="EU140" s="367">
        <v>0</v>
      </c>
      <c r="EV140" s="367">
        <v>0</v>
      </c>
      <c r="EW140" s="367">
        <v>0</v>
      </c>
      <c r="EX140" s="367">
        <v>0</v>
      </c>
      <c r="EY140" s="367">
        <v>0</v>
      </c>
      <c r="EZ140" s="367">
        <v>2</v>
      </c>
      <c r="FA140" s="367"/>
      <c r="FB140" s="367"/>
      <c r="FC140" s="367"/>
      <c r="FD140" s="367">
        <f t="shared" si="45"/>
        <v>2</v>
      </c>
      <c r="FE140" s="371">
        <f t="shared" si="46"/>
        <v>0</v>
      </c>
      <c r="FF140" s="371">
        <f t="shared" si="47"/>
        <v>0</v>
      </c>
      <c r="FG140" s="372"/>
    </row>
    <row r="141" spans="1:163" x14ac:dyDescent="0.25">
      <c r="A141" s="380">
        <v>40422</v>
      </c>
      <c r="B141" s="380" t="s">
        <v>19</v>
      </c>
      <c r="C141" s="380" t="s">
        <v>129</v>
      </c>
      <c r="D141" s="380" t="s">
        <v>358</v>
      </c>
      <c r="E141" s="374">
        <v>4084</v>
      </c>
      <c r="F141" s="358">
        <v>2</v>
      </c>
      <c r="G141" s="359" t="s">
        <v>664</v>
      </c>
      <c r="H141" s="360">
        <v>0</v>
      </c>
      <c r="I141" s="360">
        <v>0</v>
      </c>
      <c r="J141" s="361">
        <f>7+1/3</f>
        <v>7.333333333333333</v>
      </c>
      <c r="K141" s="360">
        <v>6</v>
      </c>
      <c r="L141" s="360">
        <v>2</v>
      </c>
      <c r="M141" s="360">
        <v>2</v>
      </c>
      <c r="N141" s="360">
        <v>1</v>
      </c>
      <c r="O141" s="360">
        <v>4</v>
      </c>
      <c r="P141" s="360">
        <v>1</v>
      </c>
      <c r="Q141" s="360">
        <v>0</v>
      </c>
      <c r="R141" s="360">
        <v>28</v>
      </c>
      <c r="S141" s="360">
        <v>84</v>
      </c>
      <c r="T141" s="360">
        <v>62</v>
      </c>
      <c r="U141" s="360">
        <v>1</v>
      </c>
      <c r="V141" s="362">
        <v>1</v>
      </c>
      <c r="W141" s="376">
        <v>1</v>
      </c>
      <c r="X141" s="376">
        <v>0</v>
      </c>
      <c r="Y141" s="376">
        <v>0</v>
      </c>
      <c r="Z141" s="376">
        <v>1</v>
      </c>
      <c r="AA141" s="376">
        <v>0</v>
      </c>
      <c r="AB141" s="377">
        <f>1+2/3</f>
        <v>1.6666666666666665</v>
      </c>
      <c r="AC141" s="376">
        <v>3</v>
      </c>
      <c r="AD141" s="376">
        <v>1</v>
      </c>
      <c r="AE141" s="376">
        <v>1</v>
      </c>
      <c r="AF141" s="376">
        <v>0</v>
      </c>
      <c r="AG141" s="376">
        <v>1</v>
      </c>
      <c r="AH141" s="376">
        <v>0</v>
      </c>
      <c r="AI141" s="376">
        <v>1</v>
      </c>
      <c r="AJ141" s="376">
        <v>8</v>
      </c>
      <c r="AK141" s="376">
        <v>26</v>
      </c>
      <c r="AL141" s="376">
        <v>16</v>
      </c>
      <c r="AM141" s="363" t="s">
        <v>330</v>
      </c>
      <c r="AN141" s="364">
        <v>3</v>
      </c>
      <c r="AO141" s="364">
        <v>0</v>
      </c>
      <c r="AP141" s="364">
        <v>0</v>
      </c>
      <c r="AQ141" s="364">
        <v>0</v>
      </c>
      <c r="AR141" s="364">
        <v>1</v>
      </c>
      <c r="AS141" s="364">
        <v>1</v>
      </c>
      <c r="AT141" s="364">
        <v>0</v>
      </c>
      <c r="AU141" s="364">
        <v>0</v>
      </c>
      <c r="AV141" s="365">
        <v>0</v>
      </c>
      <c r="AW141" s="363" t="s">
        <v>345</v>
      </c>
      <c r="AX141" s="364">
        <v>4</v>
      </c>
      <c r="AY141" s="364">
        <v>1</v>
      </c>
      <c r="AZ141" s="364">
        <v>2</v>
      </c>
      <c r="BA141" s="364">
        <v>0</v>
      </c>
      <c r="BB141" s="364">
        <v>0</v>
      </c>
      <c r="BC141" s="364">
        <v>1</v>
      </c>
      <c r="BD141" s="364">
        <v>0</v>
      </c>
      <c r="BE141" s="364">
        <v>0</v>
      </c>
      <c r="BF141" s="365">
        <v>3</v>
      </c>
      <c r="BG141" s="363" t="s">
        <v>400</v>
      </c>
      <c r="BH141" s="364">
        <v>2</v>
      </c>
      <c r="BI141" s="364">
        <v>1</v>
      </c>
      <c r="BJ141" s="364">
        <v>0</v>
      </c>
      <c r="BK141" s="364">
        <v>0</v>
      </c>
      <c r="BL141" s="364">
        <v>2</v>
      </c>
      <c r="BM141" s="364">
        <v>0</v>
      </c>
      <c r="BN141" s="364">
        <v>0</v>
      </c>
      <c r="BO141" s="364">
        <v>0</v>
      </c>
      <c r="BP141" s="365">
        <v>0</v>
      </c>
      <c r="BQ141" s="363" t="s">
        <v>405</v>
      </c>
      <c r="BR141" s="364">
        <v>4</v>
      </c>
      <c r="BS141" s="364">
        <v>1</v>
      </c>
      <c r="BT141" s="364">
        <v>1</v>
      </c>
      <c r="BU141" s="364">
        <v>1</v>
      </c>
      <c r="BV141" s="364">
        <v>0</v>
      </c>
      <c r="BW141" s="364">
        <v>1</v>
      </c>
      <c r="BX141" s="364">
        <v>0</v>
      </c>
      <c r="BY141" s="364">
        <v>0</v>
      </c>
      <c r="BZ141" s="365">
        <v>1</v>
      </c>
      <c r="CA141" s="363" t="s">
        <v>403</v>
      </c>
      <c r="CB141" s="364">
        <v>4</v>
      </c>
      <c r="CC141" s="364">
        <v>1</v>
      </c>
      <c r="CD141" s="364">
        <v>1</v>
      </c>
      <c r="CE141" s="364">
        <v>1</v>
      </c>
      <c r="CF141" s="364">
        <v>0</v>
      </c>
      <c r="CG141" s="364">
        <v>1</v>
      </c>
      <c r="CH141" s="364">
        <v>0</v>
      </c>
      <c r="CI141" s="364">
        <v>0</v>
      </c>
      <c r="CJ141" s="365">
        <v>1</v>
      </c>
      <c r="CK141" s="363" t="s">
        <v>501</v>
      </c>
      <c r="CL141" s="364">
        <v>3</v>
      </c>
      <c r="CM141" s="364">
        <v>0</v>
      </c>
      <c r="CN141" s="364">
        <v>1</v>
      </c>
      <c r="CO141" s="364">
        <v>1</v>
      </c>
      <c r="CP141" s="364">
        <v>1</v>
      </c>
      <c r="CQ141" s="364">
        <v>0</v>
      </c>
      <c r="CR141" s="364">
        <v>0</v>
      </c>
      <c r="CS141" s="364">
        <v>0</v>
      </c>
      <c r="CT141" s="365">
        <v>1</v>
      </c>
      <c r="CU141" s="363" t="s">
        <v>331</v>
      </c>
      <c r="CV141" s="364">
        <v>4</v>
      </c>
      <c r="CW141" s="364">
        <v>0</v>
      </c>
      <c r="CX141" s="364">
        <v>2</v>
      </c>
      <c r="CY141" s="364">
        <v>1</v>
      </c>
      <c r="CZ141" s="364">
        <v>0</v>
      </c>
      <c r="DA141" s="364">
        <v>0</v>
      </c>
      <c r="DB141" s="364">
        <v>0</v>
      </c>
      <c r="DC141" s="364">
        <v>0</v>
      </c>
      <c r="DD141" s="365">
        <v>3</v>
      </c>
      <c r="DE141" s="363" t="s">
        <v>446</v>
      </c>
      <c r="DF141" s="364">
        <v>3</v>
      </c>
      <c r="DG141" s="364">
        <v>0</v>
      </c>
      <c r="DH141" s="364">
        <v>0</v>
      </c>
      <c r="DI141" s="364">
        <v>0</v>
      </c>
      <c r="DJ141" s="364">
        <v>1</v>
      </c>
      <c r="DK141" s="364">
        <v>2</v>
      </c>
      <c r="DL141" s="364">
        <v>0</v>
      </c>
      <c r="DM141" s="364">
        <v>0</v>
      </c>
      <c r="DN141" s="365">
        <v>0</v>
      </c>
      <c r="DO141" s="363" t="s">
        <v>335</v>
      </c>
      <c r="DP141" s="364">
        <v>4</v>
      </c>
      <c r="DQ141" s="364">
        <v>0</v>
      </c>
      <c r="DR141" s="364">
        <v>1</v>
      </c>
      <c r="DS141" s="364">
        <v>0</v>
      </c>
      <c r="DT141" s="364">
        <v>0</v>
      </c>
      <c r="DU141" s="364">
        <v>1</v>
      </c>
      <c r="DV141" s="364">
        <v>0</v>
      </c>
      <c r="DW141" s="364">
        <v>0</v>
      </c>
      <c r="DX141" s="365">
        <v>1</v>
      </c>
      <c r="DY141" s="366">
        <v>0</v>
      </c>
      <c r="DZ141" s="367">
        <v>0</v>
      </c>
      <c r="EA141" s="367">
        <v>0</v>
      </c>
      <c r="EB141" s="368">
        <v>8</v>
      </c>
      <c r="EC141" s="367">
        <v>1</v>
      </c>
      <c r="ED141" s="369">
        <v>0</v>
      </c>
      <c r="EE141" s="370">
        <v>0</v>
      </c>
      <c r="EF141" s="367">
        <v>0</v>
      </c>
      <c r="EG141" s="367">
        <v>0</v>
      </c>
      <c r="EH141" s="367">
        <v>0</v>
      </c>
      <c r="EI141" s="367">
        <v>0</v>
      </c>
      <c r="EJ141" s="367">
        <v>0</v>
      </c>
      <c r="EK141" s="367">
        <v>0</v>
      </c>
      <c r="EL141" s="367">
        <v>4</v>
      </c>
      <c r="EM141" s="367"/>
      <c r="EN141" s="367"/>
      <c r="EO141" s="367"/>
      <c r="EP141" s="367"/>
      <c r="EQ141" s="369">
        <f t="shared" si="44"/>
        <v>4</v>
      </c>
      <c r="ER141" s="367">
        <v>0</v>
      </c>
      <c r="ES141" s="367">
        <v>0</v>
      </c>
      <c r="ET141" s="367">
        <v>0</v>
      </c>
      <c r="EU141" s="367">
        <v>0</v>
      </c>
      <c r="EV141" s="367">
        <v>0</v>
      </c>
      <c r="EW141" s="367">
        <v>0</v>
      </c>
      <c r="EX141" s="367">
        <v>1</v>
      </c>
      <c r="EY141" s="367">
        <v>2</v>
      </c>
      <c r="EZ141" s="367">
        <v>0</v>
      </c>
      <c r="FA141" s="367"/>
      <c r="FB141" s="367"/>
      <c r="FC141" s="367"/>
      <c r="FD141" s="367">
        <f t="shared" si="45"/>
        <v>3</v>
      </c>
      <c r="FE141" s="371">
        <f t="shared" si="46"/>
        <v>0</v>
      </c>
      <c r="FF141" s="371">
        <f t="shared" si="47"/>
        <v>0</v>
      </c>
      <c r="FG141" s="372"/>
    </row>
    <row r="142" spans="1:163" x14ac:dyDescent="0.25">
      <c r="A142" s="380">
        <v>40423</v>
      </c>
      <c r="B142" s="380" t="s">
        <v>19</v>
      </c>
      <c r="C142" s="380" t="s">
        <v>131</v>
      </c>
      <c r="D142" s="380" t="s">
        <v>333</v>
      </c>
      <c r="E142" s="374">
        <v>7109</v>
      </c>
      <c r="F142" s="358">
        <v>3</v>
      </c>
      <c r="G142" s="359" t="s">
        <v>341</v>
      </c>
      <c r="H142" s="360">
        <v>0</v>
      </c>
      <c r="I142" s="360">
        <v>0</v>
      </c>
      <c r="J142" s="361">
        <f>5+2/3</f>
        <v>5.666666666666667</v>
      </c>
      <c r="K142" s="360">
        <v>5</v>
      </c>
      <c r="L142" s="360">
        <v>5</v>
      </c>
      <c r="M142" s="360">
        <v>5</v>
      </c>
      <c r="N142" s="360">
        <v>2</v>
      </c>
      <c r="O142" s="360">
        <v>5</v>
      </c>
      <c r="P142" s="360">
        <v>2</v>
      </c>
      <c r="Q142" s="360">
        <v>0</v>
      </c>
      <c r="R142" s="360">
        <v>24</v>
      </c>
      <c r="S142" s="360">
        <v>103</v>
      </c>
      <c r="T142" s="360">
        <v>62</v>
      </c>
      <c r="U142" s="360">
        <v>0</v>
      </c>
      <c r="V142" s="362">
        <v>0</v>
      </c>
      <c r="W142" s="376">
        <v>0</v>
      </c>
      <c r="X142" s="376">
        <v>1</v>
      </c>
      <c r="Y142" s="376">
        <v>1</v>
      </c>
      <c r="Z142" s="376">
        <v>0</v>
      </c>
      <c r="AA142" s="376">
        <v>1</v>
      </c>
      <c r="AB142" s="377">
        <f>3+1/3</f>
        <v>3.3333333333333335</v>
      </c>
      <c r="AC142" s="376">
        <v>5</v>
      </c>
      <c r="AD142" s="376">
        <v>2</v>
      </c>
      <c r="AE142" s="376">
        <v>2</v>
      </c>
      <c r="AF142" s="376">
        <v>3</v>
      </c>
      <c r="AG142" s="376">
        <v>2</v>
      </c>
      <c r="AH142" s="376">
        <v>0</v>
      </c>
      <c r="AI142" s="376">
        <v>0</v>
      </c>
      <c r="AJ142" s="376">
        <v>16</v>
      </c>
      <c r="AK142" s="376">
        <v>74</v>
      </c>
      <c r="AL142" s="376">
        <v>43</v>
      </c>
      <c r="AM142" s="363" t="s">
        <v>330</v>
      </c>
      <c r="AN142" s="364">
        <v>4</v>
      </c>
      <c r="AO142" s="364">
        <v>2</v>
      </c>
      <c r="AP142" s="364">
        <v>1</v>
      </c>
      <c r="AQ142" s="364">
        <v>1</v>
      </c>
      <c r="AR142" s="364">
        <v>1</v>
      </c>
      <c r="AS142" s="364">
        <v>2</v>
      </c>
      <c r="AT142" s="364">
        <v>0</v>
      </c>
      <c r="AU142" s="364">
        <v>0</v>
      </c>
      <c r="AV142" s="365">
        <v>1</v>
      </c>
      <c r="AW142" s="363" t="s">
        <v>401</v>
      </c>
      <c r="AX142" s="364">
        <v>5</v>
      </c>
      <c r="AY142" s="364">
        <v>1</v>
      </c>
      <c r="AZ142" s="364">
        <v>2</v>
      </c>
      <c r="BA142" s="364">
        <v>1</v>
      </c>
      <c r="BB142" s="364">
        <v>0</v>
      </c>
      <c r="BC142" s="364">
        <v>1</v>
      </c>
      <c r="BD142" s="364">
        <v>0</v>
      </c>
      <c r="BE142" s="364">
        <v>0</v>
      </c>
      <c r="BF142" s="365">
        <v>2</v>
      </c>
      <c r="BG142" s="363" t="s">
        <v>400</v>
      </c>
      <c r="BH142" s="364">
        <v>3</v>
      </c>
      <c r="BI142" s="364">
        <v>1</v>
      </c>
      <c r="BJ142" s="364">
        <v>1</v>
      </c>
      <c r="BK142" s="364">
        <v>1</v>
      </c>
      <c r="BL142" s="364">
        <v>1</v>
      </c>
      <c r="BM142" s="364">
        <v>1</v>
      </c>
      <c r="BN142" s="364">
        <v>0</v>
      </c>
      <c r="BO142" s="364">
        <v>0</v>
      </c>
      <c r="BP142" s="365">
        <v>1</v>
      </c>
      <c r="BQ142" s="363" t="s">
        <v>405</v>
      </c>
      <c r="BR142" s="364">
        <v>3</v>
      </c>
      <c r="BS142" s="364">
        <v>0</v>
      </c>
      <c r="BT142" s="364">
        <v>1</v>
      </c>
      <c r="BU142" s="364">
        <v>2</v>
      </c>
      <c r="BV142" s="364">
        <v>1</v>
      </c>
      <c r="BW142" s="364">
        <v>2</v>
      </c>
      <c r="BX142" s="364">
        <v>0</v>
      </c>
      <c r="BY142" s="364">
        <v>0</v>
      </c>
      <c r="BZ142" s="365">
        <v>3</v>
      </c>
      <c r="CA142" s="363" t="s">
        <v>403</v>
      </c>
      <c r="CB142" s="364">
        <v>1</v>
      </c>
      <c r="CC142" s="364">
        <v>0</v>
      </c>
      <c r="CD142" s="364">
        <v>0</v>
      </c>
      <c r="CE142" s="364">
        <v>1</v>
      </c>
      <c r="CF142" s="364">
        <v>1</v>
      </c>
      <c r="CG142" s="364">
        <v>1</v>
      </c>
      <c r="CH142" s="364">
        <v>1</v>
      </c>
      <c r="CI142" s="364">
        <v>1</v>
      </c>
      <c r="CJ142" s="365">
        <v>0</v>
      </c>
      <c r="CK142" s="363" t="s">
        <v>501</v>
      </c>
      <c r="CL142" s="364">
        <v>3</v>
      </c>
      <c r="CM142" s="364">
        <v>0</v>
      </c>
      <c r="CN142" s="364">
        <v>0</v>
      </c>
      <c r="CO142" s="364">
        <v>0</v>
      </c>
      <c r="CP142" s="364">
        <v>0</v>
      </c>
      <c r="CQ142" s="364">
        <v>0</v>
      </c>
      <c r="CR142" s="364">
        <v>0</v>
      </c>
      <c r="CS142" s="364">
        <v>0</v>
      </c>
      <c r="CT142" s="365">
        <v>0</v>
      </c>
      <c r="CU142" s="363" t="s">
        <v>331</v>
      </c>
      <c r="CV142" s="364">
        <v>4</v>
      </c>
      <c r="CW142" s="364">
        <v>1</v>
      </c>
      <c r="CX142" s="364">
        <v>1</v>
      </c>
      <c r="CY142" s="364">
        <v>0</v>
      </c>
      <c r="CZ142" s="364">
        <v>0</v>
      </c>
      <c r="DA142" s="364">
        <v>0</v>
      </c>
      <c r="DB142" s="364">
        <v>0</v>
      </c>
      <c r="DC142" s="364">
        <v>0</v>
      </c>
      <c r="DD142" s="365">
        <v>1</v>
      </c>
      <c r="DE142" s="363" t="s">
        <v>335</v>
      </c>
      <c r="DF142" s="364">
        <v>4</v>
      </c>
      <c r="DG142" s="364">
        <v>0</v>
      </c>
      <c r="DH142" s="364">
        <v>0</v>
      </c>
      <c r="DI142" s="364">
        <v>0</v>
      </c>
      <c r="DJ142" s="364">
        <v>0</v>
      </c>
      <c r="DK142" s="364">
        <v>0</v>
      </c>
      <c r="DL142" s="364">
        <v>0</v>
      </c>
      <c r="DM142" s="364">
        <v>0</v>
      </c>
      <c r="DN142" s="365">
        <v>0</v>
      </c>
      <c r="DO142" s="363" t="s">
        <v>427</v>
      </c>
      <c r="DP142" s="364">
        <v>4</v>
      </c>
      <c r="DQ142" s="364">
        <v>1</v>
      </c>
      <c r="DR142" s="364">
        <v>1</v>
      </c>
      <c r="DS142" s="364">
        <v>0</v>
      </c>
      <c r="DT142" s="364">
        <v>0</v>
      </c>
      <c r="DU142" s="364">
        <v>3</v>
      </c>
      <c r="DV142" s="364">
        <v>0</v>
      </c>
      <c r="DW142" s="364">
        <v>0</v>
      </c>
      <c r="DX142" s="365">
        <v>2</v>
      </c>
      <c r="DY142" s="366">
        <v>1</v>
      </c>
      <c r="DZ142" s="367">
        <v>0</v>
      </c>
      <c r="EA142" s="367">
        <v>0</v>
      </c>
      <c r="EB142" s="368">
        <v>8</v>
      </c>
      <c r="EC142" s="367">
        <v>0</v>
      </c>
      <c r="ED142" s="369">
        <v>1</v>
      </c>
      <c r="EE142" s="370">
        <v>2</v>
      </c>
      <c r="EF142" s="367">
        <v>0</v>
      </c>
      <c r="EG142" s="367">
        <v>0</v>
      </c>
      <c r="EH142" s="367">
        <v>0</v>
      </c>
      <c r="EI142" s="367">
        <v>4</v>
      </c>
      <c r="EJ142" s="367">
        <v>0</v>
      </c>
      <c r="EK142" s="367">
        <v>0</v>
      </c>
      <c r="EL142" s="367">
        <v>0</v>
      </c>
      <c r="EM142" s="367">
        <v>0</v>
      </c>
      <c r="EN142" s="367"/>
      <c r="EO142" s="367"/>
      <c r="EP142" s="367"/>
      <c r="EQ142" s="369">
        <f t="shared" si="44"/>
        <v>6</v>
      </c>
      <c r="ER142" s="367">
        <v>0</v>
      </c>
      <c r="ES142" s="367">
        <v>0</v>
      </c>
      <c r="ET142" s="367">
        <v>0</v>
      </c>
      <c r="EU142" s="367">
        <v>5</v>
      </c>
      <c r="EV142" s="367">
        <v>0</v>
      </c>
      <c r="EW142" s="367">
        <v>0</v>
      </c>
      <c r="EX142" s="367">
        <v>1</v>
      </c>
      <c r="EY142" s="367">
        <v>1</v>
      </c>
      <c r="EZ142" s="367">
        <v>0</v>
      </c>
      <c r="FA142" s="367"/>
      <c r="FB142" s="367"/>
      <c r="FC142" s="367"/>
      <c r="FD142" s="367">
        <f t="shared" si="45"/>
        <v>7</v>
      </c>
      <c r="FE142" s="371">
        <f t="shared" si="46"/>
        <v>0</v>
      </c>
      <c r="FF142" s="371">
        <f t="shared" si="47"/>
        <v>0</v>
      </c>
      <c r="FG142" s="372"/>
    </row>
    <row r="143" spans="1:163" x14ac:dyDescent="0.25">
      <c r="A143" s="380">
        <v>40424</v>
      </c>
      <c r="B143" s="380" t="s">
        <v>19</v>
      </c>
      <c r="C143" s="380" t="s">
        <v>131</v>
      </c>
      <c r="D143" s="380" t="s">
        <v>333</v>
      </c>
      <c r="E143" s="374">
        <v>9136</v>
      </c>
      <c r="F143" s="358">
        <v>4</v>
      </c>
      <c r="G143" s="359" t="s">
        <v>334</v>
      </c>
      <c r="H143" s="360">
        <v>0</v>
      </c>
      <c r="I143" s="360">
        <v>0</v>
      </c>
      <c r="J143" s="361">
        <f>3+2/3</f>
        <v>3.6666666666666665</v>
      </c>
      <c r="K143" s="360">
        <v>8</v>
      </c>
      <c r="L143" s="360">
        <v>4</v>
      </c>
      <c r="M143" s="360">
        <v>4</v>
      </c>
      <c r="N143" s="360">
        <v>2</v>
      </c>
      <c r="O143" s="360">
        <v>1</v>
      </c>
      <c r="P143" s="360">
        <v>0</v>
      </c>
      <c r="Q143" s="360">
        <v>0</v>
      </c>
      <c r="R143" s="360">
        <v>18</v>
      </c>
      <c r="S143" s="360">
        <v>67</v>
      </c>
      <c r="T143" s="360">
        <v>36</v>
      </c>
      <c r="U143" s="360">
        <v>1</v>
      </c>
      <c r="V143" s="362">
        <v>0</v>
      </c>
      <c r="W143" s="376">
        <v>0</v>
      </c>
      <c r="X143" s="376">
        <v>1</v>
      </c>
      <c r="Y143" s="376">
        <v>0</v>
      </c>
      <c r="Z143" s="376">
        <v>0</v>
      </c>
      <c r="AA143" s="376">
        <v>0</v>
      </c>
      <c r="AB143" s="377">
        <f>5+1/3</f>
        <v>5.333333333333333</v>
      </c>
      <c r="AC143" s="376">
        <v>7</v>
      </c>
      <c r="AD143" s="376">
        <v>2</v>
      </c>
      <c r="AE143" s="376">
        <v>2</v>
      </c>
      <c r="AF143" s="376">
        <v>2</v>
      </c>
      <c r="AG143" s="376">
        <v>5</v>
      </c>
      <c r="AH143" s="376">
        <v>1</v>
      </c>
      <c r="AI143" s="376">
        <v>1</v>
      </c>
      <c r="AJ143" s="376">
        <v>26</v>
      </c>
      <c r="AK143" s="376">
        <v>102</v>
      </c>
      <c r="AL143" s="376">
        <v>66</v>
      </c>
      <c r="AM143" s="363" t="s">
        <v>401</v>
      </c>
      <c r="AN143" s="364">
        <v>5</v>
      </c>
      <c r="AO143" s="364">
        <v>1</v>
      </c>
      <c r="AP143" s="364">
        <v>1</v>
      </c>
      <c r="AQ143" s="364">
        <v>1</v>
      </c>
      <c r="AR143" s="364">
        <v>0</v>
      </c>
      <c r="AS143" s="364">
        <v>3</v>
      </c>
      <c r="AT143" s="364">
        <v>0</v>
      </c>
      <c r="AU143" s="364">
        <v>0</v>
      </c>
      <c r="AV143" s="365">
        <v>1</v>
      </c>
      <c r="AW143" s="363" t="s">
        <v>345</v>
      </c>
      <c r="AX143" s="364">
        <v>4</v>
      </c>
      <c r="AY143" s="364">
        <v>0</v>
      </c>
      <c r="AZ143" s="364">
        <v>1</v>
      </c>
      <c r="BA143" s="364">
        <v>0</v>
      </c>
      <c r="BB143" s="364">
        <v>0</v>
      </c>
      <c r="BC143" s="364">
        <v>3</v>
      </c>
      <c r="BD143" s="364">
        <v>0</v>
      </c>
      <c r="BE143" s="364">
        <v>0</v>
      </c>
      <c r="BF143" s="365">
        <v>1</v>
      </c>
      <c r="BG143" s="363" t="s">
        <v>400</v>
      </c>
      <c r="BH143" s="364">
        <v>4</v>
      </c>
      <c r="BI143" s="364">
        <v>0</v>
      </c>
      <c r="BJ143" s="364">
        <v>0</v>
      </c>
      <c r="BK143" s="364">
        <v>1</v>
      </c>
      <c r="BL143" s="364">
        <v>0</v>
      </c>
      <c r="BM143" s="364">
        <v>0</v>
      </c>
      <c r="BN143" s="364">
        <v>0</v>
      </c>
      <c r="BO143" s="364">
        <v>0</v>
      </c>
      <c r="BP143" s="365">
        <v>0</v>
      </c>
      <c r="BQ143" s="363" t="s">
        <v>405</v>
      </c>
      <c r="BR143" s="364">
        <v>4</v>
      </c>
      <c r="BS143" s="364">
        <v>0</v>
      </c>
      <c r="BT143" s="364">
        <v>2</v>
      </c>
      <c r="BU143" s="364">
        <v>0</v>
      </c>
      <c r="BV143" s="364">
        <v>0</v>
      </c>
      <c r="BW143" s="364">
        <v>0</v>
      </c>
      <c r="BX143" s="364">
        <v>0</v>
      </c>
      <c r="BY143" s="364">
        <v>0</v>
      </c>
      <c r="BZ143" s="365">
        <v>2</v>
      </c>
      <c r="CA143" s="363" t="s">
        <v>446</v>
      </c>
      <c r="CB143" s="364">
        <v>4</v>
      </c>
      <c r="CC143" s="364">
        <v>0</v>
      </c>
      <c r="CD143" s="364">
        <v>1</v>
      </c>
      <c r="CE143" s="364">
        <v>0</v>
      </c>
      <c r="CF143" s="364">
        <v>0</v>
      </c>
      <c r="CG143" s="364">
        <v>2</v>
      </c>
      <c r="CH143" s="364">
        <v>0</v>
      </c>
      <c r="CI143" s="364">
        <v>0</v>
      </c>
      <c r="CJ143" s="365">
        <v>1</v>
      </c>
      <c r="CK143" s="363" t="s">
        <v>501</v>
      </c>
      <c r="CL143" s="364">
        <v>4</v>
      </c>
      <c r="CM143" s="364">
        <v>0</v>
      </c>
      <c r="CN143" s="364">
        <v>1</v>
      </c>
      <c r="CO143" s="364">
        <v>0</v>
      </c>
      <c r="CP143" s="364">
        <v>0</v>
      </c>
      <c r="CQ143" s="364">
        <v>2</v>
      </c>
      <c r="CR143" s="364">
        <v>0</v>
      </c>
      <c r="CS143" s="364">
        <v>0</v>
      </c>
      <c r="CT143" s="365">
        <v>1</v>
      </c>
      <c r="CU143" s="363" t="s">
        <v>331</v>
      </c>
      <c r="CV143" s="364">
        <v>3</v>
      </c>
      <c r="CW143" s="364">
        <v>1</v>
      </c>
      <c r="CX143" s="364">
        <v>1</v>
      </c>
      <c r="CY143" s="364">
        <v>0</v>
      </c>
      <c r="CZ143" s="364">
        <v>0</v>
      </c>
      <c r="DA143" s="364">
        <v>0</v>
      </c>
      <c r="DB143" s="364">
        <v>1</v>
      </c>
      <c r="DC143" s="364">
        <v>0</v>
      </c>
      <c r="DD143" s="365">
        <v>1</v>
      </c>
      <c r="DE143" s="363" t="s">
        <v>335</v>
      </c>
      <c r="DF143" s="364">
        <v>4</v>
      </c>
      <c r="DG143" s="364">
        <v>1</v>
      </c>
      <c r="DH143" s="364">
        <v>3</v>
      </c>
      <c r="DI143" s="364">
        <v>0</v>
      </c>
      <c r="DJ143" s="364">
        <v>0</v>
      </c>
      <c r="DK143" s="364">
        <v>0</v>
      </c>
      <c r="DL143" s="364">
        <v>0</v>
      </c>
      <c r="DM143" s="364">
        <v>0</v>
      </c>
      <c r="DN143" s="365">
        <v>3</v>
      </c>
      <c r="DO143" s="363" t="s">
        <v>330</v>
      </c>
      <c r="DP143" s="364">
        <v>4</v>
      </c>
      <c r="DQ143" s="364">
        <v>1</v>
      </c>
      <c r="DR143" s="364">
        <v>1</v>
      </c>
      <c r="DS143" s="364">
        <v>1</v>
      </c>
      <c r="DT143" s="364">
        <v>0</v>
      </c>
      <c r="DU143" s="364">
        <v>1</v>
      </c>
      <c r="DV143" s="364">
        <v>0</v>
      </c>
      <c r="DW143" s="364">
        <v>0</v>
      </c>
      <c r="DX143" s="365">
        <v>1</v>
      </c>
      <c r="DY143" s="366">
        <v>0</v>
      </c>
      <c r="DZ143" s="367">
        <v>0</v>
      </c>
      <c r="EA143" s="367">
        <v>0</v>
      </c>
      <c r="EB143" s="368">
        <v>9</v>
      </c>
      <c r="EC143" s="367">
        <v>0</v>
      </c>
      <c r="ED143" s="369">
        <v>0</v>
      </c>
      <c r="EE143" s="370">
        <v>0</v>
      </c>
      <c r="EF143" s="367">
        <v>0</v>
      </c>
      <c r="EG143" s="367">
        <v>0</v>
      </c>
      <c r="EH143" s="367">
        <v>0</v>
      </c>
      <c r="EI143" s="367">
        <v>0</v>
      </c>
      <c r="EJ143" s="367">
        <v>0</v>
      </c>
      <c r="EK143" s="367">
        <v>4</v>
      </c>
      <c r="EL143" s="367">
        <v>0</v>
      </c>
      <c r="EM143" s="367">
        <v>0</v>
      </c>
      <c r="EN143" s="367"/>
      <c r="EO143" s="367"/>
      <c r="EP143" s="367"/>
      <c r="EQ143" s="369">
        <f t="shared" si="44"/>
        <v>4</v>
      </c>
      <c r="ER143" s="367">
        <v>1</v>
      </c>
      <c r="ES143" s="367">
        <v>0</v>
      </c>
      <c r="ET143" s="367">
        <v>0</v>
      </c>
      <c r="EU143" s="367">
        <v>3</v>
      </c>
      <c r="EV143" s="367">
        <v>0</v>
      </c>
      <c r="EW143" s="367">
        <v>0</v>
      </c>
      <c r="EX143" s="367">
        <v>0</v>
      </c>
      <c r="EY143" s="367">
        <v>1</v>
      </c>
      <c r="EZ143" s="367">
        <v>1</v>
      </c>
      <c r="FA143" s="367"/>
      <c r="FB143" s="367"/>
      <c r="FC143" s="367"/>
      <c r="FD143" s="367">
        <f t="shared" si="45"/>
        <v>6</v>
      </c>
      <c r="FE143" s="371">
        <f t="shared" si="46"/>
        <v>0</v>
      </c>
      <c r="FF143" s="371">
        <f t="shared" si="47"/>
        <v>0</v>
      </c>
      <c r="FG143" s="372"/>
    </row>
    <row r="144" spans="1:163" x14ac:dyDescent="0.25">
      <c r="A144" s="380">
        <v>40425</v>
      </c>
      <c r="B144" s="380" t="s">
        <v>19</v>
      </c>
      <c r="C144" s="380" t="s">
        <v>131</v>
      </c>
      <c r="D144" s="380" t="s">
        <v>359</v>
      </c>
      <c r="E144" s="374">
        <v>10088</v>
      </c>
      <c r="F144" s="358">
        <v>5</v>
      </c>
      <c r="G144" s="359" t="s">
        <v>665</v>
      </c>
      <c r="H144" s="360">
        <v>0</v>
      </c>
      <c r="I144" s="360">
        <v>0</v>
      </c>
      <c r="J144" s="361">
        <f>0+1/3</f>
        <v>0.33333333333333331</v>
      </c>
      <c r="K144" s="360">
        <v>3</v>
      </c>
      <c r="L144" s="360">
        <v>4</v>
      </c>
      <c r="M144" s="360">
        <v>3</v>
      </c>
      <c r="N144" s="360">
        <v>1</v>
      </c>
      <c r="O144" s="360">
        <v>0</v>
      </c>
      <c r="P144" s="360">
        <v>1</v>
      </c>
      <c r="Q144" s="360">
        <v>0</v>
      </c>
      <c r="R144" s="360">
        <v>6</v>
      </c>
      <c r="S144" s="360">
        <v>22</v>
      </c>
      <c r="T144" s="360">
        <v>13</v>
      </c>
      <c r="U144" s="360">
        <v>1</v>
      </c>
      <c r="V144" s="362">
        <v>0</v>
      </c>
      <c r="W144" s="376">
        <v>0</v>
      </c>
      <c r="X144" s="376">
        <v>1</v>
      </c>
      <c r="Y144" s="376">
        <v>0</v>
      </c>
      <c r="Z144" s="376">
        <v>0</v>
      </c>
      <c r="AA144" s="376">
        <v>0</v>
      </c>
      <c r="AB144" s="377">
        <f>9+2/3</f>
        <v>9.6666666666666661</v>
      </c>
      <c r="AC144" s="376">
        <v>7</v>
      </c>
      <c r="AD144" s="376">
        <v>3</v>
      </c>
      <c r="AE144" s="376">
        <v>2</v>
      </c>
      <c r="AF144" s="376">
        <v>3</v>
      </c>
      <c r="AG144" s="376">
        <v>5</v>
      </c>
      <c r="AH144" s="376">
        <v>0</v>
      </c>
      <c r="AI144" s="376">
        <v>0</v>
      </c>
      <c r="AJ144" s="376">
        <v>35</v>
      </c>
      <c r="AK144" s="376">
        <v>127</v>
      </c>
      <c r="AL144" s="376">
        <v>78</v>
      </c>
      <c r="AM144" s="363" t="s">
        <v>401</v>
      </c>
      <c r="AN144" s="364">
        <v>4</v>
      </c>
      <c r="AO144" s="364">
        <v>1</v>
      </c>
      <c r="AP144" s="364">
        <v>3</v>
      </c>
      <c r="AQ144" s="364">
        <v>1</v>
      </c>
      <c r="AR144" s="364">
        <v>1</v>
      </c>
      <c r="AS144" s="364">
        <v>0</v>
      </c>
      <c r="AT144" s="364">
        <v>0</v>
      </c>
      <c r="AU144" s="364">
        <v>0</v>
      </c>
      <c r="AV144" s="365">
        <v>3</v>
      </c>
      <c r="AW144" s="363" t="s">
        <v>335</v>
      </c>
      <c r="AX144" s="364">
        <v>4</v>
      </c>
      <c r="AY144" s="364">
        <v>0</v>
      </c>
      <c r="AZ144" s="364">
        <v>0</v>
      </c>
      <c r="BA144" s="364">
        <v>0</v>
      </c>
      <c r="BB144" s="364">
        <v>0</v>
      </c>
      <c r="BC144" s="364">
        <v>3</v>
      </c>
      <c r="BD144" s="364">
        <v>0</v>
      </c>
      <c r="BE144" s="364">
        <v>0</v>
      </c>
      <c r="BF144" s="365">
        <v>0</v>
      </c>
      <c r="BG144" s="363" t="s">
        <v>345</v>
      </c>
      <c r="BH144" s="364">
        <v>5</v>
      </c>
      <c r="BI144" s="364">
        <v>2</v>
      </c>
      <c r="BJ144" s="364">
        <v>1</v>
      </c>
      <c r="BK144" s="364">
        <v>0</v>
      </c>
      <c r="BL144" s="364">
        <v>0</v>
      </c>
      <c r="BM144" s="364">
        <v>1</v>
      </c>
      <c r="BN144" s="364">
        <v>0</v>
      </c>
      <c r="BO144" s="364">
        <v>0</v>
      </c>
      <c r="BP144" s="365">
        <v>1</v>
      </c>
      <c r="BQ144" s="363" t="s">
        <v>405</v>
      </c>
      <c r="BR144" s="364">
        <v>4</v>
      </c>
      <c r="BS144" s="364">
        <v>1</v>
      </c>
      <c r="BT144" s="364">
        <v>2</v>
      </c>
      <c r="BU144" s="364">
        <v>4</v>
      </c>
      <c r="BV144" s="364">
        <v>1</v>
      </c>
      <c r="BW144" s="364">
        <v>1</v>
      </c>
      <c r="BX144" s="364">
        <v>0</v>
      </c>
      <c r="BY144" s="364">
        <v>0</v>
      </c>
      <c r="BZ144" s="365">
        <v>5</v>
      </c>
      <c r="CA144" s="363" t="s">
        <v>403</v>
      </c>
      <c r="CB144" s="364">
        <v>4</v>
      </c>
      <c r="CC144" s="364">
        <v>0</v>
      </c>
      <c r="CD144" s="364">
        <v>1</v>
      </c>
      <c r="CE144" s="364">
        <v>0</v>
      </c>
      <c r="CF144" s="364">
        <v>1</v>
      </c>
      <c r="CG144" s="364">
        <v>1</v>
      </c>
      <c r="CH144" s="364">
        <v>0</v>
      </c>
      <c r="CI144" s="364">
        <v>0</v>
      </c>
      <c r="CJ144" s="365">
        <v>1</v>
      </c>
      <c r="CK144" s="363" t="s">
        <v>501</v>
      </c>
      <c r="CL144" s="364">
        <v>5</v>
      </c>
      <c r="CM144" s="364">
        <v>0</v>
      </c>
      <c r="CN144" s="364">
        <v>1</v>
      </c>
      <c r="CO144" s="364">
        <v>0</v>
      </c>
      <c r="CP144" s="364">
        <v>0</v>
      </c>
      <c r="CQ144" s="364">
        <v>2</v>
      </c>
      <c r="CR144" s="364">
        <v>0</v>
      </c>
      <c r="CS144" s="364">
        <v>0</v>
      </c>
      <c r="CT144" s="365">
        <v>1</v>
      </c>
      <c r="CU144" s="363" t="s">
        <v>446</v>
      </c>
      <c r="CV144" s="364">
        <v>5</v>
      </c>
      <c r="CW144" s="364">
        <v>1</v>
      </c>
      <c r="CX144" s="364">
        <v>1</v>
      </c>
      <c r="CY144" s="364">
        <v>0</v>
      </c>
      <c r="CZ144" s="364">
        <v>0</v>
      </c>
      <c r="DA144" s="364">
        <v>0</v>
      </c>
      <c r="DB144" s="364">
        <v>0</v>
      </c>
      <c r="DC144" s="364">
        <v>0</v>
      </c>
      <c r="DD144" s="365">
        <v>1</v>
      </c>
      <c r="DE144" s="363" t="s">
        <v>664</v>
      </c>
      <c r="DF144" s="364">
        <v>4</v>
      </c>
      <c r="DG144" s="364">
        <v>1</v>
      </c>
      <c r="DH144" s="364">
        <v>1</v>
      </c>
      <c r="DI144" s="364">
        <v>0</v>
      </c>
      <c r="DJ144" s="364">
        <v>0</v>
      </c>
      <c r="DK144" s="364">
        <v>2</v>
      </c>
      <c r="DL144" s="364">
        <v>0</v>
      </c>
      <c r="DM144" s="364">
        <v>0</v>
      </c>
      <c r="DN144" s="365">
        <v>2</v>
      </c>
      <c r="DO144" s="363" t="s">
        <v>330</v>
      </c>
      <c r="DP144" s="364">
        <v>3</v>
      </c>
      <c r="DQ144" s="364">
        <v>0</v>
      </c>
      <c r="DR144" s="364">
        <v>0</v>
      </c>
      <c r="DS144" s="364">
        <v>0</v>
      </c>
      <c r="DT144" s="364">
        <v>0</v>
      </c>
      <c r="DU144" s="364">
        <v>0</v>
      </c>
      <c r="DV144" s="364">
        <v>0</v>
      </c>
      <c r="DW144" s="364">
        <v>0</v>
      </c>
      <c r="DX144" s="365">
        <v>0</v>
      </c>
      <c r="DY144" s="366">
        <v>6</v>
      </c>
      <c r="DZ144" s="367">
        <v>0</v>
      </c>
      <c r="EA144" s="367">
        <v>0</v>
      </c>
      <c r="EB144" s="368">
        <v>4</v>
      </c>
      <c r="EC144" s="367">
        <v>0</v>
      </c>
      <c r="ED144" s="369">
        <v>0</v>
      </c>
      <c r="EE144" s="370">
        <v>2</v>
      </c>
      <c r="EF144" s="367">
        <v>1</v>
      </c>
      <c r="EG144" s="367">
        <v>0</v>
      </c>
      <c r="EH144" s="367">
        <v>0</v>
      </c>
      <c r="EI144" s="367">
        <v>0</v>
      </c>
      <c r="EJ144" s="367">
        <v>0</v>
      </c>
      <c r="EK144" s="367">
        <v>0</v>
      </c>
      <c r="EL144" s="367">
        <v>2</v>
      </c>
      <c r="EM144" s="367">
        <v>1</v>
      </c>
      <c r="EN144" s="367">
        <v>0</v>
      </c>
      <c r="EO144" s="367"/>
      <c r="EP144" s="367"/>
      <c r="EQ144" s="369">
        <f t="shared" si="44"/>
        <v>6</v>
      </c>
      <c r="ER144" s="367">
        <v>4</v>
      </c>
      <c r="ES144" s="367">
        <v>0</v>
      </c>
      <c r="ET144" s="367">
        <v>1</v>
      </c>
      <c r="EU144" s="367">
        <v>0</v>
      </c>
      <c r="EV144" s="367">
        <v>0</v>
      </c>
      <c r="EW144" s="367">
        <v>0</v>
      </c>
      <c r="EX144" s="367">
        <v>0</v>
      </c>
      <c r="EY144" s="367">
        <v>1</v>
      </c>
      <c r="EZ144" s="367">
        <v>0</v>
      </c>
      <c r="FA144" s="367">
        <v>1</v>
      </c>
      <c r="FB144" s="367"/>
      <c r="FC144" s="367"/>
      <c r="FD144" s="367">
        <f t="shared" si="45"/>
        <v>7</v>
      </c>
      <c r="FE144" s="371">
        <f t="shared" si="46"/>
        <v>0</v>
      </c>
      <c r="FF144" s="371">
        <f t="shared" si="47"/>
        <v>0</v>
      </c>
      <c r="FG144" s="372"/>
    </row>
    <row r="145" spans="1:163" x14ac:dyDescent="0.25">
      <c r="A145" s="380">
        <v>40426</v>
      </c>
      <c r="B145" s="380" t="s">
        <v>19</v>
      </c>
      <c r="C145" s="380" t="s">
        <v>129</v>
      </c>
      <c r="D145" s="380" t="s">
        <v>359</v>
      </c>
      <c r="E145" s="374">
        <v>10925</v>
      </c>
      <c r="F145" s="358">
        <v>1</v>
      </c>
      <c r="G145" s="359" t="s">
        <v>398</v>
      </c>
      <c r="H145" s="360">
        <v>0</v>
      </c>
      <c r="I145" s="360">
        <v>0</v>
      </c>
      <c r="J145" s="361">
        <v>4</v>
      </c>
      <c r="K145" s="360">
        <v>7</v>
      </c>
      <c r="L145" s="360">
        <v>5</v>
      </c>
      <c r="M145" s="360">
        <v>5</v>
      </c>
      <c r="N145" s="360">
        <v>4</v>
      </c>
      <c r="O145" s="360">
        <v>0</v>
      </c>
      <c r="P145" s="360">
        <v>1</v>
      </c>
      <c r="Q145" s="360">
        <v>0</v>
      </c>
      <c r="R145" s="360">
        <v>22</v>
      </c>
      <c r="S145" s="360">
        <v>70</v>
      </c>
      <c r="T145" s="360">
        <v>39</v>
      </c>
      <c r="U145" s="360">
        <v>2</v>
      </c>
      <c r="V145" s="362">
        <v>1</v>
      </c>
      <c r="W145" s="376">
        <v>1</v>
      </c>
      <c r="X145" s="376">
        <v>0</v>
      </c>
      <c r="Y145" s="376">
        <v>0</v>
      </c>
      <c r="Z145" s="376">
        <v>0</v>
      </c>
      <c r="AA145" s="376">
        <v>0</v>
      </c>
      <c r="AB145" s="377">
        <v>5</v>
      </c>
      <c r="AC145" s="376">
        <v>3</v>
      </c>
      <c r="AD145" s="376">
        <v>0</v>
      </c>
      <c r="AE145" s="376">
        <v>0</v>
      </c>
      <c r="AF145" s="376">
        <v>1</v>
      </c>
      <c r="AG145" s="376">
        <v>5</v>
      </c>
      <c r="AH145" s="376">
        <v>0</v>
      </c>
      <c r="AI145" s="376">
        <v>0</v>
      </c>
      <c r="AJ145" s="376">
        <v>18</v>
      </c>
      <c r="AK145" s="376">
        <v>78</v>
      </c>
      <c r="AL145" s="376">
        <v>54</v>
      </c>
      <c r="AM145" s="363" t="s">
        <v>401</v>
      </c>
      <c r="AN145" s="364">
        <v>3</v>
      </c>
      <c r="AO145" s="364">
        <v>1</v>
      </c>
      <c r="AP145" s="364">
        <v>0</v>
      </c>
      <c r="AQ145" s="364">
        <v>0</v>
      </c>
      <c r="AR145" s="364">
        <v>1</v>
      </c>
      <c r="AS145" s="364">
        <v>1</v>
      </c>
      <c r="AT145" s="364">
        <v>0</v>
      </c>
      <c r="AU145" s="364">
        <v>0</v>
      </c>
      <c r="AV145" s="365">
        <v>0</v>
      </c>
      <c r="AW145" s="363" t="s">
        <v>427</v>
      </c>
      <c r="AX145" s="364">
        <v>4</v>
      </c>
      <c r="AY145" s="364">
        <v>0</v>
      </c>
      <c r="AZ145" s="364">
        <v>0</v>
      </c>
      <c r="BA145" s="364">
        <v>0</v>
      </c>
      <c r="BB145" s="364">
        <v>0</v>
      </c>
      <c r="BC145" s="364">
        <v>3</v>
      </c>
      <c r="BD145" s="364">
        <v>0</v>
      </c>
      <c r="BE145" s="364">
        <v>0</v>
      </c>
      <c r="BF145" s="365">
        <v>0</v>
      </c>
      <c r="BG145" s="363" t="s">
        <v>345</v>
      </c>
      <c r="BH145" s="364">
        <v>4</v>
      </c>
      <c r="BI145" s="364">
        <v>2</v>
      </c>
      <c r="BJ145" s="364">
        <v>3</v>
      </c>
      <c r="BK145" s="364">
        <v>3</v>
      </c>
      <c r="BL145" s="364">
        <v>0</v>
      </c>
      <c r="BM145" s="364">
        <v>1</v>
      </c>
      <c r="BN145" s="364">
        <v>0</v>
      </c>
      <c r="BO145" s="364">
        <v>0</v>
      </c>
      <c r="BP145" s="365">
        <v>8</v>
      </c>
      <c r="BQ145" s="363" t="s">
        <v>405</v>
      </c>
      <c r="BR145" s="364">
        <v>3</v>
      </c>
      <c r="BS145" s="364">
        <v>1</v>
      </c>
      <c r="BT145" s="364">
        <v>1</v>
      </c>
      <c r="BU145" s="364">
        <v>1</v>
      </c>
      <c r="BV145" s="364">
        <v>1</v>
      </c>
      <c r="BW145" s="364">
        <v>0</v>
      </c>
      <c r="BX145" s="364">
        <v>0</v>
      </c>
      <c r="BY145" s="364">
        <v>0</v>
      </c>
      <c r="BZ145" s="365">
        <v>4</v>
      </c>
      <c r="CA145" s="363" t="s">
        <v>403</v>
      </c>
      <c r="CB145" s="364">
        <v>2</v>
      </c>
      <c r="CC145" s="364">
        <v>0</v>
      </c>
      <c r="CD145" s="364">
        <v>0</v>
      </c>
      <c r="CE145" s="364">
        <v>1</v>
      </c>
      <c r="CF145" s="364">
        <v>1</v>
      </c>
      <c r="CG145" s="364">
        <v>0</v>
      </c>
      <c r="CH145" s="364">
        <v>0</v>
      </c>
      <c r="CI145" s="364">
        <v>1</v>
      </c>
      <c r="CJ145" s="365">
        <v>0</v>
      </c>
      <c r="CK145" s="363" t="s">
        <v>501</v>
      </c>
      <c r="CL145" s="364">
        <v>4</v>
      </c>
      <c r="CM145" s="364">
        <v>0</v>
      </c>
      <c r="CN145" s="364">
        <v>0</v>
      </c>
      <c r="CO145" s="364">
        <v>0</v>
      </c>
      <c r="CP145" s="364">
        <v>0</v>
      </c>
      <c r="CQ145" s="364">
        <v>0</v>
      </c>
      <c r="CR145" s="364">
        <v>0</v>
      </c>
      <c r="CS145" s="364">
        <v>0</v>
      </c>
      <c r="CT145" s="365">
        <v>0</v>
      </c>
      <c r="CU145" s="363" t="s">
        <v>446</v>
      </c>
      <c r="CV145" s="364">
        <v>3</v>
      </c>
      <c r="CW145" s="364">
        <v>0</v>
      </c>
      <c r="CX145" s="364">
        <v>1</v>
      </c>
      <c r="CY145" s="364">
        <v>0</v>
      </c>
      <c r="CZ145" s="364">
        <v>0</v>
      </c>
      <c r="DA145" s="364">
        <v>1</v>
      </c>
      <c r="DB145" s="364">
        <v>0</v>
      </c>
      <c r="DC145" s="364">
        <v>0</v>
      </c>
      <c r="DD145" s="365">
        <v>1</v>
      </c>
      <c r="DE145" s="363" t="s">
        <v>335</v>
      </c>
      <c r="DF145" s="364">
        <v>3</v>
      </c>
      <c r="DG145" s="364">
        <v>0</v>
      </c>
      <c r="DH145" s="364">
        <v>0</v>
      </c>
      <c r="DI145" s="364">
        <v>0</v>
      </c>
      <c r="DJ145" s="364">
        <v>0</v>
      </c>
      <c r="DK145" s="364">
        <v>1</v>
      </c>
      <c r="DL145" s="364">
        <v>0</v>
      </c>
      <c r="DM145" s="364">
        <v>0</v>
      </c>
      <c r="DN145" s="365">
        <v>0</v>
      </c>
      <c r="DO145" s="363" t="s">
        <v>330</v>
      </c>
      <c r="DP145" s="364">
        <v>2</v>
      </c>
      <c r="DQ145" s="364">
        <v>2</v>
      </c>
      <c r="DR145" s="364">
        <v>1</v>
      </c>
      <c r="DS145" s="364">
        <v>0</v>
      </c>
      <c r="DT145" s="364">
        <v>1</v>
      </c>
      <c r="DU145" s="364">
        <v>1</v>
      </c>
      <c r="DV145" s="364">
        <v>0</v>
      </c>
      <c r="DW145" s="364">
        <v>0</v>
      </c>
      <c r="DX145" s="365">
        <v>1</v>
      </c>
      <c r="DY145" s="366">
        <v>0</v>
      </c>
      <c r="DZ145" s="367">
        <v>0</v>
      </c>
      <c r="EA145" s="367">
        <v>0</v>
      </c>
      <c r="EB145" s="368">
        <v>8</v>
      </c>
      <c r="EC145" s="367">
        <v>2</v>
      </c>
      <c r="ED145" s="369">
        <v>0</v>
      </c>
      <c r="EE145" s="370">
        <v>2</v>
      </c>
      <c r="EF145" s="367">
        <v>0</v>
      </c>
      <c r="EG145" s="367">
        <v>1</v>
      </c>
      <c r="EH145" s="367">
        <v>0</v>
      </c>
      <c r="EI145" s="367">
        <v>0</v>
      </c>
      <c r="EJ145" s="367">
        <v>0</v>
      </c>
      <c r="EK145" s="367">
        <v>0</v>
      </c>
      <c r="EL145" s="367">
        <v>3</v>
      </c>
      <c r="EM145" s="367"/>
      <c r="EN145" s="367"/>
      <c r="EO145" s="367"/>
      <c r="EP145" s="367"/>
      <c r="EQ145" s="369">
        <f t="shared" si="44"/>
        <v>6</v>
      </c>
      <c r="ER145" s="367">
        <v>2</v>
      </c>
      <c r="ES145" s="367">
        <v>1</v>
      </c>
      <c r="ET145" s="367">
        <v>0</v>
      </c>
      <c r="EU145" s="367">
        <v>1</v>
      </c>
      <c r="EV145" s="367">
        <v>1</v>
      </c>
      <c r="EW145" s="367">
        <v>0</v>
      </c>
      <c r="EX145" s="367">
        <v>0</v>
      </c>
      <c r="EY145" s="367">
        <v>0</v>
      </c>
      <c r="EZ145" s="367">
        <v>0</v>
      </c>
      <c r="FA145" s="367"/>
      <c r="FB145" s="367"/>
      <c r="FC145" s="367"/>
      <c r="FD145" s="367">
        <f t="shared" si="45"/>
        <v>5</v>
      </c>
      <c r="FE145" s="371">
        <f t="shared" si="46"/>
        <v>0</v>
      </c>
      <c r="FF145" s="371">
        <f t="shared" si="47"/>
        <v>0</v>
      </c>
      <c r="FG145" s="372"/>
    </row>
    <row r="146" spans="1:163" x14ac:dyDescent="0.25">
      <c r="A146" s="380">
        <v>40427</v>
      </c>
      <c r="B146" s="380" t="s">
        <v>19</v>
      </c>
      <c r="C146" s="380" t="s">
        <v>129</v>
      </c>
      <c r="D146" s="380" t="s">
        <v>359</v>
      </c>
      <c r="E146" s="374">
        <v>8388</v>
      </c>
      <c r="F146" s="358">
        <v>2</v>
      </c>
      <c r="G146" s="359" t="s">
        <v>664</v>
      </c>
      <c r="H146" s="360">
        <v>0</v>
      </c>
      <c r="I146" s="360">
        <v>0</v>
      </c>
      <c r="J146" s="361">
        <v>6</v>
      </c>
      <c r="K146" s="360">
        <v>8</v>
      </c>
      <c r="L146" s="360">
        <v>3</v>
      </c>
      <c r="M146" s="360">
        <v>3</v>
      </c>
      <c r="N146" s="360">
        <v>1</v>
      </c>
      <c r="O146" s="360">
        <v>0</v>
      </c>
      <c r="P146" s="360">
        <v>0</v>
      </c>
      <c r="Q146" s="360">
        <v>1</v>
      </c>
      <c r="R146" s="360">
        <v>27</v>
      </c>
      <c r="S146" s="360">
        <v>98</v>
      </c>
      <c r="T146" s="360">
        <v>72</v>
      </c>
      <c r="U146" s="360">
        <v>0</v>
      </c>
      <c r="V146" s="362">
        <v>0</v>
      </c>
      <c r="W146" s="376">
        <v>1</v>
      </c>
      <c r="X146" s="376">
        <v>0</v>
      </c>
      <c r="Y146" s="376">
        <v>0</v>
      </c>
      <c r="Z146" s="376">
        <v>0</v>
      </c>
      <c r="AA146" s="376">
        <v>1</v>
      </c>
      <c r="AB146" s="377">
        <v>6</v>
      </c>
      <c r="AC146" s="376">
        <v>4</v>
      </c>
      <c r="AD146" s="376">
        <v>2</v>
      </c>
      <c r="AE146" s="376">
        <v>2</v>
      </c>
      <c r="AF146" s="376">
        <v>0</v>
      </c>
      <c r="AG146" s="376">
        <v>7</v>
      </c>
      <c r="AH146" s="376">
        <v>1</v>
      </c>
      <c r="AI146" s="376">
        <v>0</v>
      </c>
      <c r="AJ146" s="376">
        <v>22</v>
      </c>
      <c r="AK146" s="376">
        <v>78</v>
      </c>
      <c r="AL146" s="376">
        <v>51</v>
      </c>
      <c r="AM146" s="363" t="s">
        <v>401</v>
      </c>
      <c r="AN146" s="364">
        <v>6</v>
      </c>
      <c r="AO146" s="364">
        <v>0</v>
      </c>
      <c r="AP146" s="364">
        <v>2</v>
      </c>
      <c r="AQ146" s="364">
        <v>0</v>
      </c>
      <c r="AR146" s="364">
        <v>0</v>
      </c>
      <c r="AS146" s="364">
        <v>1</v>
      </c>
      <c r="AT146" s="364">
        <v>0</v>
      </c>
      <c r="AU146" s="364">
        <v>0</v>
      </c>
      <c r="AV146" s="365">
        <v>2</v>
      </c>
      <c r="AW146" s="363" t="s">
        <v>345</v>
      </c>
      <c r="AX146" s="364">
        <v>6</v>
      </c>
      <c r="AY146" s="364">
        <v>0</v>
      </c>
      <c r="AZ146" s="364">
        <v>2</v>
      </c>
      <c r="BA146" s="364">
        <v>0</v>
      </c>
      <c r="BB146" s="364">
        <v>0</v>
      </c>
      <c r="BC146" s="364">
        <v>0</v>
      </c>
      <c r="BD146" s="364">
        <v>0</v>
      </c>
      <c r="BE146" s="364">
        <v>0</v>
      </c>
      <c r="BF146" s="365">
        <v>3</v>
      </c>
      <c r="BG146" s="363" t="s">
        <v>400</v>
      </c>
      <c r="BH146" s="364">
        <v>6</v>
      </c>
      <c r="BI146" s="364">
        <v>2</v>
      </c>
      <c r="BJ146" s="364">
        <v>3</v>
      </c>
      <c r="BK146" s="364">
        <v>0</v>
      </c>
      <c r="BL146" s="364">
        <v>0</v>
      </c>
      <c r="BM146" s="364">
        <v>1</v>
      </c>
      <c r="BN146" s="364">
        <v>0</v>
      </c>
      <c r="BO146" s="364">
        <v>0</v>
      </c>
      <c r="BP146" s="365">
        <v>4</v>
      </c>
      <c r="BQ146" s="363" t="s">
        <v>405</v>
      </c>
      <c r="BR146" s="364">
        <v>5</v>
      </c>
      <c r="BS146" s="364">
        <v>0</v>
      </c>
      <c r="BT146" s="364">
        <v>0</v>
      </c>
      <c r="BU146" s="364">
        <v>0</v>
      </c>
      <c r="BV146" s="364">
        <v>0</v>
      </c>
      <c r="BW146" s="364">
        <v>2</v>
      </c>
      <c r="BX146" s="364">
        <v>0</v>
      </c>
      <c r="BY146" s="364">
        <v>0</v>
      </c>
      <c r="BZ146" s="365">
        <v>0</v>
      </c>
      <c r="CA146" s="363" t="s">
        <v>403</v>
      </c>
      <c r="CB146" s="364">
        <v>5</v>
      </c>
      <c r="CC146" s="364">
        <v>2</v>
      </c>
      <c r="CD146" s="364">
        <v>2</v>
      </c>
      <c r="CE146" s="364">
        <v>2</v>
      </c>
      <c r="CF146" s="364">
        <v>1</v>
      </c>
      <c r="CG146" s="364">
        <v>1</v>
      </c>
      <c r="CH146" s="364">
        <v>0</v>
      </c>
      <c r="CI146" s="364">
        <v>0</v>
      </c>
      <c r="CJ146" s="365">
        <v>5</v>
      </c>
      <c r="CK146" s="363" t="s">
        <v>501</v>
      </c>
      <c r="CL146" s="364">
        <v>6</v>
      </c>
      <c r="CM146" s="364">
        <v>1</v>
      </c>
      <c r="CN146" s="364">
        <v>3</v>
      </c>
      <c r="CO146" s="364">
        <v>1</v>
      </c>
      <c r="CP146" s="364">
        <v>0</v>
      </c>
      <c r="CQ146" s="364">
        <v>0</v>
      </c>
      <c r="CR146" s="364">
        <v>0</v>
      </c>
      <c r="CS146" s="364">
        <v>0</v>
      </c>
      <c r="CT146" s="365">
        <v>3</v>
      </c>
      <c r="CU146" s="363" t="s">
        <v>335</v>
      </c>
      <c r="CV146" s="364">
        <v>5</v>
      </c>
      <c r="CW146" s="364">
        <v>1</v>
      </c>
      <c r="CX146" s="364">
        <v>3</v>
      </c>
      <c r="CY146" s="364">
        <v>1</v>
      </c>
      <c r="CZ146" s="364">
        <v>0</v>
      </c>
      <c r="DA146" s="364">
        <v>0</v>
      </c>
      <c r="DB146" s="364">
        <v>0</v>
      </c>
      <c r="DC146" s="364">
        <v>0</v>
      </c>
      <c r="DD146" s="365">
        <v>6</v>
      </c>
      <c r="DE146" s="363" t="s">
        <v>427</v>
      </c>
      <c r="DF146" s="364">
        <v>4</v>
      </c>
      <c r="DG146" s="364">
        <v>0</v>
      </c>
      <c r="DH146" s="364">
        <v>0</v>
      </c>
      <c r="DI146" s="364">
        <v>1</v>
      </c>
      <c r="DJ146" s="364">
        <v>0</v>
      </c>
      <c r="DK146" s="364">
        <v>2</v>
      </c>
      <c r="DL146" s="364">
        <v>0</v>
      </c>
      <c r="DM146" s="364">
        <v>1</v>
      </c>
      <c r="DN146" s="365">
        <v>0</v>
      </c>
      <c r="DO146" s="363" t="s">
        <v>330</v>
      </c>
      <c r="DP146" s="364">
        <v>5</v>
      </c>
      <c r="DQ146" s="364">
        <v>0</v>
      </c>
      <c r="DR146" s="364">
        <v>2</v>
      </c>
      <c r="DS146" s="364">
        <v>0</v>
      </c>
      <c r="DT146" s="364">
        <v>0</v>
      </c>
      <c r="DU146" s="364">
        <v>2</v>
      </c>
      <c r="DV146" s="364">
        <v>0</v>
      </c>
      <c r="DW146" s="364">
        <v>0</v>
      </c>
      <c r="DX146" s="365">
        <v>2</v>
      </c>
      <c r="DY146" s="366">
        <v>3</v>
      </c>
      <c r="DZ146" s="367">
        <v>0</v>
      </c>
      <c r="EA146" s="367">
        <v>0</v>
      </c>
      <c r="EB146" s="368">
        <v>8</v>
      </c>
      <c r="EC146" s="367">
        <v>2</v>
      </c>
      <c r="ED146" s="369">
        <v>0</v>
      </c>
      <c r="EE146" s="370">
        <v>0</v>
      </c>
      <c r="EF146" s="367">
        <v>1</v>
      </c>
      <c r="EG146" s="367">
        <v>2</v>
      </c>
      <c r="EH146" s="367">
        <v>1</v>
      </c>
      <c r="EI146" s="367">
        <v>0</v>
      </c>
      <c r="EJ146" s="367">
        <v>1</v>
      </c>
      <c r="EK146" s="367">
        <v>0</v>
      </c>
      <c r="EL146" s="367">
        <v>0</v>
      </c>
      <c r="EM146" s="367">
        <v>0</v>
      </c>
      <c r="EN146" s="367">
        <v>0</v>
      </c>
      <c r="EO146" s="367">
        <v>0</v>
      </c>
      <c r="EP146" s="367">
        <v>1</v>
      </c>
      <c r="EQ146" s="369">
        <f t="shared" si="44"/>
        <v>6</v>
      </c>
      <c r="ER146" s="367">
        <v>0</v>
      </c>
      <c r="ES146" s="367">
        <v>0</v>
      </c>
      <c r="ET146" s="367">
        <v>1</v>
      </c>
      <c r="EU146" s="367">
        <v>1</v>
      </c>
      <c r="EV146" s="367">
        <v>1</v>
      </c>
      <c r="EW146" s="367">
        <v>0</v>
      </c>
      <c r="EX146" s="367">
        <v>1</v>
      </c>
      <c r="EY146" s="367">
        <v>1</v>
      </c>
      <c r="EZ146" s="367">
        <v>0</v>
      </c>
      <c r="FA146" s="367">
        <v>0</v>
      </c>
      <c r="FB146" s="367">
        <v>0</v>
      </c>
      <c r="FC146" s="367">
        <v>0</v>
      </c>
      <c r="FD146" s="367">
        <f t="shared" si="45"/>
        <v>5</v>
      </c>
      <c r="FE146" s="371">
        <f t="shared" si="46"/>
        <v>0</v>
      </c>
      <c r="FF146" s="371">
        <f t="shared" si="47"/>
        <v>0</v>
      </c>
      <c r="FG146" s="372" t="s">
        <v>677</v>
      </c>
    </row>
    <row r="147" spans="1:163" x14ac:dyDescent="0.25">
      <c r="A147" s="373">
        <f>SUBTOTAL(103,Table122[Date])</f>
        <v>143</v>
      </c>
      <c r="B147" s="373"/>
      <c r="C147" s="373"/>
      <c r="D147" s="373"/>
      <c r="E147" s="374">
        <f>SUBTOTAL(109,Table122[Att])</f>
        <v>928697</v>
      </c>
      <c r="F147" s="374"/>
      <c r="G147" s="375" t="s">
        <v>34</v>
      </c>
      <c r="H147" s="376">
        <f>SUBTOTAL(109,Table122[S-W])</f>
        <v>54</v>
      </c>
      <c r="I147" s="376">
        <f>SUBTOTAL(109,Table122[S-L])</f>
        <v>37</v>
      </c>
      <c r="J147" s="377">
        <f>SUBTOTAL(109,Table122[S-IP])</f>
        <v>758.33333333333326</v>
      </c>
      <c r="K147" s="376">
        <f>SUBTOTAL(109,Table122[S-H])</f>
        <v>765</v>
      </c>
      <c r="L147" s="376">
        <f>SUBTOTAL(109,Table122[S-R])</f>
        <v>380</v>
      </c>
      <c r="M147" s="376">
        <f>SUBTOTAL(109,Table122[S-ER])</f>
        <v>342</v>
      </c>
      <c r="N147" s="376">
        <f>SUBTOTAL(109,Table122[S-BB])</f>
        <v>259</v>
      </c>
      <c r="O147" s="376">
        <f>SUBTOTAL(109,Table122[S-SO])</f>
        <v>560</v>
      </c>
      <c r="P147" s="376">
        <f>SUBTOTAL(109,Table122[S-HR])</f>
        <v>71</v>
      </c>
      <c r="Q147" s="376">
        <f>SUBTOTAL(109,Table122[S-HBP])</f>
        <v>36</v>
      </c>
      <c r="R147" s="376">
        <f>SUBTOTAL(109,Table122[S-BF])</f>
        <v>3258</v>
      </c>
      <c r="S147" s="376">
        <f>SUBTOTAL(109,Table122[S-Pit])</f>
        <v>12258</v>
      </c>
      <c r="T147" s="376">
        <f>SUBTOTAL(109,Table122[S-Str])</f>
        <v>7635</v>
      </c>
      <c r="U147" s="376">
        <f>SUBTOTAL(109,Table122[IRL])</f>
        <v>88</v>
      </c>
      <c r="V147" s="376">
        <f>SUBTOTAL(109,Table122[IRS])</f>
        <v>22</v>
      </c>
      <c r="W147" s="376">
        <f>SUBTOTAL(109,Table122[B-W])</f>
        <v>34</v>
      </c>
      <c r="X147" s="376">
        <f>SUBTOTAL(109,Table122[B-L])</f>
        <v>18</v>
      </c>
      <c r="Y147" s="376">
        <f>SUBTOTAL(109,Table122[Hld])</f>
        <v>46</v>
      </c>
      <c r="Z147" s="376">
        <f>SUBTOTAL(109,Table122[Sv])</f>
        <v>36</v>
      </c>
      <c r="AA147" s="376">
        <f>SUBTOTAL(109,Table122[BS])</f>
        <v>11</v>
      </c>
      <c r="AB147" s="377">
        <f>SUBTOTAL(109,Table122[B-IP])</f>
        <v>510.66666666666669</v>
      </c>
      <c r="AC147" s="376">
        <f>SUBTOTAL(109,Table122[B-H])</f>
        <v>451</v>
      </c>
      <c r="AD147" s="376">
        <f>SUBTOTAL(109,Table122[B-R])</f>
        <v>182</v>
      </c>
      <c r="AE147" s="376">
        <f>SUBTOTAL(109,Table122[B-ER])</f>
        <v>162</v>
      </c>
      <c r="AF147" s="376">
        <f>SUBTOTAL(109,Table122[B-BB])</f>
        <v>186</v>
      </c>
      <c r="AG147" s="376">
        <f>SUBTOTAL(109,Table122[B-SO])</f>
        <v>491</v>
      </c>
      <c r="AH147" s="376">
        <f>SUBTOTAL(109,Table122[B-HR])</f>
        <v>33</v>
      </c>
      <c r="AI147" s="376">
        <f>SUBTOTAL(109,Table122[B-HBP])</f>
        <v>18</v>
      </c>
      <c r="AJ147" s="376">
        <f>SUBTOTAL(109,Table122[B-BF])</f>
        <v>2129</v>
      </c>
      <c r="AK147" s="376">
        <f>SUBTOTAL(109,Table122[B-Pit])</f>
        <v>8417</v>
      </c>
      <c r="AL147" s="376">
        <f>SUBTOTAL(109,Table122[B-Str])</f>
        <v>5362</v>
      </c>
      <c r="AM147" s="375" t="str">
        <f>INDEX(Table122[Starter1],MODE(MATCH(Table122[Starter1],Table122[Starter1],0)))</f>
        <v>Jennings, D</v>
      </c>
      <c r="AN147" s="374">
        <f>SUBTOTAL(109,Table122[AB1])</f>
        <v>605</v>
      </c>
      <c r="AO147" s="374">
        <f>SUBTOTAL(109,Table122[R1])</f>
        <v>107</v>
      </c>
      <c r="AP147" s="374">
        <f>SUBTOTAL(109,Table122[H1])</f>
        <v>157</v>
      </c>
      <c r="AQ147" s="374">
        <f>SUBTOTAL(109,Table122[RBI1])</f>
        <v>47</v>
      </c>
      <c r="AR147" s="374">
        <f>SUBTOTAL(109,Table122[BB1])</f>
        <v>63</v>
      </c>
      <c r="AS147" s="374">
        <f>SUBTOTAL(109,Table122[SO1])</f>
        <v>111</v>
      </c>
      <c r="AT147" s="374">
        <f>SUBTOTAL(109,Table122[HBP1])</f>
        <v>9</v>
      </c>
      <c r="AU147" s="374">
        <f>SUBTOTAL(109,Table122[SF1])</f>
        <v>2</v>
      </c>
      <c r="AV147" s="374">
        <f>SUBTOTAL(109,Table122[TB1])</f>
        <v>213</v>
      </c>
      <c r="AW147" s="375" t="str">
        <f>INDEX(Table122[Starter2],MODE(MATCH(Table122[Starter2],Table122[Starter2],0)))</f>
        <v>Johnson, E</v>
      </c>
      <c r="AX147" s="374">
        <f>SUBTOTAL(109,Table122[AB2])</f>
        <v>583</v>
      </c>
      <c r="AY147" s="374">
        <f>SUBTOTAL(109,Table122[R2])</f>
        <v>102</v>
      </c>
      <c r="AZ147" s="374">
        <f>SUBTOTAL(109,Table122[H2])</f>
        <v>177</v>
      </c>
      <c r="BA147" s="374">
        <f>SUBTOTAL(109,Table122[RBI2])</f>
        <v>70</v>
      </c>
      <c r="BB147" s="374">
        <f>SUBTOTAL(109,Table122[BB2])</f>
        <v>61</v>
      </c>
      <c r="BC147" s="374">
        <f>SUBTOTAL(109,Table122[SO2])</f>
        <v>114</v>
      </c>
      <c r="BD147" s="374">
        <f>SUBTOTAL(109,Table122[HBP2])</f>
        <v>3</v>
      </c>
      <c r="BE147" s="374">
        <f>SUBTOTAL(109,Table122[SF2])</f>
        <v>4</v>
      </c>
      <c r="BF147" s="374">
        <f>SUBTOTAL(109,Table122[TB2])</f>
        <v>263</v>
      </c>
      <c r="BG147" s="375" t="str">
        <f>INDEX(Table122[Starter3],MODE(MATCH(Table122[Starter3],Table122[Starter3],0)))</f>
        <v>Ruggiano, J</v>
      </c>
      <c r="BH147" s="374">
        <f>SUBTOTAL(109,Table122[AB3])</f>
        <v>573</v>
      </c>
      <c r="BI147" s="374">
        <f>SUBTOTAL(109,Table122[R3])</f>
        <v>100</v>
      </c>
      <c r="BJ147" s="374">
        <f>SUBTOTAL(109,Table122[H3])</f>
        <v>166</v>
      </c>
      <c r="BK147" s="374">
        <f>SUBTOTAL(109,Table122[RBI3])</f>
        <v>96</v>
      </c>
      <c r="BL147" s="374">
        <f>SUBTOTAL(109,Table122[BB3])</f>
        <v>69</v>
      </c>
      <c r="BM147" s="374">
        <f>SUBTOTAL(109,Table122[SO3])</f>
        <v>139</v>
      </c>
      <c r="BN147" s="374">
        <f>SUBTOTAL(109,Table122[HBP3])</f>
        <v>9</v>
      </c>
      <c r="BO147" s="374">
        <f>SUBTOTAL(109,Table122[SF3])</f>
        <v>1</v>
      </c>
      <c r="BP147" s="374">
        <f>SUBTOTAL(109,Table122[TB3])</f>
        <v>276</v>
      </c>
      <c r="BQ147" s="375" t="str">
        <f>INDEX(Table122[Starter4],MODE(MATCH(Table122[Starter4],Table122[Starter4],0)))</f>
        <v>Johnson, D</v>
      </c>
      <c r="BR147" s="374">
        <f>SUBTOTAL(109,Table122[AB4])</f>
        <v>525</v>
      </c>
      <c r="BS147" s="374">
        <f>SUBTOTAL(109,Table122[R4])</f>
        <v>91</v>
      </c>
      <c r="BT147" s="374">
        <f>SUBTOTAL(109,Table122[H4])</f>
        <v>157</v>
      </c>
      <c r="BU147" s="374">
        <f>SUBTOTAL(109,Table122[RBI4])</f>
        <v>131</v>
      </c>
      <c r="BV147" s="374">
        <f>SUBTOTAL(109,Table122[BB4])</f>
        <v>95</v>
      </c>
      <c r="BW147" s="374">
        <f>SUBTOTAL(109,Table122[SO4])</f>
        <v>114</v>
      </c>
      <c r="BX147" s="374">
        <f>SUBTOTAL(109,Table122[HBP4])</f>
        <v>7</v>
      </c>
      <c r="BY147" s="374">
        <f>SUBTOTAL(109,Table122[SF4])</f>
        <v>9</v>
      </c>
      <c r="BZ147" s="374">
        <f>SUBTOTAL(109,Table122[TB4])</f>
        <v>291</v>
      </c>
      <c r="CA147" s="375" t="str">
        <f>INDEX(Table122[Starter5],MODE(MATCH(Table122[Starter5],Table122[Starter5],0)))</f>
        <v>Dillon, J</v>
      </c>
      <c r="CB147" s="374">
        <f>SUBTOTAL(109,Table122[AB5])</f>
        <v>551</v>
      </c>
      <c r="CC147" s="374">
        <f>SUBTOTAL(109,Table122[R5])</f>
        <v>94</v>
      </c>
      <c r="CD147" s="374">
        <f>SUBTOTAL(109,Table122[H5])</f>
        <v>159</v>
      </c>
      <c r="CE147" s="374">
        <f>SUBTOTAL(109,Table122[RBI5])</f>
        <v>80</v>
      </c>
      <c r="CF147" s="374">
        <f>SUBTOTAL(109,Table122[BB5])</f>
        <v>56</v>
      </c>
      <c r="CG147" s="374">
        <f>SUBTOTAL(109,Table122[SO5])</f>
        <v>119</v>
      </c>
      <c r="CH147" s="374">
        <f>SUBTOTAL(109,Table122[HBP5])</f>
        <v>10</v>
      </c>
      <c r="CI147" s="374">
        <f>SUBTOTAL(109,Table122[SF5])</f>
        <v>7</v>
      </c>
      <c r="CJ147" s="374">
        <f>SUBTOTAL(109,Table122[TB5])</f>
        <v>252</v>
      </c>
      <c r="CK147" s="375" t="str">
        <f>INDEX(Table122[Starter6],MODE(MATCH(Table122[Starter6],Table122[Starter6],0)))</f>
        <v>Richard, C</v>
      </c>
      <c r="CL147" s="374">
        <f>SUBTOTAL(109,Table122[AB6])</f>
        <v>540</v>
      </c>
      <c r="CM147" s="374">
        <f>SUBTOTAL(109,Table122[R6])</f>
        <v>67</v>
      </c>
      <c r="CN147" s="374">
        <f>SUBTOTAL(109,Table122[H6])</f>
        <v>145</v>
      </c>
      <c r="CO147" s="374">
        <f>SUBTOTAL(109,Table122[RBI6])</f>
        <v>74</v>
      </c>
      <c r="CP147" s="374">
        <f>SUBTOTAL(109,Table122[BB6])</f>
        <v>57</v>
      </c>
      <c r="CQ147" s="374">
        <f>SUBTOTAL(109,Table122[SO6])</f>
        <v>109</v>
      </c>
      <c r="CR147" s="374">
        <f>SUBTOTAL(109,Table122[HBP6])</f>
        <v>6</v>
      </c>
      <c r="CS147" s="374">
        <f>SUBTOTAL(109,Table122[SF6])</f>
        <v>3</v>
      </c>
      <c r="CT147" s="374">
        <f>SUBTOTAL(109,Table122[TB6])</f>
        <v>224</v>
      </c>
      <c r="CU147" s="375" t="str">
        <f>INDEX(Table122[Starter7],MODE(MATCH(Table122[Starter7],Table122[Starter7],0)))</f>
        <v>Chavez, An</v>
      </c>
      <c r="CV147" s="374">
        <f>SUBTOTAL(109,Table122[AB7])</f>
        <v>520</v>
      </c>
      <c r="CW147" s="374">
        <f>SUBTOTAL(109,Table122[R7])</f>
        <v>74</v>
      </c>
      <c r="CX147" s="374">
        <f>SUBTOTAL(109,Table122[H7])</f>
        <v>139</v>
      </c>
      <c r="CY147" s="374">
        <f>SUBTOTAL(109,Table122[RBI7])</f>
        <v>80</v>
      </c>
      <c r="CZ147" s="374">
        <f>SUBTOTAL(109,Table122[BB7])</f>
        <v>56</v>
      </c>
      <c r="DA147" s="374">
        <f>SUBTOTAL(109,Table122[SO7])</f>
        <v>101</v>
      </c>
      <c r="DB147" s="374">
        <f>SUBTOTAL(109,Table122[HBP7])</f>
        <v>6</v>
      </c>
      <c r="DC147" s="374">
        <f>SUBTOTAL(109,Table122[SF7])</f>
        <v>5</v>
      </c>
      <c r="DD147" s="374">
        <f>SUBTOTAL(109,Table122[TB7])</f>
        <v>214</v>
      </c>
      <c r="DE147" s="375" t="str">
        <f>INDEX(Table122[Starter8],MODE(MATCH(Table122[Starter8],Table122[Starter8],0)))</f>
        <v>Chavez, An</v>
      </c>
      <c r="DF147" s="374">
        <f>SUBTOTAL(109,Table122[AB8])</f>
        <v>516</v>
      </c>
      <c r="DG147" s="374">
        <f>SUBTOTAL(109,Table122[R8])</f>
        <v>64</v>
      </c>
      <c r="DH147" s="374">
        <f>SUBTOTAL(109,Table122[H8])</f>
        <v>135</v>
      </c>
      <c r="DI147" s="374">
        <f>SUBTOTAL(109,Table122[RBI8])</f>
        <v>76</v>
      </c>
      <c r="DJ147" s="374">
        <f>SUBTOTAL(109,Table122[BB8])</f>
        <v>49</v>
      </c>
      <c r="DK147" s="374">
        <f>SUBTOTAL(109,Table122[SO8])</f>
        <v>119</v>
      </c>
      <c r="DL147" s="374">
        <f>SUBTOTAL(109,Table122[HBP8])</f>
        <v>5</v>
      </c>
      <c r="DM147" s="374">
        <f>SUBTOTAL(109,Table122[SF8])</f>
        <v>3</v>
      </c>
      <c r="DN147" s="374">
        <f>SUBTOTAL(109,Table122[TB8])</f>
        <v>219</v>
      </c>
      <c r="DO147" s="375" t="str">
        <f>INDEX(Table122[Starter9],MODE(MATCH(Table122[Starter9],Table122[Starter9],0)))</f>
        <v>Perez, F</v>
      </c>
      <c r="DP147" s="374">
        <f>SUBTOTAL(109,Table122[AB9])</f>
        <v>508</v>
      </c>
      <c r="DQ147" s="374">
        <f>SUBTOTAL(109,Table122[R9])</f>
        <v>58</v>
      </c>
      <c r="DR147" s="374">
        <f>SUBTOTAL(109,Table122[H9])</f>
        <v>128</v>
      </c>
      <c r="DS147" s="374">
        <f>SUBTOTAL(109,Table122[RBI9])</f>
        <v>45</v>
      </c>
      <c r="DT147" s="374">
        <f>SUBTOTAL(109,Table122[BB9])</f>
        <v>35</v>
      </c>
      <c r="DU147" s="374">
        <f>SUBTOTAL(109,Table122[SO9])</f>
        <v>126</v>
      </c>
      <c r="DV147" s="374">
        <f>SUBTOTAL(109,Table122[HBP9])</f>
        <v>4</v>
      </c>
      <c r="DW147" s="374">
        <f>SUBTOTAL(109,Table122[SF9])</f>
        <v>2</v>
      </c>
      <c r="DX147" s="374">
        <f>SUBTOTAL(109,Table122[TB9])</f>
        <v>167</v>
      </c>
      <c r="DY147" s="377">
        <f>SUBTOTAL(109,Table122[IVL])</f>
        <v>322.99999999999994</v>
      </c>
      <c r="DZ147" s="376">
        <f>SUBTOTAL(109,Table122[SVL])</f>
        <v>31</v>
      </c>
      <c r="EA147" s="376">
        <f>SUBTOTAL(109,Table122[CVL])</f>
        <v>11</v>
      </c>
      <c r="EB147" s="377">
        <f>SUBTOTAL(109,Table122[IVR])</f>
        <v>927.3333333333336</v>
      </c>
      <c r="EC147" s="376">
        <f>SUBTOTAL(109,Table122[SVR])</f>
        <v>119</v>
      </c>
      <c r="ED147" s="376">
        <f>SUBTOTAL(109,Table122[CVR])</f>
        <v>26</v>
      </c>
      <c r="EE147" s="376">
        <f>SUBTOTAL(109,Table122[RI1])</f>
        <v>101</v>
      </c>
      <c r="EF147" s="376">
        <f>SUBTOTAL(109,Table122[RI2])</f>
        <v>72</v>
      </c>
      <c r="EG147" s="376">
        <f>SUBTOTAL(109,Table122[RI3])</f>
        <v>88</v>
      </c>
      <c r="EH147" s="376">
        <f>SUBTOTAL(109,Table122[RI4])</f>
        <v>81</v>
      </c>
      <c r="EI147" s="376">
        <f>SUBTOTAL(109,Table122[RI5])</f>
        <v>86</v>
      </c>
      <c r="EJ147" s="376">
        <f>SUBTOTAL(109,Table122[RI6])</f>
        <v>96</v>
      </c>
      <c r="EK147" s="376">
        <f>SUBTOTAL(109,Table122[RI7])</f>
        <v>89</v>
      </c>
      <c r="EL147" s="376">
        <f>SUBTOTAL(109,Table122[RI8])</f>
        <v>99</v>
      </c>
      <c r="EM147" s="376">
        <f>SUBTOTAL(109,Table122[RI9])</f>
        <v>37</v>
      </c>
      <c r="EN147" s="376">
        <f>SUBTOTAL(109,Table122[RI10])</f>
        <v>3</v>
      </c>
      <c r="EO147" s="376">
        <f>SUBTOTAL(109,Table122[RI11])</f>
        <v>3</v>
      </c>
      <c r="EP147" s="376">
        <f>SUBTOTAL(109,Table122[RI12])</f>
        <v>2</v>
      </c>
      <c r="EQ147" s="376">
        <f>SUBTOTAL(109,Table122[RT])</f>
        <v>757</v>
      </c>
      <c r="ER147" s="376">
        <f>SUBTOTAL(109,Table122[OI1])</f>
        <v>72</v>
      </c>
      <c r="ES147" s="376">
        <f>SUBTOTAL(109,Table122[OI2])</f>
        <v>52</v>
      </c>
      <c r="ET147" s="376">
        <f>SUBTOTAL(109,Table122[OI3])</f>
        <v>70</v>
      </c>
      <c r="EU147" s="376">
        <f>SUBTOTAL(109,Table122[OI4])</f>
        <v>75</v>
      </c>
      <c r="EV147" s="376">
        <f>SUBTOTAL(109,Table122[OI5])</f>
        <v>78</v>
      </c>
      <c r="EW147" s="376">
        <f>SUBTOTAL(109,Table122[OI6])</f>
        <v>70</v>
      </c>
      <c r="EX147" s="376">
        <f>SUBTOTAL(109,Table122[OI7])</f>
        <v>45</v>
      </c>
      <c r="EY147" s="376">
        <f>SUBTOTAL(109,Table122[OI8])</f>
        <v>62</v>
      </c>
      <c r="EZ147" s="376">
        <f>SUBTOTAL(109,Table122[OI9])</f>
        <v>31</v>
      </c>
      <c r="FA147" s="376">
        <f>SUBTOTAL(109,Table122[OI10])</f>
        <v>1</v>
      </c>
      <c r="FB147" s="376">
        <f>SUBTOTAL(109,Table122[OI11])</f>
        <v>4</v>
      </c>
      <c r="FC147" s="376">
        <f>SUBTOTAL(109,Table122[OI12])</f>
        <v>2</v>
      </c>
      <c r="FD147" s="376">
        <f>SUBTOTAL(109,Table122[OT])</f>
        <v>562</v>
      </c>
      <c r="FE147" s="378"/>
      <c r="FF147" s="378"/>
      <c r="FG147" s="379"/>
    </row>
    <row r="148" spans="1:163" x14ac:dyDescent="0.25">
      <c r="A148" s="81" t="s">
        <v>227</v>
      </c>
      <c r="B148" s="53"/>
      <c r="C148" s="53"/>
      <c r="D148" s="53"/>
      <c r="E148" s="4">
        <f>MAX(Table122[Att])</f>
        <v>12126</v>
      </c>
      <c r="F148" s="54"/>
      <c r="G148" s="80"/>
      <c r="H148" s="80"/>
      <c r="I148" s="80"/>
      <c r="J148" s="5">
        <f>MAX(Table122[S-IP])</f>
        <v>8</v>
      </c>
      <c r="K148" s="6">
        <f>MAX(Table122[S-H])</f>
        <v>11</v>
      </c>
      <c r="L148" s="6">
        <f>MAX(Table122[S-R])</f>
        <v>10</v>
      </c>
      <c r="M148" s="6">
        <f>MAX(Table122[S-ER])</f>
        <v>9</v>
      </c>
      <c r="N148" s="6">
        <f>MAX(Table122[S-BB])</f>
        <v>7</v>
      </c>
      <c r="O148" s="6">
        <f>MAX(Table122[S-SO])</f>
        <v>11</v>
      </c>
      <c r="P148" s="6">
        <f>MAX(Table122[S-HR])</f>
        <v>4</v>
      </c>
      <c r="Q148" s="6">
        <f>MAX(Table122[S-HBP])</f>
        <v>3</v>
      </c>
      <c r="R148" s="6">
        <f>MAX(Table122[S-BF])</f>
        <v>31</v>
      </c>
      <c r="S148" s="6">
        <f>MAX(Table122[S-Pit])</f>
        <v>112</v>
      </c>
      <c r="T148" s="6">
        <f>MAX(Table122[S-Str])</f>
        <v>74</v>
      </c>
      <c r="U148" s="6">
        <f>MAX(Table122[IRL])</f>
        <v>3</v>
      </c>
      <c r="V148" s="6">
        <f>MAX(Table122[IRS])</f>
        <v>3</v>
      </c>
      <c r="W148" s="80"/>
      <c r="X148" s="80"/>
      <c r="Y148" s="80"/>
      <c r="Z148" s="80"/>
      <c r="AA148" s="80"/>
      <c r="AB148" s="5">
        <f>MAX(Table122[B-IP])</f>
        <v>9.6666666666666661</v>
      </c>
      <c r="AC148" s="6">
        <f>MAX(Table122[B-H])</f>
        <v>9</v>
      </c>
      <c r="AD148" s="6">
        <f>MAX(Table122[B-R])</f>
        <v>7</v>
      </c>
      <c r="AE148" s="6">
        <f>MAX(Table122[B-ER])</f>
        <v>7</v>
      </c>
      <c r="AF148" s="6">
        <f>MAX(Table122[B-BB])</f>
        <v>7</v>
      </c>
      <c r="AG148" s="6">
        <f>MAX(Table122[B-SO])</f>
        <v>12</v>
      </c>
      <c r="AH148" s="6">
        <f>MAX(Table122[B-HR])</f>
        <v>2</v>
      </c>
      <c r="AI148" s="6">
        <f>MAX(Table122[B-HBP])</f>
        <v>2</v>
      </c>
      <c r="AJ148" s="6">
        <f>MAX(Table122[B-BF])</f>
        <v>38</v>
      </c>
      <c r="AK148" s="6">
        <f>MAX(Table122[B-Pit])</f>
        <v>144</v>
      </c>
      <c r="AL148" s="6">
        <f>MAX(Table122[B-Str])</f>
        <v>86</v>
      </c>
      <c r="AM148" s="80"/>
      <c r="AN148" s="6">
        <f>MAX(Table122[AB1])</f>
        <v>6</v>
      </c>
      <c r="AO148" s="6">
        <f>MAX(Table122[R1])</f>
        <v>4</v>
      </c>
      <c r="AP148" s="6">
        <f>MAX(Table122[H1])</f>
        <v>3</v>
      </c>
      <c r="AQ148" s="6">
        <f>MAX(Table122[RBI1])</f>
        <v>4</v>
      </c>
      <c r="AR148" s="6">
        <f>MAX(Table122[BB1])</f>
        <v>2</v>
      </c>
      <c r="AS148" s="6">
        <f>MAX(Table122[SO1])</f>
        <v>3</v>
      </c>
      <c r="AT148" s="6">
        <f>MAX(Table122[HBP1])</f>
        <v>1</v>
      </c>
      <c r="AU148" s="6">
        <f>MAX(Table122[SF1])</f>
        <v>1</v>
      </c>
      <c r="AV148" s="6">
        <f>MAX(Table122[TB1])</f>
        <v>5</v>
      </c>
      <c r="AW148" s="80"/>
      <c r="AX148" s="6">
        <f>MAX(Table122[AB2])</f>
        <v>6</v>
      </c>
      <c r="AY148" s="6">
        <f>MAX(Table122[R2])</f>
        <v>3</v>
      </c>
      <c r="AZ148" s="6">
        <f>MAX(Table122[H2])</f>
        <v>4</v>
      </c>
      <c r="BA148" s="6">
        <f>MAX(Table122[RBI2])</f>
        <v>4</v>
      </c>
      <c r="BB148" s="6">
        <f>MAX(Table122[BB2])</f>
        <v>3</v>
      </c>
      <c r="BC148" s="6">
        <f>MAX(Table122[SO2])</f>
        <v>3</v>
      </c>
      <c r="BD148" s="6">
        <f>MAX(Table122[HBP2])</f>
        <v>1</v>
      </c>
      <c r="BE148" s="6">
        <f>MAX(Table122[SF2])</f>
        <v>1</v>
      </c>
      <c r="BF148" s="6">
        <f>MAX(Table122[TB2])</f>
        <v>11</v>
      </c>
      <c r="BG148" s="80"/>
      <c r="BH148" s="6">
        <f>MAX(Table122[AB3])</f>
        <v>6</v>
      </c>
      <c r="BI148" s="6">
        <f>MAX(Table122[R3])</f>
        <v>4</v>
      </c>
      <c r="BJ148" s="6">
        <f>MAX(Table122[H3])</f>
        <v>5</v>
      </c>
      <c r="BK148" s="6">
        <f>MAX(Table122[RBI3])</f>
        <v>5</v>
      </c>
      <c r="BL148" s="6">
        <f>MAX(Table122[BB3])</f>
        <v>3</v>
      </c>
      <c r="BM148" s="6">
        <f>MAX(Table122[SO3])</f>
        <v>3</v>
      </c>
      <c r="BN148" s="6">
        <f>MAX(Table122[HBP3])</f>
        <v>2</v>
      </c>
      <c r="BO148" s="6">
        <f>MAX(Table122[SF3])</f>
        <v>1</v>
      </c>
      <c r="BP148" s="6">
        <f>MAX(Table122[TB3])</f>
        <v>9</v>
      </c>
      <c r="BQ148" s="80"/>
      <c r="BR148" s="6">
        <f>MAX(Table122[AB4])</f>
        <v>6</v>
      </c>
      <c r="BS148" s="6">
        <f>MAX(Table122[R4])</f>
        <v>3</v>
      </c>
      <c r="BT148" s="6">
        <f>MAX(Table122[H4])</f>
        <v>4</v>
      </c>
      <c r="BU148" s="6">
        <f>MAX(Table122[RBI4])</f>
        <v>8</v>
      </c>
      <c r="BV148" s="6">
        <f>MAX(Table122[BB4])</f>
        <v>3</v>
      </c>
      <c r="BW148" s="6">
        <f>MAX(Table122[SO4])</f>
        <v>3</v>
      </c>
      <c r="BX148" s="6">
        <f>MAX(Table122[HBP4])</f>
        <v>1</v>
      </c>
      <c r="BY148" s="6">
        <f>MAX(Table122[SF4])</f>
        <v>1</v>
      </c>
      <c r="BZ148" s="6">
        <f>MAX(Table122[TB4])</f>
        <v>9</v>
      </c>
      <c r="CA148" s="80"/>
      <c r="CB148" s="6">
        <f>MAX(Table122[AB5])</f>
        <v>6</v>
      </c>
      <c r="CC148" s="6">
        <f>MAX(Table122[R5])</f>
        <v>4</v>
      </c>
      <c r="CD148" s="6">
        <f>MAX(Table122[H5])</f>
        <v>4</v>
      </c>
      <c r="CE148" s="6">
        <f>MAX(Table122[RBI5])</f>
        <v>3</v>
      </c>
      <c r="CF148" s="6">
        <f>MAX(Table122[BB5])</f>
        <v>3</v>
      </c>
      <c r="CG148" s="6">
        <f>MAX(Table122[SO5])</f>
        <v>3</v>
      </c>
      <c r="CH148" s="6">
        <f>MAX(Table122[HBP5])</f>
        <v>1</v>
      </c>
      <c r="CI148" s="6">
        <f>MAX(Table122[SF5])</f>
        <v>1</v>
      </c>
      <c r="CJ148" s="6">
        <f>MAX(Table122[TB5])</f>
        <v>8</v>
      </c>
      <c r="CK148" s="80"/>
      <c r="CL148" s="6">
        <f>MAX(Table122[AB6])</f>
        <v>6</v>
      </c>
      <c r="CM148" s="6">
        <f>MAX(Table122[R6])</f>
        <v>3</v>
      </c>
      <c r="CN148" s="6">
        <f>MAX(Table122[H6])</f>
        <v>5</v>
      </c>
      <c r="CO148" s="6">
        <f>MAX(Table122[RBI6])</f>
        <v>3</v>
      </c>
      <c r="CP148" s="6">
        <f>MAX(Table122[BB6])</f>
        <v>3</v>
      </c>
      <c r="CQ148" s="6">
        <f>MAX(Table122[SO6])</f>
        <v>4</v>
      </c>
      <c r="CR148" s="6">
        <f>MAX(Table122[HBP6])</f>
        <v>1</v>
      </c>
      <c r="CS148" s="6">
        <f>MAX(Table122[SF6])</f>
        <v>1</v>
      </c>
      <c r="CT148" s="6">
        <f>MAX(Table122[TB6])</f>
        <v>8</v>
      </c>
      <c r="CU148" s="80"/>
      <c r="CV148" s="6">
        <f>MAX(Table122[AB7])</f>
        <v>6</v>
      </c>
      <c r="CW148" s="6">
        <f>MAX(Table122[R7])</f>
        <v>3</v>
      </c>
      <c r="CX148" s="6">
        <f>MAX(Table122[H7])</f>
        <v>4</v>
      </c>
      <c r="CY148" s="6">
        <f>MAX(Table122[RBI7])</f>
        <v>4</v>
      </c>
      <c r="CZ148" s="6">
        <f>MAX(Table122[BB7])</f>
        <v>2</v>
      </c>
      <c r="DA148" s="6">
        <f>MAX(Table122[SO7])</f>
        <v>2</v>
      </c>
      <c r="DB148" s="6">
        <f>MAX(Table122[HBP7])</f>
        <v>1</v>
      </c>
      <c r="DC148" s="6">
        <f>MAX(Table122[SF7])</f>
        <v>2</v>
      </c>
      <c r="DD148" s="6">
        <f>MAX(Table122[TB7])</f>
        <v>7</v>
      </c>
      <c r="DE148" s="80"/>
      <c r="DF148" s="6">
        <f>MAX(Table122[AB8])</f>
        <v>5</v>
      </c>
      <c r="DG148" s="6">
        <f>MAX(Table122[R8])</f>
        <v>3</v>
      </c>
      <c r="DH148" s="6">
        <f>MAX(Table122[H8])</f>
        <v>4</v>
      </c>
      <c r="DI148" s="6">
        <f>MAX(Table122[RBI8])</f>
        <v>4</v>
      </c>
      <c r="DJ148" s="6">
        <f>MAX(Table122[BB8])</f>
        <v>3</v>
      </c>
      <c r="DK148" s="6">
        <f>MAX(Table122[SO8])</f>
        <v>3</v>
      </c>
      <c r="DL148" s="6">
        <f>MAX(Table122[HBP8])</f>
        <v>1</v>
      </c>
      <c r="DM148" s="6">
        <f>MAX(Table122[SF8])</f>
        <v>1</v>
      </c>
      <c r="DN148" s="6">
        <f>MAX(Table122[TB8])</f>
        <v>7</v>
      </c>
      <c r="DO148" s="80"/>
      <c r="DP148" s="6">
        <f>MAX(Table122[AB9])</f>
        <v>5</v>
      </c>
      <c r="DQ148" s="6">
        <f>MAX(Table122[R9])</f>
        <v>2</v>
      </c>
      <c r="DR148" s="6">
        <f>MAX(Table122[H9])</f>
        <v>4</v>
      </c>
      <c r="DS148" s="6">
        <f>MAX(Table122[RBI9])</f>
        <v>3</v>
      </c>
      <c r="DT148" s="6">
        <f>MAX(Table122[BB9])</f>
        <v>2</v>
      </c>
      <c r="DU148" s="6">
        <f>MAX(Table122[SO9])</f>
        <v>4</v>
      </c>
      <c r="DV148" s="6">
        <f>MAX(Table122[HBP9])</f>
        <v>1</v>
      </c>
      <c r="DW148" s="6">
        <f>MAX(Table122[SF9])</f>
        <v>1</v>
      </c>
      <c r="DX148" s="6">
        <f>MAX(Table122[TB9])</f>
        <v>7</v>
      </c>
      <c r="DY148" s="5">
        <f>MAX(Table122[IVL])</f>
        <v>8</v>
      </c>
      <c r="DZ148" s="6">
        <f>MAX(Table122[SVL])</f>
        <v>3</v>
      </c>
      <c r="EA148" s="6">
        <f>MAX(Table122[CVL])</f>
        <v>1</v>
      </c>
      <c r="EB148" s="5">
        <f>MAX(Table122[IVR])</f>
        <v>12</v>
      </c>
      <c r="EC148" s="6">
        <f>MAX(Table122[SVR])</f>
        <v>5</v>
      </c>
      <c r="ED148" s="6">
        <f>MAX(Table122[CVR])</f>
        <v>2</v>
      </c>
      <c r="EE148" s="6">
        <f>MAX(Table122[RI1])</f>
        <v>10</v>
      </c>
      <c r="EF148" s="6">
        <f>MAX(Table122[RI2])</f>
        <v>6</v>
      </c>
      <c r="EG148" s="6">
        <f>MAX(Table122[RI3])</f>
        <v>5</v>
      </c>
      <c r="EH148" s="6">
        <f>MAX(Table122[RI4])</f>
        <v>6</v>
      </c>
      <c r="EI148" s="6">
        <f>MAX(Table122[RI5])</f>
        <v>7</v>
      </c>
      <c r="EJ148" s="6">
        <f>MAX(Table122[RI6])</f>
        <v>5</v>
      </c>
      <c r="EK148" s="6">
        <f>MAX(Table122[RI7])</f>
        <v>7</v>
      </c>
      <c r="EL148" s="6">
        <f>MAX(Table122[RI8])</f>
        <v>7</v>
      </c>
      <c r="EM148" s="6">
        <f>MAX(Table122[RI9])</f>
        <v>4</v>
      </c>
      <c r="EN148" s="6">
        <f>MAX(Table122[RI10])</f>
        <v>2</v>
      </c>
      <c r="EO148" s="6">
        <f>MAX(Table122[RI11])</f>
        <v>1</v>
      </c>
      <c r="EP148" s="6">
        <f>MAX(Table122[RI12])</f>
        <v>1</v>
      </c>
      <c r="EQ148" s="6">
        <f>MAX(Table122[RT])</f>
        <v>18</v>
      </c>
      <c r="ER148" s="6">
        <f>MAX(Table122[OI1])</f>
        <v>7</v>
      </c>
      <c r="ES148" s="6">
        <f>MAX(Table122[OI2])</f>
        <v>4</v>
      </c>
      <c r="ET148" s="6">
        <f>MAX(Table122[OI3])</f>
        <v>5</v>
      </c>
      <c r="EU148" s="6">
        <f>MAX(Table122[OI4])</f>
        <v>6</v>
      </c>
      <c r="EV148" s="6">
        <f>MAX(Table122[OI5])</f>
        <v>4</v>
      </c>
      <c r="EW148" s="6">
        <f>MAX(Table122[OI6])</f>
        <v>5</v>
      </c>
      <c r="EX148" s="6">
        <f>MAX(Table122[OI7])</f>
        <v>3</v>
      </c>
      <c r="EY148" s="6">
        <f>MAX(Table122[OI8])</f>
        <v>5</v>
      </c>
      <c r="EZ148" s="6">
        <f>MAX(Table122[OI9])</f>
        <v>3</v>
      </c>
      <c r="FA148" s="6">
        <f>MAX(Table122[OI10])</f>
        <v>1</v>
      </c>
      <c r="FB148" s="6">
        <f>MAX(Table122[OI11])</f>
        <v>2</v>
      </c>
      <c r="FC148" s="6">
        <f>MAX(Table122[OI12])</f>
        <v>2</v>
      </c>
      <c r="FD148" s="6">
        <f>MAX(Table122[OT])</f>
        <v>12</v>
      </c>
      <c r="FG148" s="55" t="s">
        <v>227</v>
      </c>
    </row>
    <row r="149" spans="1:163" x14ac:dyDescent="0.25">
      <c r="A149" s="81" t="s">
        <v>228</v>
      </c>
      <c r="B149" s="53"/>
      <c r="C149" s="53"/>
      <c r="D149" s="53"/>
      <c r="E149" s="4">
        <f>QUARTILE(Table122[Att],3)</f>
        <v>8738</v>
      </c>
      <c r="F149" s="54"/>
      <c r="G149" s="80"/>
      <c r="H149" s="80"/>
      <c r="I149" s="80"/>
      <c r="J149" s="5">
        <f>QUARTILE(Table122[S-IP],3)</f>
        <v>6</v>
      </c>
      <c r="K149" s="6">
        <f>QUARTILE(Table122[S-H],3)</f>
        <v>7</v>
      </c>
      <c r="L149" s="6">
        <f>QUARTILE(Table122[S-R],3)</f>
        <v>4</v>
      </c>
      <c r="M149" s="6">
        <f>QUARTILE(Table122[S-ER],3)</f>
        <v>4</v>
      </c>
      <c r="N149" s="6">
        <f>QUARTILE(Table122[S-BB],3)</f>
        <v>2</v>
      </c>
      <c r="O149" s="6">
        <f>QUARTILE(Table122[S-SO],3)</f>
        <v>5</v>
      </c>
      <c r="P149" s="6">
        <f>QUARTILE(Table122[S-HR],3)</f>
        <v>1</v>
      </c>
      <c r="Q149" s="6">
        <f>QUARTILE(Table122[S-HBP],3)</f>
        <v>0</v>
      </c>
      <c r="R149" s="6">
        <f>QUARTILE(Table122[S-BF],3)</f>
        <v>26</v>
      </c>
      <c r="S149" s="6">
        <f>QUARTILE(Table122[S-Pit],3)</f>
        <v>97</v>
      </c>
      <c r="T149" s="6">
        <f>QUARTILE(Table122[S-Str],3)</f>
        <v>61.5</v>
      </c>
      <c r="U149" s="6">
        <f>QUARTILE(Table122[IRL],3)</f>
        <v>1</v>
      </c>
      <c r="V149" s="6">
        <f>QUARTILE(Table122[IRS],3)</f>
        <v>0</v>
      </c>
      <c r="W149" s="80"/>
      <c r="X149" s="80"/>
      <c r="Y149" s="80"/>
      <c r="Z149" s="80"/>
      <c r="AA149" s="80"/>
      <c r="AB149" s="5">
        <f>QUARTILE(Table122[B-IP],3)</f>
        <v>4</v>
      </c>
      <c r="AC149" s="6">
        <f>QUARTILE(Table122[B-H],3)</f>
        <v>5</v>
      </c>
      <c r="AD149" s="6">
        <f>QUARTILE(Table122[B-R],3)</f>
        <v>2</v>
      </c>
      <c r="AE149" s="6">
        <f>QUARTILE(Table122[B-ER],3)</f>
        <v>2</v>
      </c>
      <c r="AF149" s="6">
        <f>QUARTILE(Table122[B-BB],3)</f>
        <v>2</v>
      </c>
      <c r="AG149" s="6">
        <f>QUARTILE(Table122[B-SO],3)</f>
        <v>5</v>
      </c>
      <c r="AH149" s="6">
        <f>QUARTILE(Table122[B-HR],3)</f>
        <v>0</v>
      </c>
      <c r="AI149" s="6">
        <f>QUARTILE(Table122[B-HBP],3)</f>
        <v>0</v>
      </c>
      <c r="AJ149" s="6">
        <f>QUARTILE(Table122[B-BF],3)</f>
        <v>18</v>
      </c>
      <c r="AK149" s="6">
        <f>QUARTILE(Table122[B-Pit],3)</f>
        <v>75</v>
      </c>
      <c r="AL149" s="6">
        <f>QUARTILE(Table122[B-Str],3)</f>
        <v>46</v>
      </c>
      <c r="AM149" s="80"/>
      <c r="AN149" s="6">
        <f>QUARTILE(Table122[AB1],3)</f>
        <v>5</v>
      </c>
      <c r="AO149" s="6">
        <f>QUARTILE(Table122[R1],3)</f>
        <v>1</v>
      </c>
      <c r="AP149" s="6">
        <f>QUARTILE(Table122[H1],3)</f>
        <v>2</v>
      </c>
      <c r="AQ149" s="6">
        <f>QUARTILE(Table122[RBI1],3)</f>
        <v>1</v>
      </c>
      <c r="AR149" s="6">
        <f>QUARTILE(Table122[BB1],3)</f>
        <v>1</v>
      </c>
      <c r="AS149" s="6">
        <f>QUARTILE(Table122[SO1],3)</f>
        <v>1</v>
      </c>
      <c r="AT149" s="6">
        <f>QUARTILE(Table122[HBP1],3)</f>
        <v>0</v>
      </c>
      <c r="AU149" s="6">
        <f>QUARTILE(Table122[SF1],3)</f>
        <v>0</v>
      </c>
      <c r="AV149" s="6">
        <f>QUARTILE(Table122[TB1],3)</f>
        <v>2</v>
      </c>
      <c r="AW149" s="80"/>
      <c r="AX149" s="6">
        <f>QUARTILE(Table122[AB2],3)</f>
        <v>5</v>
      </c>
      <c r="AY149" s="6">
        <f>QUARTILE(Table122[R2],3)</f>
        <v>1</v>
      </c>
      <c r="AZ149" s="6">
        <f>QUARTILE(Table122[H2],3)</f>
        <v>2</v>
      </c>
      <c r="BA149" s="6">
        <f>QUARTILE(Table122[RBI2],3)</f>
        <v>1</v>
      </c>
      <c r="BB149" s="6">
        <f>QUARTILE(Table122[BB2],3)</f>
        <v>1</v>
      </c>
      <c r="BC149" s="6">
        <f>QUARTILE(Table122[SO2],3)</f>
        <v>1</v>
      </c>
      <c r="BD149" s="6">
        <f>QUARTILE(Table122[HBP2],3)</f>
        <v>0</v>
      </c>
      <c r="BE149" s="6">
        <f>QUARTILE(Table122[SF2],3)</f>
        <v>0</v>
      </c>
      <c r="BF149" s="6">
        <f>QUARTILE(Table122[TB2],3)</f>
        <v>3</v>
      </c>
      <c r="BG149" s="80"/>
      <c r="BH149" s="6">
        <f>QUARTILE(Table122[AB3],3)</f>
        <v>5</v>
      </c>
      <c r="BI149" s="6">
        <f>QUARTILE(Table122[R3],3)</f>
        <v>1</v>
      </c>
      <c r="BJ149" s="6">
        <f>QUARTILE(Table122[H3],3)</f>
        <v>2</v>
      </c>
      <c r="BK149" s="6">
        <f>QUARTILE(Table122[RBI3],3)</f>
        <v>1</v>
      </c>
      <c r="BL149" s="6">
        <f>QUARTILE(Table122[BB3],3)</f>
        <v>1</v>
      </c>
      <c r="BM149" s="6">
        <f>QUARTILE(Table122[SO3],3)</f>
        <v>1</v>
      </c>
      <c r="BN149" s="6">
        <f>QUARTILE(Table122[HBP3],3)</f>
        <v>0</v>
      </c>
      <c r="BO149" s="6">
        <f>QUARTILE(Table122[SF3],3)</f>
        <v>0</v>
      </c>
      <c r="BP149" s="6">
        <f>QUARTILE(Table122[TB3],3)</f>
        <v>3</v>
      </c>
      <c r="BQ149" s="80"/>
      <c r="BR149" s="6">
        <f>QUARTILE(Table122[AB4],3)</f>
        <v>4</v>
      </c>
      <c r="BS149" s="6">
        <f>QUARTILE(Table122[R4],3)</f>
        <v>1</v>
      </c>
      <c r="BT149" s="6">
        <f>QUARTILE(Table122[H4],3)</f>
        <v>2</v>
      </c>
      <c r="BU149" s="6">
        <f>QUARTILE(Table122[RBI4],3)</f>
        <v>1</v>
      </c>
      <c r="BV149" s="6">
        <f>QUARTILE(Table122[BB4],3)</f>
        <v>1</v>
      </c>
      <c r="BW149" s="6">
        <f>QUARTILE(Table122[SO4],3)</f>
        <v>1</v>
      </c>
      <c r="BX149" s="6">
        <f>QUARTILE(Table122[HBP4],3)</f>
        <v>0</v>
      </c>
      <c r="BY149" s="6">
        <f>QUARTILE(Table122[SF4],3)</f>
        <v>0</v>
      </c>
      <c r="BZ149" s="6">
        <f>QUARTILE(Table122[TB4],3)</f>
        <v>3</v>
      </c>
      <c r="CA149" s="80"/>
      <c r="CB149" s="6">
        <f>QUARTILE(Table122[AB5],3)</f>
        <v>4</v>
      </c>
      <c r="CC149" s="6">
        <f>QUARTILE(Table122[R5],3)</f>
        <v>1</v>
      </c>
      <c r="CD149" s="6">
        <f>QUARTILE(Table122[H5],3)</f>
        <v>2</v>
      </c>
      <c r="CE149" s="6">
        <f>QUARTILE(Table122[RBI5],3)</f>
        <v>1</v>
      </c>
      <c r="CF149" s="6">
        <f>QUARTILE(Table122[BB5],3)</f>
        <v>1</v>
      </c>
      <c r="CG149" s="6">
        <f>QUARTILE(Table122[SO5],3)</f>
        <v>1</v>
      </c>
      <c r="CH149" s="6">
        <f>QUARTILE(Table122[HBP5],3)</f>
        <v>0</v>
      </c>
      <c r="CI149" s="6">
        <f>QUARTILE(Table122[SF5],3)</f>
        <v>0</v>
      </c>
      <c r="CJ149" s="6">
        <f>QUARTILE(Table122[TB5],3)</f>
        <v>3</v>
      </c>
      <c r="CK149" s="80"/>
      <c r="CL149" s="6">
        <f>QUARTILE(Table122[AB6],3)</f>
        <v>4</v>
      </c>
      <c r="CM149" s="6">
        <f>QUARTILE(Table122[R6],3)</f>
        <v>1</v>
      </c>
      <c r="CN149" s="6">
        <f>QUARTILE(Table122[H6],3)</f>
        <v>2</v>
      </c>
      <c r="CO149" s="6">
        <f>QUARTILE(Table122[RBI6],3)</f>
        <v>1</v>
      </c>
      <c r="CP149" s="6">
        <f>QUARTILE(Table122[BB6],3)</f>
        <v>1</v>
      </c>
      <c r="CQ149" s="6">
        <f>QUARTILE(Table122[SO6],3)</f>
        <v>1</v>
      </c>
      <c r="CR149" s="6">
        <f>QUARTILE(Table122[HBP6],3)</f>
        <v>0</v>
      </c>
      <c r="CS149" s="6">
        <f>QUARTILE(Table122[SF6],3)</f>
        <v>0</v>
      </c>
      <c r="CT149" s="6">
        <f>QUARTILE(Table122[TB6],3)</f>
        <v>2</v>
      </c>
      <c r="CU149" s="80"/>
      <c r="CV149" s="6">
        <f>QUARTILE(Table122[AB7],3)</f>
        <v>4</v>
      </c>
      <c r="CW149" s="6">
        <f>QUARTILE(Table122[R7],3)</f>
        <v>1</v>
      </c>
      <c r="CX149" s="6">
        <f>QUARTILE(Table122[H7],3)</f>
        <v>1</v>
      </c>
      <c r="CY149" s="6">
        <f>QUARTILE(Table122[RBI7],3)</f>
        <v>1</v>
      </c>
      <c r="CZ149" s="6">
        <f>QUARTILE(Table122[BB7],3)</f>
        <v>1</v>
      </c>
      <c r="DA149" s="6">
        <f>QUARTILE(Table122[SO7],3)</f>
        <v>1</v>
      </c>
      <c r="DB149" s="6">
        <f>QUARTILE(Table122[HBP7],3)</f>
        <v>0</v>
      </c>
      <c r="DC149" s="6">
        <f>QUARTILE(Table122[SF7],3)</f>
        <v>0</v>
      </c>
      <c r="DD149" s="6">
        <f>QUARTILE(Table122[TB7],3)</f>
        <v>2</v>
      </c>
      <c r="DE149" s="80"/>
      <c r="DF149" s="6">
        <f>QUARTILE(Table122[AB8],3)</f>
        <v>4</v>
      </c>
      <c r="DG149" s="6">
        <f>QUARTILE(Table122[R8],3)</f>
        <v>1</v>
      </c>
      <c r="DH149" s="6">
        <f>QUARTILE(Table122[H8],3)</f>
        <v>2</v>
      </c>
      <c r="DI149" s="6">
        <f>QUARTILE(Table122[RBI8],3)</f>
        <v>1</v>
      </c>
      <c r="DJ149" s="6">
        <f>QUARTILE(Table122[BB8],3)</f>
        <v>1</v>
      </c>
      <c r="DK149" s="6">
        <f>QUARTILE(Table122[SO8],3)</f>
        <v>1</v>
      </c>
      <c r="DL149" s="6">
        <f>QUARTILE(Table122[HBP8],3)</f>
        <v>0</v>
      </c>
      <c r="DM149" s="6">
        <f>QUARTILE(Table122[SF8],3)</f>
        <v>0</v>
      </c>
      <c r="DN149" s="6">
        <f>QUARTILE(Table122[TB8],3)</f>
        <v>2</v>
      </c>
      <c r="DO149" s="80"/>
      <c r="DP149" s="6">
        <f>QUARTILE(Table122[AB9],3)</f>
        <v>4</v>
      </c>
      <c r="DQ149" s="6">
        <f>QUARTILE(Table122[R9],3)</f>
        <v>1</v>
      </c>
      <c r="DR149" s="6">
        <f>QUARTILE(Table122[H9],3)</f>
        <v>1</v>
      </c>
      <c r="DS149" s="6">
        <f>QUARTILE(Table122[RBI9],3)</f>
        <v>0</v>
      </c>
      <c r="DT149" s="6">
        <f>QUARTILE(Table122[BB9],3)</f>
        <v>0</v>
      </c>
      <c r="DU149" s="6">
        <f>QUARTILE(Table122[SO9],3)</f>
        <v>1</v>
      </c>
      <c r="DV149" s="6">
        <f>QUARTILE(Table122[HBP9],3)</f>
        <v>0</v>
      </c>
      <c r="DW149" s="6">
        <f>QUARTILE(Table122[SF9],3)</f>
        <v>0</v>
      </c>
      <c r="DX149" s="6">
        <f>QUARTILE(Table122[TB9],3)</f>
        <v>2</v>
      </c>
      <c r="DY149" s="5">
        <f>QUARTILE(Table122[IVL],3)</f>
        <v>3.833333333333333</v>
      </c>
      <c r="DZ149" s="6">
        <f>QUARTILE(Table122[SVL],3)</f>
        <v>0</v>
      </c>
      <c r="EA149" s="6">
        <f>QUARTILE(Table122[CVL],3)</f>
        <v>0</v>
      </c>
      <c r="EB149" s="5">
        <f>QUARTILE(Table122[IVR],3)</f>
        <v>8</v>
      </c>
      <c r="EC149" s="6">
        <f>QUARTILE(Table122[SVR],3)</f>
        <v>1</v>
      </c>
      <c r="ED149" s="6">
        <f>QUARTILE(Table122[CVR],3)</f>
        <v>0</v>
      </c>
      <c r="EE149" s="6">
        <f>QUARTILE(Table122[RI1],3)</f>
        <v>1</v>
      </c>
      <c r="EF149" s="6">
        <f>QUARTILE(Table122[RI2],3)</f>
        <v>0</v>
      </c>
      <c r="EG149" s="6">
        <f>QUARTILE(Table122[RI3],3)</f>
        <v>1</v>
      </c>
      <c r="EH149" s="6">
        <f>QUARTILE(Table122[RI4],3)</f>
        <v>1</v>
      </c>
      <c r="EI149" s="6">
        <f>QUARTILE(Table122[RI5],3)</f>
        <v>1</v>
      </c>
      <c r="EJ149" s="6">
        <f>QUARTILE(Table122[RI6],3)</f>
        <v>1</v>
      </c>
      <c r="EK149" s="6">
        <f>QUARTILE(Table122[RI7],3)</f>
        <v>1</v>
      </c>
      <c r="EL149" s="6">
        <f>QUARTILE(Table122[RI8],3)</f>
        <v>1</v>
      </c>
      <c r="EM149" s="6">
        <f>QUARTILE(Table122[RI9],3)</f>
        <v>0</v>
      </c>
      <c r="EN149" s="6">
        <f>QUARTILE(Table122[RI10],3)</f>
        <v>0</v>
      </c>
      <c r="EO149" s="6">
        <f>QUARTILE(Table122[RI11],3)</f>
        <v>1</v>
      </c>
      <c r="EP149" s="6">
        <f>QUARTILE(Table122[RI12],3)</f>
        <v>1</v>
      </c>
      <c r="EQ149" s="6">
        <f>QUARTILE(Table122[RT],3)</f>
        <v>7</v>
      </c>
      <c r="ER149" s="6">
        <f>QUARTILE(Table122[OI1],3)</f>
        <v>0</v>
      </c>
      <c r="ES149" s="6">
        <f>QUARTILE(Table122[OI2],3)</f>
        <v>0</v>
      </c>
      <c r="ET149" s="6">
        <f>QUARTILE(Table122[OI3],3)</f>
        <v>1</v>
      </c>
      <c r="EU149" s="6">
        <f>QUARTILE(Table122[OI4],3)</f>
        <v>1</v>
      </c>
      <c r="EV149" s="6">
        <f>QUARTILE(Table122[OI5],3)</f>
        <v>1</v>
      </c>
      <c r="EW149" s="6">
        <f>QUARTILE(Table122[OI6],3)</f>
        <v>1</v>
      </c>
      <c r="EX149" s="6">
        <f>QUARTILE(Table122[OI7],3)</f>
        <v>0</v>
      </c>
      <c r="EY149" s="6">
        <f>QUARTILE(Table122[OI8],3)</f>
        <v>0</v>
      </c>
      <c r="EZ149" s="6">
        <f>QUARTILE(Table122[OI9],3)</f>
        <v>0</v>
      </c>
      <c r="FA149" s="6">
        <f>QUARTILE(Table122[OI10],3)</f>
        <v>0</v>
      </c>
      <c r="FB149" s="6">
        <f>QUARTILE(Table122[OI11],3)</f>
        <v>1</v>
      </c>
      <c r="FC149" s="6">
        <f>QUARTILE(Table122[OI12],3)</f>
        <v>1</v>
      </c>
      <c r="FD149" s="6">
        <f>QUARTILE(Table122[OT],3)</f>
        <v>6</v>
      </c>
      <c r="FG149" s="55" t="s">
        <v>228</v>
      </c>
    </row>
    <row r="150" spans="1:163" x14ac:dyDescent="0.25">
      <c r="A150" s="81" t="s">
        <v>229</v>
      </c>
      <c r="B150" s="53"/>
      <c r="C150" s="53"/>
      <c r="D150" s="53"/>
      <c r="E150" s="4">
        <f>MEDIAN(Table122[Att])</f>
        <v>6743</v>
      </c>
      <c r="F150" s="54"/>
      <c r="G150" s="80"/>
      <c r="H150" s="80"/>
      <c r="I150" s="80"/>
      <c r="J150" s="5">
        <f>MEDIAN(Table122[S-IP])</f>
        <v>5.666666666666667</v>
      </c>
      <c r="K150" s="6">
        <f>MEDIAN(Table122[S-H])</f>
        <v>5</v>
      </c>
      <c r="L150" s="6">
        <f>MEDIAN(Table122[S-R])</f>
        <v>2</v>
      </c>
      <c r="M150" s="6">
        <f>MEDIAN(Table122[S-ER])</f>
        <v>2</v>
      </c>
      <c r="N150" s="6">
        <f>MEDIAN(Table122[S-BB])</f>
        <v>2</v>
      </c>
      <c r="O150" s="6">
        <f>MEDIAN(Table122[S-SO])</f>
        <v>4</v>
      </c>
      <c r="P150" s="6">
        <f>MEDIAN(Table122[S-HR])</f>
        <v>0</v>
      </c>
      <c r="Q150" s="6">
        <f>MEDIAN(Table122[S-HBP])</f>
        <v>0</v>
      </c>
      <c r="R150" s="6">
        <f>MEDIAN(Table122[S-BF])</f>
        <v>23</v>
      </c>
      <c r="S150" s="6">
        <f>MEDIAN(Table122[S-Pit])</f>
        <v>89</v>
      </c>
      <c r="T150" s="6">
        <f>MEDIAN(Table122[S-Str])</f>
        <v>57</v>
      </c>
      <c r="U150" s="6">
        <f>MEDIAN(Table122[IRL])</f>
        <v>0</v>
      </c>
      <c r="V150" s="6">
        <f>MEDIAN(Table122[IRS])</f>
        <v>0</v>
      </c>
      <c r="W150" s="80"/>
      <c r="X150" s="80"/>
      <c r="Y150" s="80"/>
      <c r="Z150" s="80"/>
      <c r="AA150" s="80"/>
      <c r="AB150" s="5">
        <f>MEDIAN(Table122[B-IP])</f>
        <v>3.3333333333333335</v>
      </c>
      <c r="AC150" s="6">
        <f>MEDIAN(Table122[B-H])</f>
        <v>3</v>
      </c>
      <c r="AD150" s="6">
        <f>MEDIAN(Table122[B-R])</f>
        <v>1</v>
      </c>
      <c r="AE150" s="6">
        <f>MEDIAN(Table122[B-ER])</f>
        <v>1</v>
      </c>
      <c r="AF150" s="6">
        <f>MEDIAN(Table122[B-BB])</f>
        <v>1</v>
      </c>
      <c r="AG150" s="6">
        <f>MEDIAN(Table122[B-SO])</f>
        <v>3</v>
      </c>
      <c r="AH150" s="6">
        <f>MEDIAN(Table122[B-HR])</f>
        <v>0</v>
      </c>
      <c r="AI150" s="6">
        <f>MEDIAN(Table122[B-HBP])</f>
        <v>0</v>
      </c>
      <c r="AJ150" s="6">
        <f>MEDIAN(Table122[B-BF])</f>
        <v>14</v>
      </c>
      <c r="AK150" s="6">
        <f>MEDIAN(Table122[B-Pit])</f>
        <v>56</v>
      </c>
      <c r="AL150" s="6">
        <f>MEDIAN(Table122[B-Str])</f>
        <v>36</v>
      </c>
      <c r="AM150" s="80"/>
      <c r="AN150" s="6">
        <f>MEDIAN(Table122[AB1])</f>
        <v>4</v>
      </c>
      <c r="AO150" s="6">
        <f>MEDIAN(Table122[R1])</f>
        <v>1</v>
      </c>
      <c r="AP150" s="6">
        <f>MEDIAN(Table122[H1])</f>
        <v>1</v>
      </c>
      <c r="AQ150" s="6">
        <f>MEDIAN(Table122[RBI1])</f>
        <v>0</v>
      </c>
      <c r="AR150" s="6">
        <f>MEDIAN(Table122[BB1])</f>
        <v>0</v>
      </c>
      <c r="AS150" s="6">
        <f>MEDIAN(Table122[SO1])</f>
        <v>1</v>
      </c>
      <c r="AT150" s="6">
        <f>MEDIAN(Table122[HBP1])</f>
        <v>0</v>
      </c>
      <c r="AU150" s="6">
        <f>MEDIAN(Table122[SF1])</f>
        <v>0</v>
      </c>
      <c r="AV150" s="6">
        <f>MEDIAN(Table122[TB1])</f>
        <v>1</v>
      </c>
      <c r="AW150" s="80"/>
      <c r="AX150" s="6">
        <f>MEDIAN(Table122[AB2])</f>
        <v>4</v>
      </c>
      <c r="AY150" s="6">
        <f>MEDIAN(Table122[R2])</f>
        <v>1</v>
      </c>
      <c r="AZ150" s="6">
        <f>MEDIAN(Table122[H2])</f>
        <v>1</v>
      </c>
      <c r="BA150" s="6">
        <f>MEDIAN(Table122[RBI2])</f>
        <v>0</v>
      </c>
      <c r="BB150" s="6">
        <f>MEDIAN(Table122[BB2])</f>
        <v>0</v>
      </c>
      <c r="BC150" s="6">
        <f>MEDIAN(Table122[SO2])</f>
        <v>1</v>
      </c>
      <c r="BD150" s="6">
        <f>MEDIAN(Table122[HBP2])</f>
        <v>0</v>
      </c>
      <c r="BE150" s="6">
        <f>MEDIAN(Table122[SF2])</f>
        <v>0</v>
      </c>
      <c r="BF150" s="6">
        <f>MEDIAN(Table122[TB2])</f>
        <v>2</v>
      </c>
      <c r="BG150" s="80"/>
      <c r="BH150" s="6">
        <f>MEDIAN(Table122[AB3])</f>
        <v>4</v>
      </c>
      <c r="BI150" s="6">
        <f>MEDIAN(Table122[R3])</f>
        <v>1</v>
      </c>
      <c r="BJ150" s="6">
        <f>MEDIAN(Table122[H3])</f>
        <v>1</v>
      </c>
      <c r="BK150" s="6">
        <f>MEDIAN(Table122[RBI3])</f>
        <v>0</v>
      </c>
      <c r="BL150" s="6">
        <f>MEDIAN(Table122[BB3])</f>
        <v>0</v>
      </c>
      <c r="BM150" s="6">
        <f>MEDIAN(Table122[SO3])</f>
        <v>1</v>
      </c>
      <c r="BN150" s="6">
        <f>MEDIAN(Table122[HBP3])</f>
        <v>0</v>
      </c>
      <c r="BO150" s="6">
        <f>MEDIAN(Table122[SF3])</f>
        <v>0</v>
      </c>
      <c r="BP150" s="6">
        <f>MEDIAN(Table122[TB3])</f>
        <v>1</v>
      </c>
      <c r="BQ150" s="80"/>
      <c r="BR150" s="6">
        <f>MEDIAN(Table122[AB4])</f>
        <v>4</v>
      </c>
      <c r="BS150" s="6">
        <f>MEDIAN(Table122[R4])</f>
        <v>0</v>
      </c>
      <c r="BT150" s="6">
        <f>MEDIAN(Table122[H4])</f>
        <v>1</v>
      </c>
      <c r="BU150" s="6">
        <f>MEDIAN(Table122[RBI4])</f>
        <v>1</v>
      </c>
      <c r="BV150" s="6">
        <f>MEDIAN(Table122[BB4])</f>
        <v>1</v>
      </c>
      <c r="BW150" s="6">
        <f>MEDIAN(Table122[SO4])</f>
        <v>1</v>
      </c>
      <c r="BX150" s="6">
        <f>MEDIAN(Table122[HBP4])</f>
        <v>0</v>
      </c>
      <c r="BY150" s="6">
        <f>MEDIAN(Table122[SF4])</f>
        <v>0</v>
      </c>
      <c r="BZ150" s="6">
        <f>MEDIAN(Table122[TB4])</f>
        <v>1</v>
      </c>
      <c r="CA150" s="80"/>
      <c r="CB150" s="6">
        <f>MEDIAN(Table122[AB5])</f>
        <v>4</v>
      </c>
      <c r="CC150" s="6">
        <f>MEDIAN(Table122[R5])</f>
        <v>0</v>
      </c>
      <c r="CD150" s="6">
        <f>MEDIAN(Table122[H5])</f>
        <v>1</v>
      </c>
      <c r="CE150" s="6">
        <f>MEDIAN(Table122[RBI5])</f>
        <v>0</v>
      </c>
      <c r="CF150" s="6">
        <f>MEDIAN(Table122[BB5])</f>
        <v>0</v>
      </c>
      <c r="CG150" s="6">
        <f>MEDIAN(Table122[SO5])</f>
        <v>1</v>
      </c>
      <c r="CH150" s="6">
        <f>MEDIAN(Table122[HBP5])</f>
        <v>0</v>
      </c>
      <c r="CI150" s="6">
        <f>MEDIAN(Table122[SF5])</f>
        <v>0</v>
      </c>
      <c r="CJ150" s="6">
        <f>MEDIAN(Table122[TB5])</f>
        <v>1</v>
      </c>
      <c r="CK150" s="80"/>
      <c r="CL150" s="6">
        <f>MEDIAN(Table122[AB6])</f>
        <v>4</v>
      </c>
      <c r="CM150" s="6">
        <f>MEDIAN(Table122[R6])</f>
        <v>0</v>
      </c>
      <c r="CN150" s="6">
        <f>MEDIAN(Table122[H6])</f>
        <v>1</v>
      </c>
      <c r="CO150" s="6">
        <f>MEDIAN(Table122[RBI6])</f>
        <v>0</v>
      </c>
      <c r="CP150" s="6">
        <f>MEDIAN(Table122[BB6])</f>
        <v>0</v>
      </c>
      <c r="CQ150" s="6">
        <f>MEDIAN(Table122[SO6])</f>
        <v>1</v>
      </c>
      <c r="CR150" s="6">
        <f>MEDIAN(Table122[HBP6])</f>
        <v>0</v>
      </c>
      <c r="CS150" s="6">
        <f>MEDIAN(Table122[SF6])</f>
        <v>0</v>
      </c>
      <c r="CT150" s="6">
        <f>MEDIAN(Table122[TB6])</f>
        <v>1</v>
      </c>
      <c r="CU150" s="80"/>
      <c r="CV150" s="6">
        <f>MEDIAN(Table122[AB7])</f>
        <v>4</v>
      </c>
      <c r="CW150" s="6">
        <f>MEDIAN(Table122[R7])</f>
        <v>0</v>
      </c>
      <c r="CX150" s="6">
        <f>MEDIAN(Table122[H7])</f>
        <v>1</v>
      </c>
      <c r="CY150" s="6">
        <f>MEDIAN(Table122[RBI7])</f>
        <v>0</v>
      </c>
      <c r="CZ150" s="6">
        <f>MEDIAN(Table122[BB7])</f>
        <v>0</v>
      </c>
      <c r="DA150" s="6">
        <f>MEDIAN(Table122[SO7])</f>
        <v>1</v>
      </c>
      <c r="DB150" s="6">
        <f>MEDIAN(Table122[HBP7])</f>
        <v>0</v>
      </c>
      <c r="DC150" s="6">
        <f>MEDIAN(Table122[SF7])</f>
        <v>0</v>
      </c>
      <c r="DD150" s="6">
        <f>MEDIAN(Table122[TB7])</f>
        <v>1</v>
      </c>
      <c r="DE150" s="80"/>
      <c r="DF150" s="6">
        <f>MEDIAN(Table122[AB8])</f>
        <v>4</v>
      </c>
      <c r="DG150" s="6">
        <f>MEDIAN(Table122[R8])</f>
        <v>0</v>
      </c>
      <c r="DH150" s="6">
        <f>MEDIAN(Table122[H8])</f>
        <v>1</v>
      </c>
      <c r="DI150" s="6">
        <f>MEDIAN(Table122[RBI8])</f>
        <v>0</v>
      </c>
      <c r="DJ150" s="6">
        <f>MEDIAN(Table122[BB8])</f>
        <v>0</v>
      </c>
      <c r="DK150" s="6">
        <f>MEDIAN(Table122[SO8])</f>
        <v>1</v>
      </c>
      <c r="DL150" s="6">
        <f>MEDIAN(Table122[HBP8])</f>
        <v>0</v>
      </c>
      <c r="DM150" s="6">
        <f>MEDIAN(Table122[SF8])</f>
        <v>0</v>
      </c>
      <c r="DN150" s="6">
        <f>MEDIAN(Table122[TB8])</f>
        <v>1</v>
      </c>
      <c r="DO150" s="80"/>
      <c r="DP150" s="6">
        <f>MEDIAN(Table122[AB9])</f>
        <v>4</v>
      </c>
      <c r="DQ150" s="6">
        <f>MEDIAN(Table122[R9])</f>
        <v>0</v>
      </c>
      <c r="DR150" s="6">
        <f>MEDIAN(Table122[H9])</f>
        <v>1</v>
      </c>
      <c r="DS150" s="6">
        <f>MEDIAN(Table122[RBI9])</f>
        <v>0</v>
      </c>
      <c r="DT150" s="6">
        <f>MEDIAN(Table122[BB9])</f>
        <v>0</v>
      </c>
      <c r="DU150" s="6">
        <f>MEDIAN(Table122[SO9])</f>
        <v>1</v>
      </c>
      <c r="DV150" s="6">
        <f>MEDIAN(Table122[HBP9])</f>
        <v>0</v>
      </c>
      <c r="DW150" s="6">
        <f>MEDIAN(Table122[SF9])</f>
        <v>0</v>
      </c>
      <c r="DX150" s="6">
        <f>MEDIAN(Table122[TB9])</f>
        <v>1</v>
      </c>
      <c r="DY150" s="5">
        <f>MEDIAN(Table122[IVL])</f>
        <v>1</v>
      </c>
      <c r="DZ150" s="6">
        <f>MEDIAN(Table122[SVL])</f>
        <v>0</v>
      </c>
      <c r="EA150" s="6">
        <f>MEDIAN(Table122[CVL])</f>
        <v>0</v>
      </c>
      <c r="EB150" s="5">
        <f>MEDIAN(Table122[IVR])</f>
        <v>7.666666666666667</v>
      </c>
      <c r="EC150" s="6">
        <f>MEDIAN(Table122[SVR])</f>
        <v>0</v>
      </c>
      <c r="ED150" s="6">
        <f>MEDIAN(Table122[CVR])</f>
        <v>0</v>
      </c>
      <c r="EE150" s="6">
        <f>MEDIAN(Table122[RI1])</f>
        <v>0</v>
      </c>
      <c r="EF150" s="6">
        <f>MEDIAN(Table122[RI2])</f>
        <v>0</v>
      </c>
      <c r="EG150" s="6">
        <f>MEDIAN(Table122[RI3])</f>
        <v>0</v>
      </c>
      <c r="EH150" s="6">
        <f>MEDIAN(Table122[RI4])</f>
        <v>0</v>
      </c>
      <c r="EI150" s="6">
        <f>MEDIAN(Table122[RI5])</f>
        <v>0</v>
      </c>
      <c r="EJ150" s="6">
        <f>MEDIAN(Table122[RI6])</f>
        <v>0</v>
      </c>
      <c r="EK150" s="6">
        <f>MEDIAN(Table122[RI7])</f>
        <v>0</v>
      </c>
      <c r="EL150" s="6">
        <f>MEDIAN(Table122[RI8])</f>
        <v>0</v>
      </c>
      <c r="EM150" s="6">
        <f>MEDIAN(Table122[RI9])</f>
        <v>0</v>
      </c>
      <c r="EN150" s="6">
        <f>MEDIAN(Table122[RI10])</f>
        <v>0</v>
      </c>
      <c r="EO150" s="6">
        <f>MEDIAN(Table122[RI11])</f>
        <v>0</v>
      </c>
      <c r="EP150" s="6">
        <f>MEDIAN(Table122[RI12])</f>
        <v>1</v>
      </c>
      <c r="EQ150" s="6">
        <f>MEDIAN(Table122[RT])</f>
        <v>5</v>
      </c>
      <c r="ER150" s="6">
        <f>MEDIAN(Table122[OI1])</f>
        <v>0</v>
      </c>
      <c r="ES150" s="6">
        <f>MEDIAN(Table122[OI2])</f>
        <v>0</v>
      </c>
      <c r="ET150" s="6">
        <f>MEDIAN(Table122[OI3])</f>
        <v>0</v>
      </c>
      <c r="EU150" s="6">
        <f>MEDIAN(Table122[OI4])</f>
        <v>0</v>
      </c>
      <c r="EV150" s="6">
        <f>MEDIAN(Table122[OI5])</f>
        <v>0</v>
      </c>
      <c r="EW150" s="6">
        <f>MEDIAN(Table122[OI6])</f>
        <v>0</v>
      </c>
      <c r="EX150" s="6">
        <f>MEDIAN(Table122[OI7])</f>
        <v>0</v>
      </c>
      <c r="EY150" s="6">
        <f>MEDIAN(Table122[OI8])</f>
        <v>0</v>
      </c>
      <c r="EZ150" s="6">
        <f>MEDIAN(Table122[OI9])</f>
        <v>0</v>
      </c>
      <c r="FA150" s="6">
        <f>MEDIAN(Table122[OI10])</f>
        <v>0</v>
      </c>
      <c r="FB150" s="6">
        <f>MEDIAN(Table122[OI11])</f>
        <v>0</v>
      </c>
      <c r="FC150" s="6">
        <f>MEDIAN(Table122[OI12])</f>
        <v>0</v>
      </c>
      <c r="FD150" s="6">
        <f>MEDIAN(Table122[OT])</f>
        <v>4</v>
      </c>
      <c r="FG150" s="55" t="s">
        <v>229</v>
      </c>
    </row>
    <row r="151" spans="1:163" x14ac:dyDescent="0.25">
      <c r="A151" s="81" t="s">
        <v>230</v>
      </c>
      <c r="B151" s="53"/>
      <c r="C151" s="53"/>
      <c r="D151" s="53"/>
      <c r="E151" s="4">
        <f>QUARTILE(Table122[Att],1)</f>
        <v>4431</v>
      </c>
      <c r="F151" s="54"/>
      <c r="G151" s="80"/>
      <c r="H151" s="80"/>
      <c r="I151" s="80"/>
      <c r="J151" s="5">
        <f>QUARTILE(Table122[S-IP],1)</f>
        <v>4.666666666666667</v>
      </c>
      <c r="K151" s="6">
        <f>QUARTILE(Table122[S-H],1)</f>
        <v>4</v>
      </c>
      <c r="L151" s="6">
        <f>QUARTILE(Table122[S-R],1)</f>
        <v>1</v>
      </c>
      <c r="M151" s="6">
        <f>QUARTILE(Table122[S-ER],1)</f>
        <v>1</v>
      </c>
      <c r="N151" s="6">
        <f>QUARTILE(Table122[S-BB],1)</f>
        <v>1</v>
      </c>
      <c r="O151" s="6">
        <f>QUARTILE(Table122[S-SO],1)</f>
        <v>3</v>
      </c>
      <c r="P151" s="6">
        <f>QUARTILE(Table122[S-HR],1)</f>
        <v>0</v>
      </c>
      <c r="Q151" s="6">
        <f>QUARTILE(Table122[S-HBP],1)</f>
        <v>0</v>
      </c>
      <c r="R151" s="6">
        <f>QUARTILE(Table122[S-BF],1)</f>
        <v>21</v>
      </c>
      <c r="S151" s="6">
        <f>QUARTILE(Table122[S-Pit],1)</f>
        <v>81.5</v>
      </c>
      <c r="T151" s="6">
        <f>QUARTILE(Table122[S-Str],1)</f>
        <v>49</v>
      </c>
      <c r="U151" s="6">
        <f>QUARTILE(Table122[IRL],1)</f>
        <v>0</v>
      </c>
      <c r="V151" s="6">
        <f>QUARTILE(Table122[IRS],1)</f>
        <v>0</v>
      </c>
      <c r="W151" s="80"/>
      <c r="X151" s="80"/>
      <c r="Y151" s="80"/>
      <c r="Z151" s="80"/>
      <c r="AA151" s="80"/>
      <c r="AB151" s="5">
        <f>QUARTILE(Table122[B-IP],1)</f>
        <v>2.3333333333333335</v>
      </c>
      <c r="AC151" s="6">
        <f>QUARTILE(Table122[B-H],1)</f>
        <v>1.5</v>
      </c>
      <c r="AD151" s="6">
        <f>QUARTILE(Table122[B-R],1)</f>
        <v>0</v>
      </c>
      <c r="AE151" s="6">
        <f>QUARTILE(Table122[B-ER],1)</f>
        <v>0</v>
      </c>
      <c r="AF151" s="6">
        <f>QUARTILE(Table122[B-BB],1)</f>
        <v>0</v>
      </c>
      <c r="AG151" s="6">
        <f>QUARTILE(Table122[B-SO],1)</f>
        <v>2</v>
      </c>
      <c r="AH151" s="6">
        <f>QUARTILE(Table122[B-HR],1)</f>
        <v>0</v>
      </c>
      <c r="AI151" s="6">
        <f>QUARTILE(Table122[B-HBP],1)</f>
        <v>0</v>
      </c>
      <c r="AJ151" s="6">
        <f>QUARTILE(Table122[B-BF],1)</f>
        <v>10</v>
      </c>
      <c r="AK151" s="6">
        <f>QUARTILE(Table122[B-Pit],1)</f>
        <v>37</v>
      </c>
      <c r="AL151" s="6">
        <f>QUARTILE(Table122[B-Str],1)</f>
        <v>26</v>
      </c>
      <c r="AM151" s="80"/>
      <c r="AN151" s="6">
        <f>QUARTILE(Table122[AB1],1)</f>
        <v>4</v>
      </c>
      <c r="AO151" s="6">
        <f>QUARTILE(Table122[R1],1)</f>
        <v>0</v>
      </c>
      <c r="AP151" s="6">
        <f>QUARTILE(Table122[H1],1)</f>
        <v>0</v>
      </c>
      <c r="AQ151" s="6">
        <f>QUARTILE(Table122[RBI1],1)</f>
        <v>0</v>
      </c>
      <c r="AR151" s="6">
        <f>QUARTILE(Table122[BB1],1)</f>
        <v>0</v>
      </c>
      <c r="AS151" s="6">
        <f>QUARTILE(Table122[SO1],1)</f>
        <v>0</v>
      </c>
      <c r="AT151" s="6">
        <f>QUARTILE(Table122[HBP1],1)</f>
        <v>0</v>
      </c>
      <c r="AU151" s="6">
        <f>QUARTILE(Table122[SF1],1)</f>
        <v>0</v>
      </c>
      <c r="AV151" s="6">
        <f>QUARTILE(Table122[TB1],1)</f>
        <v>0</v>
      </c>
      <c r="AW151" s="80"/>
      <c r="AX151" s="6">
        <f>QUARTILE(Table122[AB2],1)</f>
        <v>4</v>
      </c>
      <c r="AY151" s="6">
        <f>QUARTILE(Table122[R2],1)</f>
        <v>0</v>
      </c>
      <c r="AZ151" s="6">
        <f>QUARTILE(Table122[H2],1)</f>
        <v>0</v>
      </c>
      <c r="BA151" s="6">
        <f>QUARTILE(Table122[RBI2],1)</f>
        <v>0</v>
      </c>
      <c r="BB151" s="6">
        <f>QUARTILE(Table122[BB2],1)</f>
        <v>0</v>
      </c>
      <c r="BC151" s="6">
        <f>QUARTILE(Table122[SO2],1)</f>
        <v>0</v>
      </c>
      <c r="BD151" s="6">
        <f>QUARTILE(Table122[HBP2],1)</f>
        <v>0</v>
      </c>
      <c r="BE151" s="6">
        <f>QUARTILE(Table122[SF2],1)</f>
        <v>0</v>
      </c>
      <c r="BF151" s="6">
        <f>QUARTILE(Table122[TB2],1)</f>
        <v>0</v>
      </c>
      <c r="BG151" s="80"/>
      <c r="BH151" s="6">
        <f>QUARTILE(Table122[AB3],1)</f>
        <v>4</v>
      </c>
      <c r="BI151" s="6">
        <f>QUARTILE(Table122[R3],1)</f>
        <v>0</v>
      </c>
      <c r="BJ151" s="6">
        <f>QUARTILE(Table122[H3],1)</f>
        <v>0</v>
      </c>
      <c r="BK151" s="6">
        <f>QUARTILE(Table122[RBI3],1)</f>
        <v>0</v>
      </c>
      <c r="BL151" s="6">
        <f>QUARTILE(Table122[BB3],1)</f>
        <v>0</v>
      </c>
      <c r="BM151" s="6">
        <f>QUARTILE(Table122[SO3],1)</f>
        <v>0</v>
      </c>
      <c r="BN151" s="6">
        <f>QUARTILE(Table122[HBP3],1)</f>
        <v>0</v>
      </c>
      <c r="BO151" s="6">
        <f>QUARTILE(Table122[SF3],1)</f>
        <v>0</v>
      </c>
      <c r="BP151" s="6">
        <f>QUARTILE(Table122[TB3],1)</f>
        <v>0</v>
      </c>
      <c r="BQ151" s="80"/>
      <c r="BR151" s="6">
        <f>QUARTILE(Table122[AB4],1)</f>
        <v>3</v>
      </c>
      <c r="BS151" s="6">
        <f>QUARTILE(Table122[R4],1)</f>
        <v>0</v>
      </c>
      <c r="BT151" s="6">
        <f>QUARTILE(Table122[H4],1)</f>
        <v>0</v>
      </c>
      <c r="BU151" s="6">
        <f>QUARTILE(Table122[RBI4],1)</f>
        <v>0</v>
      </c>
      <c r="BV151" s="6">
        <f>QUARTILE(Table122[BB4],1)</f>
        <v>0</v>
      </c>
      <c r="BW151" s="6">
        <f>QUARTILE(Table122[SO4],1)</f>
        <v>0</v>
      </c>
      <c r="BX151" s="6">
        <f>QUARTILE(Table122[HBP4],1)</f>
        <v>0</v>
      </c>
      <c r="BY151" s="6">
        <f>QUARTILE(Table122[SF4],1)</f>
        <v>0</v>
      </c>
      <c r="BZ151" s="6">
        <f>QUARTILE(Table122[TB4],1)</f>
        <v>0</v>
      </c>
      <c r="CA151" s="80"/>
      <c r="CB151" s="6">
        <f>QUARTILE(Table122[AB5],1)</f>
        <v>3</v>
      </c>
      <c r="CC151" s="6">
        <f>QUARTILE(Table122[R5],1)</f>
        <v>0</v>
      </c>
      <c r="CD151" s="6">
        <f>QUARTILE(Table122[H5],1)</f>
        <v>0</v>
      </c>
      <c r="CE151" s="6">
        <f>QUARTILE(Table122[RBI5],1)</f>
        <v>0</v>
      </c>
      <c r="CF151" s="6">
        <f>QUARTILE(Table122[BB5],1)</f>
        <v>0</v>
      </c>
      <c r="CG151" s="6">
        <f>QUARTILE(Table122[SO5],1)</f>
        <v>0</v>
      </c>
      <c r="CH151" s="6">
        <f>QUARTILE(Table122[HBP5],1)</f>
        <v>0</v>
      </c>
      <c r="CI151" s="6">
        <f>QUARTILE(Table122[SF5],1)</f>
        <v>0</v>
      </c>
      <c r="CJ151" s="6">
        <f>QUARTILE(Table122[TB5],1)</f>
        <v>0</v>
      </c>
      <c r="CK151" s="80"/>
      <c r="CL151" s="6">
        <f>QUARTILE(Table122[AB6],1)</f>
        <v>3</v>
      </c>
      <c r="CM151" s="6">
        <f>QUARTILE(Table122[R6],1)</f>
        <v>0</v>
      </c>
      <c r="CN151" s="6">
        <f>QUARTILE(Table122[H6],1)</f>
        <v>0</v>
      </c>
      <c r="CO151" s="6">
        <f>QUARTILE(Table122[RBI6],1)</f>
        <v>0</v>
      </c>
      <c r="CP151" s="6">
        <f>QUARTILE(Table122[BB6],1)</f>
        <v>0</v>
      </c>
      <c r="CQ151" s="6">
        <f>QUARTILE(Table122[SO6],1)</f>
        <v>0</v>
      </c>
      <c r="CR151" s="6">
        <f>QUARTILE(Table122[HBP6],1)</f>
        <v>0</v>
      </c>
      <c r="CS151" s="6">
        <f>QUARTILE(Table122[SF6],1)</f>
        <v>0</v>
      </c>
      <c r="CT151" s="6">
        <f>QUARTILE(Table122[TB6],1)</f>
        <v>0</v>
      </c>
      <c r="CU151" s="80"/>
      <c r="CV151" s="6">
        <f>QUARTILE(Table122[AB7],1)</f>
        <v>3</v>
      </c>
      <c r="CW151" s="6">
        <f>QUARTILE(Table122[R7],1)</f>
        <v>0</v>
      </c>
      <c r="CX151" s="6">
        <f>QUARTILE(Table122[H7],1)</f>
        <v>0</v>
      </c>
      <c r="CY151" s="6">
        <f>QUARTILE(Table122[RBI7],1)</f>
        <v>0</v>
      </c>
      <c r="CZ151" s="6">
        <f>QUARTILE(Table122[BB7],1)</f>
        <v>0</v>
      </c>
      <c r="DA151" s="6">
        <f>QUARTILE(Table122[SO7],1)</f>
        <v>0</v>
      </c>
      <c r="DB151" s="6">
        <f>QUARTILE(Table122[HBP7],1)</f>
        <v>0</v>
      </c>
      <c r="DC151" s="6">
        <f>QUARTILE(Table122[SF7],1)</f>
        <v>0</v>
      </c>
      <c r="DD151" s="6">
        <f>QUARTILE(Table122[TB7],1)</f>
        <v>0</v>
      </c>
      <c r="DE151" s="80"/>
      <c r="DF151" s="6">
        <f>QUARTILE(Table122[AB8],1)</f>
        <v>3</v>
      </c>
      <c r="DG151" s="6">
        <f>QUARTILE(Table122[R8],1)</f>
        <v>0</v>
      </c>
      <c r="DH151" s="6">
        <f>QUARTILE(Table122[H8],1)</f>
        <v>0</v>
      </c>
      <c r="DI151" s="6">
        <f>QUARTILE(Table122[RBI8],1)</f>
        <v>0</v>
      </c>
      <c r="DJ151" s="6">
        <f>QUARTILE(Table122[BB8],1)</f>
        <v>0</v>
      </c>
      <c r="DK151" s="6">
        <f>QUARTILE(Table122[SO8],1)</f>
        <v>0</v>
      </c>
      <c r="DL151" s="6">
        <f>QUARTILE(Table122[HBP8],1)</f>
        <v>0</v>
      </c>
      <c r="DM151" s="6">
        <f>QUARTILE(Table122[SF8],1)</f>
        <v>0</v>
      </c>
      <c r="DN151" s="6">
        <f>QUARTILE(Table122[TB8],1)</f>
        <v>0</v>
      </c>
      <c r="DO151" s="80"/>
      <c r="DP151" s="6">
        <f>QUARTILE(Table122[AB9],1)</f>
        <v>3</v>
      </c>
      <c r="DQ151" s="6">
        <f>QUARTILE(Table122[R9],1)</f>
        <v>0</v>
      </c>
      <c r="DR151" s="6">
        <f>QUARTILE(Table122[H9],1)</f>
        <v>0</v>
      </c>
      <c r="DS151" s="6">
        <f>QUARTILE(Table122[RBI9],1)</f>
        <v>0</v>
      </c>
      <c r="DT151" s="6">
        <f>QUARTILE(Table122[BB9],1)</f>
        <v>0</v>
      </c>
      <c r="DU151" s="6">
        <f>QUARTILE(Table122[SO9],1)</f>
        <v>0</v>
      </c>
      <c r="DV151" s="6">
        <f>QUARTILE(Table122[HBP9],1)</f>
        <v>0</v>
      </c>
      <c r="DW151" s="6">
        <f>QUARTILE(Table122[SF9],1)</f>
        <v>0</v>
      </c>
      <c r="DX151" s="6">
        <f>QUARTILE(Table122[TB9],1)</f>
        <v>0</v>
      </c>
      <c r="DY151" s="5">
        <f>QUARTILE(Table122[IVL],1)</f>
        <v>0</v>
      </c>
      <c r="DZ151" s="6">
        <f>QUARTILE(Table122[SVL],1)</f>
        <v>0</v>
      </c>
      <c r="EA151" s="6">
        <f>QUARTILE(Table122[CVL],1)</f>
        <v>0</v>
      </c>
      <c r="EB151" s="5">
        <f>QUARTILE(Table122[IVR],1)</f>
        <v>4.666666666666667</v>
      </c>
      <c r="EC151" s="6">
        <f>QUARTILE(Table122[SVR],1)</f>
        <v>0</v>
      </c>
      <c r="ED151" s="6">
        <f>QUARTILE(Table122[CVR],1)</f>
        <v>0</v>
      </c>
      <c r="EE151" s="6">
        <f>QUARTILE(Table122[RI1],1)</f>
        <v>0</v>
      </c>
      <c r="EF151" s="6">
        <f>QUARTILE(Table122[RI2],1)</f>
        <v>0</v>
      </c>
      <c r="EG151" s="6">
        <f>QUARTILE(Table122[RI3],1)</f>
        <v>0</v>
      </c>
      <c r="EH151" s="6">
        <f>QUARTILE(Table122[RI4],1)</f>
        <v>0</v>
      </c>
      <c r="EI151" s="6">
        <f>QUARTILE(Table122[RI5],1)</f>
        <v>0</v>
      </c>
      <c r="EJ151" s="6">
        <f>QUARTILE(Table122[RI6],1)</f>
        <v>0</v>
      </c>
      <c r="EK151" s="6">
        <f>QUARTILE(Table122[RI7],1)</f>
        <v>0</v>
      </c>
      <c r="EL151" s="6">
        <f>QUARTILE(Table122[RI8],1)</f>
        <v>0</v>
      </c>
      <c r="EM151" s="6">
        <f>QUARTILE(Table122[RI9],1)</f>
        <v>0</v>
      </c>
      <c r="EN151" s="6">
        <f>QUARTILE(Table122[RI10],1)</f>
        <v>0</v>
      </c>
      <c r="EO151" s="6">
        <f>QUARTILE(Table122[RI11],1)</f>
        <v>0</v>
      </c>
      <c r="EP151" s="6">
        <f>QUARTILE(Table122[RI12],1)</f>
        <v>0.5</v>
      </c>
      <c r="EQ151" s="6">
        <f>QUARTILE(Table122[RT],1)</f>
        <v>3</v>
      </c>
      <c r="ER151" s="6">
        <f>QUARTILE(Table122[OI1],1)</f>
        <v>0</v>
      </c>
      <c r="ES151" s="6">
        <f>QUARTILE(Table122[OI2],1)</f>
        <v>0</v>
      </c>
      <c r="ET151" s="6">
        <f>QUARTILE(Table122[OI3],1)</f>
        <v>0</v>
      </c>
      <c r="EU151" s="6">
        <f>QUARTILE(Table122[OI4],1)</f>
        <v>0</v>
      </c>
      <c r="EV151" s="6">
        <f>QUARTILE(Table122[OI5],1)</f>
        <v>0</v>
      </c>
      <c r="EW151" s="6">
        <f>QUARTILE(Table122[OI6],1)</f>
        <v>0</v>
      </c>
      <c r="EX151" s="6">
        <f>QUARTILE(Table122[OI7],1)</f>
        <v>0</v>
      </c>
      <c r="EY151" s="6">
        <f>QUARTILE(Table122[OI8],1)</f>
        <v>0</v>
      </c>
      <c r="EZ151" s="6">
        <f>QUARTILE(Table122[OI9],1)</f>
        <v>0</v>
      </c>
      <c r="FA151" s="6">
        <f>QUARTILE(Table122[OI10],1)</f>
        <v>0</v>
      </c>
      <c r="FB151" s="6">
        <f>QUARTILE(Table122[OI11],1)</f>
        <v>0</v>
      </c>
      <c r="FC151" s="6">
        <f>QUARTILE(Table122[OI12],1)</f>
        <v>0</v>
      </c>
      <c r="FD151" s="6">
        <f>QUARTILE(Table122[OT],1)</f>
        <v>2</v>
      </c>
      <c r="FG151" s="55" t="s">
        <v>230</v>
      </c>
    </row>
    <row r="152" spans="1:163" x14ac:dyDescent="0.25">
      <c r="A152" s="81" t="s">
        <v>231</v>
      </c>
      <c r="B152" s="53"/>
      <c r="C152" s="53"/>
      <c r="D152" s="53"/>
      <c r="E152" s="4">
        <f>MIN(Table122[Att])</f>
        <v>1296</v>
      </c>
      <c r="F152" s="54"/>
      <c r="G152" s="80"/>
      <c r="H152" s="80"/>
      <c r="I152" s="80"/>
      <c r="J152" s="5">
        <f>MIN(Table122[S-IP])</f>
        <v>0</v>
      </c>
      <c r="K152" s="6">
        <f>MIN(Table122[S-H])</f>
        <v>0</v>
      </c>
      <c r="L152" s="6">
        <f>MIN(Table122[S-R])</f>
        <v>0</v>
      </c>
      <c r="M152" s="6">
        <f>MIN(Table122[S-ER])</f>
        <v>0</v>
      </c>
      <c r="N152" s="6">
        <f>MIN(Table122[S-BB])</f>
        <v>0</v>
      </c>
      <c r="O152" s="6">
        <f>MIN(Table122[S-SO])</f>
        <v>0</v>
      </c>
      <c r="P152" s="6">
        <f>MIN(Table122[S-HR])</f>
        <v>0</v>
      </c>
      <c r="Q152" s="6">
        <f>MIN(Table122[S-HBP])</f>
        <v>0</v>
      </c>
      <c r="R152" s="6">
        <f>MIN(Table122[S-BF])</f>
        <v>2</v>
      </c>
      <c r="S152" s="6">
        <f>MIN(Table122[S-Pit])</f>
        <v>8</v>
      </c>
      <c r="T152" s="6">
        <f>MIN(Table122[S-Str])</f>
        <v>0</v>
      </c>
      <c r="U152" s="6">
        <f>MIN(Table122[IRL])</f>
        <v>0</v>
      </c>
      <c r="V152" s="6">
        <f>MIN(Table122[IRS])</f>
        <v>0</v>
      </c>
      <c r="W152" s="80"/>
      <c r="X152" s="80"/>
      <c r="Y152" s="80"/>
      <c r="Z152" s="80"/>
      <c r="AA152" s="80"/>
      <c r="AB152" s="5">
        <f>MIN(Table122[B-IP])</f>
        <v>0</v>
      </c>
      <c r="AC152" s="6">
        <f>MIN(Table122[B-H])</f>
        <v>0</v>
      </c>
      <c r="AD152" s="6">
        <f>MIN(Table122[B-R])</f>
        <v>0</v>
      </c>
      <c r="AE152" s="6">
        <f>MIN(Table122[B-ER])</f>
        <v>0</v>
      </c>
      <c r="AF152" s="6">
        <f>MIN(Table122[B-BB])</f>
        <v>0</v>
      </c>
      <c r="AG152" s="6">
        <f>MIN(Table122[B-SO])</f>
        <v>0</v>
      </c>
      <c r="AH152" s="6">
        <f>MIN(Table122[B-HR])</f>
        <v>0</v>
      </c>
      <c r="AI152" s="6">
        <f>MIN(Table122[B-HBP])</f>
        <v>0</v>
      </c>
      <c r="AJ152" s="6">
        <f>MIN(Table122[B-BF])</f>
        <v>0</v>
      </c>
      <c r="AK152" s="6">
        <f>MIN(Table122[B-Pit])</f>
        <v>0</v>
      </c>
      <c r="AL152" s="6">
        <f>MIN(Table122[B-Str])</f>
        <v>0</v>
      </c>
      <c r="AM152" s="80"/>
      <c r="AN152" s="6">
        <f>MIN(Table122[AB1])</f>
        <v>2</v>
      </c>
      <c r="AO152" s="6">
        <f>MIN(Table122[R1])</f>
        <v>0</v>
      </c>
      <c r="AP152" s="6">
        <f>MIN(Table122[H1])</f>
        <v>0</v>
      </c>
      <c r="AQ152" s="6">
        <f>MIN(Table122[RBI1])</f>
        <v>0</v>
      </c>
      <c r="AR152" s="6">
        <f>MIN(Table122[BB1])</f>
        <v>0</v>
      </c>
      <c r="AS152" s="6">
        <f>MIN(Table122[SO1])</f>
        <v>0</v>
      </c>
      <c r="AT152" s="6">
        <f>MIN(Table122[HBP1])</f>
        <v>0</v>
      </c>
      <c r="AU152" s="6">
        <f>MIN(Table122[SF1])</f>
        <v>0</v>
      </c>
      <c r="AV152" s="6">
        <f>MIN(Table122[TB1])</f>
        <v>0</v>
      </c>
      <c r="AW152" s="80"/>
      <c r="AX152" s="6">
        <f>MIN(Table122[AB2])</f>
        <v>1</v>
      </c>
      <c r="AY152" s="6">
        <f>MIN(Table122[R2])</f>
        <v>0</v>
      </c>
      <c r="AZ152" s="6">
        <f>MIN(Table122[H2])</f>
        <v>0</v>
      </c>
      <c r="BA152" s="6">
        <f>MIN(Table122[RBI2])</f>
        <v>0</v>
      </c>
      <c r="BB152" s="6">
        <f>MIN(Table122[BB2])</f>
        <v>0</v>
      </c>
      <c r="BC152" s="6">
        <f>MIN(Table122[SO2])</f>
        <v>0</v>
      </c>
      <c r="BD152" s="6">
        <f>MIN(Table122[HBP2])</f>
        <v>0</v>
      </c>
      <c r="BE152" s="6">
        <f>MIN(Table122[SF2])</f>
        <v>0</v>
      </c>
      <c r="BF152" s="6">
        <f>MIN(Table122[TB2])</f>
        <v>0</v>
      </c>
      <c r="BG152" s="80"/>
      <c r="BH152" s="6">
        <f>MIN(Table122[AB3])</f>
        <v>2</v>
      </c>
      <c r="BI152" s="6">
        <f>MIN(Table122[R3])</f>
        <v>0</v>
      </c>
      <c r="BJ152" s="6">
        <f>MIN(Table122[H3])</f>
        <v>0</v>
      </c>
      <c r="BK152" s="6">
        <f>MIN(Table122[RBI3])</f>
        <v>0</v>
      </c>
      <c r="BL152" s="6">
        <f>MIN(Table122[BB3])</f>
        <v>0</v>
      </c>
      <c r="BM152" s="6">
        <f>MIN(Table122[SO3])</f>
        <v>0</v>
      </c>
      <c r="BN152" s="6">
        <f>MIN(Table122[HBP3])</f>
        <v>0</v>
      </c>
      <c r="BO152" s="6">
        <f>MIN(Table122[SF3])</f>
        <v>0</v>
      </c>
      <c r="BP152" s="6">
        <f>MIN(Table122[TB3])</f>
        <v>0</v>
      </c>
      <c r="BQ152" s="80"/>
      <c r="BR152" s="6">
        <f>MIN(Table122[AB4])</f>
        <v>1</v>
      </c>
      <c r="BS152" s="6">
        <f>MIN(Table122[R4])</f>
        <v>0</v>
      </c>
      <c r="BT152" s="6">
        <f>MIN(Table122[H4])</f>
        <v>0</v>
      </c>
      <c r="BU152" s="6">
        <f>MIN(Table122[RBI4])</f>
        <v>0</v>
      </c>
      <c r="BV152" s="6">
        <f>MIN(Table122[BB4])</f>
        <v>0</v>
      </c>
      <c r="BW152" s="6">
        <f>MIN(Table122[SO4])</f>
        <v>0</v>
      </c>
      <c r="BX152" s="6">
        <f>MIN(Table122[HBP4])</f>
        <v>0</v>
      </c>
      <c r="BY152" s="6">
        <f>MIN(Table122[SF4])</f>
        <v>0</v>
      </c>
      <c r="BZ152" s="6">
        <f>MIN(Table122[TB4])</f>
        <v>0</v>
      </c>
      <c r="CA152" s="80"/>
      <c r="CB152" s="6">
        <f>MIN(Table122[AB5])</f>
        <v>1</v>
      </c>
      <c r="CC152" s="6">
        <f>MIN(Table122[R5])</f>
        <v>0</v>
      </c>
      <c r="CD152" s="6">
        <f>MIN(Table122[H5])</f>
        <v>0</v>
      </c>
      <c r="CE152" s="6">
        <f>MIN(Table122[RBI5])</f>
        <v>0</v>
      </c>
      <c r="CF152" s="6">
        <f>MIN(Table122[BB5])</f>
        <v>0</v>
      </c>
      <c r="CG152" s="6">
        <f>MIN(Table122[SO5])</f>
        <v>0</v>
      </c>
      <c r="CH152" s="6">
        <f>MIN(Table122[HBP5])</f>
        <v>0</v>
      </c>
      <c r="CI152" s="6">
        <f>MIN(Table122[SF5])</f>
        <v>0</v>
      </c>
      <c r="CJ152" s="6">
        <f>MIN(Table122[TB5])</f>
        <v>0</v>
      </c>
      <c r="CK152" s="80"/>
      <c r="CL152" s="6">
        <f>MIN(Table122[AB6])</f>
        <v>2</v>
      </c>
      <c r="CM152" s="6">
        <f>MIN(Table122[R6])</f>
        <v>0</v>
      </c>
      <c r="CN152" s="6">
        <f>MIN(Table122[H6])</f>
        <v>0</v>
      </c>
      <c r="CO152" s="6">
        <f>MIN(Table122[RBI6])</f>
        <v>0</v>
      </c>
      <c r="CP152" s="6">
        <f>MIN(Table122[BB6])</f>
        <v>0</v>
      </c>
      <c r="CQ152" s="6">
        <f>MIN(Table122[SO6])</f>
        <v>0</v>
      </c>
      <c r="CR152" s="6">
        <f>MIN(Table122[HBP6])</f>
        <v>0</v>
      </c>
      <c r="CS152" s="6">
        <f>MIN(Table122[SF6])</f>
        <v>0</v>
      </c>
      <c r="CT152" s="6">
        <f>MIN(Table122[TB6])</f>
        <v>0</v>
      </c>
      <c r="CU152" s="80"/>
      <c r="CV152" s="6">
        <f>MIN(Table122[AB7])</f>
        <v>1</v>
      </c>
      <c r="CW152" s="6">
        <f>MIN(Table122[R7])</f>
        <v>0</v>
      </c>
      <c r="CX152" s="6">
        <f>MIN(Table122[H7])</f>
        <v>0</v>
      </c>
      <c r="CY152" s="6">
        <f>MIN(Table122[RBI7])</f>
        <v>0</v>
      </c>
      <c r="CZ152" s="6">
        <f>MIN(Table122[BB7])</f>
        <v>0</v>
      </c>
      <c r="DA152" s="6">
        <f>MIN(Table122[SO7])</f>
        <v>0</v>
      </c>
      <c r="DB152" s="6">
        <f>MIN(Table122[HBP7])</f>
        <v>0</v>
      </c>
      <c r="DC152" s="6">
        <f>MIN(Table122[SF7])</f>
        <v>0</v>
      </c>
      <c r="DD152" s="6">
        <f>MIN(Table122[TB7])</f>
        <v>0</v>
      </c>
      <c r="DE152" s="80"/>
      <c r="DF152" s="6">
        <f>MIN(Table122[AB8])</f>
        <v>1</v>
      </c>
      <c r="DG152" s="6">
        <f>MIN(Table122[R8])</f>
        <v>0</v>
      </c>
      <c r="DH152" s="6">
        <f>MIN(Table122[H8])</f>
        <v>0</v>
      </c>
      <c r="DI152" s="6">
        <f>MIN(Table122[RBI8])</f>
        <v>0</v>
      </c>
      <c r="DJ152" s="6">
        <f>MIN(Table122[BB8])</f>
        <v>0</v>
      </c>
      <c r="DK152" s="6">
        <f>MIN(Table122[SO8])</f>
        <v>0</v>
      </c>
      <c r="DL152" s="6">
        <f>MIN(Table122[HBP8])</f>
        <v>0</v>
      </c>
      <c r="DM152" s="6">
        <f>MIN(Table122[SF8])</f>
        <v>0</v>
      </c>
      <c r="DN152" s="6">
        <f>MIN(Table122[TB8])</f>
        <v>0</v>
      </c>
      <c r="DO152" s="80"/>
      <c r="DP152" s="6">
        <f>MIN(Table122[AB9])</f>
        <v>2</v>
      </c>
      <c r="DQ152" s="6">
        <f>MIN(Table122[R9])</f>
        <v>0</v>
      </c>
      <c r="DR152" s="6">
        <f>MIN(Table122[H9])</f>
        <v>0</v>
      </c>
      <c r="DS152" s="6">
        <f>MIN(Table122[RBI9])</f>
        <v>0</v>
      </c>
      <c r="DT152" s="6">
        <f>MIN(Table122[BB9])</f>
        <v>0</v>
      </c>
      <c r="DU152" s="6">
        <f>MIN(Table122[SO9])</f>
        <v>0</v>
      </c>
      <c r="DV152" s="6">
        <f>MIN(Table122[HBP9])</f>
        <v>0</v>
      </c>
      <c r="DW152" s="6">
        <f>MIN(Table122[SF9])</f>
        <v>0</v>
      </c>
      <c r="DX152" s="6">
        <f>MIN(Table122[TB9])</f>
        <v>0</v>
      </c>
      <c r="DY152" s="5">
        <f>MIN(Table122[IVL])</f>
        <v>0</v>
      </c>
      <c r="DZ152" s="6">
        <f>MIN(Table122[SVL])</f>
        <v>0</v>
      </c>
      <c r="EA152" s="6">
        <f>MIN(Table122[CVL])</f>
        <v>0</v>
      </c>
      <c r="EB152" s="5">
        <f>MIN(Table122[IVR])</f>
        <v>0</v>
      </c>
      <c r="EC152" s="6">
        <f>MIN(Table122[SVR])</f>
        <v>0</v>
      </c>
      <c r="ED152" s="6">
        <f>MIN(Table122[CVR])</f>
        <v>0</v>
      </c>
      <c r="EE152" s="6">
        <f>MIN(Table122[RI1])</f>
        <v>0</v>
      </c>
      <c r="EF152" s="6">
        <f>MIN(Table122[RI2])</f>
        <v>0</v>
      </c>
      <c r="EG152" s="6">
        <f>MIN(Table122[RI3])</f>
        <v>0</v>
      </c>
      <c r="EH152" s="6">
        <f>MIN(Table122[RI4])</f>
        <v>0</v>
      </c>
      <c r="EI152" s="6">
        <f>MIN(Table122[RI5])</f>
        <v>0</v>
      </c>
      <c r="EJ152" s="6">
        <f>MIN(Table122[RI6])</f>
        <v>0</v>
      </c>
      <c r="EK152" s="6">
        <f>MIN(Table122[RI7])</f>
        <v>0</v>
      </c>
      <c r="EL152" s="6">
        <f>MIN(Table122[RI8])</f>
        <v>0</v>
      </c>
      <c r="EM152" s="6">
        <f>MIN(Table122[RI9])</f>
        <v>0</v>
      </c>
      <c r="EN152" s="6">
        <f>MIN(Table122[RI10])</f>
        <v>0</v>
      </c>
      <c r="EO152" s="6">
        <f>MIN(Table122[RI11])</f>
        <v>0</v>
      </c>
      <c r="EP152" s="6">
        <f>MIN(Table122[RI12])</f>
        <v>0</v>
      </c>
      <c r="EQ152" s="6">
        <f>MIN(Table122[RT])</f>
        <v>0</v>
      </c>
      <c r="ER152" s="6">
        <f>MIN(Table122[OI1])</f>
        <v>0</v>
      </c>
      <c r="ES152" s="6">
        <f>MIN(Table122[OI2])</f>
        <v>0</v>
      </c>
      <c r="ET152" s="6">
        <f>MIN(Table122[OI3])</f>
        <v>0</v>
      </c>
      <c r="EU152" s="6">
        <f>MIN(Table122[OI4])</f>
        <v>0</v>
      </c>
      <c r="EV152" s="6">
        <f>MIN(Table122[OI5])</f>
        <v>0</v>
      </c>
      <c r="EW152" s="6">
        <f>MIN(Table122[OI6])</f>
        <v>0</v>
      </c>
      <c r="EX152" s="6">
        <f>MIN(Table122[OI7])</f>
        <v>0</v>
      </c>
      <c r="EY152" s="6">
        <f>MIN(Table122[OI8])</f>
        <v>0</v>
      </c>
      <c r="EZ152" s="6">
        <f>MIN(Table122[OI9])</f>
        <v>0</v>
      </c>
      <c r="FA152" s="6">
        <f>MIN(Table122[OI10])</f>
        <v>0</v>
      </c>
      <c r="FB152" s="6">
        <f>MIN(Table122[OI11])</f>
        <v>0</v>
      </c>
      <c r="FC152" s="6">
        <f>MIN(Table122[OI12])</f>
        <v>0</v>
      </c>
      <c r="FD152" s="6">
        <f>MIN(Table122[OT])</f>
        <v>0</v>
      </c>
      <c r="FG152" s="55" t="s">
        <v>231</v>
      </c>
    </row>
    <row r="153" spans="1:163" x14ac:dyDescent="0.25">
      <c r="A153" s="82" t="s">
        <v>232</v>
      </c>
      <c r="B153" s="90"/>
      <c r="C153" s="90"/>
      <c r="D153" s="90"/>
      <c r="E153" s="42">
        <f>STDEV(Table122[Att])</f>
        <v>2599.2463485296039</v>
      </c>
      <c r="F153" s="83"/>
      <c r="G153" s="83"/>
      <c r="H153" s="83"/>
      <c r="I153" s="83"/>
      <c r="J153" s="42">
        <f>STDEV(Table122[S-IP])</f>
        <v>1.4938104383876296</v>
      </c>
      <c r="K153" s="42">
        <f>STDEV(Table122[S-H])</f>
        <v>2.271249396377609</v>
      </c>
      <c r="L153" s="42">
        <f>STDEV(Table122[S-R])</f>
        <v>2.2142461124608119</v>
      </c>
      <c r="M153" s="42">
        <f>STDEV(Table122[S-ER])</f>
        <v>2.0727438609651028</v>
      </c>
      <c r="N153" s="42">
        <f>STDEV(Table122[S-BB])</f>
        <v>1.2612929256841852</v>
      </c>
      <c r="O153" s="42">
        <f>STDEV(Table122[S-SO])</f>
        <v>2.147702681892889</v>
      </c>
      <c r="P153" s="42">
        <f>STDEV(Table122[S-HR])</f>
        <v>0.73994790332534599</v>
      </c>
      <c r="Q153" s="42">
        <f>STDEV(Table122[S-HBP])</f>
        <v>0.53692567047322226</v>
      </c>
      <c r="R153" s="42">
        <f>STDEV(Table122[S-BF])</f>
        <v>4.9006177537293256</v>
      </c>
      <c r="S153" s="42">
        <f>STDEV(Table122[S-Pit])</f>
        <v>18.008763748580623</v>
      </c>
      <c r="T153" s="42">
        <f>STDEV(Table122[S-Str])</f>
        <v>12.468006925352309</v>
      </c>
      <c r="U153" s="42">
        <f>STDEV(Table122[IRL])</f>
        <v>0.93389293444221078</v>
      </c>
      <c r="V153" s="42">
        <f>STDEV(Table122[IRS])</f>
        <v>0.57295493404487796</v>
      </c>
      <c r="W153" s="83"/>
      <c r="X153" s="83"/>
      <c r="Y153" s="83"/>
      <c r="Z153" s="83"/>
      <c r="AA153" s="83"/>
      <c r="AB153" s="42">
        <f>STDEV(Table122[B-IP])</f>
        <v>1.6052644113649783</v>
      </c>
      <c r="AC153" s="42">
        <f>STDEV(Table122[B-H])</f>
        <v>2.1239999877579252</v>
      </c>
      <c r="AD153" s="42">
        <f>STDEV(Table122[B-R])</f>
        <v>1.5617876096870813</v>
      </c>
      <c r="AE153" s="42">
        <f>STDEV(Table122[B-ER])</f>
        <v>1.4975931969765535</v>
      </c>
      <c r="AF153" s="42">
        <f>STDEV(Table122[B-BB])</f>
        <v>1.5106894472810313</v>
      </c>
      <c r="AG153" s="42">
        <f>STDEV(Table122[B-SO])</f>
        <v>2.3513838914695624</v>
      </c>
      <c r="AH153" s="42">
        <f>STDEV(Table122[B-HR])</f>
        <v>0.43914622179521229</v>
      </c>
      <c r="AI153" s="42">
        <f>STDEV(Table122[B-HBP])</f>
        <v>0.39122654485123781</v>
      </c>
      <c r="AJ153" s="42">
        <f>STDEV(Table122[B-BF])</f>
        <v>6.802138121917725</v>
      </c>
      <c r="AK153" s="42">
        <f>STDEV(Table122[B-Pit])</f>
        <v>28.043628333743595</v>
      </c>
      <c r="AL153" s="42">
        <f>STDEV(Table122[B-Str])</f>
        <v>17.256912934427064</v>
      </c>
      <c r="AM153" s="83"/>
      <c r="AN153" s="42">
        <f>STDEV(Table122[AB1])</f>
        <v>0.90142537903930997</v>
      </c>
      <c r="AO153" s="42">
        <f>STDEV(Table122[R1])</f>
        <v>0.85141581728493765</v>
      </c>
      <c r="AP153" s="42">
        <f>STDEV(Table122[H1])</f>
        <v>0.89059787889764053</v>
      </c>
      <c r="AQ153" s="42">
        <f>STDEV(Table122[RBI1])</f>
        <v>0.64759820372507249</v>
      </c>
      <c r="AR153" s="42">
        <f>STDEV(Table122[BB1])</f>
        <v>0.64592304977502601</v>
      </c>
      <c r="AS153" s="42">
        <f>STDEV(Table122[SO1])</f>
        <v>0.76378948153713566</v>
      </c>
      <c r="AT153" s="42">
        <f>STDEV(Table122[HBP1])</f>
        <v>0.24370332971143352</v>
      </c>
      <c r="AU153" s="42">
        <f>STDEV(Table122[SF1])</f>
        <v>0.11784532629584617</v>
      </c>
      <c r="AV153" s="42">
        <f>STDEV(Table122[TB1])</f>
        <v>1.362821911149404</v>
      </c>
      <c r="AW153" s="83"/>
      <c r="AX153" s="42">
        <f>STDEV(Table122[AB2])</f>
        <v>0.89660488791166304</v>
      </c>
      <c r="AY153" s="42">
        <f>STDEV(Table122[R2])</f>
        <v>0.83600641569053824</v>
      </c>
      <c r="AZ153" s="42">
        <f>STDEV(Table122[H2])</f>
        <v>0.99263514677866882</v>
      </c>
      <c r="BA153" s="42">
        <f>STDEV(Table122[RBI2])</f>
        <v>0.91825870780878527</v>
      </c>
      <c r="BB153" s="42">
        <f>STDEV(Table122[BB2])</f>
        <v>0.63345142759320228</v>
      </c>
      <c r="BC153" s="42">
        <f>STDEV(Table122[SO2])</f>
        <v>0.90038677572897163</v>
      </c>
      <c r="BD153" s="42">
        <f>STDEV(Table122[HBP2])</f>
        <v>0.14381773816293444</v>
      </c>
      <c r="BE153" s="42">
        <f>STDEV(Table122[SF2])</f>
        <v>0.16547226243268315</v>
      </c>
      <c r="BF153" s="42">
        <f>STDEV(Table122[TB2])</f>
        <v>1.7984749002714309</v>
      </c>
      <c r="BG153" s="83"/>
      <c r="BH153" s="42">
        <f>STDEV(Table122[AB3])</f>
        <v>0.84333763055236821</v>
      </c>
      <c r="BI153" s="42">
        <f>STDEV(Table122[R3])</f>
        <v>0.83947472707275339</v>
      </c>
      <c r="BJ153" s="42">
        <f>STDEV(Table122[H3])</f>
        <v>1.04578530133283</v>
      </c>
      <c r="BK153" s="42">
        <f>STDEV(Table122[RBI3])</f>
        <v>0.95516552489440998</v>
      </c>
      <c r="BL153" s="42">
        <f>STDEV(Table122[BB3])</f>
        <v>0.63748125466112482</v>
      </c>
      <c r="BM153" s="42">
        <f>STDEV(Table122[SO3])</f>
        <v>0.80442487498444859</v>
      </c>
      <c r="BN153" s="42">
        <f>STDEV(Table122[HBP3])</f>
        <v>0.27106423584584743</v>
      </c>
      <c r="BO153" s="42">
        <f>STDEV(Table122[SF3])</f>
        <v>8.3624201000709081E-2</v>
      </c>
      <c r="BP153" s="42">
        <f>STDEV(Table122[TB3])</f>
        <v>2.0022886540732028</v>
      </c>
      <c r="BQ153" s="83"/>
      <c r="BR153" s="42">
        <f>STDEV(Table122[AB4])</f>
        <v>1.0054515051670012</v>
      </c>
      <c r="BS153" s="42">
        <f>STDEV(Table122[R4])</f>
        <v>0.74630974336033629</v>
      </c>
      <c r="BT153" s="42">
        <f>STDEV(Table122[H4])</f>
        <v>0.92168465869080762</v>
      </c>
      <c r="BU153" s="42">
        <f>STDEV(Table122[RBI4])</f>
        <v>1.2587524759560162</v>
      </c>
      <c r="BV153" s="42">
        <f>STDEV(Table122[BB4])</f>
        <v>0.7777183669986103</v>
      </c>
      <c r="BW153" s="42">
        <f>STDEV(Table122[SO4])</f>
        <v>0.8521674152736024</v>
      </c>
      <c r="BX153" s="42">
        <f>STDEV(Table122[HBP4])</f>
        <v>0.21652412052706441</v>
      </c>
      <c r="BY153" s="42">
        <f>STDEV(Table122[SF4])</f>
        <v>0.24370332971143352</v>
      </c>
      <c r="BZ153" s="42">
        <f>STDEV(Table122[TB4])</f>
        <v>2.0943000693451208</v>
      </c>
      <c r="CA153" s="83"/>
      <c r="CB153" s="42">
        <f>STDEV(Table122[AB5])</f>
        <v>0.81325326476349258</v>
      </c>
      <c r="CC153" s="42">
        <f>STDEV(Table122[R5])</f>
        <v>0.8058316944544035</v>
      </c>
      <c r="CD153" s="42">
        <f>STDEV(Table122[H5])</f>
        <v>0.99367645076319466</v>
      </c>
      <c r="CE153" s="42">
        <f>STDEV(Table122[RBI5])</f>
        <v>0.84438808264801724</v>
      </c>
      <c r="CF153" s="42">
        <f>STDEV(Table122[BB5])</f>
        <v>0.62837780233255869</v>
      </c>
      <c r="CG153" s="42">
        <f>STDEV(Table122[SO5])</f>
        <v>0.8221066548299496</v>
      </c>
      <c r="CH153" s="42">
        <f>STDEV(Table122[HBP5])</f>
        <v>0.25592554073263352</v>
      </c>
      <c r="CI153" s="42">
        <f>STDEV(Table122[SF5])</f>
        <v>0.21652412052706441</v>
      </c>
      <c r="CJ153" s="42">
        <f>STDEV(Table122[TB5])</f>
        <v>1.9354296460739664</v>
      </c>
      <c r="CK153" s="83"/>
      <c r="CL153" s="42">
        <f>STDEV(Table122[AB6])</f>
        <v>0.81724012038096061</v>
      </c>
      <c r="CM153" s="42">
        <f>STDEV(Table122[R6])</f>
        <v>0.63694026301580686</v>
      </c>
      <c r="CN153" s="42">
        <f>STDEV(Table122[H6])</f>
        <v>0.92679984002209759</v>
      </c>
      <c r="CO153" s="42">
        <f>STDEV(Table122[RBI6])</f>
        <v>0.76777662219790055</v>
      </c>
      <c r="CP153" s="42">
        <f>STDEV(Table122[BB6])</f>
        <v>0.65154053779668719</v>
      </c>
      <c r="CQ153" s="42">
        <f>STDEV(Table122[SO6])</f>
        <v>0.88777330216038819</v>
      </c>
      <c r="CR153" s="42">
        <f>STDEV(Table122[HBP6])</f>
        <v>0.20119802711370938</v>
      </c>
      <c r="CS153" s="42">
        <f>STDEV(Table122[SF6])</f>
        <v>0.14381773816293444</v>
      </c>
      <c r="CT153" s="42">
        <f>STDEV(Table122[TB6])</f>
        <v>1.6079005669603943</v>
      </c>
      <c r="CU153" s="83"/>
      <c r="CV153" s="42">
        <f>STDEV(Table122[AB7])</f>
        <v>0.84374629510259735</v>
      </c>
      <c r="CW153" s="42">
        <f>STDEV(Table122[R7])</f>
        <v>0.64843415786537295</v>
      </c>
      <c r="CX153" s="42">
        <f>STDEV(Table122[H7])</f>
        <v>0.84706665304745254</v>
      </c>
      <c r="CY153" s="42">
        <f>STDEV(Table122[RBI7])</f>
        <v>0.93162267661472442</v>
      </c>
      <c r="CZ153" s="42">
        <f>STDEV(Table122[BB7])</f>
        <v>0.65040577837900804</v>
      </c>
      <c r="DA153" s="42">
        <f>STDEV(Table122[SO7])</f>
        <v>0.7395484712296676</v>
      </c>
      <c r="DB153" s="42">
        <f>STDEV(Table122[HBP7])</f>
        <v>0.20119802711370938</v>
      </c>
      <c r="DC153" s="42">
        <f>STDEV(Table122[SF7])</f>
        <v>0.21923642818859537</v>
      </c>
      <c r="DD153" s="42">
        <f>STDEV(Table122[TB7])</f>
        <v>1.6310116357566562</v>
      </c>
      <c r="DE153" s="83"/>
      <c r="DF153" s="42">
        <f>STDEV(Table122[AB8])</f>
        <v>0.83947472707275317</v>
      </c>
      <c r="DG153" s="42">
        <f>STDEV(Table122[R8])</f>
        <v>0.63554702708637822</v>
      </c>
      <c r="DH153" s="42">
        <f>STDEV(Table122[H8])</f>
        <v>0.91756124849273479</v>
      </c>
      <c r="DI153" s="42">
        <f>STDEV(Table122[RBI8])</f>
        <v>0.8705202896584221</v>
      </c>
      <c r="DJ153" s="42">
        <f>STDEV(Table122[BB8])</f>
        <v>0.61786656001473172</v>
      </c>
      <c r="DK153" s="42">
        <f>STDEV(Table122[SO8])</f>
        <v>0.83062859266819333</v>
      </c>
      <c r="DL153" s="42">
        <f>STDEV(Table122[HBP8])</f>
        <v>0.18433693173816151</v>
      </c>
      <c r="DM153" s="42">
        <f>STDEV(Table122[SF8])</f>
        <v>0.14381773816293444</v>
      </c>
      <c r="DN153" s="42">
        <f>STDEV(Table122[TB8])</f>
        <v>1.7674848677727271</v>
      </c>
      <c r="DO153" s="83"/>
      <c r="DP153" s="42">
        <f>STDEV(Table122[AB9])</f>
        <v>0.78433897599962277</v>
      </c>
      <c r="DQ153" s="42">
        <f>STDEV(Table122[R9])</f>
        <v>0.58427470673154136</v>
      </c>
      <c r="DR153" s="42">
        <f>STDEV(Table122[H9])</f>
        <v>0.89374419500359825</v>
      </c>
      <c r="DS153" s="42">
        <f>STDEV(Table122[RBI9])</f>
        <v>0.66522875891247457</v>
      </c>
      <c r="DT153" s="42">
        <f>STDEV(Table122[BB9])</f>
        <v>0.50653174777499288</v>
      </c>
      <c r="DU153" s="42">
        <f>STDEV(Table122[SO9])</f>
        <v>0.89983966090921885</v>
      </c>
      <c r="DV153" s="42">
        <f>STDEV(Table122[HBP9])</f>
        <v>0.16547226243268315</v>
      </c>
      <c r="DW153" s="42">
        <f>STDEV(Table122[SF9])</f>
        <v>0.11784532629584617</v>
      </c>
      <c r="DX153" s="42">
        <f>STDEV(Table122[TB9])</f>
        <v>1.3530664911158203</v>
      </c>
      <c r="DY153" s="42">
        <f>STDEV(Table122[IVL])</f>
        <v>2.4313483383589154</v>
      </c>
      <c r="DZ153" s="42">
        <f>STDEV(Table122[SVL])</f>
        <v>0.51920660139062913</v>
      </c>
      <c r="EA153" s="42">
        <f>STDEV(Table122[CVL])</f>
        <v>0.26740598129043874</v>
      </c>
      <c r="EB153" s="42">
        <f>STDEV(Table122[IVR])</f>
        <v>2.5360398418371446</v>
      </c>
      <c r="EC153" s="42">
        <f>STDEV(Table122[SVR])</f>
        <v>1.1004865376374777</v>
      </c>
      <c r="ED153" s="42">
        <f>STDEV(Table122[CVR])</f>
        <v>0.42187314755129884</v>
      </c>
      <c r="EE153" s="42">
        <f>STDEV(Table122[RI1])</f>
        <v>1.4083861897959657</v>
      </c>
      <c r="EF153" s="42">
        <f>STDEV(Table122[RI2])</f>
        <v>1.1860344974801704</v>
      </c>
      <c r="EG153" s="42">
        <f>STDEV(Table122[RI3])</f>
        <v>1.1128131901175844</v>
      </c>
      <c r="EH153" s="42">
        <f>STDEV(Table122[RI4])</f>
        <v>1.1231209067859642</v>
      </c>
      <c r="EI153" s="42">
        <f>STDEV(Table122[RI5])</f>
        <v>1.0755925987982529</v>
      </c>
      <c r="EJ153" s="42">
        <f>STDEV(Table122[RI6])</f>
        <v>1.143113020278359</v>
      </c>
      <c r="EK153" s="42">
        <f>STDEV(Table122[RI7])</f>
        <v>1.1083765837852082</v>
      </c>
      <c r="EL153" s="42">
        <f>STDEV(Table122[RI8])</f>
        <v>1.3124286866119934</v>
      </c>
      <c r="EM153" s="42">
        <f>STDEV(Table122[RI9])</f>
        <v>0.9064962190704402</v>
      </c>
      <c r="EN153" s="42">
        <f>STDEV(Table122[RI10])</f>
        <v>0.67494855771055284</v>
      </c>
      <c r="EO153" s="42">
        <f>STDEV(Table122[RI11])</f>
        <v>0.53452248382484879</v>
      </c>
      <c r="EP153" s="42">
        <f>STDEV(Table122[RI12])</f>
        <v>0.57735026918962584</v>
      </c>
      <c r="EQ153" s="42">
        <f>STDEV(Table122[RT])</f>
        <v>3.4269687830340225</v>
      </c>
      <c r="ER153" s="42">
        <f>STDEV(Table122[OI1])</f>
        <v>1.1919573550489522</v>
      </c>
      <c r="ES153" s="42">
        <f>STDEV(Table122[OI2])</f>
        <v>0.80967263899081199</v>
      </c>
      <c r="ET153" s="42">
        <f>STDEV(Table122[OI3])</f>
        <v>0.97045896552220834</v>
      </c>
      <c r="EU153" s="42">
        <f>STDEV(Table122[OI4])</f>
        <v>1.1495998558725042</v>
      </c>
      <c r="EV153" s="42">
        <f>STDEV(Table122[OI5])</f>
        <v>1.0596788825804446</v>
      </c>
      <c r="EW153" s="42">
        <f>STDEV(Table122[OI6])</f>
        <v>1.006088037387237</v>
      </c>
      <c r="EX153" s="42">
        <f>STDEV(Table122[OI7])</f>
        <v>0.64543919084296109</v>
      </c>
      <c r="EY153" s="42">
        <f>STDEV(Table122[OI8])</f>
        <v>1.0114127127176857</v>
      </c>
      <c r="EZ153" s="42">
        <f>STDEV(Table122[OI9])</f>
        <v>0.64431286226129902</v>
      </c>
      <c r="FA153" s="42">
        <f>STDEV(Table122[OI10])</f>
        <v>0.31622776601683794</v>
      </c>
      <c r="FB153" s="42">
        <f>STDEV(Table122[OI11])</f>
        <v>0.9759000729485332</v>
      </c>
      <c r="FC153" s="42">
        <f>STDEV(Table122[OI12])</f>
        <v>1.1547005383792517</v>
      </c>
      <c r="FD153" s="42">
        <f>STDEV(Table122[OT])</f>
        <v>2.9446785368213271</v>
      </c>
      <c r="FG153" s="86" t="s">
        <v>232</v>
      </c>
    </row>
    <row r="154" spans="1:163" x14ac:dyDescent="0.25">
      <c r="A154" s="87" t="s">
        <v>281</v>
      </c>
      <c r="B154" s="53"/>
      <c r="C154" s="53"/>
      <c r="D154" s="53"/>
      <c r="E154" s="83">
        <f>(E157+(3*E153))</f>
        <v>14384.242591688102</v>
      </c>
      <c r="F154" s="83"/>
      <c r="G154" s="83"/>
      <c r="H154" s="83"/>
      <c r="I154" s="83"/>
      <c r="J154" s="83">
        <f t="shared" ref="J154:V154" si="48">(J157+(3*J153))</f>
        <v>9.7844616181931912</v>
      </c>
      <c r="K154" s="83">
        <f t="shared" si="48"/>
        <v>12.163398538783177</v>
      </c>
      <c r="L154" s="83">
        <f t="shared" si="48"/>
        <v>9.3000809947250929</v>
      </c>
      <c r="M154" s="83">
        <f t="shared" si="48"/>
        <v>8.6098399745037</v>
      </c>
      <c r="N154" s="83">
        <f t="shared" si="48"/>
        <v>5.595067588241367</v>
      </c>
      <c r="O154" s="83">
        <f t="shared" si="48"/>
        <v>10.359191961762583</v>
      </c>
      <c r="P154" s="83">
        <f t="shared" si="48"/>
        <v>2.7163472064795346</v>
      </c>
      <c r="Q154" s="83">
        <f t="shared" si="48"/>
        <v>1.8625252631679183</v>
      </c>
      <c r="R154" s="83">
        <f t="shared" si="48"/>
        <v>37.485070044404765</v>
      </c>
      <c r="S154" s="83">
        <f t="shared" si="48"/>
        <v>139.74657096602158</v>
      </c>
      <c r="T154" s="83">
        <f t="shared" si="48"/>
        <v>90.795629167665311</v>
      </c>
      <c r="U154" s="83">
        <f t="shared" si="48"/>
        <v>3.4170634187112476</v>
      </c>
      <c r="V154" s="83">
        <f t="shared" si="48"/>
        <v>1.8727109559807875</v>
      </c>
      <c r="W154" s="83"/>
      <c r="X154" s="83"/>
      <c r="Y154" s="83"/>
      <c r="Z154" s="83"/>
      <c r="AA154" s="83"/>
      <c r="AB154" s="83">
        <f t="shared" ref="AB154:AL154" si="49">(AB157+(3*AB153))</f>
        <v>8.3868888051905053</v>
      </c>
      <c r="AC154" s="83">
        <f t="shared" si="49"/>
        <v>9.5258461171199293</v>
      </c>
      <c r="AD154" s="83">
        <f t="shared" si="49"/>
        <v>5.9580901017885166</v>
      </c>
      <c r="AE154" s="83">
        <f t="shared" si="49"/>
        <v>5.6256467237967929</v>
      </c>
      <c r="AF154" s="83">
        <f t="shared" si="49"/>
        <v>5.8327676425423949</v>
      </c>
      <c r="AG154" s="83">
        <f t="shared" si="49"/>
        <v>10.487718107975121</v>
      </c>
      <c r="AH154" s="83">
        <f t="shared" si="49"/>
        <v>1.5482078961548678</v>
      </c>
      <c r="AI154" s="83">
        <f t="shared" si="49"/>
        <v>1.2995537604278393</v>
      </c>
      <c r="AJ154" s="83">
        <f t="shared" si="49"/>
        <v>35.294526253865065</v>
      </c>
      <c r="AK154" s="83">
        <f t="shared" si="49"/>
        <v>142.99102486137065</v>
      </c>
      <c r="AL154" s="83">
        <f t="shared" si="49"/>
        <v>89.267242299784684</v>
      </c>
      <c r="AM154" s="83"/>
      <c r="AN154" s="83">
        <f t="shared" ref="AN154:AV154" si="50">(AN157+(3*AN153))</f>
        <v>6.9350453678871613</v>
      </c>
      <c r="AO154" s="83">
        <f t="shared" si="50"/>
        <v>3.3024992001065612</v>
      </c>
      <c r="AP154" s="83">
        <f t="shared" si="50"/>
        <v>3.7696957345950195</v>
      </c>
      <c r="AQ154" s="83">
        <f t="shared" si="50"/>
        <v>2.271465939846546</v>
      </c>
      <c r="AR154" s="83">
        <f t="shared" si="50"/>
        <v>2.3783285898845183</v>
      </c>
      <c r="AS154" s="83">
        <f t="shared" si="50"/>
        <v>3.0675922208351833</v>
      </c>
      <c r="AT154" s="83">
        <f t="shared" si="50"/>
        <v>0.7940470520713635</v>
      </c>
      <c r="AU154" s="83">
        <f t="shared" si="50"/>
        <v>0.36752199287355253</v>
      </c>
      <c r="AV154" s="83">
        <f t="shared" si="50"/>
        <v>5.5779762229587018</v>
      </c>
      <c r="AW154" s="83"/>
      <c r="AX154" s="83">
        <f t="shared" ref="AX154:BF154" si="51">(AX157+(3*AX153))</f>
        <v>6.7667377406580655</v>
      </c>
      <c r="AY154" s="83">
        <f t="shared" si="51"/>
        <v>3.2213059603583281</v>
      </c>
      <c r="AZ154" s="83">
        <f t="shared" si="51"/>
        <v>4.2156676780982441</v>
      </c>
      <c r="BA154" s="83">
        <f t="shared" si="51"/>
        <v>3.2442866129368455</v>
      </c>
      <c r="BB154" s="83">
        <f t="shared" si="51"/>
        <v>2.3269277093530336</v>
      </c>
      <c r="BC154" s="83">
        <f t="shared" si="51"/>
        <v>3.4983631243897118</v>
      </c>
      <c r="BD154" s="83">
        <f t="shared" si="51"/>
        <v>0.45243223546782435</v>
      </c>
      <c r="BE154" s="83">
        <f t="shared" si="51"/>
        <v>0.52438881527007741</v>
      </c>
      <c r="BF154" s="83">
        <f t="shared" si="51"/>
        <v>7.2345855399751313</v>
      </c>
      <c r="BG154" s="83"/>
      <c r="BH154" s="83">
        <f t="shared" ref="BH154:BP154" si="52">(BH157+(3*BH153))</f>
        <v>6.5370058986501114</v>
      </c>
      <c r="BI154" s="83">
        <f t="shared" si="52"/>
        <v>3.2177248805189596</v>
      </c>
      <c r="BJ154" s="83">
        <f t="shared" si="52"/>
        <v>4.2981950648376506</v>
      </c>
      <c r="BK154" s="83">
        <f t="shared" si="52"/>
        <v>3.5368252460119014</v>
      </c>
      <c r="BL154" s="83">
        <f t="shared" si="52"/>
        <v>2.394961246500857</v>
      </c>
      <c r="BM154" s="83">
        <f t="shared" si="52"/>
        <v>3.385302596981318</v>
      </c>
      <c r="BN154" s="83">
        <f t="shared" si="52"/>
        <v>0.87612977047460516</v>
      </c>
      <c r="BO154" s="83">
        <f t="shared" si="52"/>
        <v>0.25786560999513419</v>
      </c>
      <c r="BP154" s="83">
        <f t="shared" si="52"/>
        <v>7.9369358922895383</v>
      </c>
      <c r="BQ154" s="83"/>
      <c r="BR154" s="83">
        <f t="shared" ref="BR154:BZ154" si="53">(BR157+(3*BR153))</f>
        <v>6.6876831868296751</v>
      </c>
      <c r="BS154" s="83">
        <f t="shared" si="53"/>
        <v>2.8752928664446453</v>
      </c>
      <c r="BT154" s="83">
        <f t="shared" si="53"/>
        <v>3.8629560739745208</v>
      </c>
      <c r="BU154" s="83">
        <f t="shared" si="53"/>
        <v>4.6923413439519646</v>
      </c>
      <c r="BV154" s="83">
        <f t="shared" si="53"/>
        <v>2.9974907653314951</v>
      </c>
      <c r="BW154" s="83">
        <f t="shared" si="53"/>
        <v>3.3537050430236044</v>
      </c>
      <c r="BX154" s="83">
        <f t="shared" si="53"/>
        <v>0.69852341053224221</v>
      </c>
      <c r="BY154" s="83">
        <f t="shared" si="53"/>
        <v>0.7940470520713635</v>
      </c>
      <c r="BZ154" s="83">
        <f t="shared" si="53"/>
        <v>8.3178652430003979</v>
      </c>
      <c r="CA154" s="83"/>
      <c r="CB154" s="83">
        <f t="shared" ref="CB154:CJ154" si="54">(CB157+(3*CB153))</f>
        <v>6.2929066474373307</v>
      </c>
      <c r="CC154" s="83">
        <f t="shared" si="54"/>
        <v>3.0748377407058678</v>
      </c>
      <c r="CD154" s="83">
        <f t="shared" si="54"/>
        <v>4.0929174641776962</v>
      </c>
      <c r="CE154" s="83">
        <f t="shared" si="54"/>
        <v>3.0926048073846113</v>
      </c>
      <c r="CF154" s="83">
        <f t="shared" si="54"/>
        <v>2.2767417986060678</v>
      </c>
      <c r="CG154" s="83">
        <f t="shared" si="54"/>
        <v>3.2984877966576809</v>
      </c>
      <c r="CH154" s="83">
        <f t="shared" si="54"/>
        <v>0.83770669212797044</v>
      </c>
      <c r="CI154" s="83">
        <f t="shared" si="54"/>
        <v>0.69852341053224221</v>
      </c>
      <c r="CJ154" s="83">
        <f t="shared" si="54"/>
        <v>7.5685267004596612</v>
      </c>
      <c r="CK154" s="83"/>
      <c r="CL154" s="83">
        <f t="shared" ref="CL154:CT154" si="55">(CL157+(3*CL153))</f>
        <v>6.2279441373666575</v>
      </c>
      <c r="CM154" s="83">
        <f t="shared" si="55"/>
        <v>2.3793522575788888</v>
      </c>
      <c r="CN154" s="83">
        <f t="shared" si="55"/>
        <v>3.7943855340523065</v>
      </c>
      <c r="CO154" s="83">
        <f t="shared" si="55"/>
        <v>2.8208123840762189</v>
      </c>
      <c r="CP154" s="83">
        <f t="shared" si="55"/>
        <v>2.3532230119914601</v>
      </c>
      <c r="CQ154" s="83">
        <f t="shared" si="55"/>
        <v>3.4255576687189264</v>
      </c>
      <c r="CR154" s="83">
        <f t="shared" si="55"/>
        <v>0.64555212329917011</v>
      </c>
      <c r="CS154" s="83">
        <f t="shared" si="55"/>
        <v>0.45243223546782435</v>
      </c>
      <c r="CT154" s="83">
        <f t="shared" si="55"/>
        <v>6.3901352673147498</v>
      </c>
      <c r="CU154" s="83"/>
      <c r="CV154" s="83">
        <f t="shared" ref="CV154:DD154" si="56">(CV157+(3*CV153))</f>
        <v>6.1676025216714283</v>
      </c>
      <c r="CW154" s="83">
        <f t="shared" si="56"/>
        <v>2.4627849910786361</v>
      </c>
      <c r="CX154" s="83">
        <f t="shared" si="56"/>
        <v>3.5132279311703298</v>
      </c>
      <c r="CY154" s="83">
        <f t="shared" si="56"/>
        <v>3.3543085892847331</v>
      </c>
      <c r="CZ154" s="83">
        <f t="shared" si="56"/>
        <v>2.3428257267454158</v>
      </c>
      <c r="DA154" s="83">
        <f t="shared" si="56"/>
        <v>2.9249391199827088</v>
      </c>
      <c r="DB154" s="83">
        <f t="shared" si="56"/>
        <v>0.64555212329917011</v>
      </c>
      <c r="DC154" s="83">
        <f t="shared" si="56"/>
        <v>0.69267431953082115</v>
      </c>
      <c r="DD154" s="83">
        <f t="shared" si="56"/>
        <v>6.3895384037734653</v>
      </c>
      <c r="DE154" s="83"/>
      <c r="DF154" s="83">
        <f t="shared" ref="DF154:DN154" si="57">(DF157+(3*DF153))</f>
        <v>6.1268157896098678</v>
      </c>
      <c r="DG154" s="83">
        <f t="shared" si="57"/>
        <v>2.3541935288115821</v>
      </c>
      <c r="DH154" s="83">
        <f t="shared" si="57"/>
        <v>3.6967396895341484</v>
      </c>
      <c r="DI154" s="83">
        <f t="shared" si="57"/>
        <v>3.1430294004437975</v>
      </c>
      <c r="DJ154" s="83">
        <f t="shared" si="57"/>
        <v>2.1962570227015377</v>
      </c>
      <c r="DK154" s="83">
        <f t="shared" si="57"/>
        <v>3.3240536101724119</v>
      </c>
      <c r="DL154" s="83">
        <f t="shared" si="57"/>
        <v>0.58797583017951949</v>
      </c>
      <c r="DM154" s="83">
        <f t="shared" si="57"/>
        <v>0.45243223546782435</v>
      </c>
      <c r="DN154" s="83">
        <f t="shared" si="57"/>
        <v>6.8339231347867129</v>
      </c>
      <c r="DO154" s="83"/>
      <c r="DP154" s="83">
        <f t="shared" ref="DP154:FD154" si="58">(DP157+(3*DP153))</f>
        <v>5.9054644804464207</v>
      </c>
      <c r="DQ154" s="83">
        <f t="shared" si="58"/>
        <v>2.1584185257890294</v>
      </c>
      <c r="DR154" s="83">
        <f t="shared" si="58"/>
        <v>3.57633748011569</v>
      </c>
      <c r="DS154" s="83">
        <f t="shared" si="58"/>
        <v>2.3103715914227383</v>
      </c>
      <c r="DT154" s="83">
        <f t="shared" si="58"/>
        <v>1.7643504880802234</v>
      </c>
      <c r="DU154" s="83">
        <f t="shared" si="58"/>
        <v>3.5806378638465377</v>
      </c>
      <c r="DV154" s="83">
        <f t="shared" si="58"/>
        <v>0.52438881527007741</v>
      </c>
      <c r="DW154" s="83">
        <f t="shared" si="58"/>
        <v>0.36752199287355253</v>
      </c>
      <c r="DX154" s="83">
        <f t="shared" si="58"/>
        <v>5.2270316411796287</v>
      </c>
      <c r="DY154" s="83">
        <f t="shared" si="58"/>
        <v>9.552786273818004</v>
      </c>
      <c r="DZ154" s="83">
        <f t="shared" si="58"/>
        <v>1.7744030209551043</v>
      </c>
      <c r="EA154" s="83">
        <f t="shared" si="58"/>
        <v>0.87914102079439305</v>
      </c>
      <c r="EB154" s="83">
        <f t="shared" si="58"/>
        <v>14.092968010359922</v>
      </c>
      <c r="EC154" s="83">
        <f t="shared" si="58"/>
        <v>4.1336274450802657</v>
      </c>
      <c r="ED154" s="83">
        <f t="shared" si="58"/>
        <v>1.4474376244720784</v>
      </c>
      <c r="EE154" s="83">
        <f t="shared" si="58"/>
        <v>4.9314522756816039</v>
      </c>
      <c r="EF154" s="83">
        <f t="shared" si="58"/>
        <v>4.0615999959370148</v>
      </c>
      <c r="EG154" s="83">
        <f t="shared" si="58"/>
        <v>3.9538241857373686</v>
      </c>
      <c r="EH154" s="83">
        <f t="shared" si="58"/>
        <v>3.9357962867914589</v>
      </c>
      <c r="EI154" s="83">
        <f t="shared" si="58"/>
        <v>3.8281763977933596</v>
      </c>
      <c r="EJ154" s="83">
        <f t="shared" si="58"/>
        <v>4.1006677321637488</v>
      </c>
      <c r="EK154" s="83">
        <f t="shared" si="58"/>
        <v>3.9518903147359064</v>
      </c>
      <c r="EL154" s="83">
        <f t="shared" si="58"/>
        <v>4.6546773641838062</v>
      </c>
      <c r="EM154" s="83">
        <f t="shared" si="58"/>
        <v>3.1009319561803927</v>
      </c>
      <c r="EN154" s="83">
        <f t="shared" si="58"/>
        <v>2.3248456731316582</v>
      </c>
      <c r="EO154" s="83">
        <f t="shared" si="58"/>
        <v>2.032138880045975</v>
      </c>
      <c r="EP154" s="83">
        <f t="shared" si="58"/>
        <v>2.3987174742355442</v>
      </c>
      <c r="EQ154" s="83">
        <f t="shared" si="58"/>
        <v>15.574612642808361</v>
      </c>
      <c r="ER154" s="83">
        <f t="shared" si="58"/>
        <v>4.0793685686433596</v>
      </c>
      <c r="ES154" s="83">
        <f t="shared" si="58"/>
        <v>2.7926542806087995</v>
      </c>
      <c r="ET154" s="83">
        <f t="shared" si="58"/>
        <v>3.4008873860771147</v>
      </c>
      <c r="EU154" s="83">
        <f t="shared" si="58"/>
        <v>3.9732750920930373</v>
      </c>
      <c r="EV154" s="83">
        <f t="shared" si="58"/>
        <v>3.7244911931958793</v>
      </c>
      <c r="EW154" s="83">
        <f t="shared" si="58"/>
        <v>3.5077746016722005</v>
      </c>
      <c r="EX154" s="83">
        <f t="shared" si="58"/>
        <v>2.2532189809795877</v>
      </c>
      <c r="EY154" s="83">
        <f t="shared" si="58"/>
        <v>3.483513500471898</v>
      </c>
      <c r="EZ154" s="83">
        <f t="shared" si="58"/>
        <v>2.207274869969738</v>
      </c>
      <c r="FA154" s="83">
        <f t="shared" si="58"/>
        <v>1.0486832980505139</v>
      </c>
      <c r="FB154" s="83">
        <f t="shared" si="58"/>
        <v>3.4991287902741712</v>
      </c>
      <c r="FC154" s="83">
        <f t="shared" si="58"/>
        <v>4.1307682818044222</v>
      </c>
      <c r="FD154" s="83">
        <f t="shared" si="58"/>
        <v>12.764105540533912</v>
      </c>
      <c r="FG154" s="88" t="s">
        <v>281</v>
      </c>
    </row>
    <row r="155" spans="1:163" x14ac:dyDescent="0.25">
      <c r="A155" s="87" t="s">
        <v>280</v>
      </c>
      <c r="B155" s="53"/>
      <c r="C155" s="53"/>
      <c r="D155" s="53"/>
      <c r="E155" s="83">
        <f>(E157+(2*E153))</f>
        <v>11784.996243158497</v>
      </c>
      <c r="F155" s="83"/>
      <c r="G155" s="83"/>
      <c r="H155" s="83"/>
      <c r="I155" s="83"/>
      <c r="J155" s="83">
        <f t="shared" ref="J155:V155" si="59">(J157+(2*J153))</f>
        <v>8.2906511798055611</v>
      </c>
      <c r="K155" s="83">
        <f t="shared" si="59"/>
        <v>9.8921491424055681</v>
      </c>
      <c r="L155" s="83">
        <f t="shared" si="59"/>
        <v>7.0858348822642814</v>
      </c>
      <c r="M155" s="83">
        <f t="shared" si="59"/>
        <v>6.5370961135385972</v>
      </c>
      <c r="N155" s="83">
        <f t="shared" si="59"/>
        <v>4.3337746625571816</v>
      </c>
      <c r="O155" s="83">
        <f t="shared" si="59"/>
        <v>8.2114892798696939</v>
      </c>
      <c r="P155" s="83">
        <f t="shared" si="59"/>
        <v>1.9763993031541884</v>
      </c>
      <c r="Q155" s="83">
        <f t="shared" si="59"/>
        <v>1.3255995926946964</v>
      </c>
      <c r="R155" s="83">
        <f t="shared" si="59"/>
        <v>32.584452290675436</v>
      </c>
      <c r="S155" s="83">
        <f t="shared" si="59"/>
        <v>121.73780721744097</v>
      </c>
      <c r="T155" s="83">
        <f t="shared" si="59"/>
        <v>78.327622242313012</v>
      </c>
      <c r="U155" s="83">
        <f t="shared" si="59"/>
        <v>2.4831704842690367</v>
      </c>
      <c r="V155" s="83">
        <f t="shared" si="59"/>
        <v>1.2997560219359099</v>
      </c>
      <c r="W155" s="83"/>
      <c r="X155" s="83"/>
      <c r="Y155" s="83"/>
      <c r="Z155" s="83"/>
      <c r="AA155" s="83"/>
      <c r="AB155" s="83">
        <f t="shared" ref="AB155:AL155" si="60">(AB157+(2*AB153))</f>
        <v>6.7816243938255276</v>
      </c>
      <c r="AC155" s="83">
        <f t="shared" si="60"/>
        <v>7.4018461293620046</v>
      </c>
      <c r="AD155" s="83">
        <f t="shared" si="60"/>
        <v>4.3963024921014355</v>
      </c>
      <c r="AE155" s="83">
        <f t="shared" si="60"/>
        <v>4.1280535268202403</v>
      </c>
      <c r="AF155" s="83">
        <f t="shared" si="60"/>
        <v>4.3220781952613629</v>
      </c>
      <c r="AG155" s="83">
        <f t="shared" si="60"/>
        <v>8.1363342165055581</v>
      </c>
      <c r="AH155" s="83">
        <f t="shared" si="60"/>
        <v>1.1090616743596553</v>
      </c>
      <c r="AI155" s="83">
        <f t="shared" si="60"/>
        <v>0.90832721557660157</v>
      </c>
      <c r="AJ155" s="83">
        <f t="shared" si="60"/>
        <v>28.492388131947337</v>
      </c>
      <c r="AK155" s="83">
        <f t="shared" si="60"/>
        <v>114.94739652762705</v>
      </c>
      <c r="AL155" s="83">
        <f t="shared" si="60"/>
        <v>72.01032936535762</v>
      </c>
      <c r="AM155" s="83"/>
      <c r="AN155" s="83">
        <f t="shared" ref="AN155:AV155" si="61">(AN157+(2*AN153))</f>
        <v>6.0336199888478506</v>
      </c>
      <c r="AO155" s="83">
        <f t="shared" si="61"/>
        <v>2.4510833828216234</v>
      </c>
      <c r="AP155" s="83">
        <f t="shared" si="61"/>
        <v>2.879097855697379</v>
      </c>
      <c r="AQ155" s="83">
        <f t="shared" si="61"/>
        <v>1.6238677361214737</v>
      </c>
      <c r="AR155" s="83">
        <f t="shared" si="61"/>
        <v>1.7324055401094927</v>
      </c>
      <c r="AS155" s="83">
        <f t="shared" si="61"/>
        <v>2.3038027392980478</v>
      </c>
      <c r="AT155" s="83">
        <f t="shared" si="61"/>
        <v>0.55034372235993001</v>
      </c>
      <c r="AU155" s="83">
        <f t="shared" si="61"/>
        <v>0.24967666657770632</v>
      </c>
      <c r="AV155" s="83">
        <f t="shared" si="61"/>
        <v>4.2151543118092976</v>
      </c>
      <c r="AW155" s="83"/>
      <c r="AX155" s="83">
        <f t="shared" ref="AX155:BF155" si="62">(AX157+(2*AX153))</f>
        <v>5.8701328527464032</v>
      </c>
      <c r="AY155" s="83">
        <f t="shared" si="62"/>
        <v>2.3852995446677898</v>
      </c>
      <c r="AZ155" s="83">
        <f t="shared" si="62"/>
        <v>3.2230325313195753</v>
      </c>
      <c r="BA155" s="83">
        <f t="shared" si="62"/>
        <v>2.3260279051280599</v>
      </c>
      <c r="BB155" s="83">
        <f t="shared" si="62"/>
        <v>1.693476281759831</v>
      </c>
      <c r="BC155" s="83">
        <f t="shared" si="62"/>
        <v>2.5979763486607403</v>
      </c>
      <c r="BD155" s="83">
        <f t="shared" si="62"/>
        <v>0.30861449730488988</v>
      </c>
      <c r="BE155" s="83">
        <f t="shared" si="62"/>
        <v>0.35891655283739426</v>
      </c>
      <c r="BF155" s="83">
        <f t="shared" si="62"/>
        <v>5.4361106397037009</v>
      </c>
      <c r="BG155" s="83"/>
      <c r="BH155" s="83">
        <f t="shared" ref="BH155:BP155" si="63">(BH157+(2*BH153))</f>
        <v>5.6936682680977428</v>
      </c>
      <c r="BI155" s="83">
        <f t="shared" si="63"/>
        <v>2.3782501534462059</v>
      </c>
      <c r="BJ155" s="83">
        <f t="shared" si="63"/>
        <v>3.2524097635048208</v>
      </c>
      <c r="BK155" s="83">
        <f t="shared" si="63"/>
        <v>2.5816597211174912</v>
      </c>
      <c r="BL155" s="83">
        <f t="shared" si="63"/>
        <v>1.7574799918397321</v>
      </c>
      <c r="BM155" s="83">
        <f t="shared" si="63"/>
        <v>2.580877721996869</v>
      </c>
      <c r="BN155" s="83">
        <f t="shared" si="63"/>
        <v>0.60506553462875778</v>
      </c>
      <c r="BO155" s="83">
        <f t="shared" si="63"/>
        <v>0.17424140899442517</v>
      </c>
      <c r="BP155" s="83">
        <f t="shared" si="63"/>
        <v>5.9346472382163356</v>
      </c>
      <c r="BQ155" s="83"/>
      <c r="BR155" s="83">
        <f t="shared" ref="BR155:BZ155" si="64">(BR157+(2*BR153))</f>
        <v>5.6822316816626737</v>
      </c>
      <c r="BS155" s="83">
        <f t="shared" si="64"/>
        <v>2.1289831230843088</v>
      </c>
      <c r="BT155" s="83">
        <f t="shared" si="64"/>
        <v>2.9412714152837132</v>
      </c>
      <c r="BU155" s="83">
        <f t="shared" si="64"/>
        <v>3.4335888679959483</v>
      </c>
      <c r="BV155" s="83">
        <f t="shared" si="64"/>
        <v>2.2197723983328848</v>
      </c>
      <c r="BW155" s="83">
        <f t="shared" si="64"/>
        <v>2.5015376277500021</v>
      </c>
      <c r="BX155" s="83">
        <f t="shared" si="64"/>
        <v>0.48199929000517777</v>
      </c>
      <c r="BY155" s="83">
        <f t="shared" si="64"/>
        <v>0.55034372235993001</v>
      </c>
      <c r="BZ155" s="83">
        <f t="shared" si="64"/>
        <v>6.2235651736552766</v>
      </c>
      <c r="CA155" s="83"/>
      <c r="CB155" s="83">
        <f t="shared" ref="CB155:CJ155" si="65">(CB157+(2*CB153))</f>
        <v>5.4796533826738383</v>
      </c>
      <c r="CC155" s="83">
        <f t="shared" si="65"/>
        <v>2.2690060462514641</v>
      </c>
      <c r="CD155" s="83">
        <f t="shared" si="65"/>
        <v>3.0992410134145012</v>
      </c>
      <c r="CE155" s="83">
        <f t="shared" si="65"/>
        <v>2.2482167247365941</v>
      </c>
      <c r="CF155" s="83">
        <f t="shared" si="65"/>
        <v>1.648363996273509</v>
      </c>
      <c r="CG155" s="83">
        <f t="shared" si="65"/>
        <v>2.4763811418277313</v>
      </c>
      <c r="CH155" s="83">
        <f t="shared" si="65"/>
        <v>0.58178115139533693</v>
      </c>
      <c r="CI155" s="83">
        <f t="shared" si="65"/>
        <v>0.48199929000517777</v>
      </c>
      <c r="CJ155" s="83">
        <f t="shared" si="65"/>
        <v>5.6330970543856953</v>
      </c>
      <c r="CK155" s="83"/>
      <c r="CL155" s="83">
        <f t="shared" ref="CL155:CT155" si="66">(CL157+(2*CL153))</f>
        <v>5.4107040169856973</v>
      </c>
      <c r="CM155" s="83">
        <f t="shared" si="66"/>
        <v>1.7424119945630823</v>
      </c>
      <c r="CN155" s="83">
        <f t="shared" si="66"/>
        <v>2.8675856940302094</v>
      </c>
      <c r="CO155" s="83">
        <f t="shared" si="66"/>
        <v>2.0530357618783186</v>
      </c>
      <c r="CP155" s="83">
        <f t="shared" si="66"/>
        <v>1.7016824741947729</v>
      </c>
      <c r="CQ155" s="83">
        <f t="shared" si="66"/>
        <v>2.5377843665585385</v>
      </c>
      <c r="CR155" s="83">
        <f t="shared" si="66"/>
        <v>0.44435409618546073</v>
      </c>
      <c r="CS155" s="83">
        <f t="shared" si="66"/>
        <v>0.30861449730488988</v>
      </c>
      <c r="CT155" s="83">
        <f t="shared" si="66"/>
        <v>4.7822347003543548</v>
      </c>
      <c r="CU155" s="83"/>
      <c r="CV155" s="83">
        <f t="shared" ref="CV155:DD155" si="67">(CV157+(2*CV153))</f>
        <v>5.3238562265688305</v>
      </c>
      <c r="CW155" s="83">
        <f t="shared" si="67"/>
        <v>1.8143508332132634</v>
      </c>
      <c r="CX155" s="83">
        <f t="shared" si="67"/>
        <v>2.666161278122877</v>
      </c>
      <c r="CY155" s="83">
        <f t="shared" si="67"/>
        <v>2.4226859126700084</v>
      </c>
      <c r="CZ155" s="83">
        <f t="shared" si="67"/>
        <v>1.6924199483664077</v>
      </c>
      <c r="DA155" s="83">
        <f t="shared" si="67"/>
        <v>2.1853906487530415</v>
      </c>
      <c r="DB155" s="83">
        <f t="shared" si="67"/>
        <v>0.44435409618546073</v>
      </c>
      <c r="DC155" s="83">
        <f t="shared" si="67"/>
        <v>0.47343789134222569</v>
      </c>
      <c r="DD155" s="83">
        <f t="shared" si="67"/>
        <v>4.7585267680168091</v>
      </c>
      <c r="DE155" s="83"/>
      <c r="DF155" s="83">
        <f t="shared" ref="DF155:DN155" si="68">(DF157+(2*DF153))</f>
        <v>5.2873410625371147</v>
      </c>
      <c r="DG155" s="83">
        <f t="shared" si="68"/>
        <v>1.7186465017252039</v>
      </c>
      <c r="DH155" s="83">
        <f t="shared" si="68"/>
        <v>2.7791784410414135</v>
      </c>
      <c r="DI155" s="83">
        <f t="shared" si="68"/>
        <v>2.2725091107853759</v>
      </c>
      <c r="DJ155" s="83">
        <f t="shared" si="68"/>
        <v>1.5783904626868062</v>
      </c>
      <c r="DK155" s="83">
        <f t="shared" si="68"/>
        <v>2.4934250175042187</v>
      </c>
      <c r="DL155" s="83">
        <f t="shared" si="68"/>
        <v>0.40363889844135797</v>
      </c>
      <c r="DM155" s="83">
        <f t="shared" si="68"/>
        <v>0.30861449730488988</v>
      </c>
      <c r="DN155" s="83">
        <f t="shared" si="68"/>
        <v>5.0664382670139858</v>
      </c>
      <c r="DO155" s="83"/>
      <c r="DP155" s="83">
        <f t="shared" ref="DP155:FD155" si="69">(DP157+(2*DP153))</f>
        <v>5.1211255044467983</v>
      </c>
      <c r="DQ155" s="83">
        <f t="shared" si="69"/>
        <v>1.5741438190574883</v>
      </c>
      <c r="DR155" s="83">
        <f t="shared" si="69"/>
        <v>2.6825932851120915</v>
      </c>
      <c r="DS155" s="83">
        <f t="shared" si="69"/>
        <v>1.6451428325102637</v>
      </c>
      <c r="DT155" s="83">
        <f t="shared" si="69"/>
        <v>1.2578187403052306</v>
      </c>
      <c r="DU155" s="83">
        <f t="shared" si="69"/>
        <v>2.6807982029373187</v>
      </c>
      <c r="DV155" s="83">
        <f t="shared" si="69"/>
        <v>0.35891655283739426</v>
      </c>
      <c r="DW155" s="83">
        <f t="shared" si="69"/>
        <v>0.24967666657770632</v>
      </c>
      <c r="DX155" s="83">
        <f t="shared" si="69"/>
        <v>3.8739651500638086</v>
      </c>
      <c r="DY155" s="83">
        <f t="shared" si="69"/>
        <v>7.1214379354590891</v>
      </c>
      <c r="DZ155" s="83">
        <f t="shared" si="69"/>
        <v>1.2551964195644749</v>
      </c>
      <c r="EA155" s="83">
        <f t="shared" si="69"/>
        <v>0.61173503950395447</v>
      </c>
      <c r="EB155" s="83">
        <f t="shared" si="69"/>
        <v>11.556928168522777</v>
      </c>
      <c r="EC155" s="83">
        <f t="shared" si="69"/>
        <v>3.0331409074427875</v>
      </c>
      <c r="ED155" s="83">
        <f t="shared" si="69"/>
        <v>1.0255644769207795</v>
      </c>
      <c r="EE155" s="83">
        <f t="shared" si="69"/>
        <v>3.5230660858856377</v>
      </c>
      <c r="EF155" s="83">
        <f t="shared" si="69"/>
        <v>2.8755654984568446</v>
      </c>
      <c r="EG155" s="83">
        <f t="shared" si="69"/>
        <v>2.8410109956197842</v>
      </c>
      <c r="EH155" s="83">
        <f t="shared" si="69"/>
        <v>2.8126753800054951</v>
      </c>
      <c r="EI155" s="83">
        <f t="shared" si="69"/>
        <v>2.752583798995107</v>
      </c>
      <c r="EJ155" s="83">
        <f t="shared" si="69"/>
        <v>2.9575547118853893</v>
      </c>
      <c r="EK155" s="83">
        <f t="shared" si="69"/>
        <v>2.8435137309506979</v>
      </c>
      <c r="EL155" s="83">
        <f t="shared" si="69"/>
        <v>3.342248677571813</v>
      </c>
      <c r="EM155" s="83">
        <f t="shared" si="69"/>
        <v>2.1944357371099525</v>
      </c>
      <c r="EN155" s="83">
        <f t="shared" si="69"/>
        <v>1.6498971154211057</v>
      </c>
      <c r="EO155" s="83">
        <f t="shared" si="69"/>
        <v>1.4976163962211262</v>
      </c>
      <c r="EP155" s="83">
        <f t="shared" si="69"/>
        <v>1.8213672050459184</v>
      </c>
      <c r="EQ155" s="83">
        <f t="shared" si="69"/>
        <v>12.147643859774337</v>
      </c>
      <c r="ER155" s="83">
        <f t="shared" si="69"/>
        <v>2.8874112135944081</v>
      </c>
      <c r="ES155" s="83">
        <f t="shared" si="69"/>
        <v>1.9829816416179877</v>
      </c>
      <c r="ET155" s="83">
        <f t="shared" si="69"/>
        <v>2.430428420554906</v>
      </c>
      <c r="EU155" s="83">
        <f t="shared" si="69"/>
        <v>2.8236752362205331</v>
      </c>
      <c r="EV155" s="83">
        <f t="shared" si="69"/>
        <v>2.6648123106154347</v>
      </c>
      <c r="EW155" s="83">
        <f t="shared" si="69"/>
        <v>2.5016865642849635</v>
      </c>
      <c r="EX155" s="83">
        <f t="shared" si="69"/>
        <v>1.6077797901366264</v>
      </c>
      <c r="EY155" s="83">
        <f t="shared" si="69"/>
        <v>2.4721007877542123</v>
      </c>
      <c r="EZ155" s="83">
        <f t="shared" si="69"/>
        <v>1.5629620077084387</v>
      </c>
      <c r="FA155" s="83">
        <f t="shared" si="69"/>
        <v>0.73245553203367586</v>
      </c>
      <c r="FB155" s="83">
        <f t="shared" si="69"/>
        <v>2.5232287173256376</v>
      </c>
      <c r="FC155" s="83">
        <f t="shared" si="69"/>
        <v>2.9760677434251699</v>
      </c>
      <c r="FD155" s="83">
        <f t="shared" si="69"/>
        <v>9.8194270037125833</v>
      </c>
      <c r="FG155" s="88" t="s">
        <v>280</v>
      </c>
    </row>
    <row r="156" spans="1:163" x14ac:dyDescent="0.25">
      <c r="A156" s="87" t="s">
        <v>279</v>
      </c>
      <c r="B156" s="53"/>
      <c r="C156" s="53"/>
      <c r="D156" s="53"/>
      <c r="E156" s="83">
        <f>(E157+E153)</f>
        <v>9185.7498946288943</v>
      </c>
      <c r="F156" s="83"/>
      <c r="G156" s="83"/>
      <c r="H156" s="83"/>
      <c r="I156" s="83"/>
      <c r="J156" s="83">
        <f t="shared" ref="J156:V156" si="70">(J157+J153)</f>
        <v>6.7968407414179328</v>
      </c>
      <c r="K156" s="83">
        <f t="shared" si="70"/>
        <v>7.6208997460279591</v>
      </c>
      <c r="L156" s="83">
        <f t="shared" si="70"/>
        <v>4.8715887698034699</v>
      </c>
      <c r="M156" s="83">
        <f t="shared" si="70"/>
        <v>4.4643522525734944</v>
      </c>
      <c r="N156" s="83">
        <f t="shared" si="70"/>
        <v>3.0724817368729962</v>
      </c>
      <c r="O156" s="83">
        <f t="shared" si="70"/>
        <v>6.0637865979768053</v>
      </c>
      <c r="P156" s="83">
        <f t="shared" si="70"/>
        <v>1.2364513998288424</v>
      </c>
      <c r="Q156" s="83">
        <f t="shared" si="70"/>
        <v>0.78867392222147403</v>
      </c>
      <c r="R156" s="83">
        <f t="shared" si="70"/>
        <v>27.683834536946108</v>
      </c>
      <c r="S156" s="83">
        <f t="shared" si="70"/>
        <v>103.72904346886034</v>
      </c>
      <c r="T156" s="83">
        <f t="shared" si="70"/>
        <v>65.859615316960699</v>
      </c>
      <c r="U156" s="83">
        <f t="shared" si="70"/>
        <v>1.5492775498268263</v>
      </c>
      <c r="V156" s="83">
        <f t="shared" si="70"/>
        <v>0.72680108789103182</v>
      </c>
      <c r="W156" s="83"/>
      <c r="X156" s="83"/>
      <c r="Y156" s="83"/>
      <c r="Z156" s="83"/>
      <c r="AA156" s="83"/>
      <c r="AB156" s="83">
        <f t="shared" ref="AB156:AL156" si="71">(AB157+AB153)</f>
        <v>5.17635998246055</v>
      </c>
      <c r="AC156" s="83">
        <f t="shared" si="71"/>
        <v>5.2778461416040789</v>
      </c>
      <c r="AD156" s="83">
        <f t="shared" si="71"/>
        <v>2.834514882414354</v>
      </c>
      <c r="AE156" s="83">
        <f t="shared" si="71"/>
        <v>2.6304603298436864</v>
      </c>
      <c r="AF156" s="83">
        <f t="shared" si="71"/>
        <v>2.8113887479803319</v>
      </c>
      <c r="AG156" s="83">
        <f t="shared" si="71"/>
        <v>5.7849503250359966</v>
      </c>
      <c r="AH156" s="83">
        <f t="shared" si="71"/>
        <v>0.66991545256444307</v>
      </c>
      <c r="AI156" s="83">
        <f t="shared" si="71"/>
        <v>0.5171006707253637</v>
      </c>
      <c r="AJ156" s="83">
        <f t="shared" si="71"/>
        <v>21.690250010029615</v>
      </c>
      <c r="AK156" s="83">
        <f t="shared" si="71"/>
        <v>86.903768193883451</v>
      </c>
      <c r="AL156" s="83">
        <f t="shared" si="71"/>
        <v>54.753416430930557</v>
      </c>
      <c r="AM156" s="83"/>
      <c r="AN156" s="83">
        <f t="shared" ref="AN156:AV156" si="72">(AN157+AN153)</f>
        <v>5.1321946098085407</v>
      </c>
      <c r="AO156" s="83">
        <f t="shared" si="72"/>
        <v>1.5996675655366859</v>
      </c>
      <c r="AP156" s="83">
        <f t="shared" si="72"/>
        <v>1.9884999767997384</v>
      </c>
      <c r="AQ156" s="83">
        <f t="shared" si="72"/>
        <v>0.97626953239640113</v>
      </c>
      <c r="AR156" s="83">
        <f t="shared" si="72"/>
        <v>1.0864824903344665</v>
      </c>
      <c r="AS156" s="83">
        <f t="shared" si="72"/>
        <v>1.5400132577609118</v>
      </c>
      <c r="AT156" s="83">
        <f t="shared" si="72"/>
        <v>0.30664039264849646</v>
      </c>
      <c r="AU156" s="83">
        <f t="shared" si="72"/>
        <v>0.13183134028186017</v>
      </c>
      <c r="AV156" s="83">
        <f t="shared" si="72"/>
        <v>2.8523324006598934</v>
      </c>
      <c r="AW156" s="83"/>
      <c r="AX156" s="83">
        <f t="shared" ref="AX156:BF156" si="73">(AX157+AX153)</f>
        <v>4.9735279648347399</v>
      </c>
      <c r="AY156" s="83">
        <f t="shared" si="73"/>
        <v>1.5492931289772516</v>
      </c>
      <c r="AZ156" s="83">
        <f t="shared" si="73"/>
        <v>2.2303973845409066</v>
      </c>
      <c r="BA156" s="83">
        <f t="shared" si="73"/>
        <v>1.4077691973192747</v>
      </c>
      <c r="BB156" s="83">
        <f t="shared" si="73"/>
        <v>1.0600248541666288</v>
      </c>
      <c r="BC156" s="83">
        <f t="shared" si="73"/>
        <v>1.6975895729317689</v>
      </c>
      <c r="BD156" s="83">
        <f t="shared" si="73"/>
        <v>0.16479675914195543</v>
      </c>
      <c r="BE156" s="83">
        <f t="shared" si="73"/>
        <v>0.19344429040471112</v>
      </c>
      <c r="BF156" s="83">
        <f t="shared" si="73"/>
        <v>3.63763573943227</v>
      </c>
      <c r="BG156" s="83"/>
      <c r="BH156" s="83">
        <f t="shared" ref="BH156:BP156" si="74">(BH157+BH153)</f>
        <v>4.8503306375453752</v>
      </c>
      <c r="BI156" s="83">
        <f t="shared" si="74"/>
        <v>1.5387754263734528</v>
      </c>
      <c r="BJ156" s="83">
        <f t="shared" si="74"/>
        <v>2.206624462171991</v>
      </c>
      <c r="BK156" s="83">
        <f t="shared" si="74"/>
        <v>1.6264941962230814</v>
      </c>
      <c r="BL156" s="83">
        <f t="shared" si="74"/>
        <v>1.1199987371786073</v>
      </c>
      <c r="BM156" s="83">
        <f t="shared" si="74"/>
        <v>1.7764528470124206</v>
      </c>
      <c r="BN156" s="83">
        <f t="shared" si="74"/>
        <v>0.33400129878291041</v>
      </c>
      <c r="BO156" s="83">
        <f t="shared" si="74"/>
        <v>9.0617207993716073E-2</v>
      </c>
      <c r="BP156" s="83">
        <f t="shared" si="74"/>
        <v>3.9323585841431328</v>
      </c>
      <c r="BQ156" s="83"/>
      <c r="BR156" s="83">
        <f t="shared" ref="BR156:BZ156" si="75">(BR157+BR153)</f>
        <v>4.6767801764956722</v>
      </c>
      <c r="BS156" s="83">
        <f t="shared" si="75"/>
        <v>1.3826733797239728</v>
      </c>
      <c r="BT156" s="83">
        <f t="shared" si="75"/>
        <v>2.0195867565929055</v>
      </c>
      <c r="BU156" s="83">
        <f t="shared" si="75"/>
        <v>2.1748363920399321</v>
      </c>
      <c r="BV156" s="83">
        <f t="shared" si="75"/>
        <v>1.4420540313342747</v>
      </c>
      <c r="BW156" s="83">
        <f t="shared" si="75"/>
        <v>1.6493702124763996</v>
      </c>
      <c r="BX156" s="83">
        <f t="shared" si="75"/>
        <v>0.26547516947811334</v>
      </c>
      <c r="BY156" s="83">
        <f t="shared" si="75"/>
        <v>0.30664039264849646</v>
      </c>
      <c r="BZ156" s="83">
        <f t="shared" si="75"/>
        <v>4.1292651043101554</v>
      </c>
      <c r="CA156" s="83"/>
      <c r="CB156" s="83">
        <f t="shared" ref="CB156:CJ156" si="76">(CB157+CB153)</f>
        <v>4.6664001179103458</v>
      </c>
      <c r="CC156" s="83">
        <f t="shared" si="76"/>
        <v>1.4631743517970608</v>
      </c>
      <c r="CD156" s="83">
        <f t="shared" si="76"/>
        <v>2.1055645626513066</v>
      </c>
      <c r="CE156" s="83">
        <f t="shared" si="76"/>
        <v>1.4038286420885768</v>
      </c>
      <c r="CF156" s="83">
        <f t="shared" si="76"/>
        <v>1.0199861939409502</v>
      </c>
      <c r="CG156" s="83">
        <f t="shared" si="76"/>
        <v>1.6542744869977817</v>
      </c>
      <c r="CH156" s="83">
        <f t="shared" si="76"/>
        <v>0.32585561066270347</v>
      </c>
      <c r="CI156" s="83">
        <f t="shared" si="76"/>
        <v>0.26547516947811334</v>
      </c>
      <c r="CJ156" s="83">
        <f t="shared" si="76"/>
        <v>3.6976674083117285</v>
      </c>
      <c r="CK156" s="83"/>
      <c r="CL156" s="83">
        <f t="shared" ref="CL156:CT156" si="77">(CL157+CL153)</f>
        <v>4.593463896604737</v>
      </c>
      <c r="CM156" s="83">
        <f t="shared" si="77"/>
        <v>1.1054717315472753</v>
      </c>
      <c r="CN156" s="83">
        <f t="shared" si="77"/>
        <v>1.9407858540081115</v>
      </c>
      <c r="CO156" s="83">
        <f t="shared" si="77"/>
        <v>1.2852591396804181</v>
      </c>
      <c r="CP156" s="83">
        <f t="shared" si="77"/>
        <v>1.0501419363980857</v>
      </c>
      <c r="CQ156" s="83">
        <f t="shared" si="77"/>
        <v>1.6500110643981505</v>
      </c>
      <c r="CR156" s="83">
        <f t="shared" si="77"/>
        <v>0.24315606907175133</v>
      </c>
      <c r="CS156" s="83">
        <f t="shared" si="77"/>
        <v>0.16479675914195543</v>
      </c>
      <c r="CT156" s="83">
        <f t="shared" si="77"/>
        <v>3.1743341333939608</v>
      </c>
      <c r="CU156" s="83"/>
      <c r="CV156" s="83">
        <f t="shared" ref="CV156:DD156" si="78">(CV157+CV153)</f>
        <v>4.4801099314662336</v>
      </c>
      <c r="CW156" s="83">
        <f t="shared" si="78"/>
        <v>1.1659166753478905</v>
      </c>
      <c r="CX156" s="83">
        <f t="shared" si="78"/>
        <v>1.8190946250754245</v>
      </c>
      <c r="CY156" s="83">
        <f t="shared" si="78"/>
        <v>1.4910632360552838</v>
      </c>
      <c r="CZ156" s="83">
        <f t="shared" si="78"/>
        <v>1.0420141699873997</v>
      </c>
      <c r="DA156" s="83">
        <f t="shared" si="78"/>
        <v>1.4458421775233739</v>
      </c>
      <c r="DB156" s="83">
        <f t="shared" si="78"/>
        <v>0.24315606907175133</v>
      </c>
      <c r="DC156" s="83">
        <f t="shared" si="78"/>
        <v>0.25420146315363035</v>
      </c>
      <c r="DD156" s="83">
        <f t="shared" si="78"/>
        <v>3.1275151322601529</v>
      </c>
      <c r="DE156" s="83"/>
      <c r="DF156" s="83">
        <f t="shared" ref="DF156:DN156" si="79">(DF157+DF153)</f>
        <v>4.4478663354643615</v>
      </c>
      <c r="DG156" s="83">
        <f t="shared" si="79"/>
        <v>1.0830994746388258</v>
      </c>
      <c r="DH156" s="83">
        <f t="shared" si="79"/>
        <v>1.8616171925486789</v>
      </c>
      <c r="DI156" s="83">
        <f t="shared" si="79"/>
        <v>1.4019888211269536</v>
      </c>
      <c r="DJ156" s="83">
        <f t="shared" si="79"/>
        <v>0.96052390267207444</v>
      </c>
      <c r="DK156" s="83">
        <f t="shared" si="79"/>
        <v>1.6627964248360256</v>
      </c>
      <c r="DL156" s="83">
        <f t="shared" si="79"/>
        <v>0.21930196670319649</v>
      </c>
      <c r="DM156" s="83">
        <f t="shared" si="79"/>
        <v>0.16479675914195543</v>
      </c>
      <c r="DN156" s="83">
        <f t="shared" si="79"/>
        <v>3.2989533992412587</v>
      </c>
      <c r="DO156" s="83"/>
      <c r="DP156" s="83">
        <f t="shared" ref="DP156:FD156" si="80">(DP157+DP153)</f>
        <v>4.3367865284471749</v>
      </c>
      <c r="DQ156" s="83">
        <f t="shared" si="80"/>
        <v>0.98986911232594688</v>
      </c>
      <c r="DR156" s="83">
        <f t="shared" si="80"/>
        <v>1.7888490901084935</v>
      </c>
      <c r="DS156" s="83">
        <f t="shared" si="80"/>
        <v>0.97991407359778926</v>
      </c>
      <c r="DT156" s="83">
        <f t="shared" si="80"/>
        <v>0.75128699253023767</v>
      </c>
      <c r="DU156" s="83">
        <f t="shared" si="80"/>
        <v>1.7809585420281</v>
      </c>
      <c r="DV156" s="83">
        <f t="shared" si="80"/>
        <v>0.19344429040471112</v>
      </c>
      <c r="DW156" s="83">
        <f t="shared" si="80"/>
        <v>0.13183134028186017</v>
      </c>
      <c r="DX156" s="83">
        <f t="shared" si="80"/>
        <v>2.5208986589479885</v>
      </c>
      <c r="DY156" s="83">
        <f t="shared" si="80"/>
        <v>4.6900895971001741</v>
      </c>
      <c r="DZ156" s="83">
        <f t="shared" si="80"/>
        <v>0.7359898181738459</v>
      </c>
      <c r="EA156" s="83">
        <f t="shared" si="80"/>
        <v>0.34432905821351567</v>
      </c>
      <c r="EB156" s="83">
        <f t="shared" si="80"/>
        <v>9.0208883266856326</v>
      </c>
      <c r="EC156" s="83">
        <f t="shared" si="80"/>
        <v>1.9326543698053098</v>
      </c>
      <c r="ED156" s="83">
        <f t="shared" si="80"/>
        <v>0.60369132936948067</v>
      </c>
      <c r="EE156" s="83">
        <f t="shared" si="80"/>
        <v>2.114679896089672</v>
      </c>
      <c r="EF156" s="83">
        <f t="shared" si="80"/>
        <v>1.689531000976674</v>
      </c>
      <c r="EG156" s="83">
        <f t="shared" si="80"/>
        <v>1.7281978055021998</v>
      </c>
      <c r="EH156" s="83">
        <f t="shared" si="80"/>
        <v>1.6895544732195307</v>
      </c>
      <c r="EI156" s="83">
        <f t="shared" si="80"/>
        <v>1.6769912001968543</v>
      </c>
      <c r="EJ156" s="83">
        <f t="shared" si="80"/>
        <v>1.8144416916070303</v>
      </c>
      <c r="EK156" s="83">
        <f t="shared" si="80"/>
        <v>1.7351371471654899</v>
      </c>
      <c r="EL156" s="83">
        <f t="shared" si="80"/>
        <v>2.0298199909598194</v>
      </c>
      <c r="EM156" s="83">
        <f t="shared" si="80"/>
        <v>1.2879395180395123</v>
      </c>
      <c r="EN156" s="83">
        <f t="shared" si="80"/>
        <v>0.97494855771055278</v>
      </c>
      <c r="EO156" s="83">
        <f t="shared" si="80"/>
        <v>0.9630939123962774</v>
      </c>
      <c r="EP156" s="83">
        <f t="shared" si="80"/>
        <v>1.2440169358562925</v>
      </c>
      <c r="EQ156" s="83">
        <f t="shared" si="80"/>
        <v>8.7206750767403154</v>
      </c>
      <c r="ER156" s="83">
        <f t="shared" si="80"/>
        <v>1.6954538585454557</v>
      </c>
      <c r="ES156" s="83">
        <f t="shared" si="80"/>
        <v>1.1733090026271755</v>
      </c>
      <c r="ET156" s="83">
        <f t="shared" si="80"/>
        <v>1.4599694550326978</v>
      </c>
      <c r="EU156" s="83">
        <f t="shared" si="80"/>
        <v>1.6740753803480288</v>
      </c>
      <c r="EV156" s="83">
        <f t="shared" si="80"/>
        <v>1.60513342803499</v>
      </c>
      <c r="EW156" s="83">
        <f t="shared" si="80"/>
        <v>1.4955985268977265</v>
      </c>
      <c r="EX156" s="83">
        <f t="shared" si="80"/>
        <v>0.96234059929366533</v>
      </c>
      <c r="EY156" s="83">
        <f t="shared" si="80"/>
        <v>1.4606880750365263</v>
      </c>
      <c r="EZ156" s="83">
        <f t="shared" si="80"/>
        <v>0.91864914544713971</v>
      </c>
      <c r="FA156" s="83">
        <f t="shared" si="80"/>
        <v>0.41622776601683797</v>
      </c>
      <c r="FB156" s="83">
        <f t="shared" si="80"/>
        <v>1.5473286443771046</v>
      </c>
      <c r="FC156" s="83">
        <f t="shared" si="80"/>
        <v>1.8213672050459184</v>
      </c>
      <c r="FD156" s="83">
        <f t="shared" si="80"/>
        <v>6.8747484668912566</v>
      </c>
      <c r="FG156" s="88" t="s">
        <v>279</v>
      </c>
    </row>
    <row r="157" spans="1:163" x14ac:dyDescent="0.25">
      <c r="A157" s="82" t="s">
        <v>233</v>
      </c>
      <c r="B157" s="90"/>
      <c r="C157" s="90"/>
      <c r="D157" s="90"/>
      <c r="E157" s="41">
        <f>AVERAGE(Table122[Att])</f>
        <v>6586.5035460992904</v>
      </c>
      <c r="F157" s="90"/>
      <c r="G157" s="90"/>
      <c r="H157" s="90"/>
      <c r="I157" s="90"/>
      <c r="J157" s="41">
        <f>AVERAGE(Table122[S-IP])</f>
        <v>5.3030303030303028</v>
      </c>
      <c r="K157" s="41">
        <f>AVERAGE(Table122[S-H])</f>
        <v>5.34965034965035</v>
      </c>
      <c r="L157" s="41">
        <f>AVERAGE(Table122[S-R])</f>
        <v>2.6573426573426575</v>
      </c>
      <c r="M157" s="41">
        <f>AVERAGE(Table122[S-ER])</f>
        <v>2.3916083916083917</v>
      </c>
      <c r="N157" s="41">
        <f>AVERAGE(Table122[S-BB])</f>
        <v>1.8111888111888113</v>
      </c>
      <c r="O157" s="41">
        <f>AVERAGE(Table122[S-SO])</f>
        <v>3.9160839160839163</v>
      </c>
      <c r="P157" s="41">
        <f>AVERAGE(Table122[S-HR])</f>
        <v>0.49650349650349651</v>
      </c>
      <c r="Q157" s="41">
        <f>AVERAGE(Table122[S-HBP])</f>
        <v>0.25174825174825177</v>
      </c>
      <c r="R157" s="41">
        <f>AVERAGE(Table122[S-BF])</f>
        <v>22.783216783216783</v>
      </c>
      <c r="S157" s="41">
        <f>AVERAGE(Table122[S-Pit])</f>
        <v>85.72027972027972</v>
      </c>
      <c r="T157" s="41">
        <f>AVERAGE(Table122[S-Str])</f>
        <v>53.391608391608393</v>
      </c>
      <c r="U157" s="41">
        <f>AVERAGE(Table122[IRL])</f>
        <v>0.61538461538461542</v>
      </c>
      <c r="V157" s="41">
        <f>AVERAGE(Table122[IRS])</f>
        <v>0.15384615384615385</v>
      </c>
      <c r="W157" s="90"/>
      <c r="X157" s="90"/>
      <c r="Y157" s="90"/>
      <c r="Z157" s="90"/>
      <c r="AA157" s="90"/>
      <c r="AB157" s="41">
        <f>AVERAGE(Table122[B-IP])</f>
        <v>3.5710955710955714</v>
      </c>
      <c r="AC157" s="41">
        <f>AVERAGE(Table122[B-H])</f>
        <v>3.1538461538461537</v>
      </c>
      <c r="AD157" s="41">
        <f>AVERAGE(Table122[B-R])</f>
        <v>1.2727272727272727</v>
      </c>
      <c r="AE157" s="41">
        <f>AVERAGE(Table122[B-ER])</f>
        <v>1.1328671328671329</v>
      </c>
      <c r="AF157" s="41">
        <f>AVERAGE(Table122[B-BB])</f>
        <v>1.3006993006993006</v>
      </c>
      <c r="AG157" s="41">
        <f>AVERAGE(Table122[B-SO])</f>
        <v>3.4335664335664338</v>
      </c>
      <c r="AH157" s="41">
        <f>AVERAGE(Table122[B-HR])</f>
        <v>0.23076923076923078</v>
      </c>
      <c r="AI157" s="41">
        <f>AVERAGE(Table122[B-HBP])</f>
        <v>0.12587412587412589</v>
      </c>
      <c r="AJ157" s="41">
        <f>AVERAGE(Table122[B-BF])</f>
        <v>14.888111888111888</v>
      </c>
      <c r="AK157" s="41">
        <f>AVERAGE(Table122[B-Pit])</f>
        <v>58.86013986013986</v>
      </c>
      <c r="AL157" s="41">
        <f>AVERAGE(Table122[B-Str])</f>
        <v>37.496503496503493</v>
      </c>
      <c r="AM157" s="90"/>
      <c r="AN157" s="41">
        <f>AVERAGE(Table122[AB1])</f>
        <v>4.2307692307692308</v>
      </c>
      <c r="AO157" s="41">
        <f>AVERAGE(Table122[R1])</f>
        <v>0.74825174825174823</v>
      </c>
      <c r="AP157" s="41">
        <f>AVERAGE(Table122[H1])</f>
        <v>1.0979020979020979</v>
      </c>
      <c r="AQ157" s="41">
        <f>AVERAGE(Table122[RBI1])</f>
        <v>0.32867132867132864</v>
      </c>
      <c r="AR157" s="41">
        <f>AVERAGE(Table122[BB1])</f>
        <v>0.44055944055944057</v>
      </c>
      <c r="AS157" s="41">
        <f>AVERAGE(Table122[SO1])</f>
        <v>0.77622377622377625</v>
      </c>
      <c r="AT157" s="41">
        <f>AVERAGE(Table122[HBP1])</f>
        <v>6.2937062937062943E-2</v>
      </c>
      <c r="AU157" s="41">
        <f>AVERAGE(Table122[SF1])</f>
        <v>1.3986013986013986E-2</v>
      </c>
      <c r="AV157" s="41">
        <f>AVERAGE(Table122[TB1])</f>
        <v>1.4895104895104896</v>
      </c>
      <c r="AW157" s="90"/>
      <c r="AX157" s="41">
        <f>AVERAGE(Table122[AB2])</f>
        <v>4.0769230769230766</v>
      </c>
      <c r="AY157" s="41">
        <f>AVERAGE(Table122[R2])</f>
        <v>0.71328671328671334</v>
      </c>
      <c r="AZ157" s="41">
        <f>AVERAGE(Table122[H2])</f>
        <v>1.2377622377622377</v>
      </c>
      <c r="BA157" s="41">
        <f>AVERAGE(Table122[RBI2])</f>
        <v>0.48951048951048953</v>
      </c>
      <c r="BB157" s="41">
        <f>AVERAGE(Table122[BB2])</f>
        <v>0.42657342657342656</v>
      </c>
      <c r="BC157" s="41">
        <f>AVERAGE(Table122[SO2])</f>
        <v>0.79720279720279719</v>
      </c>
      <c r="BD157" s="41">
        <f>AVERAGE(Table122[HBP2])</f>
        <v>2.097902097902098E-2</v>
      </c>
      <c r="BE157" s="41">
        <f>AVERAGE(Table122[SF2])</f>
        <v>2.7972027972027972E-2</v>
      </c>
      <c r="BF157" s="41">
        <f>AVERAGE(Table122[TB2])</f>
        <v>1.8391608391608392</v>
      </c>
      <c r="BG157" s="90"/>
      <c r="BH157" s="41">
        <f>AVERAGE(Table122[AB3])</f>
        <v>4.0069930069930066</v>
      </c>
      <c r="BI157" s="41">
        <f>AVERAGE(Table122[R3])</f>
        <v>0.69930069930069927</v>
      </c>
      <c r="BJ157" s="41">
        <f>AVERAGE(Table122[H3])</f>
        <v>1.1608391608391608</v>
      </c>
      <c r="BK157" s="41">
        <f>AVERAGE(Table122[RBI3])</f>
        <v>0.67132867132867136</v>
      </c>
      <c r="BL157" s="41">
        <f>AVERAGE(Table122[BB3])</f>
        <v>0.4825174825174825</v>
      </c>
      <c r="BM157" s="41">
        <f>AVERAGE(Table122[SO3])</f>
        <v>0.97202797202797198</v>
      </c>
      <c r="BN157" s="41">
        <f>AVERAGE(Table122[HBP3])</f>
        <v>6.2937062937062943E-2</v>
      </c>
      <c r="BO157" s="41">
        <f>AVERAGE(Table122[SF3])</f>
        <v>6.993006993006993E-3</v>
      </c>
      <c r="BP157" s="41">
        <f>AVERAGE(Table122[TB3])</f>
        <v>1.93006993006993</v>
      </c>
      <c r="BQ157" s="90"/>
      <c r="BR157" s="41">
        <f>AVERAGE(Table122[AB4])</f>
        <v>3.6713286713286712</v>
      </c>
      <c r="BS157" s="41">
        <f>AVERAGE(Table122[R4])</f>
        <v>0.63636363636363635</v>
      </c>
      <c r="BT157" s="41">
        <f>AVERAGE(Table122[H4])</f>
        <v>1.0979020979020979</v>
      </c>
      <c r="BU157" s="41">
        <f>AVERAGE(Table122[RBI4])</f>
        <v>0.91608391608391604</v>
      </c>
      <c r="BV157" s="41">
        <f>AVERAGE(Table122[BB4])</f>
        <v>0.66433566433566438</v>
      </c>
      <c r="BW157" s="41">
        <f>AVERAGE(Table122[SO4])</f>
        <v>0.79720279720279719</v>
      </c>
      <c r="BX157" s="41">
        <f>AVERAGE(Table122[HBP4])</f>
        <v>4.8951048951048952E-2</v>
      </c>
      <c r="BY157" s="41">
        <f>AVERAGE(Table122[SF4])</f>
        <v>6.2937062937062943E-2</v>
      </c>
      <c r="BZ157" s="41">
        <f>AVERAGE(Table122[TB4])</f>
        <v>2.034965034965035</v>
      </c>
      <c r="CA157" s="90"/>
      <c r="CB157" s="41">
        <f>AVERAGE(Table122[AB5])</f>
        <v>3.8531468531468533</v>
      </c>
      <c r="CC157" s="41">
        <f>AVERAGE(Table122[R5])</f>
        <v>0.65734265734265729</v>
      </c>
      <c r="CD157" s="41">
        <f>AVERAGE(Table122[H5])</f>
        <v>1.1118881118881119</v>
      </c>
      <c r="CE157" s="41">
        <f>AVERAGE(Table122[RBI5])</f>
        <v>0.55944055944055948</v>
      </c>
      <c r="CF157" s="41">
        <f>AVERAGE(Table122[BB5])</f>
        <v>0.39160839160839161</v>
      </c>
      <c r="CG157" s="41">
        <f>AVERAGE(Table122[SO5])</f>
        <v>0.83216783216783219</v>
      </c>
      <c r="CH157" s="41">
        <f>AVERAGE(Table122[HBP5])</f>
        <v>6.9930069930069935E-2</v>
      </c>
      <c r="CI157" s="41">
        <f>AVERAGE(Table122[SF5])</f>
        <v>4.8951048951048952E-2</v>
      </c>
      <c r="CJ157" s="41">
        <f>AVERAGE(Table122[TB5])</f>
        <v>1.7622377622377623</v>
      </c>
      <c r="CK157" s="90"/>
      <c r="CL157" s="41">
        <f>AVERAGE(Table122[AB6])</f>
        <v>3.7762237762237763</v>
      </c>
      <c r="CM157" s="41">
        <f>AVERAGE(Table122[R6])</f>
        <v>0.46853146853146854</v>
      </c>
      <c r="CN157" s="41">
        <f>AVERAGE(Table122[H6])</f>
        <v>1.013986013986014</v>
      </c>
      <c r="CO157" s="41">
        <f>AVERAGE(Table122[RBI6])</f>
        <v>0.5174825174825175</v>
      </c>
      <c r="CP157" s="41">
        <f>AVERAGE(Table122[BB6])</f>
        <v>0.39860139860139859</v>
      </c>
      <c r="CQ157" s="41">
        <f>AVERAGE(Table122[SO6])</f>
        <v>0.76223776223776218</v>
      </c>
      <c r="CR157" s="41">
        <f>AVERAGE(Table122[HBP6])</f>
        <v>4.195804195804196E-2</v>
      </c>
      <c r="CS157" s="41">
        <f>AVERAGE(Table122[SF6])</f>
        <v>2.097902097902098E-2</v>
      </c>
      <c r="CT157" s="41">
        <f>AVERAGE(Table122[TB6])</f>
        <v>1.5664335664335665</v>
      </c>
      <c r="CU157" s="90"/>
      <c r="CV157" s="41">
        <f>AVERAGE(Table122[AB7])</f>
        <v>3.6363636363636362</v>
      </c>
      <c r="CW157" s="41">
        <f>AVERAGE(Table122[R7])</f>
        <v>0.5174825174825175</v>
      </c>
      <c r="CX157" s="41">
        <f>AVERAGE(Table122[H7])</f>
        <v>0.97202797202797198</v>
      </c>
      <c r="CY157" s="41">
        <f>AVERAGE(Table122[RBI7])</f>
        <v>0.55944055944055948</v>
      </c>
      <c r="CZ157" s="41">
        <f>AVERAGE(Table122[BB7])</f>
        <v>0.39160839160839161</v>
      </c>
      <c r="DA157" s="41">
        <f>AVERAGE(Table122[SO7])</f>
        <v>0.70629370629370625</v>
      </c>
      <c r="DB157" s="41">
        <f>AVERAGE(Table122[HBP7])</f>
        <v>4.195804195804196E-2</v>
      </c>
      <c r="DC157" s="41">
        <f>AVERAGE(Table122[SF7])</f>
        <v>3.4965034965034968E-2</v>
      </c>
      <c r="DD157" s="41">
        <f>AVERAGE(Table122[TB7])</f>
        <v>1.4965034965034965</v>
      </c>
      <c r="DE157" s="90"/>
      <c r="DF157" s="41">
        <f>AVERAGE(Table122[AB8])</f>
        <v>3.6083916083916083</v>
      </c>
      <c r="DG157" s="41">
        <f>AVERAGE(Table122[R8])</f>
        <v>0.44755244755244755</v>
      </c>
      <c r="DH157" s="41">
        <f>AVERAGE(Table122[H8])</f>
        <v>0.94405594405594406</v>
      </c>
      <c r="DI157" s="41">
        <f>AVERAGE(Table122[RBI8])</f>
        <v>0.53146853146853146</v>
      </c>
      <c r="DJ157" s="41">
        <f>AVERAGE(Table122[BB8])</f>
        <v>0.34265734265734266</v>
      </c>
      <c r="DK157" s="41">
        <f>AVERAGE(Table122[SO8])</f>
        <v>0.83216783216783219</v>
      </c>
      <c r="DL157" s="41">
        <f>AVERAGE(Table122[HBP8])</f>
        <v>3.4965034965034968E-2</v>
      </c>
      <c r="DM157" s="41">
        <f>AVERAGE(Table122[SF8])</f>
        <v>2.097902097902098E-2</v>
      </c>
      <c r="DN157" s="41">
        <f>AVERAGE(Table122[TB8])</f>
        <v>1.5314685314685315</v>
      </c>
      <c r="DO157" s="90"/>
      <c r="DP157" s="41">
        <f>AVERAGE(Table122[AB9])</f>
        <v>3.5524475524475525</v>
      </c>
      <c r="DQ157" s="41">
        <f>AVERAGE(Table122[R9])</f>
        <v>0.40559440559440557</v>
      </c>
      <c r="DR157" s="41">
        <f>AVERAGE(Table122[H9])</f>
        <v>0.8951048951048951</v>
      </c>
      <c r="DS157" s="41">
        <f>AVERAGE(Table122[RBI9])</f>
        <v>0.31468531468531469</v>
      </c>
      <c r="DT157" s="41">
        <f>AVERAGE(Table122[BB9])</f>
        <v>0.24475524475524477</v>
      </c>
      <c r="DU157" s="41">
        <f>AVERAGE(Table122[SO9])</f>
        <v>0.88111888111888115</v>
      </c>
      <c r="DV157" s="41">
        <f>AVERAGE(Table122[HBP9])</f>
        <v>2.7972027972027972E-2</v>
      </c>
      <c r="DW157" s="41">
        <f>AVERAGE(Table122[SF9])</f>
        <v>1.3986013986013986E-2</v>
      </c>
      <c r="DX157" s="41">
        <f>AVERAGE(Table122[TB9])</f>
        <v>1.1678321678321679</v>
      </c>
      <c r="DY157" s="41">
        <f>AVERAGE(Table122[IVL])</f>
        <v>2.2587412587412583</v>
      </c>
      <c r="DZ157" s="41">
        <f>AVERAGE(Table122[SVL])</f>
        <v>0.21678321678321677</v>
      </c>
      <c r="EA157" s="41">
        <f>AVERAGE(Table122[CVL])</f>
        <v>7.6923076923076927E-2</v>
      </c>
      <c r="EB157" s="41">
        <f>AVERAGE(Table122[IVR])</f>
        <v>6.4848484848484871</v>
      </c>
      <c r="EC157" s="41">
        <f>AVERAGE(Table122[SVR])</f>
        <v>0.83216783216783219</v>
      </c>
      <c r="ED157" s="41">
        <f>AVERAGE(Table122[CVR])</f>
        <v>0.18181818181818182</v>
      </c>
      <c r="EE157" s="41">
        <f>AVERAGE(Table122[RI1])</f>
        <v>0.70629370629370625</v>
      </c>
      <c r="EF157" s="41">
        <f>AVERAGE(Table122[RI2])</f>
        <v>0.50349650349650354</v>
      </c>
      <c r="EG157" s="41">
        <f>AVERAGE(Table122[RI3])</f>
        <v>0.61538461538461542</v>
      </c>
      <c r="EH157" s="41">
        <f>AVERAGE(Table122[RI4])</f>
        <v>0.56643356643356646</v>
      </c>
      <c r="EI157" s="41">
        <f>AVERAGE(Table122[RI5])</f>
        <v>0.60139860139860135</v>
      </c>
      <c r="EJ157" s="41">
        <f>AVERAGE(Table122[RI6])</f>
        <v>0.67132867132867136</v>
      </c>
      <c r="EK157" s="41">
        <f>AVERAGE(Table122[RI7])</f>
        <v>0.62676056338028174</v>
      </c>
      <c r="EL157" s="41">
        <f>AVERAGE(Table122[RI8])</f>
        <v>0.71739130434782605</v>
      </c>
      <c r="EM157" s="41">
        <f>AVERAGE(Table122[RI9])</f>
        <v>0.38144329896907214</v>
      </c>
      <c r="EN157" s="41">
        <f>AVERAGE(Table122[RI10])</f>
        <v>0.3</v>
      </c>
      <c r="EO157" s="41">
        <f>AVERAGE(Table122[RI11])</f>
        <v>0.42857142857142855</v>
      </c>
      <c r="EP157" s="41">
        <f>AVERAGE(Table122[RI12])</f>
        <v>0.66666666666666663</v>
      </c>
      <c r="EQ157" s="41">
        <f>AVERAGE(Table122[RT])</f>
        <v>5.2937062937062933</v>
      </c>
      <c r="ER157" s="41">
        <f>AVERAGE(Table122[OI1])</f>
        <v>0.50349650349650354</v>
      </c>
      <c r="ES157" s="41">
        <f>AVERAGE(Table122[OI2])</f>
        <v>0.36363636363636365</v>
      </c>
      <c r="ET157" s="41">
        <f>AVERAGE(Table122[OI3])</f>
        <v>0.48951048951048953</v>
      </c>
      <c r="EU157" s="41">
        <f>AVERAGE(Table122[OI4])</f>
        <v>0.52447552447552448</v>
      </c>
      <c r="EV157" s="41">
        <f>AVERAGE(Table122[OI5])</f>
        <v>0.54545454545454541</v>
      </c>
      <c r="EW157" s="41">
        <f>AVERAGE(Table122[OI6])</f>
        <v>0.48951048951048953</v>
      </c>
      <c r="EX157" s="41">
        <f>AVERAGE(Table122[OI7])</f>
        <v>0.31690140845070425</v>
      </c>
      <c r="EY157" s="41">
        <f>AVERAGE(Table122[OI8])</f>
        <v>0.44927536231884058</v>
      </c>
      <c r="EZ157" s="41">
        <f>AVERAGE(Table122[OI9])</f>
        <v>0.27433628318584069</v>
      </c>
      <c r="FA157" s="41">
        <f>AVERAGE(Table122[OI10])</f>
        <v>0.1</v>
      </c>
      <c r="FB157" s="41">
        <f>AVERAGE(Table122[OI11])</f>
        <v>0.5714285714285714</v>
      </c>
      <c r="FC157" s="41">
        <f>AVERAGE(Table122[OI12])</f>
        <v>0.66666666666666663</v>
      </c>
      <c r="FD157" s="41">
        <f>AVERAGE(Table122[OT])</f>
        <v>3.93006993006993</v>
      </c>
      <c r="FG157" s="86" t="s">
        <v>233</v>
      </c>
    </row>
    <row r="158" spans="1:163" x14ac:dyDescent="0.25">
      <c r="A158" s="87" t="s">
        <v>278</v>
      </c>
      <c r="B158" s="53"/>
      <c r="C158" s="53"/>
      <c r="D158" s="53"/>
      <c r="E158" s="83">
        <f>(E157-E153)</f>
        <v>3987.2571975696865</v>
      </c>
      <c r="F158" s="83"/>
      <c r="G158" s="83"/>
      <c r="H158" s="83"/>
      <c r="I158" s="83"/>
      <c r="J158" s="83">
        <f t="shared" ref="J158:V158" si="81">(J157-J153)</f>
        <v>3.8092198646426731</v>
      </c>
      <c r="K158" s="83">
        <f t="shared" si="81"/>
        <v>3.078400953272741</v>
      </c>
      <c r="L158" s="83">
        <f t="shared" si="81"/>
        <v>0.44309654488184558</v>
      </c>
      <c r="M158" s="83">
        <f t="shared" si="81"/>
        <v>0.3188645306432889</v>
      </c>
      <c r="N158" s="83">
        <f t="shared" si="81"/>
        <v>0.54989588550462609</v>
      </c>
      <c r="O158" s="83">
        <f t="shared" si="81"/>
        <v>1.7683812341910272</v>
      </c>
      <c r="P158" s="83">
        <f t="shared" si="81"/>
        <v>-0.24344440682184948</v>
      </c>
      <c r="Q158" s="83">
        <f t="shared" si="81"/>
        <v>-0.28517741872497049</v>
      </c>
      <c r="R158" s="83">
        <f t="shared" si="81"/>
        <v>17.882599029487459</v>
      </c>
      <c r="S158" s="83">
        <f t="shared" si="81"/>
        <v>67.7115159716991</v>
      </c>
      <c r="T158" s="83">
        <f t="shared" si="81"/>
        <v>40.923601466256088</v>
      </c>
      <c r="U158" s="83">
        <f t="shared" si="81"/>
        <v>-0.31850831905759536</v>
      </c>
      <c r="V158" s="83">
        <f t="shared" si="81"/>
        <v>-0.41910878019872411</v>
      </c>
      <c r="W158" s="83"/>
      <c r="X158" s="83"/>
      <c r="Y158" s="83"/>
      <c r="Z158" s="83"/>
      <c r="AA158" s="83"/>
      <c r="AB158" s="83">
        <f t="shared" ref="AB158:AL158" si="82">(AB157-AB153)</f>
        <v>1.9658311597305931</v>
      </c>
      <c r="AC158" s="83">
        <f t="shared" si="82"/>
        <v>1.0298461660882285</v>
      </c>
      <c r="AD158" s="83">
        <f t="shared" si="82"/>
        <v>-0.28906033695980859</v>
      </c>
      <c r="AE158" s="83">
        <f t="shared" si="82"/>
        <v>-0.36472606410942054</v>
      </c>
      <c r="AF158" s="83">
        <f t="shared" si="82"/>
        <v>-0.20999014658173065</v>
      </c>
      <c r="AG158" s="83">
        <f t="shared" si="82"/>
        <v>1.0821825420968714</v>
      </c>
      <c r="AH158" s="83">
        <f t="shared" si="82"/>
        <v>-0.20837699102598151</v>
      </c>
      <c r="AI158" s="83">
        <f t="shared" si="82"/>
        <v>-0.26535241897711193</v>
      </c>
      <c r="AJ158" s="83">
        <f t="shared" si="82"/>
        <v>8.0859737661941633</v>
      </c>
      <c r="AK158" s="83">
        <f t="shared" si="82"/>
        <v>30.816511526396265</v>
      </c>
      <c r="AL158" s="83">
        <f t="shared" si="82"/>
        <v>20.23959056207643</v>
      </c>
      <c r="AM158" s="83"/>
      <c r="AN158" s="83">
        <f t="shared" ref="AN158:AV158" si="83">(AN157-AN153)</f>
        <v>3.329343851729921</v>
      </c>
      <c r="AO158" s="83">
        <f t="shared" si="83"/>
        <v>-0.10316406903318942</v>
      </c>
      <c r="AP158" s="83">
        <f t="shared" si="83"/>
        <v>0.20730421900445739</v>
      </c>
      <c r="AQ158" s="83">
        <f t="shared" si="83"/>
        <v>-0.31892687505374384</v>
      </c>
      <c r="AR158" s="83">
        <f t="shared" si="83"/>
        <v>-0.20536360921558544</v>
      </c>
      <c r="AS158" s="83">
        <f t="shared" si="83"/>
        <v>1.243429468664059E-2</v>
      </c>
      <c r="AT158" s="83">
        <f t="shared" si="83"/>
        <v>-0.18076626677437058</v>
      </c>
      <c r="AU158" s="83">
        <f t="shared" si="83"/>
        <v>-0.10385931230983218</v>
      </c>
      <c r="AV158" s="83">
        <f t="shared" si="83"/>
        <v>0.1266885783610856</v>
      </c>
      <c r="AW158" s="83"/>
      <c r="AX158" s="83">
        <f t="shared" ref="AX158:BF158" si="84">(AX157-AX153)</f>
        <v>3.1803181890114134</v>
      </c>
      <c r="AY158" s="83">
        <f t="shared" si="84"/>
        <v>-0.1227197024038249</v>
      </c>
      <c r="AZ158" s="83">
        <f t="shared" si="84"/>
        <v>0.24512709098356888</v>
      </c>
      <c r="BA158" s="83">
        <f t="shared" si="84"/>
        <v>-0.42874821829829574</v>
      </c>
      <c r="BB158" s="83">
        <f t="shared" si="84"/>
        <v>-0.20687800101977571</v>
      </c>
      <c r="BC158" s="83">
        <f t="shared" si="84"/>
        <v>-0.10318397852617445</v>
      </c>
      <c r="BD158" s="83">
        <f t="shared" si="84"/>
        <v>-0.12283871718391347</v>
      </c>
      <c r="BE158" s="83">
        <f t="shared" si="84"/>
        <v>-0.13750023446065518</v>
      </c>
      <c r="BF158" s="83">
        <f t="shared" si="84"/>
        <v>4.0685938889408302E-2</v>
      </c>
      <c r="BG158" s="83"/>
      <c r="BH158" s="83">
        <f t="shared" ref="BH158:BP158" si="85">(BH157-BH153)</f>
        <v>3.1636553764406385</v>
      </c>
      <c r="BI158" s="83">
        <f t="shared" si="85"/>
        <v>-0.14017402777205412</v>
      </c>
      <c r="BJ158" s="83">
        <f t="shared" si="85"/>
        <v>0.11505385950633085</v>
      </c>
      <c r="BK158" s="83">
        <f t="shared" si="85"/>
        <v>-0.28383685356573862</v>
      </c>
      <c r="BL158" s="83">
        <f t="shared" si="85"/>
        <v>-0.15496377214364232</v>
      </c>
      <c r="BM158" s="83">
        <f t="shared" si="85"/>
        <v>0.16760309704352339</v>
      </c>
      <c r="BN158" s="83">
        <f t="shared" si="85"/>
        <v>-0.20812717290878449</v>
      </c>
      <c r="BO158" s="83">
        <f t="shared" si="85"/>
        <v>-7.6631194007702089E-2</v>
      </c>
      <c r="BP158" s="83">
        <f t="shared" si="85"/>
        <v>-7.2218724003272783E-2</v>
      </c>
      <c r="BQ158" s="83"/>
      <c r="BR158" s="83">
        <f t="shared" ref="BR158:BZ158" si="86">(BR157-BR153)</f>
        <v>2.6658771661616703</v>
      </c>
      <c r="BS158" s="83">
        <f t="shared" si="86"/>
        <v>-0.10994610699669993</v>
      </c>
      <c r="BT158" s="83">
        <f t="shared" si="86"/>
        <v>0.17621743921129029</v>
      </c>
      <c r="BU158" s="83">
        <f t="shared" si="86"/>
        <v>-0.34266855987210021</v>
      </c>
      <c r="BV158" s="83">
        <f t="shared" si="86"/>
        <v>-0.11338270266294592</v>
      </c>
      <c r="BW158" s="83">
        <f t="shared" si="86"/>
        <v>-5.4964618070805216E-2</v>
      </c>
      <c r="BX158" s="83">
        <f t="shared" si="86"/>
        <v>-0.16757307157601545</v>
      </c>
      <c r="BY158" s="83">
        <f t="shared" si="86"/>
        <v>-0.18076626677437058</v>
      </c>
      <c r="BZ158" s="83">
        <f t="shared" si="86"/>
        <v>-5.9335034380085805E-2</v>
      </c>
      <c r="CA158" s="83"/>
      <c r="CB158" s="83">
        <f t="shared" ref="CB158:CJ158" si="87">(CB157-CB153)</f>
        <v>3.0398935883833609</v>
      </c>
      <c r="CC158" s="83">
        <f t="shared" si="87"/>
        <v>-0.14848903711174621</v>
      </c>
      <c r="CD158" s="83">
        <f t="shared" si="87"/>
        <v>0.11821166112491721</v>
      </c>
      <c r="CE158" s="83">
        <f t="shared" si="87"/>
        <v>-0.28494752320745775</v>
      </c>
      <c r="CF158" s="83">
        <f t="shared" si="87"/>
        <v>-0.23676941072416707</v>
      </c>
      <c r="CG158" s="83">
        <f t="shared" si="87"/>
        <v>1.0061177337882588E-2</v>
      </c>
      <c r="CH158" s="83">
        <f t="shared" si="87"/>
        <v>-0.18599547080256357</v>
      </c>
      <c r="CI158" s="83">
        <f t="shared" si="87"/>
        <v>-0.16757307157601545</v>
      </c>
      <c r="CJ158" s="83">
        <f t="shared" si="87"/>
        <v>-0.1731918838362041</v>
      </c>
      <c r="CK158" s="83"/>
      <c r="CL158" s="83">
        <f t="shared" ref="CL158:CT158" si="88">(CL157-CL153)</f>
        <v>2.9589836558428155</v>
      </c>
      <c r="CM158" s="83">
        <f t="shared" si="88"/>
        <v>-0.16840879448433832</v>
      </c>
      <c r="CN158" s="83">
        <f t="shared" si="88"/>
        <v>8.7186173963916369E-2</v>
      </c>
      <c r="CO158" s="83">
        <f t="shared" si="88"/>
        <v>-0.25029410471538305</v>
      </c>
      <c r="CP158" s="83">
        <f t="shared" si="88"/>
        <v>-0.2529391391952886</v>
      </c>
      <c r="CQ158" s="83">
        <f t="shared" si="88"/>
        <v>-0.125535539922626</v>
      </c>
      <c r="CR158" s="83">
        <f t="shared" si="88"/>
        <v>-0.15923998515566742</v>
      </c>
      <c r="CS158" s="83">
        <f t="shared" si="88"/>
        <v>-0.12283871718391347</v>
      </c>
      <c r="CT158" s="83">
        <f t="shared" si="88"/>
        <v>-4.1467000526827835E-2</v>
      </c>
      <c r="CU158" s="83"/>
      <c r="CV158" s="83">
        <f t="shared" ref="CV158:DD158" si="89">(CV157-CV153)</f>
        <v>2.7926173412610389</v>
      </c>
      <c r="CW158" s="83">
        <f t="shared" si="89"/>
        <v>-0.13095164038285545</v>
      </c>
      <c r="CX158" s="83">
        <f t="shared" si="89"/>
        <v>0.12496131898051943</v>
      </c>
      <c r="CY158" s="83">
        <f t="shared" si="89"/>
        <v>-0.37218211717416494</v>
      </c>
      <c r="CZ158" s="83">
        <f t="shared" si="89"/>
        <v>-0.25879738677061642</v>
      </c>
      <c r="DA158" s="83">
        <f t="shared" si="89"/>
        <v>-3.3254764935961356E-2</v>
      </c>
      <c r="DB158" s="83">
        <f t="shared" si="89"/>
        <v>-0.15923998515566742</v>
      </c>
      <c r="DC158" s="83">
        <f t="shared" si="89"/>
        <v>-0.1842713932235604</v>
      </c>
      <c r="DD158" s="83">
        <f t="shared" si="89"/>
        <v>-0.13450813925315974</v>
      </c>
      <c r="DE158" s="83"/>
      <c r="DF158" s="83">
        <f t="shared" ref="DF158:DN158" si="90">(DF157-DF153)</f>
        <v>2.7689168813188552</v>
      </c>
      <c r="DG158" s="83">
        <f t="shared" si="90"/>
        <v>-0.18799457953393067</v>
      </c>
      <c r="DH158" s="83">
        <f t="shared" si="90"/>
        <v>2.649469556320927E-2</v>
      </c>
      <c r="DI158" s="83">
        <f t="shared" si="90"/>
        <v>-0.33905175818989064</v>
      </c>
      <c r="DJ158" s="83">
        <f t="shared" si="90"/>
        <v>-0.27520921735738907</v>
      </c>
      <c r="DK158" s="83">
        <f t="shared" si="90"/>
        <v>1.5392394996388559E-3</v>
      </c>
      <c r="DL158" s="83">
        <f t="shared" si="90"/>
        <v>-0.14937189677312654</v>
      </c>
      <c r="DM158" s="83">
        <f t="shared" si="90"/>
        <v>-0.12283871718391347</v>
      </c>
      <c r="DN158" s="83">
        <f t="shared" si="90"/>
        <v>-0.23601633630419561</v>
      </c>
      <c r="DO158" s="83"/>
      <c r="DP158" s="83">
        <f t="shared" ref="DP158:FD158" si="91">(DP157-DP153)</f>
        <v>2.7681085764479296</v>
      </c>
      <c r="DQ158" s="83">
        <f t="shared" si="91"/>
        <v>-0.17868030113713579</v>
      </c>
      <c r="DR158" s="83">
        <f t="shared" si="91"/>
        <v>1.3607001012968523E-3</v>
      </c>
      <c r="DS158" s="83">
        <f t="shared" si="91"/>
        <v>-0.35054344422715988</v>
      </c>
      <c r="DT158" s="83">
        <f t="shared" si="91"/>
        <v>-0.26177650301974809</v>
      </c>
      <c r="DU158" s="83">
        <f t="shared" si="91"/>
        <v>-1.8720779790337705E-2</v>
      </c>
      <c r="DV158" s="83">
        <f t="shared" si="91"/>
        <v>-0.13750023446065518</v>
      </c>
      <c r="DW158" s="83">
        <f t="shared" si="91"/>
        <v>-0.10385931230983218</v>
      </c>
      <c r="DX158" s="83">
        <f t="shared" si="91"/>
        <v>-0.18523432328365241</v>
      </c>
      <c r="DY158" s="83">
        <f t="shared" si="91"/>
        <v>-0.17260707961765709</v>
      </c>
      <c r="DZ158" s="83">
        <f t="shared" si="91"/>
        <v>-0.30242338460741236</v>
      </c>
      <c r="EA158" s="83">
        <f t="shared" si="91"/>
        <v>-0.19048290436736182</v>
      </c>
      <c r="EB158" s="83">
        <f t="shared" si="91"/>
        <v>3.9488086430113425</v>
      </c>
      <c r="EC158" s="83">
        <f t="shared" si="91"/>
        <v>-0.26831870546964554</v>
      </c>
      <c r="ED158" s="83">
        <f t="shared" si="91"/>
        <v>-0.24005496573311702</v>
      </c>
      <c r="EE158" s="83">
        <f t="shared" si="91"/>
        <v>-0.7020924835022595</v>
      </c>
      <c r="EF158" s="83">
        <f t="shared" si="91"/>
        <v>-0.68253799398366688</v>
      </c>
      <c r="EG158" s="83">
        <f t="shared" si="91"/>
        <v>-0.49742857473296898</v>
      </c>
      <c r="EH158" s="83">
        <f t="shared" si="91"/>
        <v>-0.55668734035239775</v>
      </c>
      <c r="EI158" s="83">
        <f t="shared" si="91"/>
        <v>-0.47419399739965151</v>
      </c>
      <c r="EJ158" s="83">
        <f t="shared" si="91"/>
        <v>-0.47178434894968768</v>
      </c>
      <c r="EK158" s="83">
        <f t="shared" si="91"/>
        <v>-0.48161602040492646</v>
      </c>
      <c r="EL158" s="83">
        <f t="shared" si="91"/>
        <v>-0.59503738226416736</v>
      </c>
      <c r="EM158" s="83">
        <f t="shared" si="91"/>
        <v>-0.52505292010136806</v>
      </c>
      <c r="EN158" s="83">
        <f t="shared" si="91"/>
        <v>-0.37494855771055285</v>
      </c>
      <c r="EO158" s="83">
        <f t="shared" si="91"/>
        <v>-0.10595105525342025</v>
      </c>
      <c r="EP158" s="83">
        <f t="shared" si="91"/>
        <v>8.9316397477040788E-2</v>
      </c>
      <c r="EQ158" s="83">
        <f t="shared" si="91"/>
        <v>1.8667375106722708</v>
      </c>
      <c r="ER158" s="83">
        <f t="shared" si="91"/>
        <v>-0.68846085155244863</v>
      </c>
      <c r="ES158" s="83">
        <f t="shared" si="91"/>
        <v>-0.44603627535444834</v>
      </c>
      <c r="ET158" s="83">
        <f t="shared" si="91"/>
        <v>-0.48094847601171881</v>
      </c>
      <c r="EU158" s="83">
        <f t="shared" si="91"/>
        <v>-0.62512433139697976</v>
      </c>
      <c r="EV158" s="83">
        <f t="shared" si="91"/>
        <v>-0.51422433712589921</v>
      </c>
      <c r="EW158" s="83">
        <f t="shared" si="91"/>
        <v>-0.51657754787674737</v>
      </c>
      <c r="EX158" s="83">
        <f t="shared" si="91"/>
        <v>-0.32853778239225684</v>
      </c>
      <c r="EY158" s="83">
        <f t="shared" si="91"/>
        <v>-0.56213735039884516</v>
      </c>
      <c r="EZ158" s="83">
        <f t="shared" si="91"/>
        <v>-0.36997657907545833</v>
      </c>
      <c r="FA158" s="83">
        <f t="shared" si="91"/>
        <v>-0.21622776601683794</v>
      </c>
      <c r="FB158" s="83">
        <f t="shared" si="91"/>
        <v>-0.40447150151996181</v>
      </c>
      <c r="FC158" s="83">
        <f t="shared" si="91"/>
        <v>-0.48803387171258505</v>
      </c>
      <c r="FD158" s="83">
        <f t="shared" si="91"/>
        <v>0.98539139324860292</v>
      </c>
      <c r="FG158" s="88" t="s">
        <v>278</v>
      </c>
    </row>
    <row r="159" spans="1:163" x14ac:dyDescent="0.25">
      <c r="A159" s="87" t="s">
        <v>277</v>
      </c>
      <c r="B159" s="53"/>
      <c r="C159" s="53"/>
      <c r="D159" s="53"/>
      <c r="E159" s="83">
        <f>(E157-(2*E153))</f>
        <v>1388.0108490400826</v>
      </c>
      <c r="F159" s="83"/>
      <c r="G159" s="83"/>
      <c r="H159" s="83"/>
      <c r="I159" s="83"/>
      <c r="J159" s="83">
        <f t="shared" ref="J159:V159" si="92">(J157-(2*J153))</f>
        <v>2.3154094262550435</v>
      </c>
      <c r="K159" s="83">
        <f t="shared" si="92"/>
        <v>0.80715155689513196</v>
      </c>
      <c r="L159" s="83">
        <f t="shared" si="92"/>
        <v>-1.7711495675789664</v>
      </c>
      <c r="M159" s="83">
        <f t="shared" si="92"/>
        <v>-1.7538793303218139</v>
      </c>
      <c r="N159" s="83">
        <f t="shared" si="92"/>
        <v>-0.71139704017955907</v>
      </c>
      <c r="O159" s="83">
        <f t="shared" si="92"/>
        <v>-0.37932144770186182</v>
      </c>
      <c r="P159" s="83">
        <f t="shared" si="92"/>
        <v>-0.98339231014719553</v>
      </c>
      <c r="Q159" s="83">
        <f t="shared" si="92"/>
        <v>-0.82210308919819275</v>
      </c>
      <c r="R159" s="83">
        <f t="shared" si="92"/>
        <v>12.981981275758132</v>
      </c>
      <c r="S159" s="83">
        <f t="shared" si="92"/>
        <v>49.702752223118473</v>
      </c>
      <c r="T159" s="83">
        <f t="shared" si="92"/>
        <v>28.455594540903775</v>
      </c>
      <c r="U159" s="83">
        <f t="shared" si="92"/>
        <v>-1.2524012534998061</v>
      </c>
      <c r="V159" s="83">
        <f t="shared" si="92"/>
        <v>-0.99206371424360207</v>
      </c>
      <c r="W159" s="83"/>
      <c r="X159" s="83"/>
      <c r="Y159" s="83"/>
      <c r="Z159" s="83"/>
      <c r="AA159" s="83"/>
      <c r="AB159" s="83">
        <f t="shared" ref="AB159:AL159" si="93">(AB157-(2*AB153))</f>
        <v>0.36056674836561475</v>
      </c>
      <c r="AC159" s="83">
        <f t="shared" si="93"/>
        <v>-1.0941538216696967</v>
      </c>
      <c r="AD159" s="83">
        <f t="shared" si="93"/>
        <v>-1.8508479466468899</v>
      </c>
      <c r="AE159" s="83">
        <f t="shared" si="93"/>
        <v>-1.862319261085974</v>
      </c>
      <c r="AF159" s="83">
        <f t="shared" si="93"/>
        <v>-1.7206795938627619</v>
      </c>
      <c r="AG159" s="83">
        <f t="shared" si="93"/>
        <v>-1.269201349372691</v>
      </c>
      <c r="AH159" s="83">
        <f t="shared" si="93"/>
        <v>-0.64752321282119385</v>
      </c>
      <c r="AI159" s="83">
        <f t="shared" si="93"/>
        <v>-0.65657896382834968</v>
      </c>
      <c r="AJ159" s="83">
        <f t="shared" si="93"/>
        <v>1.2838356442764383</v>
      </c>
      <c r="AK159" s="83">
        <f t="shared" si="93"/>
        <v>2.7728831926526709</v>
      </c>
      <c r="AL159" s="83">
        <f t="shared" si="93"/>
        <v>2.9826776276493661</v>
      </c>
      <c r="AM159" s="83"/>
      <c r="AN159" s="83">
        <f t="shared" ref="AN159:AV159" si="94">(AN157-(2*AN153))</f>
        <v>2.4279184726906111</v>
      </c>
      <c r="AO159" s="83">
        <f t="shared" si="94"/>
        <v>-0.95457988631812707</v>
      </c>
      <c r="AP159" s="83">
        <f t="shared" si="94"/>
        <v>-0.68329365989318314</v>
      </c>
      <c r="AQ159" s="83">
        <f t="shared" si="94"/>
        <v>-0.96652507877881633</v>
      </c>
      <c r="AR159" s="83">
        <f t="shared" si="94"/>
        <v>-0.8512866589906114</v>
      </c>
      <c r="AS159" s="83">
        <f t="shared" si="94"/>
        <v>-0.75135518685049507</v>
      </c>
      <c r="AT159" s="83">
        <f t="shared" si="94"/>
        <v>-0.42446959648580407</v>
      </c>
      <c r="AU159" s="83">
        <f t="shared" si="94"/>
        <v>-0.22170463860567835</v>
      </c>
      <c r="AV159" s="83">
        <f t="shared" si="94"/>
        <v>-1.2361333327883184</v>
      </c>
      <c r="AW159" s="83"/>
      <c r="AX159" s="83">
        <f t="shared" ref="AX159:BF159" si="95">(AX157-(2*AX153))</f>
        <v>2.2837133010997506</v>
      </c>
      <c r="AY159" s="83">
        <f t="shared" si="95"/>
        <v>-0.95872611809436314</v>
      </c>
      <c r="AZ159" s="83">
        <f t="shared" si="95"/>
        <v>-0.74750805579509993</v>
      </c>
      <c r="BA159" s="83">
        <f t="shared" si="95"/>
        <v>-1.3470069261070809</v>
      </c>
      <c r="BB159" s="83">
        <f t="shared" si="95"/>
        <v>-0.84032942861297799</v>
      </c>
      <c r="BC159" s="83">
        <f t="shared" si="95"/>
        <v>-1.0035707542551462</v>
      </c>
      <c r="BD159" s="83">
        <f t="shared" si="95"/>
        <v>-0.2666564553468479</v>
      </c>
      <c r="BE159" s="83">
        <f t="shared" si="95"/>
        <v>-0.30297249689333833</v>
      </c>
      <c r="BF159" s="83">
        <f t="shared" si="95"/>
        <v>-1.7577889613820226</v>
      </c>
      <c r="BG159" s="83"/>
      <c r="BH159" s="83">
        <f t="shared" ref="BH159:BP159" si="96">(BH157-(2*BH153))</f>
        <v>2.3203177458882704</v>
      </c>
      <c r="BI159" s="83">
        <f t="shared" si="96"/>
        <v>-0.97964875484480751</v>
      </c>
      <c r="BJ159" s="83">
        <f t="shared" si="96"/>
        <v>-0.93073144182649914</v>
      </c>
      <c r="BK159" s="83">
        <f t="shared" si="96"/>
        <v>-1.2390023784601487</v>
      </c>
      <c r="BL159" s="83">
        <f t="shared" si="96"/>
        <v>-0.79244502680476714</v>
      </c>
      <c r="BM159" s="83">
        <f t="shared" si="96"/>
        <v>-0.6368217779409252</v>
      </c>
      <c r="BN159" s="83">
        <f t="shared" si="96"/>
        <v>-0.47919140875463195</v>
      </c>
      <c r="BO159" s="83">
        <f t="shared" si="96"/>
        <v>-0.16025539500841116</v>
      </c>
      <c r="BP159" s="83">
        <f t="shared" si="96"/>
        <v>-2.0745073780764756</v>
      </c>
      <c r="BQ159" s="83"/>
      <c r="BR159" s="83">
        <f t="shared" ref="BR159:BZ159" si="97">(BR157-(2*BR153))</f>
        <v>1.6604256609946688</v>
      </c>
      <c r="BS159" s="83">
        <f t="shared" si="97"/>
        <v>-0.85625585035703622</v>
      </c>
      <c r="BT159" s="83">
        <f t="shared" si="97"/>
        <v>-0.74546721947951733</v>
      </c>
      <c r="BU159" s="83">
        <f t="shared" si="97"/>
        <v>-1.6014210358281165</v>
      </c>
      <c r="BV159" s="83">
        <f t="shared" si="97"/>
        <v>-0.89110106966155622</v>
      </c>
      <c r="BW159" s="83">
        <f t="shared" si="97"/>
        <v>-0.90713203334440762</v>
      </c>
      <c r="BX159" s="83">
        <f t="shared" si="97"/>
        <v>-0.38409719210307985</v>
      </c>
      <c r="BY159" s="83">
        <f t="shared" si="97"/>
        <v>-0.42446959648580407</v>
      </c>
      <c r="BZ159" s="83">
        <f t="shared" si="97"/>
        <v>-2.1536351037252066</v>
      </c>
      <c r="CA159" s="83"/>
      <c r="CB159" s="83">
        <f t="shared" ref="CB159:CJ159" si="98">(CB157-(2*CB153))</f>
        <v>2.2266403236198684</v>
      </c>
      <c r="CC159" s="83">
        <f t="shared" si="98"/>
        <v>-0.95432073156614972</v>
      </c>
      <c r="CD159" s="83">
        <f t="shared" si="98"/>
        <v>-0.87546478963827745</v>
      </c>
      <c r="CE159" s="83">
        <f t="shared" si="98"/>
        <v>-1.1293356058554749</v>
      </c>
      <c r="CF159" s="83">
        <f t="shared" si="98"/>
        <v>-0.86514721305672571</v>
      </c>
      <c r="CG159" s="83">
        <f t="shared" si="98"/>
        <v>-0.81204547749206701</v>
      </c>
      <c r="CH159" s="83">
        <f t="shared" si="98"/>
        <v>-0.44192101153519708</v>
      </c>
      <c r="CI159" s="83">
        <f t="shared" si="98"/>
        <v>-0.38409719210307985</v>
      </c>
      <c r="CJ159" s="83">
        <f t="shared" si="98"/>
        <v>-2.1086215299101703</v>
      </c>
      <c r="CK159" s="83"/>
      <c r="CL159" s="83">
        <f t="shared" ref="CL159:CT159" si="99">(CL157-(2*CL153))</f>
        <v>2.1417435354618553</v>
      </c>
      <c r="CM159" s="83">
        <f t="shared" si="99"/>
        <v>-0.80534905750014518</v>
      </c>
      <c r="CN159" s="83">
        <f t="shared" si="99"/>
        <v>-0.83961366605818122</v>
      </c>
      <c r="CO159" s="83">
        <f t="shared" si="99"/>
        <v>-1.0180707269132836</v>
      </c>
      <c r="CP159" s="83">
        <f t="shared" si="99"/>
        <v>-0.90447967699197585</v>
      </c>
      <c r="CQ159" s="83">
        <f t="shared" si="99"/>
        <v>-1.0133088420830143</v>
      </c>
      <c r="CR159" s="83">
        <f t="shared" si="99"/>
        <v>-0.36043801226937677</v>
      </c>
      <c r="CS159" s="83">
        <f t="shared" si="99"/>
        <v>-0.2666564553468479</v>
      </c>
      <c r="CT159" s="83">
        <f t="shared" si="99"/>
        <v>-1.6493675674872221</v>
      </c>
      <c r="CU159" s="83"/>
      <c r="CV159" s="83">
        <f t="shared" ref="CV159:DD159" si="100">(CV157-(2*CV153))</f>
        <v>1.9488710461584415</v>
      </c>
      <c r="CW159" s="83">
        <f t="shared" si="100"/>
        <v>-0.7793857982482284</v>
      </c>
      <c r="CX159" s="83">
        <f t="shared" si="100"/>
        <v>-0.72210533406693311</v>
      </c>
      <c r="CY159" s="83">
        <f t="shared" si="100"/>
        <v>-1.3038047937888892</v>
      </c>
      <c r="CZ159" s="83">
        <f t="shared" si="100"/>
        <v>-0.9092031651496244</v>
      </c>
      <c r="DA159" s="83">
        <f t="shared" si="100"/>
        <v>-0.77280323616562896</v>
      </c>
      <c r="DB159" s="83">
        <f t="shared" si="100"/>
        <v>-0.36043801226937677</v>
      </c>
      <c r="DC159" s="83">
        <f t="shared" si="100"/>
        <v>-0.4035078214121558</v>
      </c>
      <c r="DD159" s="83">
        <f t="shared" si="100"/>
        <v>-1.7655197750098159</v>
      </c>
      <c r="DE159" s="83"/>
      <c r="DF159" s="83">
        <f t="shared" ref="DF159:DN159" si="101">(DF157-(2*DF153))</f>
        <v>1.929442154246102</v>
      </c>
      <c r="DG159" s="83">
        <f t="shared" si="101"/>
        <v>-0.82354160662030895</v>
      </c>
      <c r="DH159" s="83">
        <f t="shared" si="101"/>
        <v>-0.89106655292952552</v>
      </c>
      <c r="DI159" s="83">
        <f t="shared" si="101"/>
        <v>-1.2095720478483127</v>
      </c>
      <c r="DJ159" s="83">
        <f t="shared" si="101"/>
        <v>-0.89307577737212074</v>
      </c>
      <c r="DK159" s="83">
        <f t="shared" si="101"/>
        <v>-0.82908935316855448</v>
      </c>
      <c r="DL159" s="83">
        <f t="shared" si="101"/>
        <v>-0.33370882851128808</v>
      </c>
      <c r="DM159" s="83">
        <f t="shared" si="101"/>
        <v>-0.2666564553468479</v>
      </c>
      <c r="DN159" s="83">
        <f t="shared" si="101"/>
        <v>-2.0035012040769224</v>
      </c>
      <c r="DO159" s="83"/>
      <c r="DP159" s="83">
        <f t="shared" ref="DP159:FD159" si="102">(DP157-(2*DP153))</f>
        <v>1.983769600448307</v>
      </c>
      <c r="DQ159" s="83">
        <f t="shared" si="102"/>
        <v>-0.76295500786867709</v>
      </c>
      <c r="DR159" s="83">
        <f t="shared" si="102"/>
        <v>-0.8923834949023014</v>
      </c>
      <c r="DS159" s="83">
        <f t="shared" si="102"/>
        <v>-1.0157722031396346</v>
      </c>
      <c r="DT159" s="83">
        <f t="shared" si="102"/>
        <v>-0.76830825079474097</v>
      </c>
      <c r="DU159" s="83">
        <f t="shared" si="102"/>
        <v>-0.91856044069955656</v>
      </c>
      <c r="DV159" s="83">
        <f t="shared" si="102"/>
        <v>-0.30297249689333833</v>
      </c>
      <c r="DW159" s="83">
        <f t="shared" si="102"/>
        <v>-0.22170463860567835</v>
      </c>
      <c r="DX159" s="83">
        <f t="shared" si="102"/>
        <v>-1.5383008143994727</v>
      </c>
      <c r="DY159" s="83">
        <f t="shared" si="102"/>
        <v>-2.6039554179765725</v>
      </c>
      <c r="DZ159" s="83">
        <f t="shared" si="102"/>
        <v>-0.82162998599804149</v>
      </c>
      <c r="EA159" s="83">
        <f t="shared" si="102"/>
        <v>-0.45788888565780056</v>
      </c>
      <c r="EB159" s="83">
        <f t="shared" si="102"/>
        <v>1.4127688011741979</v>
      </c>
      <c r="EC159" s="83">
        <f t="shared" si="102"/>
        <v>-1.3688052431071234</v>
      </c>
      <c r="ED159" s="83">
        <f t="shared" si="102"/>
        <v>-0.66192811328441592</v>
      </c>
      <c r="EE159" s="83">
        <f t="shared" si="102"/>
        <v>-2.1104786732982252</v>
      </c>
      <c r="EF159" s="83">
        <f t="shared" si="102"/>
        <v>-1.8685724914638373</v>
      </c>
      <c r="EG159" s="83">
        <f t="shared" si="102"/>
        <v>-1.6102417648505534</v>
      </c>
      <c r="EH159" s="83">
        <f t="shared" si="102"/>
        <v>-1.679808247138362</v>
      </c>
      <c r="EI159" s="83">
        <f t="shared" si="102"/>
        <v>-1.5497865961979045</v>
      </c>
      <c r="EJ159" s="83">
        <f t="shared" si="102"/>
        <v>-1.6148973692280468</v>
      </c>
      <c r="EK159" s="83">
        <f t="shared" si="102"/>
        <v>-1.5899926041901347</v>
      </c>
      <c r="EL159" s="83">
        <f t="shared" si="102"/>
        <v>-1.9074660688761607</v>
      </c>
      <c r="EM159" s="83">
        <f t="shared" si="102"/>
        <v>-1.4315491391718083</v>
      </c>
      <c r="EN159" s="83">
        <f t="shared" si="102"/>
        <v>-1.0498971154211056</v>
      </c>
      <c r="EO159" s="83">
        <f t="shared" si="102"/>
        <v>-0.64047353907826898</v>
      </c>
      <c r="EP159" s="83">
        <f t="shared" si="102"/>
        <v>-0.48803387171258505</v>
      </c>
      <c r="EQ159" s="83">
        <f t="shared" si="102"/>
        <v>-1.5602312723617517</v>
      </c>
      <c r="ER159" s="83">
        <f t="shared" si="102"/>
        <v>-1.8804182066014008</v>
      </c>
      <c r="ES159" s="83">
        <f t="shared" si="102"/>
        <v>-1.2557089143452602</v>
      </c>
      <c r="ET159" s="83">
        <f t="shared" si="102"/>
        <v>-1.4514074415339271</v>
      </c>
      <c r="EU159" s="83">
        <f t="shared" si="102"/>
        <v>-1.7747241872694839</v>
      </c>
      <c r="EV159" s="83">
        <f t="shared" si="102"/>
        <v>-1.5739032197063438</v>
      </c>
      <c r="EW159" s="83">
        <f t="shared" si="102"/>
        <v>-1.5226655852639843</v>
      </c>
      <c r="EX159" s="83">
        <f t="shared" si="102"/>
        <v>-0.97397697323521792</v>
      </c>
      <c r="EY159" s="83">
        <f t="shared" si="102"/>
        <v>-1.5735500631165309</v>
      </c>
      <c r="EZ159" s="83">
        <f t="shared" si="102"/>
        <v>-1.0142894413367574</v>
      </c>
      <c r="FA159" s="83">
        <f t="shared" si="102"/>
        <v>-0.5324555320336759</v>
      </c>
      <c r="FB159" s="83">
        <f t="shared" si="102"/>
        <v>-1.380371574468495</v>
      </c>
      <c r="FC159" s="83">
        <f t="shared" si="102"/>
        <v>-1.6427344100918368</v>
      </c>
      <c r="FD159" s="83">
        <f t="shared" si="102"/>
        <v>-1.9592871435727242</v>
      </c>
      <c r="FG159" s="88" t="s">
        <v>277</v>
      </c>
    </row>
    <row r="160" spans="1:163" x14ac:dyDescent="0.25">
      <c r="A160" s="87" t="s">
        <v>276</v>
      </c>
      <c r="B160" s="53"/>
      <c r="C160" s="53"/>
      <c r="D160" s="53"/>
      <c r="E160" s="83">
        <f>(E157-(3*E153))</f>
        <v>-1211.2354994895213</v>
      </c>
      <c r="F160" s="83"/>
      <c r="G160" s="83"/>
      <c r="H160" s="83"/>
      <c r="I160" s="83"/>
      <c r="J160" s="83">
        <f t="shared" ref="J160:V160" si="103">(J157-(3*J153))</f>
        <v>0.82159898786741437</v>
      </c>
      <c r="K160" s="83">
        <f t="shared" si="103"/>
        <v>-1.4640978394824771</v>
      </c>
      <c r="L160" s="83">
        <f t="shared" si="103"/>
        <v>-3.9853956800397787</v>
      </c>
      <c r="M160" s="83">
        <f t="shared" si="103"/>
        <v>-3.8266231912869166</v>
      </c>
      <c r="N160" s="83">
        <f t="shared" si="103"/>
        <v>-1.972689965863744</v>
      </c>
      <c r="O160" s="83">
        <f t="shared" si="103"/>
        <v>-2.5270241295947504</v>
      </c>
      <c r="P160" s="83">
        <f t="shared" si="103"/>
        <v>-1.7233402134725415</v>
      </c>
      <c r="Q160" s="83">
        <f t="shared" si="103"/>
        <v>-1.359028759671415</v>
      </c>
      <c r="R160" s="83">
        <f t="shared" si="103"/>
        <v>8.0813635220288056</v>
      </c>
      <c r="S160" s="83">
        <f t="shared" si="103"/>
        <v>31.693988474537846</v>
      </c>
      <c r="T160" s="83">
        <f t="shared" si="103"/>
        <v>15.987587615551469</v>
      </c>
      <c r="U160" s="83">
        <f t="shared" si="103"/>
        <v>-2.1862941879420168</v>
      </c>
      <c r="V160" s="83">
        <f t="shared" si="103"/>
        <v>-1.56501864828848</v>
      </c>
      <c r="W160" s="83"/>
      <c r="X160" s="83"/>
      <c r="Y160" s="83"/>
      <c r="Z160" s="83"/>
      <c r="AA160" s="83"/>
      <c r="AB160" s="83">
        <f t="shared" ref="AB160:AL160" si="104">(AB157-(3*AB153))</f>
        <v>-1.2446976629993634</v>
      </c>
      <c r="AC160" s="83">
        <f t="shared" si="104"/>
        <v>-3.2181538094276223</v>
      </c>
      <c r="AD160" s="83">
        <f t="shared" si="104"/>
        <v>-3.4126355563339716</v>
      </c>
      <c r="AE160" s="83">
        <f t="shared" si="104"/>
        <v>-3.3599124580625275</v>
      </c>
      <c r="AF160" s="83">
        <f t="shared" si="104"/>
        <v>-3.2313690411437932</v>
      </c>
      <c r="AG160" s="83">
        <f t="shared" si="104"/>
        <v>-3.6205852408422534</v>
      </c>
      <c r="AH160" s="83">
        <f t="shared" si="104"/>
        <v>-1.0866694346164061</v>
      </c>
      <c r="AI160" s="83">
        <f t="shared" si="104"/>
        <v>-1.0478055086795877</v>
      </c>
      <c r="AJ160" s="83">
        <f t="shared" si="104"/>
        <v>-5.5183024776412868</v>
      </c>
      <c r="AK160" s="83">
        <f t="shared" si="104"/>
        <v>-25.27074514109092</v>
      </c>
      <c r="AL160" s="83">
        <f t="shared" si="104"/>
        <v>-14.274235306777697</v>
      </c>
      <c r="AM160" s="83"/>
      <c r="AN160" s="83">
        <f t="shared" ref="AN160:AV160" si="105">(AN157-(3*AN153))</f>
        <v>1.5264930936513008</v>
      </c>
      <c r="AO160" s="83">
        <f t="shared" si="105"/>
        <v>-1.8059957036030645</v>
      </c>
      <c r="AP160" s="83">
        <f t="shared" si="105"/>
        <v>-1.5738915387908237</v>
      </c>
      <c r="AQ160" s="83">
        <f t="shared" si="105"/>
        <v>-1.6141232825038889</v>
      </c>
      <c r="AR160" s="83">
        <f t="shared" si="105"/>
        <v>-1.4972097087656373</v>
      </c>
      <c r="AS160" s="83">
        <f t="shared" si="105"/>
        <v>-1.5151446683876308</v>
      </c>
      <c r="AT160" s="83">
        <f t="shared" si="105"/>
        <v>-0.66817292619723767</v>
      </c>
      <c r="AU160" s="83">
        <f t="shared" si="105"/>
        <v>-0.3395499649015245</v>
      </c>
      <c r="AV160" s="83">
        <f t="shared" si="105"/>
        <v>-2.5989552439377221</v>
      </c>
      <c r="AW160" s="83"/>
      <c r="AX160" s="83">
        <f t="shared" ref="AX160:BF160" si="106">(AX157-(3*AX153))</f>
        <v>1.3871084131880878</v>
      </c>
      <c r="AY160" s="83">
        <f t="shared" si="106"/>
        <v>-1.7947325337849014</v>
      </c>
      <c r="AZ160" s="83">
        <f t="shared" si="106"/>
        <v>-1.7401432025737689</v>
      </c>
      <c r="BA160" s="83">
        <f t="shared" si="106"/>
        <v>-2.2652656339158663</v>
      </c>
      <c r="BB160" s="83">
        <f t="shared" si="106"/>
        <v>-1.4737808562061803</v>
      </c>
      <c r="BC160" s="83">
        <f t="shared" si="106"/>
        <v>-1.9039575299841176</v>
      </c>
      <c r="BD160" s="83">
        <f t="shared" si="106"/>
        <v>-0.41047419350978237</v>
      </c>
      <c r="BE160" s="83">
        <f t="shared" si="106"/>
        <v>-0.46844475932602148</v>
      </c>
      <c r="BF160" s="83">
        <f t="shared" si="106"/>
        <v>-3.556263861653453</v>
      </c>
      <c r="BG160" s="83"/>
      <c r="BH160" s="83">
        <f t="shared" ref="BH160:BP160" si="107">(BH157-(3*BH153))</f>
        <v>1.4769801153359019</v>
      </c>
      <c r="BI160" s="83">
        <f t="shared" si="107"/>
        <v>-1.8191234819175612</v>
      </c>
      <c r="BJ160" s="83">
        <f t="shared" si="107"/>
        <v>-1.9765167431593289</v>
      </c>
      <c r="BK160" s="83">
        <f t="shared" si="107"/>
        <v>-2.1941679033545589</v>
      </c>
      <c r="BL160" s="83">
        <f t="shared" si="107"/>
        <v>-1.429926281465892</v>
      </c>
      <c r="BM160" s="83">
        <f t="shared" si="107"/>
        <v>-1.4412466529253738</v>
      </c>
      <c r="BN160" s="83">
        <f t="shared" si="107"/>
        <v>-0.75025564460047933</v>
      </c>
      <c r="BO160" s="83">
        <f t="shared" si="107"/>
        <v>-0.24387959600912021</v>
      </c>
      <c r="BP160" s="83">
        <f t="shared" si="107"/>
        <v>-4.0767960321496783</v>
      </c>
      <c r="BQ160" s="83"/>
      <c r="BR160" s="83">
        <f t="shared" ref="BR160:BZ160" si="108">(BR157-(3*BR153))</f>
        <v>0.65497415582766783</v>
      </c>
      <c r="BS160" s="83">
        <f t="shared" si="108"/>
        <v>-1.6025655937173728</v>
      </c>
      <c r="BT160" s="83">
        <f t="shared" si="108"/>
        <v>-1.667151878170325</v>
      </c>
      <c r="BU160" s="83">
        <f t="shared" si="108"/>
        <v>-2.8601735117841329</v>
      </c>
      <c r="BV160" s="83">
        <f t="shared" si="108"/>
        <v>-1.6688194366601665</v>
      </c>
      <c r="BW160" s="83">
        <f t="shared" si="108"/>
        <v>-1.7592994486180102</v>
      </c>
      <c r="BX160" s="83">
        <f t="shared" si="108"/>
        <v>-0.60062131263014429</v>
      </c>
      <c r="BY160" s="83">
        <f t="shared" si="108"/>
        <v>-0.66817292619723767</v>
      </c>
      <c r="BZ160" s="83">
        <f t="shared" si="108"/>
        <v>-4.2479351730703279</v>
      </c>
      <c r="CA160" s="83"/>
      <c r="CB160" s="83">
        <f t="shared" ref="CB160:CJ160" si="109">(CB157-(3*CB153))</f>
        <v>1.4133870588563755</v>
      </c>
      <c r="CC160" s="83">
        <f t="shared" si="109"/>
        <v>-1.760152426020553</v>
      </c>
      <c r="CD160" s="83">
        <f t="shared" si="109"/>
        <v>-1.8691412404014722</v>
      </c>
      <c r="CE160" s="83">
        <f t="shared" si="109"/>
        <v>-1.9737236885034921</v>
      </c>
      <c r="CF160" s="83">
        <f t="shared" si="109"/>
        <v>-1.4935250153892845</v>
      </c>
      <c r="CG160" s="83">
        <f t="shared" si="109"/>
        <v>-1.6341521323220167</v>
      </c>
      <c r="CH160" s="83">
        <f t="shared" si="109"/>
        <v>-0.69784655226783066</v>
      </c>
      <c r="CI160" s="83">
        <f t="shared" si="109"/>
        <v>-0.60062131263014429</v>
      </c>
      <c r="CJ160" s="83">
        <f t="shared" si="109"/>
        <v>-4.0440511759841362</v>
      </c>
      <c r="CK160" s="83"/>
      <c r="CL160" s="83">
        <f t="shared" ref="CL160:CT160" si="110">(CL157-(3*CL153))</f>
        <v>1.3245034150808945</v>
      </c>
      <c r="CM160" s="83">
        <f t="shared" si="110"/>
        <v>-1.4422893205159519</v>
      </c>
      <c r="CN160" s="83">
        <f t="shared" si="110"/>
        <v>-1.7664135060802788</v>
      </c>
      <c r="CO160" s="83">
        <f t="shared" si="110"/>
        <v>-1.7858473491111839</v>
      </c>
      <c r="CP160" s="83">
        <f t="shared" si="110"/>
        <v>-1.556020214788663</v>
      </c>
      <c r="CQ160" s="83">
        <f t="shared" si="110"/>
        <v>-1.9010821442434023</v>
      </c>
      <c r="CR160" s="83">
        <f t="shared" si="110"/>
        <v>-0.56163603938308615</v>
      </c>
      <c r="CS160" s="83">
        <f t="shared" si="110"/>
        <v>-0.41047419350978237</v>
      </c>
      <c r="CT160" s="83">
        <f t="shared" si="110"/>
        <v>-3.2572681344476164</v>
      </c>
      <c r="CU160" s="83"/>
      <c r="CV160" s="83">
        <f t="shared" ref="CV160:DD160" si="111">(CV157-(3*CV153))</f>
        <v>1.1051247510558442</v>
      </c>
      <c r="CW160" s="83">
        <f t="shared" si="111"/>
        <v>-1.4278199561136014</v>
      </c>
      <c r="CX160" s="83">
        <f t="shared" si="111"/>
        <v>-1.5691719871143857</v>
      </c>
      <c r="CY160" s="83">
        <f t="shared" si="111"/>
        <v>-2.2354274704036139</v>
      </c>
      <c r="CZ160" s="83">
        <f t="shared" si="111"/>
        <v>-1.5596089435286324</v>
      </c>
      <c r="DA160" s="83">
        <f t="shared" si="111"/>
        <v>-1.5123517073952963</v>
      </c>
      <c r="DB160" s="83">
        <f t="shared" si="111"/>
        <v>-0.56163603938308615</v>
      </c>
      <c r="DC160" s="83">
        <f t="shared" si="111"/>
        <v>-0.62274424960075114</v>
      </c>
      <c r="DD160" s="83">
        <f t="shared" si="111"/>
        <v>-3.3965314107664719</v>
      </c>
      <c r="DE160" s="83"/>
      <c r="DF160" s="83">
        <f t="shared" ref="DF160:DN160" si="112">(DF157-(3*DF153))</f>
        <v>1.0899674271733488</v>
      </c>
      <c r="DG160" s="83">
        <f t="shared" si="112"/>
        <v>-1.4590886337066871</v>
      </c>
      <c r="DH160" s="83">
        <f t="shared" si="112"/>
        <v>-1.8086278014222601</v>
      </c>
      <c r="DI160" s="83">
        <f t="shared" si="112"/>
        <v>-2.0800923375067351</v>
      </c>
      <c r="DJ160" s="83">
        <f t="shared" si="112"/>
        <v>-1.5109423373868525</v>
      </c>
      <c r="DK160" s="83">
        <f t="shared" si="112"/>
        <v>-1.6597179458367477</v>
      </c>
      <c r="DL160" s="83">
        <f t="shared" si="112"/>
        <v>-0.51804576024944948</v>
      </c>
      <c r="DM160" s="83">
        <f t="shared" si="112"/>
        <v>-0.41047419350978237</v>
      </c>
      <c r="DN160" s="83">
        <f t="shared" si="112"/>
        <v>-3.7709860718496495</v>
      </c>
      <c r="DO160" s="83"/>
      <c r="DP160" s="83">
        <f t="shared" ref="DP160:FD160" si="113">(DP157-(3*DP153))</f>
        <v>1.1994306244486843</v>
      </c>
      <c r="DQ160" s="83">
        <f t="shared" si="113"/>
        <v>-1.3472297146002183</v>
      </c>
      <c r="DR160" s="83">
        <f t="shared" si="113"/>
        <v>-1.7861276899059</v>
      </c>
      <c r="DS160" s="83">
        <f t="shared" si="113"/>
        <v>-1.6810009620521091</v>
      </c>
      <c r="DT160" s="83">
        <f t="shared" si="113"/>
        <v>-1.2748399985697338</v>
      </c>
      <c r="DU160" s="83">
        <f t="shared" si="113"/>
        <v>-1.8184001016087752</v>
      </c>
      <c r="DV160" s="83">
        <f t="shared" si="113"/>
        <v>-0.46844475932602148</v>
      </c>
      <c r="DW160" s="83">
        <f t="shared" si="113"/>
        <v>-0.3395499649015245</v>
      </c>
      <c r="DX160" s="83">
        <f t="shared" si="113"/>
        <v>-2.8913673055152933</v>
      </c>
      <c r="DY160" s="83">
        <f t="shared" si="113"/>
        <v>-5.0353037563354874</v>
      </c>
      <c r="DZ160" s="83">
        <f t="shared" si="113"/>
        <v>-1.3408365873886705</v>
      </c>
      <c r="EA160" s="83">
        <f t="shared" si="113"/>
        <v>-0.7252948669482393</v>
      </c>
      <c r="EB160" s="83">
        <f t="shared" si="113"/>
        <v>-1.1232710406629467</v>
      </c>
      <c r="EC160" s="83">
        <f t="shared" si="113"/>
        <v>-2.4692917807446011</v>
      </c>
      <c r="ED160" s="83">
        <f t="shared" si="113"/>
        <v>-1.0838012608357146</v>
      </c>
      <c r="EE160" s="83">
        <f t="shared" si="113"/>
        <v>-3.518864863094191</v>
      </c>
      <c r="EF160" s="83">
        <f t="shared" si="113"/>
        <v>-3.0546069889440082</v>
      </c>
      <c r="EG160" s="83">
        <f t="shared" si="113"/>
        <v>-2.7230549549681378</v>
      </c>
      <c r="EH160" s="83">
        <f t="shared" si="113"/>
        <v>-2.8029291539243264</v>
      </c>
      <c r="EI160" s="83">
        <f t="shared" si="113"/>
        <v>-2.6253791949961571</v>
      </c>
      <c r="EJ160" s="83">
        <f t="shared" si="113"/>
        <v>-2.7580103895064059</v>
      </c>
      <c r="EK160" s="83">
        <f t="shared" si="113"/>
        <v>-2.6983691879753424</v>
      </c>
      <c r="EL160" s="83">
        <f t="shared" si="113"/>
        <v>-3.2198947554881538</v>
      </c>
      <c r="EM160" s="83">
        <f t="shared" si="113"/>
        <v>-2.3380453582422485</v>
      </c>
      <c r="EN160" s="83">
        <f t="shared" si="113"/>
        <v>-1.7248456731316584</v>
      </c>
      <c r="EO160" s="83">
        <f t="shared" si="113"/>
        <v>-1.1749960229031178</v>
      </c>
      <c r="EP160" s="83">
        <f t="shared" si="113"/>
        <v>-1.0653841409022111</v>
      </c>
      <c r="EQ160" s="83">
        <f t="shared" si="113"/>
        <v>-4.9872000553957747</v>
      </c>
      <c r="ER160" s="83">
        <f t="shared" si="113"/>
        <v>-3.072375561650353</v>
      </c>
      <c r="ES160" s="83">
        <f t="shared" si="113"/>
        <v>-2.065381553336072</v>
      </c>
      <c r="ET160" s="83">
        <f t="shared" si="113"/>
        <v>-2.4218664070561355</v>
      </c>
      <c r="EU160" s="83">
        <f t="shared" si="113"/>
        <v>-2.9243240431419881</v>
      </c>
      <c r="EV160" s="83">
        <f t="shared" si="113"/>
        <v>-2.6335821022867885</v>
      </c>
      <c r="EW160" s="83">
        <f t="shared" si="113"/>
        <v>-2.5287536226512213</v>
      </c>
      <c r="EX160" s="83">
        <f t="shared" si="113"/>
        <v>-1.619416164078179</v>
      </c>
      <c r="EY160" s="83">
        <f t="shared" si="113"/>
        <v>-2.5849627758342164</v>
      </c>
      <c r="EZ160" s="83">
        <f t="shared" si="113"/>
        <v>-1.6586023035980564</v>
      </c>
      <c r="FA160" s="83">
        <f t="shared" si="113"/>
        <v>-0.84868329805051379</v>
      </c>
      <c r="FB160" s="83">
        <f t="shared" si="113"/>
        <v>-2.356271647417028</v>
      </c>
      <c r="FC160" s="83">
        <f t="shared" si="113"/>
        <v>-2.7974349484710888</v>
      </c>
      <c r="FD160" s="83">
        <f t="shared" si="113"/>
        <v>-4.9039656803940517</v>
      </c>
      <c r="FG160" s="88" t="s">
        <v>276</v>
      </c>
    </row>
  </sheetData>
  <mergeCells count="19">
    <mergeCell ref="W2:AL2"/>
    <mergeCell ref="EE1:FD1"/>
    <mergeCell ref="F1:AL1"/>
    <mergeCell ref="AM1:DX1"/>
    <mergeCell ref="DY1:ED2"/>
    <mergeCell ref="U2:V2"/>
    <mergeCell ref="ER2:FD2"/>
    <mergeCell ref="DO2:DX2"/>
    <mergeCell ref="DE2:DN2"/>
    <mergeCell ref="F2:T2"/>
    <mergeCell ref="BQ2:BZ2"/>
    <mergeCell ref="BG2:BP2"/>
    <mergeCell ref="AW2:BF2"/>
    <mergeCell ref="AM2:AV2"/>
    <mergeCell ref="EE2:EQ2"/>
    <mergeCell ref="CU2:DD2"/>
    <mergeCell ref="CK2:CT2"/>
    <mergeCell ref="FE1:FF2"/>
    <mergeCell ref="CA2:CJ2"/>
  </mergeCells>
  <conditionalFormatting sqref="FE4:FF147">
    <cfRule type="cellIs" dxfId="202" priority="1" operator="notEqual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155"/>
  <sheetViews>
    <sheetView workbookViewId="0">
      <pane xSplit="1" ySplit="3" topLeftCell="EV122" activePane="bottomRight" state="frozen"/>
      <selection pane="topRight" activeCell="B1" sqref="B1"/>
      <selection pane="bottomLeft" activeCell="A3" sqref="A3"/>
      <selection pane="bottomRight" activeCell="FM141" sqref="FM141"/>
    </sheetView>
  </sheetViews>
  <sheetFormatPr defaultRowHeight="15" x14ac:dyDescent="0.25"/>
  <cols>
    <col min="1" max="1" width="9.7109375" style="48" bestFit="1" customWidth="1"/>
    <col min="2" max="2" width="6.140625" style="48" bestFit="1" customWidth="1"/>
    <col min="3" max="3" width="6.42578125" style="48" bestFit="1" customWidth="1"/>
    <col min="4" max="4" width="12.140625" style="48" bestFit="1" customWidth="1"/>
    <col min="5" max="5" width="9.5703125" style="49" bestFit="1" customWidth="1"/>
    <col min="6" max="6" width="5.42578125" style="49" bestFit="1" customWidth="1"/>
    <col min="7" max="7" width="12.42578125" style="52" bestFit="1" customWidth="1"/>
    <col min="8" max="8" width="7" style="52" bestFit="1" customWidth="1"/>
    <col min="9" max="9" width="5.85546875" style="52" bestFit="1" customWidth="1"/>
    <col min="10" max="10" width="6.7109375" style="52" bestFit="1" customWidth="1"/>
    <col min="11" max="11" width="6.28515625" style="52" bestFit="1" customWidth="1"/>
    <col min="12" max="12" width="6.140625" style="52" bestFit="1" customWidth="1"/>
    <col min="13" max="13" width="7.140625" style="52" bestFit="1" customWidth="1"/>
    <col min="14" max="14" width="7.28515625" style="52" bestFit="1" customWidth="1"/>
    <col min="15" max="16" width="7.42578125" style="52" bestFit="1" customWidth="1"/>
    <col min="17" max="17" width="8.5703125" style="52" bestFit="1" customWidth="1"/>
    <col min="18" max="18" width="7.140625" style="52" bestFit="1" customWidth="1"/>
    <col min="19" max="20" width="7.42578125" style="52" bestFit="1" customWidth="1"/>
    <col min="21" max="22" width="6" style="52" bestFit="1" customWidth="1"/>
    <col min="23" max="23" width="7.140625" style="52" bestFit="1" customWidth="1"/>
    <col min="24" max="24" width="6" style="52" bestFit="1" customWidth="1"/>
    <col min="25" max="25" width="6.28515625" style="52" bestFit="1" customWidth="1"/>
    <col min="26" max="26" width="5.28515625" style="52" bestFit="1" customWidth="1"/>
    <col min="27" max="27" width="5.42578125" style="52" bestFit="1" customWidth="1"/>
    <col min="28" max="28" width="6.85546875" style="52" bestFit="1" customWidth="1"/>
    <col min="29" max="29" width="6.42578125" style="52" bestFit="1" customWidth="1"/>
    <col min="30" max="30" width="6.28515625" style="52" bestFit="1" customWidth="1"/>
    <col min="31" max="31" width="7.28515625" style="52" bestFit="1" customWidth="1"/>
    <col min="32" max="32" width="7.42578125" style="52" bestFit="1" customWidth="1"/>
    <col min="33" max="34" width="7.5703125" style="52" bestFit="1" customWidth="1"/>
    <col min="35" max="35" width="8.7109375" style="52" bestFit="1" customWidth="1"/>
    <col min="36" max="36" width="7.28515625" style="52" bestFit="1" customWidth="1"/>
    <col min="37" max="38" width="7.5703125" style="52" bestFit="1" customWidth="1"/>
    <col min="39" max="39" width="12.5703125" style="52" bestFit="1" customWidth="1"/>
    <col min="40" max="40" width="6.7109375" style="52" bestFit="1" customWidth="1"/>
    <col min="41" max="42" width="6" style="52" bestFit="1" customWidth="1"/>
    <col min="43" max="43" width="7.140625" style="52" bestFit="1" customWidth="1"/>
    <col min="44" max="44" width="6.5703125" style="52" bestFit="1" customWidth="1"/>
    <col min="45" max="45" width="6.7109375" style="52" bestFit="1" customWidth="1"/>
    <col min="46" max="46" width="7.85546875" style="52" bestFit="1" customWidth="1"/>
    <col min="47" max="47" width="6.28515625" style="52" bestFit="1" customWidth="1"/>
    <col min="48" max="48" width="6.42578125" style="52" bestFit="1" customWidth="1"/>
    <col min="49" max="49" width="12.5703125" style="52" bestFit="1" customWidth="1"/>
    <col min="50" max="50" width="6.7109375" style="52" bestFit="1" customWidth="1"/>
    <col min="51" max="52" width="6" style="52" bestFit="1" customWidth="1"/>
    <col min="53" max="53" width="7.140625" style="52" bestFit="1" customWidth="1"/>
    <col min="54" max="54" width="6.5703125" style="52" bestFit="1" customWidth="1"/>
    <col min="55" max="55" width="6.7109375" style="52" bestFit="1" customWidth="1"/>
    <col min="56" max="56" width="7.85546875" style="52" bestFit="1" customWidth="1"/>
    <col min="57" max="57" width="6.28515625" style="52" bestFit="1" customWidth="1"/>
    <col min="58" max="58" width="6.42578125" style="52" bestFit="1" customWidth="1"/>
    <col min="59" max="59" width="12" style="52" bestFit="1" customWidth="1"/>
    <col min="60" max="60" width="6.7109375" style="52" bestFit="1" customWidth="1"/>
    <col min="61" max="62" width="6" style="52" bestFit="1" customWidth="1"/>
    <col min="63" max="63" width="7.140625" style="52" bestFit="1" customWidth="1"/>
    <col min="64" max="64" width="6.5703125" style="52" bestFit="1" customWidth="1"/>
    <col min="65" max="65" width="6.7109375" style="52" bestFit="1" customWidth="1"/>
    <col min="66" max="66" width="7.85546875" style="52" bestFit="1" customWidth="1"/>
    <col min="67" max="67" width="6.28515625" style="52" bestFit="1" customWidth="1"/>
    <col min="68" max="68" width="6.42578125" style="52" bestFit="1" customWidth="1"/>
    <col min="69" max="69" width="11.85546875" style="52" bestFit="1" customWidth="1"/>
    <col min="70" max="70" width="6.7109375" style="52" bestFit="1" customWidth="1"/>
    <col min="71" max="72" width="6" style="52" bestFit="1" customWidth="1"/>
    <col min="73" max="73" width="7.140625" style="52" bestFit="1" customWidth="1"/>
    <col min="74" max="74" width="6.5703125" style="52" bestFit="1" customWidth="1"/>
    <col min="75" max="75" width="6.7109375" style="52" bestFit="1" customWidth="1"/>
    <col min="76" max="76" width="7.85546875" style="52" bestFit="1" customWidth="1"/>
    <col min="77" max="77" width="6.28515625" style="52" bestFit="1" customWidth="1"/>
    <col min="78" max="78" width="6.42578125" style="52" bestFit="1" customWidth="1"/>
    <col min="79" max="79" width="12.5703125" style="52" bestFit="1" customWidth="1"/>
    <col min="80" max="80" width="6.7109375" style="52" bestFit="1" customWidth="1"/>
    <col min="81" max="82" width="6" style="52" bestFit="1" customWidth="1"/>
    <col min="83" max="83" width="7.140625" style="52" bestFit="1" customWidth="1"/>
    <col min="84" max="84" width="6.5703125" style="52" bestFit="1" customWidth="1"/>
    <col min="85" max="85" width="6.7109375" style="52" bestFit="1" customWidth="1"/>
    <col min="86" max="86" width="7.85546875" style="52" bestFit="1" customWidth="1"/>
    <col min="87" max="87" width="6.28515625" style="52" bestFit="1" customWidth="1"/>
    <col min="88" max="88" width="6.42578125" style="52" bestFit="1" customWidth="1"/>
    <col min="89" max="89" width="12.5703125" style="52" bestFit="1" customWidth="1"/>
    <col min="90" max="90" width="6.7109375" style="52" bestFit="1" customWidth="1"/>
    <col min="91" max="92" width="6" style="52" bestFit="1" customWidth="1"/>
    <col min="93" max="93" width="7.140625" style="52" bestFit="1" customWidth="1"/>
    <col min="94" max="94" width="6.5703125" style="52" bestFit="1" customWidth="1"/>
    <col min="95" max="95" width="6.7109375" style="52" bestFit="1" customWidth="1"/>
    <col min="96" max="96" width="7.85546875" style="52" bestFit="1" customWidth="1"/>
    <col min="97" max="97" width="6.28515625" style="52" bestFit="1" customWidth="1"/>
    <col min="98" max="98" width="6.42578125" style="52" bestFit="1" customWidth="1"/>
    <col min="99" max="99" width="12.5703125" style="52" bestFit="1" customWidth="1"/>
    <col min="100" max="100" width="6.7109375" style="52" bestFit="1" customWidth="1"/>
    <col min="101" max="102" width="6" style="52" bestFit="1" customWidth="1"/>
    <col min="103" max="103" width="7.140625" style="52" bestFit="1" customWidth="1"/>
    <col min="104" max="104" width="6.5703125" style="52" bestFit="1" customWidth="1"/>
    <col min="105" max="105" width="6.7109375" style="52" bestFit="1" customWidth="1"/>
    <col min="106" max="106" width="7.85546875" style="52" bestFit="1" customWidth="1"/>
    <col min="107" max="107" width="6.28515625" style="52" bestFit="1" customWidth="1"/>
    <col min="108" max="108" width="6.42578125" style="52" bestFit="1" customWidth="1"/>
    <col min="109" max="109" width="12.5703125" style="52" bestFit="1" customWidth="1"/>
    <col min="110" max="110" width="6.7109375" style="52" bestFit="1" customWidth="1"/>
    <col min="111" max="112" width="6" style="52" bestFit="1" customWidth="1"/>
    <col min="113" max="113" width="7.140625" style="52" bestFit="1" customWidth="1"/>
    <col min="114" max="114" width="6.5703125" style="52" bestFit="1" customWidth="1"/>
    <col min="115" max="115" width="6.7109375" style="52" bestFit="1" customWidth="1"/>
    <col min="116" max="116" width="7.85546875" style="52" bestFit="1" customWidth="1"/>
    <col min="117" max="117" width="6.28515625" style="52" bestFit="1" customWidth="1"/>
    <col min="118" max="118" width="6.42578125" style="52" bestFit="1" customWidth="1"/>
    <col min="119" max="119" width="12.5703125" style="52" bestFit="1" customWidth="1"/>
    <col min="120" max="120" width="6.7109375" style="52" bestFit="1" customWidth="1"/>
    <col min="121" max="122" width="6" style="52" bestFit="1" customWidth="1"/>
    <col min="123" max="123" width="7.140625" style="52" bestFit="1" customWidth="1"/>
    <col min="124" max="124" width="6.5703125" style="52" bestFit="1" customWidth="1"/>
    <col min="125" max="125" width="6.7109375" style="52" bestFit="1" customWidth="1"/>
    <col min="126" max="126" width="7.85546875" style="52" bestFit="1" customWidth="1"/>
    <col min="127" max="127" width="6.28515625" style="52" bestFit="1" customWidth="1"/>
    <col min="128" max="128" width="6.42578125" style="52" bestFit="1" customWidth="1"/>
    <col min="129" max="129" width="6.28515625" style="52" bestFit="1" customWidth="1"/>
    <col min="130" max="130" width="6.42578125" style="52" bestFit="1" customWidth="1"/>
    <col min="131" max="131" width="6.5703125" style="52" bestFit="1" customWidth="1"/>
    <col min="132" max="132" width="6.28515625" style="52" bestFit="1" customWidth="1"/>
    <col min="133" max="133" width="6.7109375" style="52" bestFit="1" customWidth="1"/>
    <col min="134" max="134" width="6.85546875" style="52" bestFit="1" customWidth="1"/>
    <col min="135" max="143" width="6" style="52" bestFit="1" customWidth="1"/>
    <col min="144" max="148" width="7" style="52" bestFit="1" customWidth="1"/>
    <col min="149" max="149" width="7.7109375" style="52" customWidth="1"/>
    <col min="150" max="159" width="6.28515625" style="52" bestFit="1" customWidth="1"/>
    <col min="160" max="164" width="7.28515625" style="52" bestFit="1" customWidth="1"/>
    <col min="165" max="165" width="7.7109375" style="52" customWidth="1"/>
    <col min="166" max="166" width="6.28515625" style="52" bestFit="1" customWidth="1"/>
    <col min="167" max="168" width="11.85546875" style="52" bestFit="1" customWidth="1"/>
    <col min="169" max="169" width="57.42578125" style="51" bestFit="1" customWidth="1"/>
    <col min="170" max="16384" width="9.140625" style="52"/>
  </cols>
  <sheetData>
    <row r="1" spans="1:169" x14ac:dyDescent="0.25">
      <c r="F1" s="442" t="s">
        <v>125</v>
      </c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  <c r="AM1" s="442" t="s">
        <v>185</v>
      </c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43"/>
      <c r="BZ1" s="443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43"/>
      <c r="CP1" s="443"/>
      <c r="CQ1" s="443"/>
      <c r="CR1" s="443"/>
      <c r="CS1" s="443"/>
      <c r="CT1" s="443"/>
      <c r="CU1" s="443"/>
      <c r="CV1" s="443"/>
      <c r="CW1" s="443"/>
      <c r="CX1" s="443"/>
      <c r="CY1" s="443"/>
      <c r="CZ1" s="443"/>
      <c r="DA1" s="443"/>
      <c r="DB1" s="443"/>
      <c r="DC1" s="443"/>
      <c r="DD1" s="443"/>
      <c r="DE1" s="443"/>
      <c r="DF1" s="443"/>
      <c r="DG1" s="443"/>
      <c r="DH1" s="443"/>
      <c r="DI1" s="443"/>
      <c r="DJ1" s="443"/>
      <c r="DK1" s="443"/>
      <c r="DL1" s="443"/>
      <c r="DM1" s="443"/>
      <c r="DN1" s="443"/>
      <c r="DO1" s="443"/>
      <c r="DP1" s="443"/>
      <c r="DQ1" s="443"/>
      <c r="DR1" s="443"/>
      <c r="DS1" s="443"/>
      <c r="DT1" s="443"/>
      <c r="DU1" s="443"/>
      <c r="DV1" s="443"/>
      <c r="DW1" s="443"/>
      <c r="DX1" s="444"/>
      <c r="DY1" s="445" t="s">
        <v>184</v>
      </c>
      <c r="DZ1" s="446"/>
      <c r="EA1" s="446"/>
      <c r="EB1" s="446"/>
      <c r="EC1" s="446"/>
      <c r="ED1" s="447"/>
      <c r="EE1" s="441" t="s">
        <v>178</v>
      </c>
      <c r="EF1" s="441"/>
      <c r="EG1" s="441"/>
      <c r="EH1" s="441"/>
      <c r="EI1" s="441"/>
      <c r="EJ1" s="441"/>
      <c r="EK1" s="441"/>
      <c r="EL1" s="441"/>
      <c r="EM1" s="441"/>
      <c r="EN1" s="441"/>
      <c r="EO1" s="441"/>
      <c r="EP1" s="441"/>
      <c r="EQ1" s="441"/>
      <c r="ER1" s="441"/>
      <c r="ES1" s="441"/>
      <c r="ET1" s="441"/>
      <c r="EU1" s="441"/>
      <c r="EV1" s="441"/>
      <c r="EW1" s="441"/>
      <c r="EX1" s="441"/>
      <c r="EY1" s="441"/>
      <c r="EZ1" s="441"/>
      <c r="FA1" s="441"/>
      <c r="FB1" s="441"/>
      <c r="FC1" s="441"/>
      <c r="FD1" s="441"/>
      <c r="FE1" s="441"/>
      <c r="FF1" s="441"/>
      <c r="FG1" s="441"/>
      <c r="FH1" s="441"/>
      <c r="FI1" s="441"/>
      <c r="FJ1" s="441"/>
      <c r="FK1" s="438" t="s">
        <v>247</v>
      </c>
      <c r="FL1" s="438"/>
    </row>
    <row r="2" spans="1:169" x14ac:dyDescent="0.25">
      <c r="A2" s="53"/>
      <c r="B2" s="53"/>
      <c r="C2" s="53"/>
      <c r="D2" s="53"/>
      <c r="E2" s="54"/>
      <c r="F2" s="450" t="s">
        <v>0</v>
      </c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48" t="s">
        <v>186</v>
      </c>
      <c r="V2" s="449"/>
      <c r="W2" s="440" t="s">
        <v>1</v>
      </c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52">
        <v>1</v>
      </c>
      <c r="AN2" s="439"/>
      <c r="AO2" s="439"/>
      <c r="AP2" s="439"/>
      <c r="AQ2" s="439"/>
      <c r="AR2" s="439"/>
      <c r="AS2" s="439"/>
      <c r="AT2" s="439"/>
      <c r="AU2" s="439"/>
      <c r="AV2" s="439"/>
      <c r="AW2" s="439">
        <v>2</v>
      </c>
      <c r="AX2" s="439"/>
      <c r="AY2" s="439"/>
      <c r="AZ2" s="439"/>
      <c r="BA2" s="439"/>
      <c r="BB2" s="439"/>
      <c r="BC2" s="439"/>
      <c r="BD2" s="439"/>
      <c r="BE2" s="439"/>
      <c r="BF2" s="439"/>
      <c r="BG2" s="439">
        <v>3</v>
      </c>
      <c r="BH2" s="439"/>
      <c r="BI2" s="439"/>
      <c r="BJ2" s="439"/>
      <c r="BK2" s="439"/>
      <c r="BL2" s="439"/>
      <c r="BM2" s="439"/>
      <c r="BN2" s="439"/>
      <c r="BO2" s="439"/>
      <c r="BP2" s="439"/>
      <c r="BQ2" s="439">
        <v>4</v>
      </c>
      <c r="BR2" s="439"/>
      <c r="BS2" s="439"/>
      <c r="BT2" s="439"/>
      <c r="BU2" s="439"/>
      <c r="BV2" s="439"/>
      <c r="BW2" s="439"/>
      <c r="BX2" s="439"/>
      <c r="BY2" s="439"/>
      <c r="BZ2" s="439"/>
      <c r="CA2" s="439">
        <v>5</v>
      </c>
      <c r="CB2" s="439"/>
      <c r="CC2" s="439"/>
      <c r="CD2" s="439"/>
      <c r="CE2" s="439"/>
      <c r="CF2" s="439"/>
      <c r="CG2" s="439"/>
      <c r="CH2" s="439"/>
      <c r="CI2" s="439"/>
      <c r="CJ2" s="439"/>
      <c r="CK2" s="439">
        <v>6</v>
      </c>
      <c r="CL2" s="439"/>
      <c r="CM2" s="439"/>
      <c r="CN2" s="439"/>
      <c r="CO2" s="439"/>
      <c r="CP2" s="439"/>
      <c r="CQ2" s="439"/>
      <c r="CR2" s="439"/>
      <c r="CS2" s="439"/>
      <c r="CT2" s="439"/>
      <c r="CU2" s="439">
        <v>7</v>
      </c>
      <c r="CV2" s="439"/>
      <c r="CW2" s="439"/>
      <c r="CX2" s="439"/>
      <c r="CY2" s="439"/>
      <c r="CZ2" s="439"/>
      <c r="DA2" s="439"/>
      <c r="DB2" s="439"/>
      <c r="DC2" s="439"/>
      <c r="DD2" s="439"/>
      <c r="DE2" s="439">
        <v>8</v>
      </c>
      <c r="DF2" s="439"/>
      <c r="DG2" s="439"/>
      <c r="DH2" s="439"/>
      <c r="DI2" s="439"/>
      <c r="DJ2" s="439"/>
      <c r="DK2" s="439"/>
      <c r="DL2" s="439"/>
      <c r="DM2" s="439"/>
      <c r="DN2" s="439"/>
      <c r="DO2" s="439">
        <v>9</v>
      </c>
      <c r="DP2" s="439"/>
      <c r="DQ2" s="439"/>
      <c r="DR2" s="439"/>
      <c r="DS2" s="439"/>
      <c r="DT2" s="439"/>
      <c r="DU2" s="439"/>
      <c r="DV2" s="439"/>
      <c r="DW2" s="439"/>
      <c r="DX2" s="453"/>
      <c r="DY2" s="445"/>
      <c r="DZ2" s="446"/>
      <c r="EA2" s="446"/>
      <c r="EB2" s="446"/>
      <c r="EC2" s="446"/>
      <c r="ED2" s="447"/>
      <c r="EE2" s="441" t="s">
        <v>526</v>
      </c>
      <c r="EF2" s="441"/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/>
      <c r="ES2" s="441"/>
      <c r="ET2" s="441"/>
      <c r="EU2" s="441" t="s">
        <v>180</v>
      </c>
      <c r="EV2" s="441"/>
      <c r="EW2" s="441"/>
      <c r="EX2" s="441"/>
      <c r="EY2" s="441"/>
      <c r="EZ2" s="441"/>
      <c r="FA2" s="441"/>
      <c r="FB2" s="441"/>
      <c r="FC2" s="441"/>
      <c r="FD2" s="441"/>
      <c r="FE2" s="441"/>
      <c r="FF2" s="441"/>
      <c r="FG2" s="441"/>
      <c r="FH2" s="441"/>
      <c r="FI2" s="441"/>
      <c r="FJ2" s="441"/>
      <c r="FK2" s="438"/>
      <c r="FL2" s="438"/>
    </row>
    <row r="3" spans="1:169" s="51" customFormat="1" x14ac:dyDescent="0.25">
      <c r="A3" s="55" t="s">
        <v>3</v>
      </c>
      <c r="B3" s="55" t="s">
        <v>126</v>
      </c>
      <c r="C3" s="55" t="s">
        <v>127</v>
      </c>
      <c r="D3" s="55" t="s">
        <v>128</v>
      </c>
      <c r="E3" s="56" t="s">
        <v>151</v>
      </c>
      <c r="F3" s="56" t="s">
        <v>181</v>
      </c>
      <c r="G3" s="36" t="s">
        <v>2</v>
      </c>
      <c r="H3" s="37" t="s">
        <v>4</v>
      </c>
      <c r="I3" s="37" t="s">
        <v>5</v>
      </c>
      <c r="J3" s="35" t="s">
        <v>6</v>
      </c>
      <c r="K3" s="36" t="s">
        <v>7</v>
      </c>
      <c r="L3" s="36" t="s">
        <v>8</v>
      </c>
      <c r="M3" s="36" t="s">
        <v>9</v>
      </c>
      <c r="N3" s="36" t="s">
        <v>10</v>
      </c>
      <c r="O3" s="36" t="s">
        <v>11</v>
      </c>
      <c r="P3" s="36" t="s">
        <v>12</v>
      </c>
      <c r="Q3" s="36" t="s">
        <v>13</v>
      </c>
      <c r="R3" s="36" t="s">
        <v>14</v>
      </c>
      <c r="S3" s="36" t="s">
        <v>15</v>
      </c>
      <c r="T3" s="36" t="s">
        <v>16</v>
      </c>
      <c r="U3" s="37" t="s">
        <v>32</v>
      </c>
      <c r="V3" s="37" t="s">
        <v>33</v>
      </c>
      <c r="W3" s="36" t="s">
        <v>17</v>
      </c>
      <c r="X3" s="36" t="s">
        <v>18</v>
      </c>
      <c r="Y3" s="36" t="s">
        <v>182</v>
      </c>
      <c r="Z3" s="36" t="s">
        <v>183</v>
      </c>
      <c r="AA3" s="36" t="s">
        <v>20</v>
      </c>
      <c r="AB3" s="35" t="s">
        <v>21</v>
      </c>
      <c r="AC3" s="37" t="s">
        <v>22</v>
      </c>
      <c r="AD3" s="37" t="s">
        <v>23</v>
      </c>
      <c r="AE3" s="37" t="s">
        <v>24</v>
      </c>
      <c r="AF3" s="37" t="s">
        <v>25</v>
      </c>
      <c r="AG3" s="37" t="s">
        <v>26</v>
      </c>
      <c r="AH3" s="37" t="s">
        <v>27</v>
      </c>
      <c r="AI3" s="37" t="s">
        <v>28</v>
      </c>
      <c r="AJ3" s="37" t="s">
        <v>29</v>
      </c>
      <c r="AK3" s="37" t="s">
        <v>30</v>
      </c>
      <c r="AL3" s="37" t="s">
        <v>31</v>
      </c>
      <c r="AM3" s="37" t="s">
        <v>35</v>
      </c>
      <c r="AN3" s="37" t="s">
        <v>36</v>
      </c>
      <c r="AO3" s="37" t="s">
        <v>37</v>
      </c>
      <c r="AP3" s="37" t="s">
        <v>38</v>
      </c>
      <c r="AQ3" s="37" t="s">
        <v>39</v>
      </c>
      <c r="AR3" s="37" t="s">
        <v>40</v>
      </c>
      <c r="AS3" s="37" t="s">
        <v>41</v>
      </c>
      <c r="AT3" s="37" t="s">
        <v>42</v>
      </c>
      <c r="AU3" s="37" t="s">
        <v>43</v>
      </c>
      <c r="AV3" s="37" t="s">
        <v>44</v>
      </c>
      <c r="AW3" s="37" t="s">
        <v>45</v>
      </c>
      <c r="AX3" s="37" t="s">
        <v>46</v>
      </c>
      <c r="AY3" s="37" t="s">
        <v>47</v>
      </c>
      <c r="AZ3" s="57" t="s">
        <v>48</v>
      </c>
      <c r="BA3" s="57" t="s">
        <v>49</v>
      </c>
      <c r="BB3" s="57" t="s">
        <v>50</v>
      </c>
      <c r="BC3" s="57" t="s">
        <v>51</v>
      </c>
      <c r="BD3" s="57" t="s">
        <v>52</v>
      </c>
      <c r="BE3" s="57" t="s">
        <v>53</v>
      </c>
      <c r="BF3" s="57" t="s">
        <v>54</v>
      </c>
      <c r="BG3" s="57" t="s">
        <v>55</v>
      </c>
      <c r="BH3" s="57" t="s">
        <v>56</v>
      </c>
      <c r="BI3" s="57" t="s">
        <v>57</v>
      </c>
      <c r="BJ3" s="57" t="s">
        <v>58</v>
      </c>
      <c r="BK3" s="57" t="s">
        <v>59</v>
      </c>
      <c r="BL3" s="57" t="s">
        <v>60</v>
      </c>
      <c r="BM3" s="57" t="s">
        <v>61</v>
      </c>
      <c r="BN3" s="57" t="s">
        <v>62</v>
      </c>
      <c r="BO3" s="57" t="s">
        <v>63</v>
      </c>
      <c r="BP3" s="57" t="s">
        <v>64</v>
      </c>
      <c r="BQ3" s="57" t="s">
        <v>65</v>
      </c>
      <c r="BR3" s="57" t="s">
        <v>66</v>
      </c>
      <c r="BS3" s="57" t="s">
        <v>67</v>
      </c>
      <c r="BT3" s="57" t="s">
        <v>68</v>
      </c>
      <c r="BU3" s="57" t="s">
        <v>69</v>
      </c>
      <c r="BV3" s="57" t="s">
        <v>70</v>
      </c>
      <c r="BW3" s="57" t="s">
        <v>71</v>
      </c>
      <c r="BX3" s="57" t="s">
        <v>72</v>
      </c>
      <c r="BY3" s="57" t="s">
        <v>73</v>
      </c>
      <c r="BZ3" s="57" t="s">
        <v>74</v>
      </c>
      <c r="CA3" s="57" t="s">
        <v>75</v>
      </c>
      <c r="CB3" s="57" t="s">
        <v>76</v>
      </c>
      <c r="CC3" s="57" t="s">
        <v>77</v>
      </c>
      <c r="CD3" s="57" t="s">
        <v>78</v>
      </c>
      <c r="CE3" s="57" t="s">
        <v>79</v>
      </c>
      <c r="CF3" s="57" t="s">
        <v>80</v>
      </c>
      <c r="CG3" s="57" t="s">
        <v>81</v>
      </c>
      <c r="CH3" s="57" t="s">
        <v>82</v>
      </c>
      <c r="CI3" s="57" t="s">
        <v>83</v>
      </c>
      <c r="CJ3" s="57" t="s">
        <v>84</v>
      </c>
      <c r="CK3" s="57" t="s">
        <v>85</v>
      </c>
      <c r="CL3" s="57" t="s">
        <v>86</v>
      </c>
      <c r="CM3" s="57" t="s">
        <v>87</v>
      </c>
      <c r="CN3" s="57" t="s">
        <v>88</v>
      </c>
      <c r="CO3" s="57" t="s">
        <v>89</v>
      </c>
      <c r="CP3" s="57" t="s">
        <v>90</v>
      </c>
      <c r="CQ3" s="57" t="s">
        <v>91</v>
      </c>
      <c r="CR3" s="57" t="s">
        <v>92</v>
      </c>
      <c r="CS3" s="57" t="s">
        <v>93</v>
      </c>
      <c r="CT3" s="57" t="s">
        <v>94</v>
      </c>
      <c r="CU3" s="57" t="s">
        <v>95</v>
      </c>
      <c r="CV3" s="57" t="s">
        <v>96</v>
      </c>
      <c r="CW3" s="57" t="s">
        <v>97</v>
      </c>
      <c r="CX3" s="57" t="s">
        <v>98</v>
      </c>
      <c r="CY3" s="57" t="s">
        <v>99</v>
      </c>
      <c r="CZ3" s="57" t="s">
        <v>100</v>
      </c>
      <c r="DA3" s="57" t="s">
        <v>101</v>
      </c>
      <c r="DB3" s="57" t="s">
        <v>102</v>
      </c>
      <c r="DC3" s="57" t="s">
        <v>103</v>
      </c>
      <c r="DD3" s="57" t="s">
        <v>104</v>
      </c>
      <c r="DE3" s="57" t="s">
        <v>105</v>
      </c>
      <c r="DF3" s="57" t="s">
        <v>106</v>
      </c>
      <c r="DG3" s="57" t="s">
        <v>107</v>
      </c>
      <c r="DH3" s="57" t="s">
        <v>108</v>
      </c>
      <c r="DI3" s="57" t="s">
        <v>109</v>
      </c>
      <c r="DJ3" s="57" t="s">
        <v>110</v>
      </c>
      <c r="DK3" s="57" t="s">
        <v>111</v>
      </c>
      <c r="DL3" s="57" t="s">
        <v>112</v>
      </c>
      <c r="DM3" s="57" t="s">
        <v>113</v>
      </c>
      <c r="DN3" s="57" t="s">
        <v>114</v>
      </c>
      <c r="DO3" s="57" t="s">
        <v>115</v>
      </c>
      <c r="DP3" s="57" t="s">
        <v>116</v>
      </c>
      <c r="DQ3" s="57" t="s">
        <v>117</v>
      </c>
      <c r="DR3" s="57" t="s">
        <v>118</v>
      </c>
      <c r="DS3" s="57" t="s">
        <v>119</v>
      </c>
      <c r="DT3" s="57" t="s">
        <v>120</v>
      </c>
      <c r="DU3" s="57" t="s">
        <v>121</v>
      </c>
      <c r="DV3" s="57" t="s">
        <v>122</v>
      </c>
      <c r="DW3" s="57" t="s">
        <v>123</v>
      </c>
      <c r="DX3" s="57" t="s">
        <v>124</v>
      </c>
      <c r="DY3" s="57" t="s">
        <v>145</v>
      </c>
      <c r="DZ3" s="57" t="s">
        <v>148</v>
      </c>
      <c r="EA3" s="57" t="s">
        <v>149</v>
      </c>
      <c r="EB3" s="57" t="s">
        <v>146</v>
      </c>
      <c r="EC3" s="57" t="s">
        <v>147</v>
      </c>
      <c r="ED3" s="57" t="s">
        <v>150</v>
      </c>
      <c r="EE3" s="57" t="s">
        <v>152</v>
      </c>
      <c r="EF3" s="57" t="s">
        <v>153</v>
      </c>
      <c r="EG3" s="57" t="s">
        <v>154</v>
      </c>
      <c r="EH3" s="57" t="s">
        <v>155</v>
      </c>
      <c r="EI3" s="57" t="s">
        <v>156</v>
      </c>
      <c r="EJ3" s="57" t="s">
        <v>157</v>
      </c>
      <c r="EK3" s="57" t="s">
        <v>158</v>
      </c>
      <c r="EL3" s="57" t="s">
        <v>159</v>
      </c>
      <c r="EM3" s="57" t="s">
        <v>160</v>
      </c>
      <c r="EN3" s="57" t="s">
        <v>161</v>
      </c>
      <c r="EO3" s="57" t="s">
        <v>162</v>
      </c>
      <c r="EP3" s="57" t="s">
        <v>163</v>
      </c>
      <c r="EQ3" s="57" t="s">
        <v>372</v>
      </c>
      <c r="ER3" s="57" t="s">
        <v>466</v>
      </c>
      <c r="ES3" s="57" t="s">
        <v>467</v>
      </c>
      <c r="ET3" s="57" t="s">
        <v>164</v>
      </c>
      <c r="EU3" s="57" t="s">
        <v>165</v>
      </c>
      <c r="EV3" s="57" t="s">
        <v>166</v>
      </c>
      <c r="EW3" s="57" t="s">
        <v>167</v>
      </c>
      <c r="EX3" s="57" t="s">
        <v>168</v>
      </c>
      <c r="EY3" s="57" t="s">
        <v>169</v>
      </c>
      <c r="EZ3" s="57" t="s">
        <v>170</v>
      </c>
      <c r="FA3" s="57" t="s">
        <v>171</v>
      </c>
      <c r="FB3" s="57" t="s">
        <v>172</v>
      </c>
      <c r="FC3" s="57" t="s">
        <v>173</v>
      </c>
      <c r="FD3" s="57" t="s">
        <v>174</v>
      </c>
      <c r="FE3" s="57" t="s">
        <v>175</v>
      </c>
      <c r="FF3" s="57" t="s">
        <v>176</v>
      </c>
      <c r="FG3" s="57" t="s">
        <v>371</v>
      </c>
      <c r="FH3" s="57" t="s">
        <v>468</v>
      </c>
      <c r="FI3" s="57" t="s">
        <v>469</v>
      </c>
      <c r="FJ3" s="57" t="s">
        <v>177</v>
      </c>
      <c r="FK3" s="57" t="s">
        <v>245</v>
      </c>
      <c r="FL3" s="57" t="s">
        <v>246</v>
      </c>
      <c r="FM3" s="57" t="s">
        <v>248</v>
      </c>
    </row>
    <row r="4" spans="1:169" x14ac:dyDescent="0.25">
      <c r="A4" s="53">
        <v>40276</v>
      </c>
      <c r="B4" s="53" t="s">
        <v>19</v>
      </c>
      <c r="C4" s="53" t="s">
        <v>131</v>
      </c>
      <c r="D4" s="53" t="s">
        <v>370</v>
      </c>
      <c r="E4" s="54">
        <v>6512</v>
      </c>
      <c r="F4" s="58">
        <v>1</v>
      </c>
      <c r="G4" s="59" t="s">
        <v>424</v>
      </c>
      <c r="H4" s="6">
        <v>0</v>
      </c>
      <c r="I4" s="6">
        <v>0</v>
      </c>
      <c r="J4" s="60">
        <v>4</v>
      </c>
      <c r="K4" s="6">
        <v>4</v>
      </c>
      <c r="L4" s="6">
        <v>1</v>
      </c>
      <c r="M4" s="6">
        <v>1</v>
      </c>
      <c r="N4" s="6">
        <v>2</v>
      </c>
      <c r="O4" s="6">
        <v>2</v>
      </c>
      <c r="P4" s="6">
        <v>0</v>
      </c>
      <c r="Q4" s="6">
        <v>0</v>
      </c>
      <c r="R4" s="6">
        <v>26</v>
      </c>
      <c r="S4" s="6">
        <v>69</v>
      </c>
      <c r="T4" s="6">
        <v>37</v>
      </c>
      <c r="U4" s="6">
        <v>0</v>
      </c>
      <c r="V4" s="61">
        <v>0</v>
      </c>
      <c r="W4" s="62">
        <v>0</v>
      </c>
      <c r="X4" s="62">
        <v>1</v>
      </c>
      <c r="Y4" s="62">
        <v>0</v>
      </c>
      <c r="Z4" s="62">
        <v>0</v>
      </c>
      <c r="AA4" s="62">
        <v>0</v>
      </c>
      <c r="AB4" s="63">
        <v>6</v>
      </c>
      <c r="AC4" s="62">
        <v>6</v>
      </c>
      <c r="AD4" s="62">
        <v>2</v>
      </c>
      <c r="AE4" s="62">
        <v>2</v>
      </c>
      <c r="AF4" s="62">
        <v>2</v>
      </c>
      <c r="AG4" s="62">
        <v>5</v>
      </c>
      <c r="AH4" s="62">
        <v>0</v>
      </c>
      <c r="AI4" s="62">
        <v>1</v>
      </c>
      <c r="AJ4" s="62">
        <v>26</v>
      </c>
      <c r="AK4" s="62">
        <v>106</v>
      </c>
      <c r="AL4" s="62">
        <v>70</v>
      </c>
      <c r="AM4" s="1" t="s">
        <v>442</v>
      </c>
      <c r="AN4" s="78">
        <v>5</v>
      </c>
      <c r="AO4" s="78">
        <v>0</v>
      </c>
      <c r="AP4" s="78">
        <v>0</v>
      </c>
      <c r="AQ4" s="78">
        <v>0</v>
      </c>
      <c r="AR4" s="78">
        <v>0</v>
      </c>
      <c r="AS4" s="78">
        <v>0</v>
      </c>
      <c r="AT4" s="78">
        <v>0</v>
      </c>
      <c r="AU4" s="78">
        <v>0</v>
      </c>
      <c r="AV4" s="76">
        <v>0</v>
      </c>
      <c r="AW4" s="1" t="s">
        <v>441</v>
      </c>
      <c r="AX4" s="78">
        <v>3</v>
      </c>
      <c r="AY4" s="78">
        <v>0</v>
      </c>
      <c r="AZ4" s="78">
        <v>1</v>
      </c>
      <c r="BA4" s="78">
        <v>1</v>
      </c>
      <c r="BB4" s="78">
        <v>0</v>
      </c>
      <c r="BC4" s="78">
        <v>2</v>
      </c>
      <c r="BD4" s="78">
        <v>0</v>
      </c>
      <c r="BE4" s="78">
        <v>0</v>
      </c>
      <c r="BF4" s="76">
        <v>1</v>
      </c>
      <c r="BG4" s="1" t="s">
        <v>367</v>
      </c>
      <c r="BH4" s="78">
        <v>4</v>
      </c>
      <c r="BI4" s="78">
        <v>0</v>
      </c>
      <c r="BJ4" s="78">
        <v>0</v>
      </c>
      <c r="BK4" s="78">
        <v>0</v>
      </c>
      <c r="BL4" s="78">
        <v>0</v>
      </c>
      <c r="BM4" s="78">
        <v>0</v>
      </c>
      <c r="BN4" s="78">
        <v>1</v>
      </c>
      <c r="BO4" s="78">
        <v>0</v>
      </c>
      <c r="BP4" s="76">
        <v>0</v>
      </c>
      <c r="BQ4" s="1" t="s">
        <v>366</v>
      </c>
      <c r="BR4" s="78">
        <v>5</v>
      </c>
      <c r="BS4" s="78">
        <v>1</v>
      </c>
      <c r="BT4" s="78">
        <v>2</v>
      </c>
      <c r="BU4" s="78">
        <v>0</v>
      </c>
      <c r="BV4" s="78">
        <v>0</v>
      </c>
      <c r="BW4" s="78">
        <v>1</v>
      </c>
      <c r="BX4" s="78">
        <v>0</v>
      </c>
      <c r="BY4" s="78">
        <v>0</v>
      </c>
      <c r="BZ4" s="76">
        <v>2</v>
      </c>
      <c r="CA4" s="1" t="s">
        <v>407</v>
      </c>
      <c r="CB4" s="78">
        <v>5</v>
      </c>
      <c r="CC4" s="78">
        <v>0</v>
      </c>
      <c r="CD4" s="78">
        <v>1</v>
      </c>
      <c r="CE4" s="78">
        <v>0</v>
      </c>
      <c r="CF4" s="78">
        <v>0</v>
      </c>
      <c r="CG4" s="78">
        <v>1</v>
      </c>
      <c r="CH4" s="78">
        <v>0</v>
      </c>
      <c r="CI4" s="78">
        <v>0</v>
      </c>
      <c r="CJ4" s="76">
        <v>1</v>
      </c>
      <c r="CK4" s="1" t="s">
        <v>445</v>
      </c>
      <c r="CL4" s="78">
        <v>5</v>
      </c>
      <c r="CM4" s="78">
        <v>0</v>
      </c>
      <c r="CN4" s="78">
        <v>3</v>
      </c>
      <c r="CO4" s="78">
        <v>0</v>
      </c>
      <c r="CP4" s="78">
        <v>0</v>
      </c>
      <c r="CQ4" s="78">
        <v>1</v>
      </c>
      <c r="CR4" s="78">
        <v>0</v>
      </c>
      <c r="CS4" s="78">
        <v>0</v>
      </c>
      <c r="CT4" s="76">
        <v>3</v>
      </c>
      <c r="CU4" s="1" t="s">
        <v>444</v>
      </c>
      <c r="CV4" s="78">
        <v>3</v>
      </c>
      <c r="CW4" s="78">
        <v>0</v>
      </c>
      <c r="CX4" s="78">
        <v>2</v>
      </c>
      <c r="CY4" s="78">
        <v>1</v>
      </c>
      <c r="CZ4" s="78">
        <v>1</v>
      </c>
      <c r="DA4" s="78">
        <v>0</v>
      </c>
      <c r="DB4" s="78">
        <v>0</v>
      </c>
      <c r="DC4" s="78">
        <v>0</v>
      </c>
      <c r="DD4" s="76">
        <v>3</v>
      </c>
      <c r="DE4" s="1" t="s">
        <v>447</v>
      </c>
      <c r="DF4" s="78">
        <v>4</v>
      </c>
      <c r="DG4" s="78">
        <v>1</v>
      </c>
      <c r="DH4" s="78">
        <v>1</v>
      </c>
      <c r="DI4" s="78">
        <v>0</v>
      </c>
      <c r="DJ4" s="78">
        <v>0</v>
      </c>
      <c r="DK4" s="78">
        <v>0</v>
      </c>
      <c r="DL4" s="78">
        <v>0</v>
      </c>
      <c r="DM4" s="78">
        <v>0</v>
      </c>
      <c r="DN4" s="76">
        <v>2</v>
      </c>
      <c r="DO4" s="1" t="s">
        <v>448</v>
      </c>
      <c r="DP4" s="78">
        <v>4</v>
      </c>
      <c r="DQ4" s="78">
        <v>0</v>
      </c>
      <c r="DR4" s="78">
        <v>0</v>
      </c>
      <c r="DS4" s="78">
        <v>0</v>
      </c>
      <c r="DT4" s="78">
        <v>0</v>
      </c>
      <c r="DU4" s="78">
        <v>1</v>
      </c>
      <c r="DV4" s="78">
        <v>0</v>
      </c>
      <c r="DW4" s="78">
        <v>0</v>
      </c>
      <c r="DX4" s="76">
        <v>0</v>
      </c>
      <c r="DY4" s="77">
        <v>0</v>
      </c>
      <c r="DZ4" s="43">
        <v>0</v>
      </c>
      <c r="EA4" s="43">
        <v>0</v>
      </c>
      <c r="EB4" s="45">
        <v>10</v>
      </c>
      <c r="EC4" s="43">
        <v>1</v>
      </c>
      <c r="ED4" s="44">
        <v>0</v>
      </c>
      <c r="EE4" s="71">
        <v>0</v>
      </c>
      <c r="EF4" s="43">
        <v>0</v>
      </c>
      <c r="EG4" s="43">
        <v>1</v>
      </c>
      <c r="EH4" s="43">
        <v>0</v>
      </c>
      <c r="EI4" s="43">
        <v>0</v>
      </c>
      <c r="EJ4" s="43">
        <v>1</v>
      </c>
      <c r="EK4" s="43">
        <v>0</v>
      </c>
      <c r="EL4" s="43">
        <v>0</v>
      </c>
      <c r="EM4" s="43">
        <v>0</v>
      </c>
      <c r="EN4" s="43">
        <v>0</v>
      </c>
      <c r="EO4" s="43"/>
      <c r="EP4" s="43"/>
      <c r="EQ4" s="43"/>
      <c r="ER4" s="43"/>
      <c r="ES4" s="43"/>
      <c r="ET4" s="44">
        <f t="shared" ref="ET4:ET35" si="0">SUM(EE4:ES4)</f>
        <v>2</v>
      </c>
      <c r="EU4" s="43">
        <v>1</v>
      </c>
      <c r="EV4" s="43">
        <v>0</v>
      </c>
      <c r="EW4" s="43">
        <v>0</v>
      </c>
      <c r="EX4" s="43">
        <v>0</v>
      </c>
      <c r="EY4" s="43">
        <v>0</v>
      </c>
      <c r="EZ4" s="43">
        <v>1</v>
      </c>
      <c r="FA4" s="43">
        <v>0</v>
      </c>
      <c r="FB4" s="43">
        <v>0</v>
      </c>
      <c r="FC4" s="43">
        <v>0</v>
      </c>
      <c r="FD4" s="43">
        <v>1</v>
      </c>
      <c r="FE4" s="43"/>
      <c r="FF4" s="43"/>
      <c r="FG4" s="43"/>
      <c r="FH4" s="43"/>
      <c r="FI4" s="43"/>
      <c r="FJ4" s="43">
        <f t="shared" ref="FJ4:FJ35" si="1">SUM(EU4:FI4)</f>
        <v>3</v>
      </c>
      <c r="FK4" s="73">
        <f t="shared" ref="FK4:FK13" si="2">((SUM(L4,AD4))-(FJ4))</f>
        <v>0</v>
      </c>
      <c r="FL4" s="73">
        <f t="shared" ref="FL4:FL13" si="3">((SUM(AO4,AY4,BI4,BS4,CC4,CM4,CW4,DG4,DQ4))-(ET4))</f>
        <v>0</v>
      </c>
      <c r="FM4" s="38"/>
    </row>
    <row r="5" spans="1:169" x14ac:dyDescent="0.25">
      <c r="A5" s="53">
        <v>40277</v>
      </c>
      <c r="B5" s="53" t="s">
        <v>19</v>
      </c>
      <c r="C5" s="53" t="s">
        <v>131</v>
      </c>
      <c r="D5" s="53" t="s">
        <v>370</v>
      </c>
      <c r="E5" s="54">
        <v>4537</v>
      </c>
      <c r="F5" s="58">
        <v>2</v>
      </c>
      <c r="G5" s="59" t="s">
        <v>341</v>
      </c>
      <c r="H5" s="6">
        <v>0</v>
      </c>
      <c r="I5" s="6">
        <v>0</v>
      </c>
      <c r="J5" s="60">
        <v>4</v>
      </c>
      <c r="K5" s="6">
        <v>6</v>
      </c>
      <c r="L5" s="6">
        <v>4</v>
      </c>
      <c r="M5" s="6">
        <v>2</v>
      </c>
      <c r="N5" s="6">
        <v>1</v>
      </c>
      <c r="O5" s="6">
        <v>2</v>
      </c>
      <c r="P5" s="6">
        <v>0</v>
      </c>
      <c r="Q5" s="6">
        <v>0</v>
      </c>
      <c r="R5" s="6">
        <v>20</v>
      </c>
      <c r="S5" s="6">
        <v>72</v>
      </c>
      <c r="T5" s="6">
        <v>47</v>
      </c>
      <c r="U5" s="6">
        <v>0</v>
      </c>
      <c r="V5" s="61">
        <v>0</v>
      </c>
      <c r="W5" s="62">
        <v>0</v>
      </c>
      <c r="X5" s="62">
        <v>1</v>
      </c>
      <c r="Y5" s="62">
        <v>0</v>
      </c>
      <c r="Z5" s="62">
        <v>0</v>
      </c>
      <c r="AA5" s="62">
        <v>0</v>
      </c>
      <c r="AB5" s="63">
        <v>9</v>
      </c>
      <c r="AC5" s="62">
        <v>10</v>
      </c>
      <c r="AD5" s="62">
        <v>5</v>
      </c>
      <c r="AE5" s="62">
        <v>5</v>
      </c>
      <c r="AF5" s="62">
        <v>4</v>
      </c>
      <c r="AG5" s="62">
        <v>10</v>
      </c>
      <c r="AH5" s="62">
        <v>0</v>
      </c>
      <c r="AI5" s="62">
        <v>1</v>
      </c>
      <c r="AJ5" s="62">
        <v>39</v>
      </c>
      <c r="AK5" s="62">
        <v>150</v>
      </c>
      <c r="AL5" s="62">
        <v>94</v>
      </c>
      <c r="AM5" s="1" t="s">
        <v>442</v>
      </c>
      <c r="AN5" s="78">
        <v>4</v>
      </c>
      <c r="AO5" s="78">
        <v>1</v>
      </c>
      <c r="AP5" s="78">
        <v>1</v>
      </c>
      <c r="AQ5" s="78">
        <v>0</v>
      </c>
      <c r="AR5" s="78">
        <v>1</v>
      </c>
      <c r="AS5" s="78">
        <v>0</v>
      </c>
      <c r="AT5" s="78">
        <v>0</v>
      </c>
      <c r="AU5" s="78">
        <v>0</v>
      </c>
      <c r="AV5" s="76">
        <v>1</v>
      </c>
      <c r="AW5" s="1" t="s">
        <v>441</v>
      </c>
      <c r="AX5" s="78">
        <v>5</v>
      </c>
      <c r="AY5" s="78">
        <v>0</v>
      </c>
      <c r="AZ5" s="78">
        <v>0</v>
      </c>
      <c r="BA5" s="78">
        <v>0</v>
      </c>
      <c r="BB5" s="78">
        <v>1</v>
      </c>
      <c r="BC5" s="78">
        <v>0</v>
      </c>
      <c r="BD5" s="78">
        <v>0</v>
      </c>
      <c r="BE5" s="78">
        <v>0</v>
      </c>
      <c r="BF5" s="76">
        <v>0</v>
      </c>
      <c r="BG5" s="1" t="s">
        <v>367</v>
      </c>
      <c r="BH5" s="78">
        <v>6</v>
      </c>
      <c r="BI5" s="78">
        <v>1</v>
      </c>
      <c r="BJ5" s="78">
        <v>1</v>
      </c>
      <c r="BK5" s="78">
        <v>0</v>
      </c>
      <c r="BL5" s="78">
        <v>0</v>
      </c>
      <c r="BM5" s="78">
        <v>1</v>
      </c>
      <c r="BN5" s="78">
        <v>0</v>
      </c>
      <c r="BO5" s="78">
        <v>0</v>
      </c>
      <c r="BP5" s="76">
        <v>1</v>
      </c>
      <c r="BQ5" s="1" t="s">
        <v>366</v>
      </c>
      <c r="BR5" s="78">
        <v>6</v>
      </c>
      <c r="BS5" s="78">
        <v>1</v>
      </c>
      <c r="BT5" s="78">
        <v>2</v>
      </c>
      <c r="BU5" s="78">
        <v>2</v>
      </c>
      <c r="BV5" s="78">
        <v>0</v>
      </c>
      <c r="BW5" s="78">
        <v>2</v>
      </c>
      <c r="BX5" s="78">
        <v>0</v>
      </c>
      <c r="BY5" s="78">
        <v>0</v>
      </c>
      <c r="BZ5" s="76">
        <v>5</v>
      </c>
      <c r="CA5" s="1" t="s">
        <v>407</v>
      </c>
      <c r="CB5" s="78">
        <v>4</v>
      </c>
      <c r="CC5" s="78">
        <v>0</v>
      </c>
      <c r="CD5" s="78">
        <v>0</v>
      </c>
      <c r="CE5" s="78">
        <v>0</v>
      </c>
      <c r="CF5" s="78">
        <v>2</v>
      </c>
      <c r="CG5" s="78">
        <v>1</v>
      </c>
      <c r="CH5" s="78">
        <v>0</v>
      </c>
      <c r="CI5" s="78">
        <v>0</v>
      </c>
      <c r="CJ5" s="76">
        <v>0</v>
      </c>
      <c r="CK5" s="1" t="s">
        <v>445</v>
      </c>
      <c r="CL5" s="78">
        <v>5</v>
      </c>
      <c r="CM5" s="78">
        <v>1</v>
      </c>
      <c r="CN5" s="78">
        <v>1</v>
      </c>
      <c r="CO5" s="78">
        <v>0</v>
      </c>
      <c r="CP5" s="78">
        <v>0</v>
      </c>
      <c r="CQ5" s="78">
        <v>1</v>
      </c>
      <c r="CR5" s="78">
        <v>0</v>
      </c>
      <c r="CS5" s="78">
        <v>0</v>
      </c>
      <c r="CT5" s="76">
        <v>2</v>
      </c>
      <c r="CU5" s="1" t="s">
        <v>444</v>
      </c>
      <c r="CV5" s="78">
        <v>4</v>
      </c>
      <c r="CW5" s="78">
        <v>0</v>
      </c>
      <c r="CX5" s="78">
        <v>1</v>
      </c>
      <c r="CY5" s="78">
        <v>2</v>
      </c>
      <c r="CZ5" s="78">
        <v>2</v>
      </c>
      <c r="DA5" s="78">
        <v>1</v>
      </c>
      <c r="DB5" s="78">
        <v>0</v>
      </c>
      <c r="DC5" s="78">
        <v>0</v>
      </c>
      <c r="DD5" s="76">
        <v>1</v>
      </c>
      <c r="DE5" s="1" t="s">
        <v>447</v>
      </c>
      <c r="DF5" s="78">
        <v>5</v>
      </c>
      <c r="DG5" s="78">
        <v>0</v>
      </c>
      <c r="DH5" s="78">
        <v>0</v>
      </c>
      <c r="DI5" s="78">
        <v>0</v>
      </c>
      <c r="DJ5" s="78">
        <v>0</v>
      </c>
      <c r="DK5" s="78">
        <v>2</v>
      </c>
      <c r="DL5" s="78">
        <v>0</v>
      </c>
      <c r="DM5" s="78">
        <v>0</v>
      </c>
      <c r="DN5" s="76">
        <v>0</v>
      </c>
      <c r="DO5" s="1" t="s">
        <v>448</v>
      </c>
      <c r="DP5" s="78">
        <v>5</v>
      </c>
      <c r="DQ5" s="78">
        <v>0</v>
      </c>
      <c r="DR5" s="78">
        <v>1</v>
      </c>
      <c r="DS5" s="78">
        <v>0</v>
      </c>
      <c r="DT5" s="78">
        <v>0</v>
      </c>
      <c r="DU5" s="78">
        <v>1</v>
      </c>
      <c r="DV5" s="78">
        <v>0</v>
      </c>
      <c r="DW5" s="78">
        <v>0</v>
      </c>
      <c r="DX5" s="76">
        <v>2</v>
      </c>
      <c r="DY5" s="77">
        <f>6+1/3</f>
        <v>6.333333333333333</v>
      </c>
      <c r="DZ5" s="43">
        <v>0</v>
      </c>
      <c r="EA5" s="43">
        <v>1</v>
      </c>
      <c r="EB5" s="45">
        <f>6+2/3</f>
        <v>6.666666666666667</v>
      </c>
      <c r="EC5" s="43">
        <v>1</v>
      </c>
      <c r="ED5" s="44">
        <v>0</v>
      </c>
      <c r="EE5" s="71">
        <v>1</v>
      </c>
      <c r="EF5" s="43">
        <v>0</v>
      </c>
      <c r="EG5" s="43">
        <v>0</v>
      </c>
      <c r="EH5" s="43">
        <v>0</v>
      </c>
      <c r="EI5" s="43">
        <v>0</v>
      </c>
      <c r="EJ5" s="43">
        <v>2</v>
      </c>
      <c r="EK5" s="43">
        <v>0</v>
      </c>
      <c r="EL5" s="43">
        <v>1</v>
      </c>
      <c r="EM5" s="43">
        <v>0</v>
      </c>
      <c r="EN5" s="43">
        <v>0</v>
      </c>
      <c r="EO5" s="43">
        <v>0</v>
      </c>
      <c r="EP5" s="43">
        <v>0</v>
      </c>
      <c r="EQ5" s="43">
        <v>0</v>
      </c>
      <c r="ER5" s="43"/>
      <c r="ES5" s="43"/>
      <c r="ET5" s="44">
        <f t="shared" si="0"/>
        <v>4</v>
      </c>
      <c r="EU5" s="43">
        <v>0</v>
      </c>
      <c r="EV5" s="43">
        <v>2</v>
      </c>
      <c r="EW5" s="43">
        <v>2</v>
      </c>
      <c r="EX5" s="43">
        <v>0</v>
      </c>
      <c r="EY5" s="43">
        <v>0</v>
      </c>
      <c r="EZ5" s="43">
        <v>0</v>
      </c>
      <c r="FA5" s="43">
        <v>0</v>
      </c>
      <c r="FB5" s="43">
        <v>0</v>
      </c>
      <c r="FC5" s="43">
        <v>0</v>
      </c>
      <c r="FD5" s="43">
        <v>0</v>
      </c>
      <c r="FE5" s="43">
        <v>0</v>
      </c>
      <c r="FF5" s="43">
        <v>0</v>
      </c>
      <c r="FG5" s="43">
        <v>5</v>
      </c>
      <c r="FH5" s="43"/>
      <c r="FI5" s="43"/>
      <c r="FJ5" s="43">
        <f t="shared" si="1"/>
        <v>9</v>
      </c>
      <c r="FK5" s="73">
        <f t="shared" si="2"/>
        <v>0</v>
      </c>
      <c r="FL5" s="73">
        <f t="shared" si="3"/>
        <v>0</v>
      </c>
      <c r="FM5" s="38"/>
    </row>
    <row r="6" spans="1:169" x14ac:dyDescent="0.25">
      <c r="A6" s="53">
        <v>40278</v>
      </c>
      <c r="B6" s="53" t="s">
        <v>19</v>
      </c>
      <c r="C6" s="53" t="s">
        <v>129</v>
      </c>
      <c r="D6" s="53" t="s">
        <v>370</v>
      </c>
      <c r="E6" s="54">
        <v>6581</v>
      </c>
      <c r="F6" s="58">
        <v>3</v>
      </c>
      <c r="G6" s="59" t="s">
        <v>439</v>
      </c>
      <c r="H6" s="6">
        <v>0</v>
      </c>
      <c r="I6" s="6">
        <v>0</v>
      </c>
      <c r="J6" s="60">
        <v>5</v>
      </c>
      <c r="K6" s="6">
        <v>3</v>
      </c>
      <c r="L6" s="6">
        <v>0</v>
      </c>
      <c r="M6" s="6">
        <v>0</v>
      </c>
      <c r="N6" s="6">
        <v>2</v>
      </c>
      <c r="O6" s="6">
        <v>3</v>
      </c>
      <c r="P6" s="6">
        <v>0</v>
      </c>
      <c r="Q6" s="6">
        <v>0</v>
      </c>
      <c r="R6" s="6">
        <v>18</v>
      </c>
      <c r="S6" s="6">
        <v>70</v>
      </c>
      <c r="T6" s="6">
        <v>42</v>
      </c>
      <c r="U6" s="6">
        <v>0</v>
      </c>
      <c r="V6" s="61">
        <v>0</v>
      </c>
      <c r="W6" s="62">
        <v>1</v>
      </c>
      <c r="X6" s="62">
        <v>0</v>
      </c>
      <c r="Y6" s="62">
        <v>0</v>
      </c>
      <c r="Z6" s="62">
        <v>1</v>
      </c>
      <c r="AA6" s="62">
        <v>0</v>
      </c>
      <c r="AB6" s="63">
        <v>4</v>
      </c>
      <c r="AC6" s="62">
        <v>2</v>
      </c>
      <c r="AD6" s="62">
        <v>0</v>
      </c>
      <c r="AE6" s="62">
        <v>0</v>
      </c>
      <c r="AF6" s="62">
        <v>0</v>
      </c>
      <c r="AG6" s="62">
        <v>5</v>
      </c>
      <c r="AH6" s="62">
        <v>0</v>
      </c>
      <c r="AI6" s="62">
        <v>1</v>
      </c>
      <c r="AJ6" s="62">
        <v>15</v>
      </c>
      <c r="AK6" s="62">
        <v>51</v>
      </c>
      <c r="AL6" s="62">
        <v>37</v>
      </c>
      <c r="AM6" s="1" t="s">
        <v>441</v>
      </c>
      <c r="AN6" s="78">
        <v>2</v>
      </c>
      <c r="AO6" s="78">
        <v>0</v>
      </c>
      <c r="AP6" s="78">
        <v>2</v>
      </c>
      <c r="AQ6" s="78">
        <v>0</v>
      </c>
      <c r="AR6" s="78">
        <v>2</v>
      </c>
      <c r="AS6" s="78">
        <v>0</v>
      </c>
      <c r="AT6" s="78">
        <v>0</v>
      </c>
      <c r="AU6" s="78">
        <v>0</v>
      </c>
      <c r="AV6" s="76">
        <v>2</v>
      </c>
      <c r="AW6" s="1" t="s">
        <v>365</v>
      </c>
      <c r="AX6" s="78">
        <v>3</v>
      </c>
      <c r="AY6" s="78">
        <v>0</v>
      </c>
      <c r="AZ6" s="78">
        <v>1</v>
      </c>
      <c r="BA6" s="78">
        <v>0</v>
      </c>
      <c r="BB6" s="78">
        <v>0</v>
      </c>
      <c r="BC6" s="78">
        <v>0</v>
      </c>
      <c r="BD6" s="78">
        <v>0</v>
      </c>
      <c r="BE6" s="78">
        <v>0</v>
      </c>
      <c r="BF6" s="76">
        <v>1</v>
      </c>
      <c r="BG6" s="1" t="s">
        <v>367</v>
      </c>
      <c r="BH6" s="78">
        <v>4</v>
      </c>
      <c r="BI6" s="78">
        <v>0</v>
      </c>
      <c r="BJ6" s="78">
        <v>0</v>
      </c>
      <c r="BK6" s="78">
        <v>0</v>
      </c>
      <c r="BL6" s="78">
        <v>0</v>
      </c>
      <c r="BM6" s="78">
        <v>1</v>
      </c>
      <c r="BN6" s="78">
        <v>0</v>
      </c>
      <c r="BO6" s="78">
        <v>0</v>
      </c>
      <c r="BP6" s="76">
        <v>0</v>
      </c>
      <c r="BQ6" s="1" t="s">
        <v>366</v>
      </c>
      <c r="BR6" s="78">
        <v>3</v>
      </c>
      <c r="BS6" s="78">
        <v>0</v>
      </c>
      <c r="BT6" s="78">
        <v>0</v>
      </c>
      <c r="BU6" s="78">
        <v>0</v>
      </c>
      <c r="BV6" s="78">
        <v>1</v>
      </c>
      <c r="BW6" s="78">
        <v>3</v>
      </c>
      <c r="BX6" s="78">
        <v>0</v>
      </c>
      <c r="BY6" s="78">
        <v>0</v>
      </c>
      <c r="BZ6" s="76">
        <v>0</v>
      </c>
      <c r="CA6" s="1" t="s">
        <v>407</v>
      </c>
      <c r="CB6" s="78">
        <v>4</v>
      </c>
      <c r="CC6" s="78">
        <v>0</v>
      </c>
      <c r="CD6" s="78">
        <v>0</v>
      </c>
      <c r="CE6" s="78">
        <v>0</v>
      </c>
      <c r="CF6" s="78">
        <v>0</v>
      </c>
      <c r="CG6" s="78">
        <v>1</v>
      </c>
      <c r="CH6" s="78">
        <v>0</v>
      </c>
      <c r="CI6" s="78">
        <v>0</v>
      </c>
      <c r="CJ6" s="76">
        <v>0</v>
      </c>
      <c r="CK6" s="1" t="s">
        <v>445</v>
      </c>
      <c r="CL6" s="78">
        <v>4</v>
      </c>
      <c r="CM6" s="78">
        <v>0</v>
      </c>
      <c r="CN6" s="78">
        <v>2</v>
      </c>
      <c r="CO6" s="78">
        <v>0</v>
      </c>
      <c r="CP6" s="78">
        <v>0</v>
      </c>
      <c r="CQ6" s="78">
        <v>1</v>
      </c>
      <c r="CR6" s="78">
        <v>0</v>
      </c>
      <c r="CS6" s="78">
        <v>0</v>
      </c>
      <c r="CT6" s="76">
        <v>3</v>
      </c>
      <c r="CU6" s="1" t="s">
        <v>444</v>
      </c>
      <c r="CV6" s="78">
        <v>4</v>
      </c>
      <c r="CW6" s="78">
        <v>0</v>
      </c>
      <c r="CX6" s="78">
        <v>0</v>
      </c>
      <c r="CY6" s="78">
        <v>0</v>
      </c>
      <c r="CZ6" s="78">
        <v>0</v>
      </c>
      <c r="DA6" s="78">
        <v>1</v>
      </c>
      <c r="DB6" s="78">
        <v>0</v>
      </c>
      <c r="DC6" s="78">
        <v>0</v>
      </c>
      <c r="DD6" s="76">
        <v>0</v>
      </c>
      <c r="DE6" s="1" t="s">
        <v>364</v>
      </c>
      <c r="DF6" s="78">
        <v>4</v>
      </c>
      <c r="DG6" s="78">
        <v>1</v>
      </c>
      <c r="DH6" s="78">
        <v>2</v>
      </c>
      <c r="DI6" s="78">
        <v>0</v>
      </c>
      <c r="DJ6" s="78">
        <v>0</v>
      </c>
      <c r="DK6" s="78">
        <v>0</v>
      </c>
      <c r="DL6" s="78">
        <v>0</v>
      </c>
      <c r="DM6" s="78">
        <v>0</v>
      </c>
      <c r="DN6" s="76">
        <v>2</v>
      </c>
      <c r="DO6" s="1" t="s">
        <v>448</v>
      </c>
      <c r="DP6" s="78">
        <v>4</v>
      </c>
      <c r="DQ6" s="78">
        <v>0</v>
      </c>
      <c r="DR6" s="78">
        <v>2</v>
      </c>
      <c r="DS6" s="78">
        <v>1</v>
      </c>
      <c r="DT6" s="78">
        <v>0</v>
      </c>
      <c r="DU6" s="78">
        <v>0</v>
      </c>
      <c r="DV6" s="78">
        <v>0</v>
      </c>
      <c r="DW6" s="78">
        <v>0</v>
      </c>
      <c r="DX6" s="76">
        <v>4</v>
      </c>
      <c r="DY6" s="77">
        <v>0</v>
      </c>
      <c r="DZ6" s="43">
        <v>0</v>
      </c>
      <c r="EA6" s="43">
        <v>0</v>
      </c>
      <c r="EB6" s="45">
        <v>8</v>
      </c>
      <c r="EC6" s="43">
        <v>0</v>
      </c>
      <c r="ED6" s="44">
        <v>0</v>
      </c>
      <c r="EE6" s="71">
        <v>0</v>
      </c>
      <c r="EF6" s="43">
        <v>0</v>
      </c>
      <c r="EG6" s="43">
        <v>0</v>
      </c>
      <c r="EH6" s="43">
        <v>0</v>
      </c>
      <c r="EI6" s="43">
        <v>0</v>
      </c>
      <c r="EJ6" s="43">
        <v>1</v>
      </c>
      <c r="EK6" s="43">
        <v>0</v>
      </c>
      <c r="EL6" s="43">
        <v>0</v>
      </c>
      <c r="EM6" s="43"/>
      <c r="EN6" s="43"/>
      <c r="EO6" s="43"/>
      <c r="EP6" s="43"/>
      <c r="EQ6" s="43"/>
      <c r="ER6" s="43"/>
      <c r="ES6" s="43"/>
      <c r="ET6" s="44">
        <f t="shared" si="0"/>
        <v>1</v>
      </c>
      <c r="EU6" s="43">
        <v>0</v>
      </c>
      <c r="EV6" s="43">
        <v>0</v>
      </c>
      <c r="EW6" s="43">
        <v>0</v>
      </c>
      <c r="EX6" s="43">
        <v>0</v>
      </c>
      <c r="EY6" s="43">
        <v>0</v>
      </c>
      <c r="EZ6" s="43">
        <v>0</v>
      </c>
      <c r="FA6" s="43">
        <v>0</v>
      </c>
      <c r="FB6" s="43">
        <v>0</v>
      </c>
      <c r="FC6" s="43">
        <v>0</v>
      </c>
      <c r="FD6" s="43"/>
      <c r="FE6" s="43"/>
      <c r="FF6" s="43"/>
      <c r="FG6" s="43"/>
      <c r="FH6" s="43"/>
      <c r="FI6" s="43"/>
      <c r="FJ6" s="43">
        <f t="shared" si="1"/>
        <v>0</v>
      </c>
      <c r="FK6" s="73">
        <f t="shared" si="2"/>
        <v>0</v>
      </c>
      <c r="FL6" s="73">
        <f t="shared" si="3"/>
        <v>0</v>
      </c>
      <c r="FM6" s="38"/>
    </row>
    <row r="7" spans="1:169" x14ac:dyDescent="0.25">
      <c r="A7" s="53">
        <v>40279</v>
      </c>
      <c r="B7" s="53" t="s">
        <v>19</v>
      </c>
      <c r="C7" s="53" t="s">
        <v>129</v>
      </c>
      <c r="D7" s="53" t="s">
        <v>370</v>
      </c>
      <c r="E7" s="54">
        <v>1845</v>
      </c>
      <c r="F7" s="58">
        <v>4</v>
      </c>
      <c r="G7" s="59" t="s">
        <v>438</v>
      </c>
      <c r="H7" s="6">
        <v>0</v>
      </c>
      <c r="I7" s="6">
        <v>0</v>
      </c>
      <c r="J7" s="60">
        <v>7</v>
      </c>
      <c r="K7" s="6">
        <v>5</v>
      </c>
      <c r="L7" s="6">
        <v>0</v>
      </c>
      <c r="M7" s="6">
        <v>0</v>
      </c>
      <c r="N7" s="6">
        <v>0</v>
      </c>
      <c r="O7" s="6">
        <v>4</v>
      </c>
      <c r="P7" s="6">
        <v>0</v>
      </c>
      <c r="Q7" s="6">
        <v>0</v>
      </c>
      <c r="R7" s="6">
        <v>23</v>
      </c>
      <c r="S7" s="6">
        <v>65</v>
      </c>
      <c r="T7" s="6">
        <v>45</v>
      </c>
      <c r="U7" s="6">
        <v>0</v>
      </c>
      <c r="V7" s="61">
        <v>0</v>
      </c>
      <c r="W7" s="62">
        <v>1</v>
      </c>
      <c r="X7" s="62">
        <v>0</v>
      </c>
      <c r="Y7" s="62">
        <v>0</v>
      </c>
      <c r="Z7" s="62">
        <v>0</v>
      </c>
      <c r="AA7" s="62">
        <v>1</v>
      </c>
      <c r="AB7" s="63">
        <v>2</v>
      </c>
      <c r="AC7" s="62">
        <v>4</v>
      </c>
      <c r="AD7" s="62">
        <v>4</v>
      </c>
      <c r="AE7" s="62">
        <v>3</v>
      </c>
      <c r="AF7" s="62">
        <v>2</v>
      </c>
      <c r="AG7" s="62">
        <v>2</v>
      </c>
      <c r="AH7" s="62">
        <v>0</v>
      </c>
      <c r="AI7" s="62">
        <v>0</v>
      </c>
      <c r="AJ7" s="62">
        <v>13</v>
      </c>
      <c r="AK7" s="62">
        <v>42</v>
      </c>
      <c r="AL7" s="62">
        <v>23</v>
      </c>
      <c r="AM7" s="1" t="s">
        <v>442</v>
      </c>
      <c r="AN7" s="78">
        <v>4</v>
      </c>
      <c r="AO7" s="78">
        <v>1</v>
      </c>
      <c r="AP7" s="78">
        <v>3</v>
      </c>
      <c r="AQ7" s="78">
        <v>1</v>
      </c>
      <c r="AR7" s="78">
        <v>1</v>
      </c>
      <c r="AS7" s="78">
        <v>0</v>
      </c>
      <c r="AT7" s="78">
        <v>0</v>
      </c>
      <c r="AU7" s="78">
        <v>0</v>
      </c>
      <c r="AV7" s="76">
        <v>3</v>
      </c>
      <c r="AW7" s="1" t="s">
        <v>441</v>
      </c>
      <c r="AX7" s="78">
        <v>5</v>
      </c>
      <c r="AY7" s="78">
        <v>1</v>
      </c>
      <c r="AZ7" s="78">
        <v>1</v>
      </c>
      <c r="BA7" s="78">
        <v>1</v>
      </c>
      <c r="BB7" s="78">
        <v>0</v>
      </c>
      <c r="BC7" s="78">
        <v>1</v>
      </c>
      <c r="BD7" s="78">
        <v>0</v>
      </c>
      <c r="BE7" s="78">
        <v>0</v>
      </c>
      <c r="BF7" s="76">
        <v>2</v>
      </c>
      <c r="BG7" s="1" t="s">
        <v>445</v>
      </c>
      <c r="BH7" s="78">
        <v>5</v>
      </c>
      <c r="BI7" s="78">
        <v>1</v>
      </c>
      <c r="BJ7" s="78">
        <v>2</v>
      </c>
      <c r="BK7" s="78">
        <v>0</v>
      </c>
      <c r="BL7" s="78">
        <v>0</v>
      </c>
      <c r="BM7" s="78">
        <v>1</v>
      </c>
      <c r="BN7" s="78">
        <v>0</v>
      </c>
      <c r="BO7" s="78">
        <v>0</v>
      </c>
      <c r="BP7" s="76">
        <v>2</v>
      </c>
      <c r="BQ7" s="1" t="s">
        <v>366</v>
      </c>
      <c r="BR7" s="78">
        <v>3</v>
      </c>
      <c r="BS7" s="78">
        <v>0</v>
      </c>
      <c r="BT7" s="78">
        <v>1</v>
      </c>
      <c r="BU7" s="78">
        <v>0</v>
      </c>
      <c r="BV7" s="78">
        <v>0</v>
      </c>
      <c r="BW7" s="78">
        <v>1</v>
      </c>
      <c r="BX7" s="78">
        <v>1</v>
      </c>
      <c r="BY7" s="78">
        <v>0</v>
      </c>
      <c r="BZ7" s="76">
        <v>1</v>
      </c>
      <c r="CA7" s="1" t="s">
        <v>444</v>
      </c>
      <c r="CB7" s="78">
        <v>4</v>
      </c>
      <c r="CC7" s="78">
        <v>1</v>
      </c>
      <c r="CD7" s="78">
        <v>3</v>
      </c>
      <c r="CE7" s="78">
        <v>1</v>
      </c>
      <c r="CF7" s="78">
        <v>0</v>
      </c>
      <c r="CG7" s="78">
        <v>1</v>
      </c>
      <c r="CH7" s="78">
        <v>0</v>
      </c>
      <c r="CI7" s="78">
        <v>0</v>
      </c>
      <c r="CJ7" s="76">
        <v>4</v>
      </c>
      <c r="CK7" s="1" t="s">
        <v>447</v>
      </c>
      <c r="CL7" s="78">
        <v>4</v>
      </c>
      <c r="CM7" s="78">
        <v>1</v>
      </c>
      <c r="CN7" s="78">
        <v>1</v>
      </c>
      <c r="CO7" s="78">
        <v>0</v>
      </c>
      <c r="CP7" s="78">
        <v>0</v>
      </c>
      <c r="CQ7" s="78">
        <v>2</v>
      </c>
      <c r="CR7" s="78">
        <v>0</v>
      </c>
      <c r="CS7" s="78">
        <v>0</v>
      </c>
      <c r="CT7" s="76">
        <v>1</v>
      </c>
      <c r="CU7" s="1" t="s">
        <v>365</v>
      </c>
      <c r="CV7" s="78">
        <v>4</v>
      </c>
      <c r="CW7" s="78">
        <v>0</v>
      </c>
      <c r="CX7" s="78">
        <v>2</v>
      </c>
      <c r="CY7" s="78">
        <v>1</v>
      </c>
      <c r="CZ7" s="78">
        <v>0</v>
      </c>
      <c r="DA7" s="78">
        <v>0</v>
      </c>
      <c r="DB7" s="78">
        <v>0</v>
      </c>
      <c r="DC7" s="78">
        <v>0</v>
      </c>
      <c r="DD7" s="76">
        <v>2</v>
      </c>
      <c r="DE7" s="1" t="s">
        <v>450</v>
      </c>
      <c r="DF7" s="78">
        <v>4</v>
      </c>
      <c r="DG7" s="78">
        <v>0</v>
      </c>
      <c r="DH7" s="78">
        <v>0</v>
      </c>
      <c r="DI7" s="78">
        <v>0</v>
      </c>
      <c r="DJ7" s="78">
        <v>0</v>
      </c>
      <c r="DK7" s="78">
        <v>2</v>
      </c>
      <c r="DL7" s="78">
        <v>0</v>
      </c>
      <c r="DM7" s="78">
        <v>0</v>
      </c>
      <c r="DN7" s="76">
        <v>0</v>
      </c>
      <c r="DO7" s="1" t="s">
        <v>448</v>
      </c>
      <c r="DP7" s="78">
        <v>4</v>
      </c>
      <c r="DQ7" s="78">
        <v>0</v>
      </c>
      <c r="DR7" s="78">
        <v>0</v>
      </c>
      <c r="DS7" s="78">
        <v>0</v>
      </c>
      <c r="DT7" s="78">
        <v>0</v>
      </c>
      <c r="DU7" s="78">
        <v>0</v>
      </c>
      <c r="DV7" s="78">
        <v>0</v>
      </c>
      <c r="DW7" s="78">
        <v>0</v>
      </c>
      <c r="DX7" s="76">
        <v>0</v>
      </c>
      <c r="DY7" s="77">
        <v>0</v>
      </c>
      <c r="DZ7" s="43">
        <v>0</v>
      </c>
      <c r="EA7" s="43">
        <v>0</v>
      </c>
      <c r="EB7" s="45">
        <f>8+2/3</f>
        <v>8.6666666666666661</v>
      </c>
      <c r="EC7" s="43">
        <v>4</v>
      </c>
      <c r="ED7" s="44">
        <v>0</v>
      </c>
      <c r="EE7" s="71">
        <v>0</v>
      </c>
      <c r="EF7" s="43">
        <v>2</v>
      </c>
      <c r="EG7" s="43">
        <v>0</v>
      </c>
      <c r="EH7" s="43">
        <v>0</v>
      </c>
      <c r="EI7" s="43">
        <v>0</v>
      </c>
      <c r="EJ7" s="43">
        <v>1</v>
      </c>
      <c r="EK7" s="43">
        <v>0</v>
      </c>
      <c r="EL7" s="43">
        <v>0</v>
      </c>
      <c r="EM7" s="43">
        <v>2</v>
      </c>
      <c r="EN7" s="43"/>
      <c r="EO7" s="43"/>
      <c r="EP7" s="43"/>
      <c r="EQ7" s="43"/>
      <c r="ER7" s="43"/>
      <c r="ES7" s="43"/>
      <c r="ET7" s="44">
        <f t="shared" si="0"/>
        <v>5</v>
      </c>
      <c r="EU7" s="43">
        <v>0</v>
      </c>
      <c r="EV7" s="43">
        <v>0</v>
      </c>
      <c r="EW7" s="43">
        <v>0</v>
      </c>
      <c r="EX7" s="43">
        <v>0</v>
      </c>
      <c r="EY7" s="43">
        <v>0</v>
      </c>
      <c r="EZ7" s="43">
        <v>0</v>
      </c>
      <c r="FA7" s="43">
        <v>0</v>
      </c>
      <c r="FB7" s="43">
        <v>1</v>
      </c>
      <c r="FC7" s="43">
        <v>3</v>
      </c>
      <c r="FD7" s="43"/>
      <c r="FE7" s="43"/>
      <c r="FF7" s="43"/>
      <c r="FG7" s="43"/>
      <c r="FH7" s="43"/>
      <c r="FI7" s="43"/>
      <c r="FJ7" s="43">
        <f t="shared" si="1"/>
        <v>4</v>
      </c>
      <c r="FK7" s="73">
        <f t="shared" si="2"/>
        <v>0</v>
      </c>
      <c r="FL7" s="73">
        <f t="shared" si="3"/>
        <v>0</v>
      </c>
      <c r="FM7" s="38"/>
    </row>
    <row r="8" spans="1:169" x14ac:dyDescent="0.25">
      <c r="A8" s="53">
        <v>40280</v>
      </c>
      <c r="B8" s="53" t="s">
        <v>19</v>
      </c>
      <c r="C8" s="53" t="s">
        <v>129</v>
      </c>
      <c r="D8" s="53" t="s">
        <v>370</v>
      </c>
      <c r="E8" s="54">
        <v>1805</v>
      </c>
      <c r="F8" s="58">
        <v>5</v>
      </c>
      <c r="G8" s="59" t="s">
        <v>368</v>
      </c>
      <c r="H8" s="6">
        <v>0</v>
      </c>
      <c r="I8" s="6">
        <v>0</v>
      </c>
      <c r="J8" s="60">
        <v>7</v>
      </c>
      <c r="K8" s="6">
        <v>4</v>
      </c>
      <c r="L8" s="6">
        <v>0</v>
      </c>
      <c r="M8" s="6">
        <v>0</v>
      </c>
      <c r="N8" s="6">
        <v>1</v>
      </c>
      <c r="O8" s="6">
        <v>5</v>
      </c>
      <c r="P8" s="6">
        <v>0</v>
      </c>
      <c r="Q8" s="6">
        <v>0</v>
      </c>
      <c r="R8" s="6">
        <v>24</v>
      </c>
      <c r="S8" s="6">
        <v>85</v>
      </c>
      <c r="T8" s="6">
        <v>54</v>
      </c>
      <c r="U8" s="6">
        <v>0</v>
      </c>
      <c r="V8" s="61">
        <v>0</v>
      </c>
      <c r="W8" s="62">
        <v>1</v>
      </c>
      <c r="X8" s="62">
        <v>0</v>
      </c>
      <c r="Y8" s="62">
        <v>1</v>
      </c>
      <c r="Z8" s="62">
        <v>0</v>
      </c>
      <c r="AA8" s="62">
        <v>1</v>
      </c>
      <c r="AB8" s="63">
        <v>2</v>
      </c>
      <c r="AC8" s="62">
        <v>4</v>
      </c>
      <c r="AD8" s="62">
        <v>2</v>
      </c>
      <c r="AE8" s="62">
        <v>2</v>
      </c>
      <c r="AF8" s="62">
        <v>0</v>
      </c>
      <c r="AG8" s="62">
        <v>2</v>
      </c>
      <c r="AH8" s="62">
        <v>1</v>
      </c>
      <c r="AI8" s="62">
        <v>0</v>
      </c>
      <c r="AJ8" s="62">
        <v>9</v>
      </c>
      <c r="AK8" s="62">
        <v>32</v>
      </c>
      <c r="AL8" s="62">
        <v>24</v>
      </c>
      <c r="AM8" s="1" t="s">
        <v>441</v>
      </c>
      <c r="AN8" s="78">
        <v>4</v>
      </c>
      <c r="AO8" s="78">
        <v>1</v>
      </c>
      <c r="AP8" s="78">
        <v>2</v>
      </c>
      <c r="AQ8" s="78">
        <v>0</v>
      </c>
      <c r="AR8" s="78">
        <v>0</v>
      </c>
      <c r="AS8" s="78">
        <v>0</v>
      </c>
      <c r="AT8" s="78">
        <v>0</v>
      </c>
      <c r="AU8" s="78">
        <v>0</v>
      </c>
      <c r="AV8" s="76">
        <v>2</v>
      </c>
      <c r="AW8" s="1" t="s">
        <v>365</v>
      </c>
      <c r="AX8" s="78">
        <v>4</v>
      </c>
      <c r="AY8" s="78">
        <v>0</v>
      </c>
      <c r="AZ8" s="78">
        <v>0</v>
      </c>
      <c r="BA8" s="78">
        <v>0</v>
      </c>
      <c r="BB8" s="78">
        <v>0</v>
      </c>
      <c r="BC8" s="78">
        <v>0</v>
      </c>
      <c r="BD8" s="78">
        <v>0</v>
      </c>
      <c r="BE8" s="78">
        <v>0</v>
      </c>
      <c r="BF8" s="76">
        <v>0</v>
      </c>
      <c r="BG8" s="1" t="s">
        <v>367</v>
      </c>
      <c r="BH8" s="78">
        <v>4</v>
      </c>
      <c r="BI8" s="78">
        <v>1</v>
      </c>
      <c r="BJ8" s="78">
        <v>1</v>
      </c>
      <c r="BK8" s="78">
        <v>0</v>
      </c>
      <c r="BL8" s="78">
        <v>0</v>
      </c>
      <c r="BM8" s="78">
        <v>0</v>
      </c>
      <c r="BN8" s="78">
        <v>0</v>
      </c>
      <c r="BO8" s="78">
        <v>0</v>
      </c>
      <c r="BP8" s="76">
        <v>1</v>
      </c>
      <c r="BQ8" s="1" t="s">
        <v>366</v>
      </c>
      <c r="BR8" s="78">
        <v>4</v>
      </c>
      <c r="BS8" s="78">
        <v>1</v>
      </c>
      <c r="BT8" s="78">
        <v>2</v>
      </c>
      <c r="BU8" s="78">
        <v>1</v>
      </c>
      <c r="BV8" s="78">
        <v>0</v>
      </c>
      <c r="BW8" s="78">
        <v>1</v>
      </c>
      <c r="BX8" s="78">
        <v>0</v>
      </c>
      <c r="BY8" s="78">
        <v>0</v>
      </c>
      <c r="BZ8" s="76">
        <v>2</v>
      </c>
      <c r="CA8" s="1" t="s">
        <v>444</v>
      </c>
      <c r="CB8" s="78">
        <v>4</v>
      </c>
      <c r="CC8" s="78">
        <v>0</v>
      </c>
      <c r="CD8" s="78">
        <v>1</v>
      </c>
      <c r="CE8" s="78">
        <v>1</v>
      </c>
      <c r="CF8" s="78">
        <v>0</v>
      </c>
      <c r="CG8" s="78">
        <v>1</v>
      </c>
      <c r="CH8" s="78">
        <v>0</v>
      </c>
      <c r="CI8" s="78">
        <v>0</v>
      </c>
      <c r="CJ8" s="76">
        <v>1</v>
      </c>
      <c r="CK8" s="1" t="s">
        <v>445</v>
      </c>
      <c r="CL8" s="78">
        <v>4</v>
      </c>
      <c r="CM8" s="78">
        <v>0</v>
      </c>
      <c r="CN8" s="78">
        <v>0</v>
      </c>
      <c r="CO8" s="78">
        <v>0</v>
      </c>
      <c r="CP8" s="78">
        <v>0</v>
      </c>
      <c r="CQ8" s="78">
        <v>1</v>
      </c>
      <c r="CR8" s="78">
        <v>0</v>
      </c>
      <c r="CS8" s="78">
        <v>0</v>
      </c>
      <c r="CT8" s="76">
        <v>0</v>
      </c>
      <c r="CU8" s="1" t="s">
        <v>407</v>
      </c>
      <c r="CV8" s="78">
        <v>3</v>
      </c>
      <c r="CW8" s="78">
        <v>0</v>
      </c>
      <c r="CX8" s="78">
        <v>0</v>
      </c>
      <c r="CY8" s="78">
        <v>0</v>
      </c>
      <c r="CZ8" s="78">
        <v>1</v>
      </c>
      <c r="DA8" s="78">
        <v>1</v>
      </c>
      <c r="DB8" s="78">
        <v>0</v>
      </c>
      <c r="DC8" s="78">
        <v>0</v>
      </c>
      <c r="DD8" s="76">
        <v>0</v>
      </c>
      <c r="DE8" s="1" t="s">
        <v>447</v>
      </c>
      <c r="DF8" s="78">
        <v>3</v>
      </c>
      <c r="DG8" s="78">
        <v>0</v>
      </c>
      <c r="DH8" s="78">
        <v>0</v>
      </c>
      <c r="DI8" s="78">
        <v>0</v>
      </c>
      <c r="DJ8" s="78">
        <v>0</v>
      </c>
      <c r="DK8" s="78">
        <v>2</v>
      </c>
      <c r="DL8" s="78">
        <v>1</v>
      </c>
      <c r="DM8" s="78">
        <v>0</v>
      </c>
      <c r="DN8" s="76">
        <v>0</v>
      </c>
      <c r="DO8" s="1" t="s">
        <v>448</v>
      </c>
      <c r="DP8" s="78">
        <v>3</v>
      </c>
      <c r="DQ8" s="78">
        <v>0</v>
      </c>
      <c r="DR8" s="78">
        <v>1</v>
      </c>
      <c r="DS8" s="78">
        <v>1</v>
      </c>
      <c r="DT8" s="78">
        <v>1</v>
      </c>
      <c r="DU8" s="78">
        <v>1</v>
      </c>
      <c r="DV8" s="78">
        <v>0</v>
      </c>
      <c r="DW8" s="78">
        <v>0</v>
      </c>
      <c r="DX8" s="76">
        <v>1</v>
      </c>
      <c r="DY8" s="77">
        <v>1</v>
      </c>
      <c r="DZ8" s="43">
        <v>0</v>
      </c>
      <c r="EA8" s="43">
        <v>0</v>
      </c>
      <c r="EB8" s="45">
        <f>7+2/3</f>
        <v>7.666666666666667</v>
      </c>
      <c r="EC8" s="43">
        <v>1</v>
      </c>
      <c r="ED8" s="44">
        <v>0</v>
      </c>
      <c r="EE8" s="71">
        <v>0</v>
      </c>
      <c r="EF8" s="43">
        <v>0</v>
      </c>
      <c r="EG8" s="43">
        <v>0</v>
      </c>
      <c r="EH8" s="43">
        <v>1</v>
      </c>
      <c r="EI8" s="43">
        <v>0</v>
      </c>
      <c r="EJ8" s="43">
        <v>0</v>
      </c>
      <c r="EK8" s="43">
        <v>0</v>
      </c>
      <c r="EL8" s="43">
        <v>0</v>
      </c>
      <c r="EM8" s="43">
        <v>2</v>
      </c>
      <c r="EN8" s="43"/>
      <c r="EO8" s="43"/>
      <c r="EP8" s="43"/>
      <c r="EQ8" s="43"/>
      <c r="ER8" s="43"/>
      <c r="ES8" s="43"/>
      <c r="ET8" s="44">
        <f t="shared" si="0"/>
        <v>3</v>
      </c>
      <c r="EU8" s="43">
        <v>0</v>
      </c>
      <c r="EV8" s="43">
        <v>0</v>
      </c>
      <c r="EW8" s="43">
        <v>0</v>
      </c>
      <c r="EX8" s="43">
        <v>0</v>
      </c>
      <c r="EY8" s="43">
        <v>0</v>
      </c>
      <c r="EZ8" s="43">
        <v>0</v>
      </c>
      <c r="FA8" s="43">
        <v>0</v>
      </c>
      <c r="FB8" s="43">
        <v>0</v>
      </c>
      <c r="FC8" s="43">
        <v>2</v>
      </c>
      <c r="FD8" s="43"/>
      <c r="FE8" s="43"/>
      <c r="FF8" s="43"/>
      <c r="FG8" s="43"/>
      <c r="FH8" s="43"/>
      <c r="FI8" s="43"/>
      <c r="FJ8" s="43">
        <f t="shared" si="1"/>
        <v>2</v>
      </c>
      <c r="FK8" s="73">
        <f t="shared" si="2"/>
        <v>0</v>
      </c>
      <c r="FL8" s="73">
        <f t="shared" si="3"/>
        <v>0</v>
      </c>
      <c r="FM8" s="38"/>
    </row>
    <row r="9" spans="1:169" x14ac:dyDescent="0.25">
      <c r="A9" s="53">
        <v>40282</v>
      </c>
      <c r="B9" s="53" t="s">
        <v>133</v>
      </c>
      <c r="C9" s="53" t="s">
        <v>129</v>
      </c>
      <c r="D9" s="53" t="s">
        <v>369</v>
      </c>
      <c r="E9" s="54">
        <v>1972</v>
      </c>
      <c r="F9" s="58">
        <v>1</v>
      </c>
      <c r="G9" s="59" t="s">
        <v>424</v>
      </c>
      <c r="H9" s="6">
        <v>1</v>
      </c>
      <c r="I9" s="6">
        <v>0</v>
      </c>
      <c r="J9" s="60">
        <v>5</v>
      </c>
      <c r="K9" s="6">
        <v>1</v>
      </c>
      <c r="L9" s="6">
        <v>0</v>
      </c>
      <c r="M9" s="6">
        <v>0</v>
      </c>
      <c r="N9" s="6">
        <v>2</v>
      </c>
      <c r="O9" s="6">
        <v>8</v>
      </c>
      <c r="P9" s="6">
        <v>0</v>
      </c>
      <c r="Q9" s="6">
        <v>0</v>
      </c>
      <c r="R9" s="6">
        <v>16</v>
      </c>
      <c r="S9" s="6">
        <v>73</v>
      </c>
      <c r="T9" s="6">
        <v>47</v>
      </c>
      <c r="U9" s="6">
        <v>0</v>
      </c>
      <c r="V9" s="61">
        <v>0</v>
      </c>
      <c r="W9" s="62">
        <v>0</v>
      </c>
      <c r="X9" s="62">
        <v>0</v>
      </c>
      <c r="Y9" s="62">
        <v>2</v>
      </c>
      <c r="Z9" s="62">
        <v>1</v>
      </c>
      <c r="AA9" s="62">
        <v>0</v>
      </c>
      <c r="AB9" s="63">
        <v>4</v>
      </c>
      <c r="AC9" s="62">
        <v>2</v>
      </c>
      <c r="AD9" s="62">
        <v>0</v>
      </c>
      <c r="AE9" s="62">
        <v>0</v>
      </c>
      <c r="AF9" s="62">
        <v>0</v>
      </c>
      <c r="AG9" s="62">
        <v>4</v>
      </c>
      <c r="AH9" s="62">
        <v>0</v>
      </c>
      <c r="AI9" s="62">
        <v>0</v>
      </c>
      <c r="AJ9" s="62">
        <v>16</v>
      </c>
      <c r="AK9" s="62">
        <v>59</v>
      </c>
      <c r="AL9" s="62">
        <v>43</v>
      </c>
      <c r="AM9" s="1" t="s">
        <v>441</v>
      </c>
      <c r="AN9" s="78">
        <v>5</v>
      </c>
      <c r="AO9" s="78">
        <v>1</v>
      </c>
      <c r="AP9" s="78">
        <v>2</v>
      </c>
      <c r="AQ9" s="78">
        <v>0</v>
      </c>
      <c r="AR9" s="78">
        <v>0</v>
      </c>
      <c r="AS9" s="78">
        <v>0</v>
      </c>
      <c r="AT9" s="78">
        <v>0</v>
      </c>
      <c r="AU9" s="78">
        <v>0</v>
      </c>
      <c r="AV9" s="76">
        <v>3</v>
      </c>
      <c r="AW9" s="1" t="s">
        <v>364</v>
      </c>
      <c r="AX9" s="78">
        <v>5</v>
      </c>
      <c r="AY9" s="78">
        <v>0</v>
      </c>
      <c r="AZ9" s="78">
        <v>2</v>
      </c>
      <c r="BA9" s="78">
        <v>0</v>
      </c>
      <c r="BB9" s="78">
        <v>0</v>
      </c>
      <c r="BC9" s="78">
        <v>1</v>
      </c>
      <c r="BD9" s="78">
        <v>0</v>
      </c>
      <c r="BE9" s="78">
        <v>0</v>
      </c>
      <c r="BF9" s="76">
        <v>2</v>
      </c>
      <c r="BG9" s="1" t="s">
        <v>367</v>
      </c>
      <c r="BH9" s="78">
        <v>5</v>
      </c>
      <c r="BI9" s="78">
        <v>0</v>
      </c>
      <c r="BJ9" s="78">
        <v>0</v>
      </c>
      <c r="BK9" s="78">
        <v>0</v>
      </c>
      <c r="BL9" s="78">
        <v>0</v>
      </c>
      <c r="BM9" s="78">
        <v>1</v>
      </c>
      <c r="BN9" s="78">
        <v>0</v>
      </c>
      <c r="BO9" s="78">
        <v>0</v>
      </c>
      <c r="BP9" s="76">
        <v>0</v>
      </c>
      <c r="BQ9" s="1" t="s">
        <v>366</v>
      </c>
      <c r="BR9" s="78">
        <v>4</v>
      </c>
      <c r="BS9" s="78">
        <v>1</v>
      </c>
      <c r="BT9" s="78">
        <v>1</v>
      </c>
      <c r="BU9" s="78">
        <v>1</v>
      </c>
      <c r="BV9" s="78">
        <v>0</v>
      </c>
      <c r="BW9" s="78">
        <v>3</v>
      </c>
      <c r="BX9" s="78">
        <v>0</v>
      </c>
      <c r="BY9" s="78">
        <v>0</v>
      </c>
      <c r="BZ9" s="76">
        <v>4</v>
      </c>
      <c r="CA9" s="1" t="s">
        <v>444</v>
      </c>
      <c r="CB9" s="78">
        <v>2</v>
      </c>
      <c r="CC9" s="78">
        <v>0</v>
      </c>
      <c r="CD9" s="78">
        <v>0</v>
      </c>
      <c r="CE9" s="78">
        <v>0</v>
      </c>
      <c r="CF9" s="78">
        <v>2</v>
      </c>
      <c r="CG9" s="78">
        <v>1</v>
      </c>
      <c r="CH9" s="78">
        <v>0</v>
      </c>
      <c r="CI9" s="78">
        <v>0</v>
      </c>
      <c r="CJ9" s="76">
        <v>0</v>
      </c>
      <c r="CK9" s="1" t="s">
        <v>445</v>
      </c>
      <c r="CL9" s="78">
        <v>4</v>
      </c>
      <c r="CM9" s="78">
        <v>0</v>
      </c>
      <c r="CN9" s="78">
        <v>0</v>
      </c>
      <c r="CO9" s="78">
        <v>0</v>
      </c>
      <c r="CP9" s="78">
        <v>0</v>
      </c>
      <c r="CQ9" s="78">
        <v>3</v>
      </c>
      <c r="CR9" s="78">
        <v>0</v>
      </c>
      <c r="CS9" s="78">
        <v>0</v>
      </c>
      <c r="CT9" s="76">
        <v>0</v>
      </c>
      <c r="CU9" s="1" t="s">
        <v>407</v>
      </c>
      <c r="CV9" s="78">
        <v>4</v>
      </c>
      <c r="CW9" s="78">
        <v>1</v>
      </c>
      <c r="CX9" s="78">
        <v>3</v>
      </c>
      <c r="CY9" s="78">
        <v>0</v>
      </c>
      <c r="CZ9" s="78">
        <v>0</v>
      </c>
      <c r="DA9" s="78">
        <v>1</v>
      </c>
      <c r="DB9" s="78">
        <v>0</v>
      </c>
      <c r="DC9" s="78">
        <v>0</v>
      </c>
      <c r="DD9" s="76">
        <v>4</v>
      </c>
      <c r="DE9" s="1" t="s">
        <v>447</v>
      </c>
      <c r="DF9" s="78">
        <v>3</v>
      </c>
      <c r="DG9" s="78">
        <v>0</v>
      </c>
      <c r="DH9" s="78">
        <v>0</v>
      </c>
      <c r="DI9" s="78">
        <v>0</v>
      </c>
      <c r="DJ9" s="78">
        <v>1</v>
      </c>
      <c r="DK9" s="78">
        <v>0</v>
      </c>
      <c r="DL9" s="78">
        <v>0</v>
      </c>
      <c r="DM9" s="78">
        <v>0</v>
      </c>
      <c r="DN9" s="76">
        <v>0</v>
      </c>
      <c r="DO9" s="1" t="s">
        <v>448</v>
      </c>
      <c r="DP9" s="78">
        <v>4</v>
      </c>
      <c r="DQ9" s="78">
        <v>0</v>
      </c>
      <c r="DR9" s="78">
        <v>1</v>
      </c>
      <c r="DS9" s="78">
        <v>1</v>
      </c>
      <c r="DT9" s="78">
        <v>0</v>
      </c>
      <c r="DU9" s="78">
        <v>0</v>
      </c>
      <c r="DV9" s="78">
        <v>0</v>
      </c>
      <c r="DW9" s="78">
        <v>0</v>
      </c>
      <c r="DX9" s="76">
        <v>1</v>
      </c>
      <c r="DY9" s="77">
        <f>1+1/3</f>
        <v>1.3333333333333333</v>
      </c>
      <c r="DZ9" s="43">
        <v>0</v>
      </c>
      <c r="EA9" s="43">
        <v>0</v>
      </c>
      <c r="EB9" s="45">
        <f>7+2/3</f>
        <v>7.666666666666667</v>
      </c>
      <c r="EC9" s="43">
        <v>0</v>
      </c>
      <c r="ED9" s="44">
        <v>0</v>
      </c>
      <c r="EE9" s="71">
        <v>0</v>
      </c>
      <c r="EF9" s="43">
        <v>0</v>
      </c>
      <c r="EG9" s="43">
        <v>0</v>
      </c>
      <c r="EH9" s="43">
        <v>0</v>
      </c>
      <c r="EI9" s="43">
        <v>1</v>
      </c>
      <c r="EJ9" s="43">
        <v>1</v>
      </c>
      <c r="EK9" s="43">
        <v>0</v>
      </c>
      <c r="EL9" s="43">
        <v>0</v>
      </c>
      <c r="EM9" s="43">
        <v>1</v>
      </c>
      <c r="EN9" s="43"/>
      <c r="EO9" s="43"/>
      <c r="EP9" s="43"/>
      <c r="EQ9" s="43"/>
      <c r="ER9" s="43"/>
      <c r="ES9" s="43"/>
      <c r="ET9" s="44">
        <f t="shared" si="0"/>
        <v>3</v>
      </c>
      <c r="EU9" s="43">
        <v>0</v>
      </c>
      <c r="EV9" s="43">
        <v>0</v>
      </c>
      <c r="EW9" s="43">
        <v>0</v>
      </c>
      <c r="EX9" s="43">
        <v>0</v>
      </c>
      <c r="EY9" s="43">
        <v>0</v>
      </c>
      <c r="EZ9" s="43">
        <v>0</v>
      </c>
      <c r="FA9" s="43">
        <v>0</v>
      </c>
      <c r="FB9" s="43">
        <v>0</v>
      </c>
      <c r="FC9" s="43">
        <v>0</v>
      </c>
      <c r="FD9" s="43"/>
      <c r="FE9" s="43"/>
      <c r="FF9" s="43"/>
      <c r="FG9" s="43"/>
      <c r="FH9" s="43"/>
      <c r="FI9" s="43"/>
      <c r="FJ9" s="43">
        <f t="shared" si="1"/>
        <v>0</v>
      </c>
      <c r="FK9" s="73">
        <f t="shared" si="2"/>
        <v>0</v>
      </c>
      <c r="FL9" s="73">
        <f t="shared" si="3"/>
        <v>0</v>
      </c>
      <c r="FM9" s="38"/>
    </row>
    <row r="10" spans="1:169" x14ac:dyDescent="0.25">
      <c r="A10" s="53">
        <v>40283</v>
      </c>
      <c r="B10" s="53" t="s">
        <v>133</v>
      </c>
      <c r="C10" s="53" t="s">
        <v>129</v>
      </c>
      <c r="D10" s="53" t="s">
        <v>369</v>
      </c>
      <c r="E10" s="54">
        <v>1347</v>
      </c>
      <c r="F10" s="58">
        <v>2</v>
      </c>
      <c r="G10" s="59" t="s">
        <v>341</v>
      </c>
      <c r="H10" s="6">
        <v>1</v>
      </c>
      <c r="I10" s="6">
        <v>0</v>
      </c>
      <c r="J10" s="60">
        <v>6</v>
      </c>
      <c r="K10" s="6">
        <v>3</v>
      </c>
      <c r="L10" s="6">
        <v>2</v>
      </c>
      <c r="M10" s="6">
        <v>1</v>
      </c>
      <c r="N10" s="6">
        <v>1</v>
      </c>
      <c r="O10" s="6">
        <v>4</v>
      </c>
      <c r="P10" s="6">
        <v>0</v>
      </c>
      <c r="Q10" s="6">
        <v>0</v>
      </c>
      <c r="R10" s="6">
        <v>21</v>
      </c>
      <c r="S10" s="6">
        <v>79</v>
      </c>
      <c r="T10" s="6">
        <v>51</v>
      </c>
      <c r="U10" s="6">
        <v>0</v>
      </c>
      <c r="V10" s="61">
        <v>0</v>
      </c>
      <c r="W10" s="62">
        <v>0</v>
      </c>
      <c r="X10" s="62">
        <v>0</v>
      </c>
      <c r="Y10" s="62">
        <v>0</v>
      </c>
      <c r="Z10" s="62">
        <v>0</v>
      </c>
      <c r="AA10" s="62">
        <v>0</v>
      </c>
      <c r="AB10" s="63">
        <v>3</v>
      </c>
      <c r="AC10" s="62">
        <v>3</v>
      </c>
      <c r="AD10" s="62">
        <v>2</v>
      </c>
      <c r="AE10" s="62">
        <v>1</v>
      </c>
      <c r="AF10" s="62">
        <v>2</v>
      </c>
      <c r="AG10" s="62">
        <v>3</v>
      </c>
      <c r="AH10" s="62">
        <v>0</v>
      </c>
      <c r="AI10" s="62">
        <v>0</v>
      </c>
      <c r="AJ10" s="62">
        <v>15</v>
      </c>
      <c r="AK10" s="62">
        <v>55</v>
      </c>
      <c r="AL10" s="62">
        <v>32</v>
      </c>
      <c r="AM10" s="1" t="s">
        <v>442</v>
      </c>
      <c r="AN10" s="78">
        <v>5</v>
      </c>
      <c r="AO10" s="78">
        <v>0</v>
      </c>
      <c r="AP10" s="78">
        <v>0</v>
      </c>
      <c r="AQ10" s="78">
        <v>0</v>
      </c>
      <c r="AR10" s="78">
        <v>0</v>
      </c>
      <c r="AS10" s="78">
        <v>1</v>
      </c>
      <c r="AT10" s="78">
        <v>0</v>
      </c>
      <c r="AU10" s="78">
        <v>0</v>
      </c>
      <c r="AV10" s="76">
        <v>0</v>
      </c>
      <c r="AW10" s="1" t="s">
        <v>441</v>
      </c>
      <c r="AX10" s="78">
        <v>5</v>
      </c>
      <c r="AY10" s="78">
        <v>0</v>
      </c>
      <c r="AZ10" s="78">
        <v>1</v>
      </c>
      <c r="BA10" s="78">
        <v>2</v>
      </c>
      <c r="BB10" s="78">
        <v>0</v>
      </c>
      <c r="BC10" s="78">
        <v>1</v>
      </c>
      <c r="BD10" s="78">
        <v>0</v>
      </c>
      <c r="BE10" s="78">
        <v>0</v>
      </c>
      <c r="BF10" s="76">
        <v>2</v>
      </c>
      <c r="BG10" s="1" t="s">
        <v>367</v>
      </c>
      <c r="BH10" s="78">
        <v>4</v>
      </c>
      <c r="BI10" s="78">
        <v>1</v>
      </c>
      <c r="BJ10" s="78">
        <v>3</v>
      </c>
      <c r="BK10" s="78">
        <v>0</v>
      </c>
      <c r="BL10" s="78">
        <v>1</v>
      </c>
      <c r="BM10" s="78">
        <v>0</v>
      </c>
      <c r="BN10" s="78">
        <v>0</v>
      </c>
      <c r="BO10" s="78">
        <v>0</v>
      </c>
      <c r="BP10" s="76">
        <v>5</v>
      </c>
      <c r="BQ10" s="1" t="s">
        <v>366</v>
      </c>
      <c r="BR10" s="78">
        <v>3</v>
      </c>
      <c r="BS10" s="78">
        <v>1</v>
      </c>
      <c r="BT10" s="78">
        <v>1</v>
      </c>
      <c r="BU10" s="78">
        <v>0</v>
      </c>
      <c r="BV10" s="78">
        <v>2</v>
      </c>
      <c r="BW10" s="78">
        <v>1</v>
      </c>
      <c r="BX10" s="78">
        <v>0</v>
      </c>
      <c r="BY10" s="78">
        <v>0</v>
      </c>
      <c r="BZ10" s="76">
        <v>1</v>
      </c>
      <c r="CA10" s="1" t="s">
        <v>444</v>
      </c>
      <c r="CB10" s="78">
        <v>3</v>
      </c>
      <c r="CC10" s="78">
        <v>0</v>
      </c>
      <c r="CD10" s="78">
        <v>0</v>
      </c>
      <c r="CE10" s="78">
        <v>0</v>
      </c>
      <c r="CF10" s="78">
        <v>2</v>
      </c>
      <c r="CG10" s="78">
        <v>0</v>
      </c>
      <c r="CH10" s="78">
        <v>0</v>
      </c>
      <c r="CI10" s="78">
        <v>0</v>
      </c>
      <c r="CJ10" s="76">
        <v>0</v>
      </c>
      <c r="CK10" s="1" t="s">
        <v>407</v>
      </c>
      <c r="CL10" s="78">
        <v>4</v>
      </c>
      <c r="CM10" s="78">
        <v>2</v>
      </c>
      <c r="CN10" s="78">
        <v>2</v>
      </c>
      <c r="CO10" s="78">
        <v>2</v>
      </c>
      <c r="CP10" s="78">
        <v>1</v>
      </c>
      <c r="CQ10" s="78">
        <v>0</v>
      </c>
      <c r="CR10" s="78">
        <v>0</v>
      </c>
      <c r="CS10" s="78">
        <v>0</v>
      </c>
      <c r="CT10" s="76">
        <v>2</v>
      </c>
      <c r="CU10" s="1" t="s">
        <v>447</v>
      </c>
      <c r="CV10" s="78">
        <v>5</v>
      </c>
      <c r="CW10" s="78">
        <v>0</v>
      </c>
      <c r="CX10" s="78">
        <v>0</v>
      </c>
      <c r="CY10" s="78">
        <v>0</v>
      </c>
      <c r="CZ10" s="78">
        <v>0</v>
      </c>
      <c r="DA10" s="78">
        <v>3</v>
      </c>
      <c r="DB10" s="78">
        <v>0</v>
      </c>
      <c r="DC10" s="78">
        <v>0</v>
      </c>
      <c r="DD10" s="76">
        <v>0</v>
      </c>
      <c r="DE10" s="1" t="s">
        <v>364</v>
      </c>
      <c r="DF10" s="78">
        <v>5</v>
      </c>
      <c r="DG10" s="78">
        <v>2</v>
      </c>
      <c r="DH10" s="78">
        <v>4</v>
      </c>
      <c r="DI10" s="78">
        <v>0</v>
      </c>
      <c r="DJ10" s="78">
        <v>0</v>
      </c>
      <c r="DK10" s="78">
        <v>0</v>
      </c>
      <c r="DL10" s="78">
        <v>0</v>
      </c>
      <c r="DM10" s="78">
        <v>0</v>
      </c>
      <c r="DN10" s="76">
        <v>5</v>
      </c>
      <c r="DO10" s="1" t="s">
        <v>448</v>
      </c>
      <c r="DP10" s="78">
        <v>5</v>
      </c>
      <c r="DQ10" s="78">
        <v>2</v>
      </c>
      <c r="DR10" s="78">
        <v>2</v>
      </c>
      <c r="DS10" s="78">
        <v>4</v>
      </c>
      <c r="DT10" s="78">
        <v>0</v>
      </c>
      <c r="DU10" s="78">
        <v>2</v>
      </c>
      <c r="DV10" s="78">
        <v>0</v>
      </c>
      <c r="DW10" s="78">
        <v>0</v>
      </c>
      <c r="DX10" s="76">
        <v>6</v>
      </c>
      <c r="DY10" s="77">
        <f>4+1/3</f>
        <v>4.333333333333333</v>
      </c>
      <c r="DZ10" s="43">
        <v>1</v>
      </c>
      <c r="EA10" s="43">
        <v>0</v>
      </c>
      <c r="EB10" s="45">
        <f>4+2/3</f>
        <v>4.666666666666667</v>
      </c>
      <c r="EC10" s="43">
        <v>0</v>
      </c>
      <c r="ED10" s="44">
        <v>0</v>
      </c>
      <c r="EE10" s="71">
        <v>0</v>
      </c>
      <c r="EF10" s="43">
        <v>3</v>
      </c>
      <c r="EG10" s="43">
        <v>4</v>
      </c>
      <c r="EH10" s="43">
        <v>0</v>
      </c>
      <c r="EI10" s="43">
        <v>0</v>
      </c>
      <c r="EJ10" s="43">
        <v>1</v>
      </c>
      <c r="EK10" s="43">
        <v>0</v>
      </c>
      <c r="EL10" s="43">
        <v>0</v>
      </c>
      <c r="EM10" s="43">
        <v>0</v>
      </c>
      <c r="EN10" s="43"/>
      <c r="EO10" s="43"/>
      <c r="EP10" s="43"/>
      <c r="EQ10" s="43"/>
      <c r="ER10" s="43"/>
      <c r="ES10" s="43"/>
      <c r="ET10" s="44">
        <f t="shared" si="0"/>
        <v>8</v>
      </c>
      <c r="EU10" s="43">
        <v>1</v>
      </c>
      <c r="EV10" s="43">
        <v>0</v>
      </c>
      <c r="EW10" s="43">
        <v>0</v>
      </c>
      <c r="EX10" s="43">
        <v>1</v>
      </c>
      <c r="EY10" s="43">
        <v>0</v>
      </c>
      <c r="EZ10" s="43">
        <v>0</v>
      </c>
      <c r="FA10" s="43">
        <v>1</v>
      </c>
      <c r="FB10" s="43">
        <v>0</v>
      </c>
      <c r="FC10" s="43">
        <v>1</v>
      </c>
      <c r="FD10" s="43"/>
      <c r="FE10" s="43"/>
      <c r="FF10" s="43"/>
      <c r="FG10" s="43"/>
      <c r="FH10" s="43"/>
      <c r="FI10" s="43"/>
      <c r="FJ10" s="43">
        <f t="shared" si="1"/>
        <v>4</v>
      </c>
      <c r="FK10" s="73">
        <f t="shared" si="2"/>
        <v>0</v>
      </c>
      <c r="FL10" s="73">
        <f t="shared" si="3"/>
        <v>0</v>
      </c>
      <c r="FM10" s="38"/>
    </row>
    <row r="11" spans="1:169" x14ac:dyDescent="0.25">
      <c r="A11" s="53">
        <v>40284</v>
      </c>
      <c r="B11" s="53" t="s">
        <v>133</v>
      </c>
      <c r="C11" s="53" t="s">
        <v>131</v>
      </c>
      <c r="D11" s="53" t="s">
        <v>369</v>
      </c>
      <c r="E11" s="54">
        <v>5873</v>
      </c>
      <c r="F11" s="58">
        <v>3</v>
      </c>
      <c r="G11" s="59" t="s">
        <v>439</v>
      </c>
      <c r="H11" s="6">
        <v>0</v>
      </c>
      <c r="I11" s="6">
        <v>1</v>
      </c>
      <c r="J11" s="60">
        <f>4+1/3</f>
        <v>4.333333333333333</v>
      </c>
      <c r="K11" s="6">
        <v>4</v>
      </c>
      <c r="L11" s="6">
        <v>5</v>
      </c>
      <c r="M11" s="6">
        <v>5</v>
      </c>
      <c r="N11" s="6">
        <v>4</v>
      </c>
      <c r="O11" s="6">
        <v>3</v>
      </c>
      <c r="P11" s="6">
        <v>1</v>
      </c>
      <c r="Q11" s="6">
        <v>0</v>
      </c>
      <c r="R11" s="6">
        <v>21</v>
      </c>
      <c r="S11" s="6">
        <v>75</v>
      </c>
      <c r="T11" s="6">
        <v>42</v>
      </c>
      <c r="U11" s="6">
        <v>1</v>
      </c>
      <c r="V11" s="61">
        <v>1</v>
      </c>
      <c r="W11" s="62">
        <v>0</v>
      </c>
      <c r="X11" s="62">
        <v>0</v>
      </c>
      <c r="Y11" s="62">
        <v>0</v>
      </c>
      <c r="Z11" s="62">
        <v>0</v>
      </c>
      <c r="AA11" s="62">
        <v>0</v>
      </c>
      <c r="AB11" s="63">
        <f>3+2/3</f>
        <v>3.6666666666666665</v>
      </c>
      <c r="AC11" s="62">
        <v>6</v>
      </c>
      <c r="AD11" s="62">
        <v>3</v>
      </c>
      <c r="AE11" s="62">
        <v>1</v>
      </c>
      <c r="AF11" s="62">
        <v>1</v>
      </c>
      <c r="AG11" s="62">
        <v>4</v>
      </c>
      <c r="AH11" s="62">
        <v>0</v>
      </c>
      <c r="AI11" s="62">
        <v>0</v>
      </c>
      <c r="AJ11" s="62">
        <v>19</v>
      </c>
      <c r="AK11" s="62">
        <v>70</v>
      </c>
      <c r="AL11" s="62">
        <v>42</v>
      </c>
      <c r="AM11" s="1" t="s">
        <v>442</v>
      </c>
      <c r="AN11" s="78">
        <v>3</v>
      </c>
      <c r="AO11" s="78">
        <v>0</v>
      </c>
      <c r="AP11" s="78">
        <v>0</v>
      </c>
      <c r="AQ11" s="78">
        <v>0</v>
      </c>
      <c r="AR11" s="78">
        <v>1</v>
      </c>
      <c r="AS11" s="78">
        <v>2</v>
      </c>
      <c r="AT11" s="78">
        <v>0</v>
      </c>
      <c r="AU11" s="78">
        <v>0</v>
      </c>
      <c r="AV11" s="76">
        <v>0</v>
      </c>
      <c r="AW11" s="1" t="s">
        <v>441</v>
      </c>
      <c r="AX11" s="78">
        <v>4</v>
      </c>
      <c r="AY11" s="78">
        <v>0</v>
      </c>
      <c r="AZ11" s="78">
        <v>0</v>
      </c>
      <c r="BA11" s="78">
        <v>0</v>
      </c>
      <c r="BB11" s="78">
        <v>0</v>
      </c>
      <c r="BC11" s="78">
        <v>1</v>
      </c>
      <c r="BD11" s="78">
        <v>0</v>
      </c>
      <c r="BE11" s="78">
        <v>0</v>
      </c>
      <c r="BF11" s="76">
        <v>0</v>
      </c>
      <c r="BG11" s="1" t="s">
        <v>367</v>
      </c>
      <c r="BH11" s="78">
        <v>4</v>
      </c>
      <c r="BI11" s="78">
        <v>0</v>
      </c>
      <c r="BJ11" s="78">
        <v>0</v>
      </c>
      <c r="BK11" s="78">
        <v>0</v>
      </c>
      <c r="BL11" s="78">
        <v>0</v>
      </c>
      <c r="BM11" s="78">
        <v>2</v>
      </c>
      <c r="BN11" s="78">
        <v>0</v>
      </c>
      <c r="BO11" s="78">
        <v>0</v>
      </c>
      <c r="BP11" s="76">
        <v>0</v>
      </c>
      <c r="BQ11" s="1" t="s">
        <v>366</v>
      </c>
      <c r="BR11" s="78">
        <v>4</v>
      </c>
      <c r="BS11" s="78">
        <v>0</v>
      </c>
      <c r="BT11" s="78">
        <v>2</v>
      </c>
      <c r="BU11" s="78">
        <v>0</v>
      </c>
      <c r="BV11" s="78">
        <v>0</v>
      </c>
      <c r="BW11" s="78">
        <v>1</v>
      </c>
      <c r="BX11" s="78">
        <v>0</v>
      </c>
      <c r="BY11" s="78">
        <v>0</v>
      </c>
      <c r="BZ11" s="76">
        <v>2</v>
      </c>
      <c r="CA11" s="1" t="s">
        <v>444</v>
      </c>
      <c r="CB11" s="78">
        <v>4</v>
      </c>
      <c r="CC11" s="78">
        <v>0</v>
      </c>
      <c r="CD11" s="78">
        <v>1</v>
      </c>
      <c r="CE11" s="78">
        <v>0</v>
      </c>
      <c r="CF11" s="78">
        <v>0</v>
      </c>
      <c r="CG11" s="78">
        <v>2</v>
      </c>
      <c r="CH11" s="78">
        <v>0</v>
      </c>
      <c r="CI11" s="78">
        <v>0</v>
      </c>
      <c r="CJ11" s="76">
        <v>2</v>
      </c>
      <c r="CK11" s="1" t="s">
        <v>445</v>
      </c>
      <c r="CL11" s="78">
        <v>4</v>
      </c>
      <c r="CM11" s="78">
        <v>0</v>
      </c>
      <c r="CN11" s="78">
        <v>1</v>
      </c>
      <c r="CO11" s="78">
        <v>0</v>
      </c>
      <c r="CP11" s="78">
        <v>0</v>
      </c>
      <c r="CQ11" s="78">
        <v>2</v>
      </c>
      <c r="CR11" s="78">
        <v>0</v>
      </c>
      <c r="CS11" s="78">
        <v>0</v>
      </c>
      <c r="CT11" s="76">
        <v>1</v>
      </c>
      <c r="CU11" s="1" t="s">
        <v>364</v>
      </c>
      <c r="CV11" s="78">
        <v>3</v>
      </c>
      <c r="CW11" s="78">
        <v>0</v>
      </c>
      <c r="CX11" s="78">
        <v>0</v>
      </c>
      <c r="CY11" s="78">
        <v>0</v>
      </c>
      <c r="CZ11" s="78">
        <v>0</v>
      </c>
      <c r="DA11" s="78">
        <v>0</v>
      </c>
      <c r="DB11" s="78">
        <v>0</v>
      </c>
      <c r="DC11" s="78">
        <v>0</v>
      </c>
      <c r="DD11" s="76">
        <v>0</v>
      </c>
      <c r="DE11" s="1" t="s">
        <v>449</v>
      </c>
      <c r="DF11" s="78">
        <v>1</v>
      </c>
      <c r="DG11" s="78">
        <v>0</v>
      </c>
      <c r="DH11" s="78">
        <v>0</v>
      </c>
      <c r="DI11" s="78">
        <v>0</v>
      </c>
      <c r="DJ11" s="78">
        <v>1</v>
      </c>
      <c r="DK11" s="78">
        <v>0</v>
      </c>
      <c r="DL11" s="78">
        <v>1</v>
      </c>
      <c r="DM11" s="78">
        <v>0</v>
      </c>
      <c r="DN11" s="76">
        <v>0</v>
      </c>
      <c r="DO11" s="1" t="s">
        <v>448</v>
      </c>
      <c r="DP11" s="78">
        <v>2</v>
      </c>
      <c r="DQ11" s="78">
        <v>0</v>
      </c>
      <c r="DR11" s="78">
        <v>0</v>
      </c>
      <c r="DS11" s="78">
        <v>0</v>
      </c>
      <c r="DT11" s="78">
        <v>0</v>
      </c>
      <c r="DU11" s="78">
        <v>1</v>
      </c>
      <c r="DV11" s="78">
        <v>1</v>
      </c>
      <c r="DW11" s="78">
        <v>0</v>
      </c>
      <c r="DX11" s="76">
        <v>0</v>
      </c>
      <c r="DY11" s="77">
        <v>6</v>
      </c>
      <c r="DZ11" s="43">
        <v>0</v>
      </c>
      <c r="EA11" s="43">
        <v>0</v>
      </c>
      <c r="EB11" s="45">
        <v>3</v>
      </c>
      <c r="EC11" s="43">
        <v>0</v>
      </c>
      <c r="ED11" s="44">
        <v>0</v>
      </c>
      <c r="EE11" s="71">
        <v>0</v>
      </c>
      <c r="EF11" s="43">
        <v>0</v>
      </c>
      <c r="EG11" s="43">
        <v>0</v>
      </c>
      <c r="EH11" s="43">
        <v>0</v>
      </c>
      <c r="EI11" s="43">
        <v>0</v>
      </c>
      <c r="EJ11" s="43">
        <v>0</v>
      </c>
      <c r="EK11" s="43">
        <v>0</v>
      </c>
      <c r="EL11" s="43">
        <v>0</v>
      </c>
      <c r="EM11" s="43">
        <v>0</v>
      </c>
      <c r="EN11" s="43"/>
      <c r="EO11" s="43"/>
      <c r="EP11" s="43"/>
      <c r="EQ11" s="43"/>
      <c r="ER11" s="43"/>
      <c r="ES11" s="43"/>
      <c r="ET11" s="44">
        <f t="shared" si="0"/>
        <v>0</v>
      </c>
      <c r="EU11" s="43">
        <v>0</v>
      </c>
      <c r="EV11" s="43">
        <v>0</v>
      </c>
      <c r="EW11" s="43">
        <v>2</v>
      </c>
      <c r="EX11" s="43">
        <v>2</v>
      </c>
      <c r="EY11" s="43">
        <v>1</v>
      </c>
      <c r="EZ11" s="43">
        <v>0</v>
      </c>
      <c r="FA11" s="43">
        <v>2</v>
      </c>
      <c r="FB11" s="43">
        <v>1</v>
      </c>
      <c r="FC11" s="43"/>
      <c r="FD11" s="43"/>
      <c r="FE11" s="43"/>
      <c r="FF11" s="43"/>
      <c r="FG11" s="43"/>
      <c r="FH11" s="43"/>
      <c r="FI11" s="43"/>
      <c r="FJ11" s="43">
        <f t="shared" si="1"/>
        <v>8</v>
      </c>
      <c r="FK11" s="73">
        <f t="shared" si="2"/>
        <v>0</v>
      </c>
      <c r="FL11" s="73">
        <f t="shared" si="3"/>
        <v>0</v>
      </c>
      <c r="FM11" s="38"/>
    </row>
    <row r="12" spans="1:169" x14ac:dyDescent="0.25">
      <c r="A12" s="53">
        <v>40285</v>
      </c>
      <c r="B12" s="53" t="s">
        <v>133</v>
      </c>
      <c r="C12" s="53" t="s">
        <v>129</v>
      </c>
      <c r="D12" s="53" t="s">
        <v>369</v>
      </c>
      <c r="E12" s="54">
        <v>5983</v>
      </c>
      <c r="F12" s="58">
        <v>4</v>
      </c>
      <c r="G12" s="59" t="s">
        <v>438</v>
      </c>
      <c r="H12" s="6">
        <v>0</v>
      </c>
      <c r="I12" s="6">
        <v>0</v>
      </c>
      <c r="J12" s="60">
        <v>4</v>
      </c>
      <c r="K12" s="6">
        <v>4</v>
      </c>
      <c r="L12" s="6">
        <v>1</v>
      </c>
      <c r="M12" s="6">
        <v>1</v>
      </c>
      <c r="N12" s="6">
        <v>2</v>
      </c>
      <c r="O12" s="6">
        <v>1</v>
      </c>
      <c r="P12" s="6">
        <v>0</v>
      </c>
      <c r="Q12" s="6">
        <v>0</v>
      </c>
      <c r="R12" s="6">
        <v>18</v>
      </c>
      <c r="S12" s="6">
        <v>73</v>
      </c>
      <c r="T12" s="6">
        <v>37</v>
      </c>
      <c r="U12" s="6">
        <v>0</v>
      </c>
      <c r="V12" s="61">
        <v>0</v>
      </c>
      <c r="W12" s="62">
        <v>1</v>
      </c>
      <c r="X12" s="62">
        <v>0</v>
      </c>
      <c r="Y12" s="62">
        <v>0</v>
      </c>
      <c r="Z12" s="62">
        <v>1</v>
      </c>
      <c r="AA12" s="62">
        <v>0</v>
      </c>
      <c r="AB12" s="63">
        <v>5</v>
      </c>
      <c r="AC12" s="62">
        <v>5</v>
      </c>
      <c r="AD12" s="62">
        <v>2</v>
      </c>
      <c r="AE12" s="62">
        <v>2</v>
      </c>
      <c r="AF12" s="62">
        <v>1</v>
      </c>
      <c r="AG12" s="62">
        <v>2</v>
      </c>
      <c r="AH12" s="62">
        <v>1</v>
      </c>
      <c r="AI12" s="62">
        <v>1</v>
      </c>
      <c r="AJ12" s="62">
        <v>22</v>
      </c>
      <c r="AK12" s="62">
        <v>67</v>
      </c>
      <c r="AL12" s="62">
        <v>52</v>
      </c>
      <c r="AM12" s="1" t="s">
        <v>442</v>
      </c>
      <c r="AN12" s="78">
        <v>5</v>
      </c>
      <c r="AO12" s="78">
        <v>0</v>
      </c>
      <c r="AP12" s="78">
        <v>0</v>
      </c>
      <c r="AQ12" s="78">
        <v>1</v>
      </c>
      <c r="AR12" s="78">
        <v>0</v>
      </c>
      <c r="AS12" s="78">
        <v>0</v>
      </c>
      <c r="AT12" s="78">
        <v>0</v>
      </c>
      <c r="AU12" s="78">
        <v>0</v>
      </c>
      <c r="AV12" s="76">
        <v>0</v>
      </c>
      <c r="AW12" s="1" t="s">
        <v>441</v>
      </c>
      <c r="AX12" s="78">
        <v>5</v>
      </c>
      <c r="AY12" s="78">
        <v>1</v>
      </c>
      <c r="AZ12" s="78">
        <v>2</v>
      </c>
      <c r="BA12" s="78">
        <v>0</v>
      </c>
      <c r="BB12" s="78">
        <v>0</v>
      </c>
      <c r="BC12" s="78">
        <v>2</v>
      </c>
      <c r="BD12" s="78">
        <v>0</v>
      </c>
      <c r="BE12" s="78">
        <v>0</v>
      </c>
      <c r="BF12" s="76">
        <v>2</v>
      </c>
      <c r="BG12" s="1" t="s">
        <v>367</v>
      </c>
      <c r="BH12" s="78">
        <v>2</v>
      </c>
      <c r="BI12" s="78">
        <v>1</v>
      </c>
      <c r="BJ12" s="78">
        <v>1</v>
      </c>
      <c r="BK12" s="78">
        <v>0</v>
      </c>
      <c r="BL12" s="78">
        <v>2</v>
      </c>
      <c r="BM12" s="78">
        <v>1</v>
      </c>
      <c r="BN12" s="78">
        <v>0</v>
      </c>
      <c r="BO12" s="78">
        <v>0</v>
      </c>
      <c r="BP12" s="76">
        <v>2</v>
      </c>
      <c r="BQ12" s="1" t="s">
        <v>366</v>
      </c>
      <c r="BR12" s="78">
        <v>4</v>
      </c>
      <c r="BS12" s="78">
        <v>1</v>
      </c>
      <c r="BT12" s="78">
        <v>2</v>
      </c>
      <c r="BU12" s="78">
        <v>3</v>
      </c>
      <c r="BV12" s="78">
        <v>0</v>
      </c>
      <c r="BW12" s="78">
        <v>1</v>
      </c>
      <c r="BX12" s="78">
        <v>0</v>
      </c>
      <c r="BY12" s="78">
        <v>0</v>
      </c>
      <c r="BZ12" s="76">
        <v>5</v>
      </c>
      <c r="CA12" s="1" t="s">
        <v>444</v>
      </c>
      <c r="CB12" s="78">
        <v>4</v>
      </c>
      <c r="CC12" s="78">
        <v>0</v>
      </c>
      <c r="CD12" s="78">
        <v>0</v>
      </c>
      <c r="CE12" s="78">
        <v>0</v>
      </c>
      <c r="CF12" s="78">
        <v>0</v>
      </c>
      <c r="CG12" s="78">
        <v>3</v>
      </c>
      <c r="CH12" s="78">
        <v>0</v>
      </c>
      <c r="CI12" s="78">
        <v>0</v>
      </c>
      <c r="CJ12" s="76">
        <v>0</v>
      </c>
      <c r="CK12" s="1" t="s">
        <v>445</v>
      </c>
      <c r="CL12" s="78">
        <v>4</v>
      </c>
      <c r="CM12" s="78">
        <v>0</v>
      </c>
      <c r="CN12" s="78">
        <v>0</v>
      </c>
      <c r="CO12" s="78">
        <v>0</v>
      </c>
      <c r="CP12" s="78">
        <v>0</v>
      </c>
      <c r="CQ12" s="78">
        <v>1</v>
      </c>
      <c r="CR12" s="78">
        <v>0</v>
      </c>
      <c r="CS12" s="78">
        <v>0</v>
      </c>
      <c r="CT12" s="76">
        <v>0</v>
      </c>
      <c r="CU12" s="1" t="s">
        <v>448</v>
      </c>
      <c r="CV12" s="78">
        <v>3</v>
      </c>
      <c r="CW12" s="78">
        <v>0</v>
      </c>
      <c r="CX12" s="78">
        <v>0</v>
      </c>
      <c r="CY12" s="78">
        <v>0</v>
      </c>
      <c r="CZ12" s="78">
        <v>1</v>
      </c>
      <c r="DA12" s="78">
        <v>1</v>
      </c>
      <c r="DB12" s="78">
        <v>0</v>
      </c>
      <c r="DC12" s="78">
        <v>0</v>
      </c>
      <c r="DD12" s="76">
        <v>0</v>
      </c>
      <c r="DE12" s="1" t="s">
        <v>449</v>
      </c>
      <c r="DF12" s="78">
        <v>4</v>
      </c>
      <c r="DG12" s="78">
        <v>1</v>
      </c>
      <c r="DH12" s="78">
        <v>2</v>
      </c>
      <c r="DI12" s="78">
        <v>0</v>
      </c>
      <c r="DJ12" s="78">
        <v>0</v>
      </c>
      <c r="DK12" s="78">
        <v>1</v>
      </c>
      <c r="DL12" s="78">
        <v>0</v>
      </c>
      <c r="DM12" s="78">
        <v>0</v>
      </c>
      <c r="DN12" s="76">
        <v>3</v>
      </c>
      <c r="DO12" s="1" t="s">
        <v>365</v>
      </c>
      <c r="DP12" s="78">
        <v>4</v>
      </c>
      <c r="DQ12" s="78">
        <v>1</v>
      </c>
      <c r="DR12" s="78">
        <v>2</v>
      </c>
      <c r="DS12" s="78">
        <v>1</v>
      </c>
      <c r="DT12" s="78">
        <v>0</v>
      </c>
      <c r="DU12" s="78">
        <v>0</v>
      </c>
      <c r="DV12" s="78">
        <v>0</v>
      </c>
      <c r="DW12" s="78">
        <v>0</v>
      </c>
      <c r="DX12" s="76">
        <v>5</v>
      </c>
      <c r="DY12" s="77">
        <f>2+2/3</f>
        <v>2.6666666666666665</v>
      </c>
      <c r="DZ12" s="43">
        <v>0</v>
      </c>
      <c r="EA12" s="43">
        <v>0</v>
      </c>
      <c r="EB12" s="45">
        <f>6+1/3</f>
        <v>6.333333333333333</v>
      </c>
      <c r="EC12" s="43">
        <v>3</v>
      </c>
      <c r="ED12" s="44">
        <v>0</v>
      </c>
      <c r="EE12" s="71">
        <v>3</v>
      </c>
      <c r="EF12" s="43">
        <v>1</v>
      </c>
      <c r="EG12" s="43">
        <v>0</v>
      </c>
      <c r="EH12" s="43">
        <v>0</v>
      </c>
      <c r="EI12" s="43">
        <v>0</v>
      </c>
      <c r="EJ12" s="43">
        <v>0</v>
      </c>
      <c r="EK12" s="43">
        <v>1</v>
      </c>
      <c r="EL12" s="43">
        <v>0</v>
      </c>
      <c r="EM12" s="43">
        <v>0</v>
      </c>
      <c r="EN12" s="43"/>
      <c r="EO12" s="43"/>
      <c r="EP12" s="43"/>
      <c r="EQ12" s="43"/>
      <c r="ER12" s="43"/>
      <c r="ES12" s="43"/>
      <c r="ET12" s="44">
        <f t="shared" si="0"/>
        <v>5</v>
      </c>
      <c r="EU12" s="43">
        <v>0</v>
      </c>
      <c r="EV12" s="43">
        <v>1</v>
      </c>
      <c r="EW12" s="43">
        <v>0</v>
      </c>
      <c r="EX12" s="43">
        <v>0</v>
      </c>
      <c r="EY12" s="43">
        <v>2</v>
      </c>
      <c r="EZ12" s="43">
        <v>0</v>
      </c>
      <c r="FA12" s="43">
        <v>0</v>
      </c>
      <c r="FB12" s="43">
        <v>0</v>
      </c>
      <c r="FC12" s="43">
        <v>0</v>
      </c>
      <c r="FD12" s="43"/>
      <c r="FE12" s="43"/>
      <c r="FF12" s="43"/>
      <c r="FG12" s="43"/>
      <c r="FH12" s="43"/>
      <c r="FI12" s="43"/>
      <c r="FJ12" s="43">
        <f t="shared" si="1"/>
        <v>3</v>
      </c>
      <c r="FK12" s="73">
        <f t="shared" si="2"/>
        <v>0</v>
      </c>
      <c r="FL12" s="73">
        <f t="shared" si="3"/>
        <v>0</v>
      </c>
      <c r="FM12" s="38"/>
    </row>
    <row r="13" spans="1:169" x14ac:dyDescent="0.25">
      <c r="A13" s="53">
        <v>40286</v>
      </c>
      <c r="B13" s="53" t="s">
        <v>133</v>
      </c>
      <c r="C13" s="53" t="s">
        <v>131</v>
      </c>
      <c r="D13" s="53" t="s">
        <v>369</v>
      </c>
      <c r="E13" s="54">
        <v>5924</v>
      </c>
      <c r="F13" s="58">
        <v>5</v>
      </c>
      <c r="G13" s="59" t="s">
        <v>368</v>
      </c>
      <c r="H13" s="6">
        <v>0</v>
      </c>
      <c r="I13" s="6">
        <v>0</v>
      </c>
      <c r="J13" s="60">
        <v>4</v>
      </c>
      <c r="K13" s="6">
        <v>8</v>
      </c>
      <c r="L13" s="6">
        <v>4</v>
      </c>
      <c r="M13" s="6">
        <v>4</v>
      </c>
      <c r="N13" s="6">
        <v>2</v>
      </c>
      <c r="O13" s="6">
        <v>3</v>
      </c>
      <c r="P13" s="6">
        <v>0</v>
      </c>
      <c r="Q13" s="6">
        <v>0</v>
      </c>
      <c r="R13" s="6">
        <v>21</v>
      </c>
      <c r="S13" s="6">
        <v>83</v>
      </c>
      <c r="T13" s="6">
        <v>54</v>
      </c>
      <c r="U13" s="6">
        <v>1</v>
      </c>
      <c r="V13" s="61">
        <v>1</v>
      </c>
      <c r="W13" s="62">
        <v>0</v>
      </c>
      <c r="X13" s="62">
        <v>1</v>
      </c>
      <c r="Y13" s="62">
        <v>0</v>
      </c>
      <c r="Z13" s="62">
        <v>0</v>
      </c>
      <c r="AA13" s="62">
        <v>1</v>
      </c>
      <c r="AB13" s="63">
        <v>4</v>
      </c>
      <c r="AC13" s="62">
        <v>7</v>
      </c>
      <c r="AD13" s="62">
        <v>4</v>
      </c>
      <c r="AE13" s="62">
        <v>4</v>
      </c>
      <c r="AF13" s="62">
        <v>2</v>
      </c>
      <c r="AG13" s="62">
        <v>0</v>
      </c>
      <c r="AH13" s="62">
        <v>1</v>
      </c>
      <c r="AI13" s="62">
        <v>1</v>
      </c>
      <c r="AJ13" s="62">
        <v>21</v>
      </c>
      <c r="AK13" s="62">
        <v>73</v>
      </c>
      <c r="AL13" s="62">
        <v>44</v>
      </c>
      <c r="AM13" s="1" t="s">
        <v>442</v>
      </c>
      <c r="AN13" s="78">
        <v>3</v>
      </c>
      <c r="AO13" s="78">
        <v>1</v>
      </c>
      <c r="AP13" s="78">
        <v>1</v>
      </c>
      <c r="AQ13" s="78">
        <v>0</v>
      </c>
      <c r="AR13" s="78">
        <v>0</v>
      </c>
      <c r="AS13" s="78">
        <v>2</v>
      </c>
      <c r="AT13" s="78">
        <v>2</v>
      </c>
      <c r="AU13" s="78">
        <v>0</v>
      </c>
      <c r="AV13" s="76">
        <v>1</v>
      </c>
      <c r="AW13" s="1" t="s">
        <v>441</v>
      </c>
      <c r="AX13" s="78">
        <v>4</v>
      </c>
      <c r="AY13" s="78">
        <v>1</v>
      </c>
      <c r="AZ13" s="78">
        <v>1</v>
      </c>
      <c r="BA13" s="78">
        <v>0</v>
      </c>
      <c r="BB13" s="78">
        <v>0</v>
      </c>
      <c r="BC13" s="78">
        <v>1</v>
      </c>
      <c r="BD13" s="78">
        <v>1</v>
      </c>
      <c r="BE13" s="78">
        <v>0</v>
      </c>
      <c r="BF13" s="76">
        <v>1</v>
      </c>
      <c r="BG13" s="1" t="s">
        <v>367</v>
      </c>
      <c r="BH13" s="78">
        <v>5</v>
      </c>
      <c r="BI13" s="78">
        <v>0</v>
      </c>
      <c r="BJ13" s="78">
        <v>1</v>
      </c>
      <c r="BK13" s="78">
        <v>1</v>
      </c>
      <c r="BL13" s="78">
        <v>0</v>
      </c>
      <c r="BM13" s="78">
        <v>2</v>
      </c>
      <c r="BN13" s="78">
        <v>0</v>
      </c>
      <c r="BO13" s="78">
        <v>0</v>
      </c>
      <c r="BP13" s="76">
        <v>1</v>
      </c>
      <c r="BQ13" s="1" t="s">
        <v>366</v>
      </c>
      <c r="BR13" s="78">
        <v>4</v>
      </c>
      <c r="BS13" s="78">
        <v>1</v>
      </c>
      <c r="BT13" s="78">
        <v>1</v>
      </c>
      <c r="BU13" s="78">
        <v>0</v>
      </c>
      <c r="BV13" s="78">
        <v>0</v>
      </c>
      <c r="BW13" s="78">
        <v>2</v>
      </c>
      <c r="BX13" s="78">
        <v>1</v>
      </c>
      <c r="BY13" s="78">
        <v>0</v>
      </c>
      <c r="BZ13" s="76">
        <v>2</v>
      </c>
      <c r="CA13" s="1" t="s">
        <v>365</v>
      </c>
      <c r="CB13" s="78">
        <v>5</v>
      </c>
      <c r="CC13" s="78">
        <v>1</v>
      </c>
      <c r="CD13" s="78">
        <v>1</v>
      </c>
      <c r="CE13" s="78">
        <v>1</v>
      </c>
      <c r="CF13" s="78">
        <v>0</v>
      </c>
      <c r="CG13" s="78">
        <v>0</v>
      </c>
      <c r="CH13" s="78">
        <v>0</v>
      </c>
      <c r="CI13" s="78">
        <v>0</v>
      </c>
      <c r="CJ13" s="76">
        <v>1</v>
      </c>
      <c r="CK13" s="1" t="s">
        <v>445</v>
      </c>
      <c r="CL13" s="78">
        <v>3</v>
      </c>
      <c r="CM13" s="78">
        <v>1</v>
      </c>
      <c r="CN13" s="78">
        <v>1</v>
      </c>
      <c r="CO13" s="78">
        <v>0</v>
      </c>
      <c r="CP13" s="78">
        <v>1</v>
      </c>
      <c r="CQ13" s="78">
        <v>0</v>
      </c>
      <c r="CR13" s="78">
        <v>0</v>
      </c>
      <c r="CS13" s="78">
        <v>0</v>
      </c>
      <c r="CT13" s="76">
        <v>2</v>
      </c>
      <c r="CU13" s="1" t="s">
        <v>447</v>
      </c>
      <c r="CV13" s="78">
        <v>3</v>
      </c>
      <c r="CW13" s="78">
        <v>2</v>
      </c>
      <c r="CX13" s="78">
        <v>0</v>
      </c>
      <c r="CY13" s="78">
        <v>0</v>
      </c>
      <c r="CZ13" s="78">
        <v>1</v>
      </c>
      <c r="DA13" s="78">
        <v>0</v>
      </c>
      <c r="DB13" s="78">
        <v>0</v>
      </c>
      <c r="DC13" s="78">
        <v>0</v>
      </c>
      <c r="DD13" s="76">
        <v>0</v>
      </c>
      <c r="DE13" s="1" t="s">
        <v>450</v>
      </c>
      <c r="DF13" s="78">
        <v>3</v>
      </c>
      <c r="DG13" s="78">
        <v>0</v>
      </c>
      <c r="DH13" s="78">
        <v>2</v>
      </c>
      <c r="DI13" s="78">
        <v>3</v>
      </c>
      <c r="DJ13" s="78">
        <v>0</v>
      </c>
      <c r="DK13" s="78">
        <v>1</v>
      </c>
      <c r="DL13" s="78">
        <v>0</v>
      </c>
      <c r="DM13" s="78">
        <v>0</v>
      </c>
      <c r="DN13" s="76">
        <v>4</v>
      </c>
      <c r="DO13" s="1" t="s">
        <v>364</v>
      </c>
      <c r="DP13" s="78">
        <v>3</v>
      </c>
      <c r="DQ13" s="78">
        <v>0</v>
      </c>
      <c r="DR13" s="78">
        <v>1</v>
      </c>
      <c r="DS13" s="78">
        <v>1</v>
      </c>
      <c r="DT13" s="78">
        <v>1</v>
      </c>
      <c r="DU13" s="78">
        <v>0</v>
      </c>
      <c r="DV13" s="78">
        <v>0</v>
      </c>
      <c r="DW13" s="78">
        <v>0</v>
      </c>
      <c r="DX13" s="76">
        <v>1</v>
      </c>
      <c r="DY13" s="77">
        <v>8</v>
      </c>
      <c r="DZ13" s="43">
        <v>0</v>
      </c>
      <c r="EA13" s="43">
        <v>0</v>
      </c>
      <c r="EB13" s="45">
        <v>1</v>
      </c>
      <c r="EC13" s="43">
        <v>0</v>
      </c>
      <c r="ED13" s="44">
        <v>1</v>
      </c>
      <c r="EE13" s="71">
        <v>1</v>
      </c>
      <c r="EF13" s="43">
        <v>0</v>
      </c>
      <c r="EG13" s="43">
        <v>4</v>
      </c>
      <c r="EH13" s="43">
        <v>0</v>
      </c>
      <c r="EI13" s="43">
        <v>0</v>
      </c>
      <c r="EJ13" s="43">
        <v>0</v>
      </c>
      <c r="EK13" s="43">
        <v>0</v>
      </c>
      <c r="EL13" s="43">
        <v>2</v>
      </c>
      <c r="EM13" s="43">
        <v>0</v>
      </c>
      <c r="EN13" s="43"/>
      <c r="EO13" s="43"/>
      <c r="EP13" s="43"/>
      <c r="EQ13" s="43"/>
      <c r="ER13" s="43"/>
      <c r="ES13" s="43"/>
      <c r="ET13" s="44">
        <f t="shared" si="0"/>
        <v>7</v>
      </c>
      <c r="EU13" s="43">
        <v>0</v>
      </c>
      <c r="EV13" s="43">
        <v>1</v>
      </c>
      <c r="EW13" s="43">
        <v>0</v>
      </c>
      <c r="EX13" s="43">
        <v>2</v>
      </c>
      <c r="EY13" s="43">
        <v>1</v>
      </c>
      <c r="EZ13" s="43">
        <v>0</v>
      </c>
      <c r="FA13" s="43">
        <v>1</v>
      </c>
      <c r="FB13" s="43">
        <v>0</v>
      </c>
      <c r="FC13" s="43">
        <v>3</v>
      </c>
      <c r="FD13" s="43"/>
      <c r="FE13" s="43"/>
      <c r="FF13" s="43"/>
      <c r="FG13" s="43"/>
      <c r="FH13" s="43"/>
      <c r="FI13" s="43"/>
      <c r="FJ13" s="43">
        <f t="shared" si="1"/>
        <v>8</v>
      </c>
      <c r="FK13" s="73">
        <f t="shared" si="2"/>
        <v>0</v>
      </c>
      <c r="FL13" s="73">
        <f t="shared" si="3"/>
        <v>0</v>
      </c>
      <c r="FM13" s="38"/>
    </row>
    <row r="14" spans="1:169" x14ac:dyDescent="0.25">
      <c r="A14" s="91">
        <v>40287</v>
      </c>
      <c r="B14" s="91" t="s">
        <v>133</v>
      </c>
      <c r="C14" s="91" t="s">
        <v>131</v>
      </c>
      <c r="D14" s="91" t="s">
        <v>375</v>
      </c>
      <c r="E14" s="92">
        <v>3631</v>
      </c>
      <c r="F14" s="93">
        <v>1</v>
      </c>
      <c r="G14" s="94" t="s">
        <v>424</v>
      </c>
      <c r="H14" s="95">
        <v>0</v>
      </c>
      <c r="I14" s="95">
        <v>1</v>
      </c>
      <c r="J14" s="96">
        <v>4</v>
      </c>
      <c r="K14" s="95">
        <v>7</v>
      </c>
      <c r="L14" s="95">
        <v>6</v>
      </c>
      <c r="M14" s="95">
        <v>5</v>
      </c>
      <c r="N14" s="95">
        <v>1</v>
      </c>
      <c r="O14" s="95">
        <v>6</v>
      </c>
      <c r="P14" s="95">
        <v>0</v>
      </c>
      <c r="Q14" s="95">
        <v>0</v>
      </c>
      <c r="R14" s="95">
        <v>20</v>
      </c>
      <c r="S14" s="95">
        <v>73</v>
      </c>
      <c r="T14" s="95">
        <v>48</v>
      </c>
      <c r="U14" s="95">
        <v>0</v>
      </c>
      <c r="V14" s="97">
        <v>0</v>
      </c>
      <c r="W14" s="98">
        <v>0</v>
      </c>
      <c r="X14" s="98">
        <v>0</v>
      </c>
      <c r="Y14" s="98">
        <v>0</v>
      </c>
      <c r="Z14" s="98">
        <v>0</v>
      </c>
      <c r="AA14" s="98">
        <v>0</v>
      </c>
      <c r="AB14" s="99">
        <v>4</v>
      </c>
      <c r="AC14" s="98">
        <v>3</v>
      </c>
      <c r="AD14" s="98">
        <v>1</v>
      </c>
      <c r="AE14" s="98">
        <v>1</v>
      </c>
      <c r="AF14" s="98">
        <v>2</v>
      </c>
      <c r="AG14" s="98">
        <v>2</v>
      </c>
      <c r="AH14" s="98">
        <v>0</v>
      </c>
      <c r="AI14" s="98">
        <v>1</v>
      </c>
      <c r="AJ14" s="98">
        <v>16</v>
      </c>
      <c r="AK14" s="98">
        <v>55</v>
      </c>
      <c r="AL14" s="98">
        <v>33</v>
      </c>
      <c r="AM14" s="100" t="s">
        <v>441</v>
      </c>
      <c r="AN14" s="101">
        <v>4</v>
      </c>
      <c r="AO14" s="101">
        <v>0</v>
      </c>
      <c r="AP14" s="101">
        <v>1</v>
      </c>
      <c r="AQ14" s="101">
        <v>0</v>
      </c>
      <c r="AR14" s="101">
        <v>0</v>
      </c>
      <c r="AS14" s="101">
        <v>0</v>
      </c>
      <c r="AT14" s="101">
        <v>0</v>
      </c>
      <c r="AU14" s="101">
        <v>0</v>
      </c>
      <c r="AV14" s="102">
        <v>1</v>
      </c>
      <c r="AW14" s="100" t="s">
        <v>364</v>
      </c>
      <c r="AX14" s="101">
        <v>4</v>
      </c>
      <c r="AY14" s="101">
        <v>1</v>
      </c>
      <c r="AZ14" s="101">
        <v>0</v>
      </c>
      <c r="BA14" s="101">
        <v>0</v>
      </c>
      <c r="BB14" s="101">
        <v>0</v>
      </c>
      <c r="BC14" s="101">
        <v>0</v>
      </c>
      <c r="BD14" s="101">
        <v>0</v>
      </c>
      <c r="BE14" s="101">
        <v>0</v>
      </c>
      <c r="BF14" s="102">
        <v>0</v>
      </c>
      <c r="BG14" s="100" t="s">
        <v>367</v>
      </c>
      <c r="BH14" s="101">
        <v>3</v>
      </c>
      <c r="BI14" s="101">
        <v>0</v>
      </c>
      <c r="BJ14" s="101">
        <v>0</v>
      </c>
      <c r="BK14" s="101">
        <v>0</v>
      </c>
      <c r="BL14" s="101">
        <v>1</v>
      </c>
      <c r="BM14" s="101">
        <v>1</v>
      </c>
      <c r="BN14" s="101">
        <v>0</v>
      </c>
      <c r="BO14" s="101">
        <v>0</v>
      </c>
      <c r="BP14" s="102">
        <v>0</v>
      </c>
      <c r="BQ14" s="100" t="s">
        <v>366</v>
      </c>
      <c r="BR14" s="101">
        <v>4</v>
      </c>
      <c r="BS14" s="101">
        <v>0</v>
      </c>
      <c r="BT14" s="101">
        <v>1</v>
      </c>
      <c r="BU14" s="101">
        <v>2</v>
      </c>
      <c r="BV14" s="101">
        <v>0</v>
      </c>
      <c r="BW14" s="101">
        <v>0</v>
      </c>
      <c r="BX14" s="101">
        <v>0</v>
      </c>
      <c r="BY14" s="101">
        <v>0</v>
      </c>
      <c r="BZ14" s="102">
        <v>1</v>
      </c>
      <c r="CA14" s="100" t="s">
        <v>365</v>
      </c>
      <c r="CB14" s="101">
        <v>4</v>
      </c>
      <c r="CC14" s="101">
        <v>1</v>
      </c>
      <c r="CD14" s="101">
        <v>1</v>
      </c>
      <c r="CE14" s="101">
        <v>0</v>
      </c>
      <c r="CF14" s="101">
        <v>0</v>
      </c>
      <c r="CG14" s="101">
        <v>2</v>
      </c>
      <c r="CH14" s="101">
        <v>0</v>
      </c>
      <c r="CI14" s="101">
        <v>0</v>
      </c>
      <c r="CJ14" s="102">
        <v>1</v>
      </c>
      <c r="CK14" s="100" t="s">
        <v>445</v>
      </c>
      <c r="CL14" s="101">
        <v>3</v>
      </c>
      <c r="CM14" s="101">
        <v>1</v>
      </c>
      <c r="CN14" s="101">
        <v>0</v>
      </c>
      <c r="CO14" s="101">
        <v>0</v>
      </c>
      <c r="CP14" s="101">
        <v>1</v>
      </c>
      <c r="CQ14" s="101">
        <v>0</v>
      </c>
      <c r="CR14" s="101">
        <v>0</v>
      </c>
      <c r="CS14" s="101">
        <v>0</v>
      </c>
      <c r="CT14" s="102">
        <v>0</v>
      </c>
      <c r="CU14" s="100" t="s">
        <v>447</v>
      </c>
      <c r="CV14" s="101">
        <v>4</v>
      </c>
      <c r="CW14" s="101">
        <v>1</v>
      </c>
      <c r="CX14" s="101">
        <v>1</v>
      </c>
      <c r="CY14" s="101">
        <v>3</v>
      </c>
      <c r="CZ14" s="101">
        <v>0</v>
      </c>
      <c r="DA14" s="101">
        <v>1</v>
      </c>
      <c r="DB14" s="101">
        <v>0</v>
      </c>
      <c r="DC14" s="101">
        <v>0</v>
      </c>
      <c r="DD14" s="102">
        <v>4</v>
      </c>
      <c r="DE14" s="100" t="s">
        <v>449</v>
      </c>
      <c r="DF14" s="101">
        <v>3</v>
      </c>
      <c r="DG14" s="101">
        <v>0</v>
      </c>
      <c r="DH14" s="101">
        <v>0</v>
      </c>
      <c r="DI14" s="101">
        <v>0</v>
      </c>
      <c r="DJ14" s="101">
        <v>1</v>
      </c>
      <c r="DK14" s="101">
        <v>0</v>
      </c>
      <c r="DL14" s="101">
        <v>0</v>
      </c>
      <c r="DM14" s="101">
        <v>0</v>
      </c>
      <c r="DN14" s="102">
        <v>0</v>
      </c>
      <c r="DO14" s="100" t="s">
        <v>448</v>
      </c>
      <c r="DP14" s="101">
        <v>3</v>
      </c>
      <c r="DQ14" s="101">
        <v>1</v>
      </c>
      <c r="DR14" s="101">
        <v>1</v>
      </c>
      <c r="DS14" s="101">
        <v>0</v>
      </c>
      <c r="DT14" s="101">
        <v>0</v>
      </c>
      <c r="DU14" s="101">
        <v>1</v>
      </c>
      <c r="DV14" s="101">
        <v>0</v>
      </c>
      <c r="DW14" s="101">
        <v>0</v>
      </c>
      <c r="DX14" s="102">
        <v>1</v>
      </c>
      <c r="DY14" s="103">
        <v>0</v>
      </c>
      <c r="DZ14" s="104">
        <v>0</v>
      </c>
      <c r="EA14" s="104">
        <v>0</v>
      </c>
      <c r="EB14" s="105">
        <v>9</v>
      </c>
      <c r="EC14" s="104">
        <v>0</v>
      </c>
      <c r="ED14" s="106">
        <v>2</v>
      </c>
      <c r="EE14" s="107">
        <v>0</v>
      </c>
      <c r="EF14" s="104">
        <v>0</v>
      </c>
      <c r="EG14" s="104">
        <v>0</v>
      </c>
      <c r="EH14" s="104">
        <v>0</v>
      </c>
      <c r="EI14" s="104">
        <v>3</v>
      </c>
      <c r="EJ14" s="104">
        <v>0</v>
      </c>
      <c r="EK14" s="104">
        <v>0</v>
      </c>
      <c r="EL14" s="104">
        <v>2</v>
      </c>
      <c r="EM14" s="104">
        <v>0</v>
      </c>
      <c r="EN14" s="104"/>
      <c r="EO14" s="104"/>
      <c r="EP14" s="104"/>
      <c r="EQ14" s="104"/>
      <c r="ER14" s="104"/>
      <c r="ES14" s="104"/>
      <c r="ET14" s="106">
        <f t="shared" si="0"/>
        <v>5</v>
      </c>
      <c r="EU14" s="104">
        <v>0</v>
      </c>
      <c r="EV14" s="104">
        <v>4</v>
      </c>
      <c r="EW14" s="104">
        <v>2</v>
      </c>
      <c r="EX14" s="104">
        <v>0</v>
      </c>
      <c r="EY14" s="104">
        <v>0</v>
      </c>
      <c r="EZ14" s="104">
        <v>1</v>
      </c>
      <c r="FA14" s="104">
        <v>0</v>
      </c>
      <c r="FB14" s="104">
        <v>0</v>
      </c>
      <c r="FC14" s="104"/>
      <c r="FD14" s="104"/>
      <c r="FE14" s="104"/>
      <c r="FF14" s="104"/>
      <c r="FG14" s="104"/>
      <c r="FH14" s="104"/>
      <c r="FI14" s="104"/>
      <c r="FJ14" s="104">
        <f t="shared" si="1"/>
        <v>7</v>
      </c>
      <c r="FK14" s="108">
        <f t="shared" ref="FK14:FK21" si="4">((SUM(L14,AD14))-(FJ14))</f>
        <v>0</v>
      </c>
      <c r="FL14" s="108">
        <f t="shared" ref="FL14:FL21" si="5">((SUM(AO14,AY14,BI14,BS14,CC14,CM14,CW14,DG14,DQ14))-(ET14))</f>
        <v>0</v>
      </c>
      <c r="FM14" s="109"/>
    </row>
    <row r="15" spans="1:169" x14ac:dyDescent="0.25">
      <c r="A15" s="91">
        <v>40288</v>
      </c>
      <c r="B15" s="91" t="s">
        <v>133</v>
      </c>
      <c r="C15" s="91" t="s">
        <v>129</v>
      </c>
      <c r="D15" s="91" t="s">
        <v>375</v>
      </c>
      <c r="E15" s="92">
        <v>1553</v>
      </c>
      <c r="F15" s="93">
        <v>2</v>
      </c>
      <c r="G15" s="94" t="s">
        <v>440</v>
      </c>
      <c r="H15" s="95">
        <v>0</v>
      </c>
      <c r="I15" s="95">
        <v>0</v>
      </c>
      <c r="J15" s="96">
        <v>3</v>
      </c>
      <c r="K15" s="95">
        <v>7</v>
      </c>
      <c r="L15" s="95">
        <v>4</v>
      </c>
      <c r="M15" s="95">
        <v>4</v>
      </c>
      <c r="N15" s="95">
        <v>1</v>
      </c>
      <c r="O15" s="95">
        <v>0</v>
      </c>
      <c r="P15" s="95">
        <v>1</v>
      </c>
      <c r="Q15" s="95">
        <v>0</v>
      </c>
      <c r="R15" s="95">
        <v>16</v>
      </c>
      <c r="S15" s="95">
        <v>62</v>
      </c>
      <c r="T15" s="95">
        <v>42</v>
      </c>
      <c r="U15" s="95">
        <v>2</v>
      </c>
      <c r="V15" s="97">
        <v>1</v>
      </c>
      <c r="W15" s="98">
        <v>1</v>
      </c>
      <c r="X15" s="98">
        <v>0</v>
      </c>
      <c r="Y15" s="98">
        <v>0</v>
      </c>
      <c r="Z15" s="98">
        <v>1</v>
      </c>
      <c r="AA15" s="98">
        <v>0</v>
      </c>
      <c r="AB15" s="99">
        <v>6</v>
      </c>
      <c r="AC15" s="98">
        <v>3</v>
      </c>
      <c r="AD15" s="98">
        <v>1</v>
      </c>
      <c r="AE15" s="98">
        <v>0</v>
      </c>
      <c r="AF15" s="98">
        <v>1</v>
      </c>
      <c r="AG15" s="98">
        <v>7</v>
      </c>
      <c r="AH15" s="98">
        <v>0</v>
      </c>
      <c r="AI15" s="98">
        <v>0</v>
      </c>
      <c r="AJ15" s="98">
        <v>21</v>
      </c>
      <c r="AK15" s="98">
        <v>91</v>
      </c>
      <c r="AL15" s="98">
        <v>58</v>
      </c>
      <c r="AM15" s="100" t="s">
        <v>441</v>
      </c>
      <c r="AN15" s="101">
        <v>5</v>
      </c>
      <c r="AO15" s="101">
        <v>1</v>
      </c>
      <c r="AP15" s="101">
        <v>2</v>
      </c>
      <c r="AQ15" s="101">
        <v>0</v>
      </c>
      <c r="AR15" s="101">
        <v>0</v>
      </c>
      <c r="AS15" s="101">
        <v>1</v>
      </c>
      <c r="AT15" s="101">
        <v>0</v>
      </c>
      <c r="AU15" s="101">
        <v>0</v>
      </c>
      <c r="AV15" s="102">
        <v>3</v>
      </c>
      <c r="AW15" s="100" t="s">
        <v>365</v>
      </c>
      <c r="AX15" s="101">
        <v>5</v>
      </c>
      <c r="AY15" s="101">
        <v>0</v>
      </c>
      <c r="AZ15" s="101">
        <v>4</v>
      </c>
      <c r="BA15" s="101">
        <v>1</v>
      </c>
      <c r="BB15" s="101">
        <v>0</v>
      </c>
      <c r="BC15" s="101">
        <v>1</v>
      </c>
      <c r="BD15" s="101">
        <v>0</v>
      </c>
      <c r="BE15" s="101">
        <v>0</v>
      </c>
      <c r="BF15" s="102">
        <v>6</v>
      </c>
      <c r="BG15" s="100" t="s">
        <v>367</v>
      </c>
      <c r="BH15" s="101">
        <v>3</v>
      </c>
      <c r="BI15" s="101">
        <v>0</v>
      </c>
      <c r="BJ15" s="101">
        <v>0</v>
      </c>
      <c r="BK15" s="101">
        <v>0</v>
      </c>
      <c r="BL15" s="101">
        <v>2</v>
      </c>
      <c r="BM15" s="101">
        <v>0</v>
      </c>
      <c r="BN15" s="101">
        <v>0</v>
      </c>
      <c r="BO15" s="101">
        <v>0</v>
      </c>
      <c r="BP15" s="102">
        <v>0</v>
      </c>
      <c r="BQ15" s="100" t="s">
        <v>366</v>
      </c>
      <c r="BR15" s="101">
        <v>5</v>
      </c>
      <c r="BS15" s="101">
        <v>0</v>
      </c>
      <c r="BT15" s="101">
        <v>0</v>
      </c>
      <c r="BU15" s="101">
        <v>0</v>
      </c>
      <c r="BV15" s="101">
        <v>0</v>
      </c>
      <c r="BW15" s="101">
        <v>3</v>
      </c>
      <c r="BX15" s="101">
        <v>0</v>
      </c>
      <c r="BY15" s="101">
        <v>0</v>
      </c>
      <c r="BZ15" s="102">
        <v>0</v>
      </c>
      <c r="CA15" s="100" t="s">
        <v>444</v>
      </c>
      <c r="CB15" s="101">
        <v>2</v>
      </c>
      <c r="CC15" s="101">
        <v>4</v>
      </c>
      <c r="CD15" s="101">
        <v>1</v>
      </c>
      <c r="CE15" s="101">
        <v>0</v>
      </c>
      <c r="CF15" s="101">
        <v>2</v>
      </c>
      <c r="CG15" s="101">
        <v>0</v>
      </c>
      <c r="CH15" s="101">
        <v>0</v>
      </c>
      <c r="CI15" s="101">
        <v>0</v>
      </c>
      <c r="CJ15" s="102">
        <v>1</v>
      </c>
      <c r="CK15" s="100" t="s">
        <v>445</v>
      </c>
      <c r="CL15" s="101">
        <v>3</v>
      </c>
      <c r="CM15" s="101">
        <v>2</v>
      </c>
      <c r="CN15" s="101">
        <v>1</v>
      </c>
      <c r="CO15" s="101">
        <v>1</v>
      </c>
      <c r="CP15" s="101">
        <v>1</v>
      </c>
      <c r="CQ15" s="101">
        <v>1</v>
      </c>
      <c r="CR15" s="101">
        <v>0</v>
      </c>
      <c r="CS15" s="101">
        <v>0</v>
      </c>
      <c r="CT15" s="102">
        <v>2</v>
      </c>
      <c r="CU15" s="100" t="s">
        <v>447</v>
      </c>
      <c r="CV15" s="101">
        <v>3</v>
      </c>
      <c r="CW15" s="101">
        <v>0</v>
      </c>
      <c r="CX15" s="101">
        <v>0</v>
      </c>
      <c r="CY15" s="101">
        <v>1</v>
      </c>
      <c r="CZ15" s="101">
        <v>0</v>
      </c>
      <c r="DA15" s="101">
        <v>1</v>
      </c>
      <c r="DB15" s="101">
        <v>0</v>
      </c>
      <c r="DC15" s="101">
        <v>0</v>
      </c>
      <c r="DD15" s="102">
        <v>0</v>
      </c>
      <c r="DE15" s="100" t="s">
        <v>449</v>
      </c>
      <c r="DF15" s="101">
        <v>4</v>
      </c>
      <c r="DG15" s="101">
        <v>0</v>
      </c>
      <c r="DH15" s="101">
        <v>2</v>
      </c>
      <c r="DI15" s="101">
        <v>2</v>
      </c>
      <c r="DJ15" s="101">
        <v>0</v>
      </c>
      <c r="DK15" s="101">
        <v>1</v>
      </c>
      <c r="DL15" s="101">
        <v>0</v>
      </c>
      <c r="DM15" s="101">
        <v>0</v>
      </c>
      <c r="DN15" s="102">
        <v>2</v>
      </c>
      <c r="DO15" s="100" t="s">
        <v>448</v>
      </c>
      <c r="DP15" s="101">
        <v>4</v>
      </c>
      <c r="DQ15" s="101">
        <v>0</v>
      </c>
      <c r="DR15" s="101">
        <v>0</v>
      </c>
      <c r="DS15" s="101">
        <v>0</v>
      </c>
      <c r="DT15" s="101">
        <v>0</v>
      </c>
      <c r="DU15" s="101">
        <v>2</v>
      </c>
      <c r="DV15" s="101">
        <v>0</v>
      </c>
      <c r="DW15" s="101">
        <v>0</v>
      </c>
      <c r="DX15" s="102">
        <v>0</v>
      </c>
      <c r="DY15" s="103">
        <v>5</v>
      </c>
      <c r="DZ15" s="104">
        <v>2</v>
      </c>
      <c r="EA15" s="104">
        <v>0</v>
      </c>
      <c r="EB15" s="105">
        <v>4</v>
      </c>
      <c r="EC15" s="104">
        <v>1</v>
      </c>
      <c r="ED15" s="106">
        <v>1</v>
      </c>
      <c r="EE15" s="107">
        <v>0</v>
      </c>
      <c r="EF15" s="104">
        <v>2</v>
      </c>
      <c r="EG15" s="104">
        <v>0</v>
      </c>
      <c r="EH15" s="104">
        <v>1</v>
      </c>
      <c r="EI15" s="104">
        <v>0</v>
      </c>
      <c r="EJ15" s="104">
        <v>1</v>
      </c>
      <c r="EK15" s="104">
        <v>1</v>
      </c>
      <c r="EL15" s="104">
        <v>2</v>
      </c>
      <c r="EM15" s="104">
        <v>0</v>
      </c>
      <c r="EN15" s="104"/>
      <c r="EO15" s="104"/>
      <c r="EP15" s="104"/>
      <c r="EQ15" s="104"/>
      <c r="ER15" s="104"/>
      <c r="ES15" s="104"/>
      <c r="ET15" s="106">
        <f t="shared" si="0"/>
        <v>7</v>
      </c>
      <c r="EU15" s="104">
        <v>0</v>
      </c>
      <c r="EV15" s="104">
        <v>0</v>
      </c>
      <c r="EW15" s="104">
        <v>1</v>
      </c>
      <c r="EX15" s="104">
        <v>3</v>
      </c>
      <c r="EY15" s="104">
        <v>1</v>
      </c>
      <c r="EZ15" s="104">
        <v>0</v>
      </c>
      <c r="FA15" s="104">
        <v>0</v>
      </c>
      <c r="FB15" s="104">
        <v>0</v>
      </c>
      <c r="FC15" s="104">
        <v>0</v>
      </c>
      <c r="FD15" s="104"/>
      <c r="FE15" s="104"/>
      <c r="FF15" s="104"/>
      <c r="FG15" s="104"/>
      <c r="FH15" s="104"/>
      <c r="FI15" s="104"/>
      <c r="FJ15" s="104">
        <f t="shared" si="1"/>
        <v>5</v>
      </c>
      <c r="FK15" s="108">
        <f t="shared" si="4"/>
        <v>0</v>
      </c>
      <c r="FL15" s="108">
        <f t="shared" si="5"/>
        <v>0</v>
      </c>
      <c r="FM15" s="109"/>
    </row>
    <row r="16" spans="1:169" x14ac:dyDescent="0.25">
      <c r="A16" s="91">
        <v>40289</v>
      </c>
      <c r="B16" s="91" t="s">
        <v>133</v>
      </c>
      <c r="C16" s="91" t="s">
        <v>131</v>
      </c>
      <c r="D16" s="91" t="s">
        <v>375</v>
      </c>
      <c r="E16" s="92">
        <v>2184</v>
      </c>
      <c r="F16" s="93">
        <v>3</v>
      </c>
      <c r="G16" s="94" t="s">
        <v>439</v>
      </c>
      <c r="H16" s="95">
        <v>0</v>
      </c>
      <c r="I16" s="95">
        <v>0</v>
      </c>
      <c r="J16" s="96">
        <f>2+1/3</f>
        <v>2.3333333333333335</v>
      </c>
      <c r="K16" s="95">
        <v>2</v>
      </c>
      <c r="L16" s="95">
        <v>1</v>
      </c>
      <c r="M16" s="95">
        <v>1</v>
      </c>
      <c r="N16" s="95">
        <v>1</v>
      </c>
      <c r="O16" s="95">
        <v>3</v>
      </c>
      <c r="P16" s="95">
        <v>0</v>
      </c>
      <c r="Q16" s="95">
        <v>0</v>
      </c>
      <c r="R16" s="95">
        <v>10</v>
      </c>
      <c r="S16" s="95">
        <v>43</v>
      </c>
      <c r="T16" s="95">
        <v>30</v>
      </c>
      <c r="U16" s="95">
        <v>1</v>
      </c>
      <c r="V16" s="97">
        <v>0</v>
      </c>
      <c r="W16" s="98">
        <v>0</v>
      </c>
      <c r="X16" s="98">
        <v>1</v>
      </c>
      <c r="Y16" s="98">
        <v>0</v>
      </c>
      <c r="Z16" s="98">
        <v>0</v>
      </c>
      <c r="AA16" s="98">
        <v>0</v>
      </c>
      <c r="AB16" s="99">
        <f>5+2/3</f>
        <v>5.666666666666667</v>
      </c>
      <c r="AC16" s="98">
        <v>7</v>
      </c>
      <c r="AD16" s="98">
        <v>5</v>
      </c>
      <c r="AE16" s="98">
        <v>5</v>
      </c>
      <c r="AF16" s="98">
        <v>2</v>
      </c>
      <c r="AG16" s="98">
        <v>5</v>
      </c>
      <c r="AH16" s="98">
        <v>1</v>
      </c>
      <c r="AI16" s="98">
        <v>0</v>
      </c>
      <c r="AJ16" s="98">
        <v>26</v>
      </c>
      <c r="AK16" s="98">
        <v>91</v>
      </c>
      <c r="AL16" s="98">
        <v>56</v>
      </c>
      <c r="AM16" s="100" t="s">
        <v>441</v>
      </c>
      <c r="AN16" s="101">
        <v>3</v>
      </c>
      <c r="AO16" s="101">
        <v>1</v>
      </c>
      <c r="AP16" s="101">
        <v>1</v>
      </c>
      <c r="AQ16" s="101">
        <v>0</v>
      </c>
      <c r="AR16" s="101">
        <v>1</v>
      </c>
      <c r="AS16" s="101">
        <v>1</v>
      </c>
      <c r="AT16" s="101">
        <v>1</v>
      </c>
      <c r="AU16" s="101">
        <v>0</v>
      </c>
      <c r="AV16" s="102">
        <v>1</v>
      </c>
      <c r="AW16" s="100" t="s">
        <v>365</v>
      </c>
      <c r="AX16" s="101">
        <v>5</v>
      </c>
      <c r="AY16" s="101">
        <v>0</v>
      </c>
      <c r="AZ16" s="101">
        <v>1</v>
      </c>
      <c r="BA16" s="101">
        <v>0</v>
      </c>
      <c r="BB16" s="101">
        <v>0</v>
      </c>
      <c r="BC16" s="101">
        <v>0</v>
      </c>
      <c r="BD16" s="101">
        <v>0</v>
      </c>
      <c r="BE16" s="101">
        <v>0</v>
      </c>
      <c r="BF16" s="102">
        <v>1</v>
      </c>
      <c r="BG16" s="100" t="s">
        <v>444</v>
      </c>
      <c r="BH16" s="101">
        <v>4</v>
      </c>
      <c r="BI16" s="101">
        <v>0</v>
      </c>
      <c r="BJ16" s="101">
        <v>0</v>
      </c>
      <c r="BK16" s="101">
        <v>0</v>
      </c>
      <c r="BL16" s="101">
        <v>0</v>
      </c>
      <c r="BM16" s="101">
        <v>1</v>
      </c>
      <c r="BN16" s="101">
        <v>0</v>
      </c>
      <c r="BO16" s="101">
        <v>0</v>
      </c>
      <c r="BP16" s="102">
        <v>0</v>
      </c>
      <c r="BQ16" s="100" t="s">
        <v>366</v>
      </c>
      <c r="BR16" s="101">
        <v>4</v>
      </c>
      <c r="BS16" s="101">
        <v>0</v>
      </c>
      <c r="BT16" s="101">
        <v>0</v>
      </c>
      <c r="BU16" s="101">
        <v>0</v>
      </c>
      <c r="BV16" s="101">
        <v>0</v>
      </c>
      <c r="BW16" s="101">
        <v>3</v>
      </c>
      <c r="BX16" s="101">
        <v>0</v>
      </c>
      <c r="BY16" s="101">
        <v>0</v>
      </c>
      <c r="BZ16" s="102">
        <v>0</v>
      </c>
      <c r="CA16" s="100" t="s">
        <v>446</v>
      </c>
      <c r="CB16" s="101">
        <v>4</v>
      </c>
      <c r="CC16" s="101">
        <v>1</v>
      </c>
      <c r="CD16" s="101">
        <v>2</v>
      </c>
      <c r="CE16" s="101">
        <v>1</v>
      </c>
      <c r="CF16" s="101">
        <v>0</v>
      </c>
      <c r="CG16" s="101">
        <v>0</v>
      </c>
      <c r="CH16" s="101">
        <v>0</v>
      </c>
      <c r="CI16" s="101">
        <v>0</v>
      </c>
      <c r="CJ16" s="102">
        <v>4</v>
      </c>
      <c r="CK16" s="100" t="s">
        <v>445</v>
      </c>
      <c r="CL16" s="101">
        <v>4</v>
      </c>
      <c r="CM16" s="101">
        <v>2</v>
      </c>
      <c r="CN16" s="101">
        <v>2</v>
      </c>
      <c r="CO16" s="101">
        <v>1</v>
      </c>
      <c r="CP16" s="101">
        <v>0</v>
      </c>
      <c r="CQ16" s="101">
        <v>0</v>
      </c>
      <c r="CR16" s="101">
        <v>0</v>
      </c>
      <c r="CS16" s="101">
        <v>0</v>
      </c>
      <c r="CT16" s="102">
        <v>4</v>
      </c>
      <c r="CU16" s="100" t="s">
        <v>364</v>
      </c>
      <c r="CV16" s="101">
        <v>3</v>
      </c>
      <c r="CW16" s="101">
        <v>1</v>
      </c>
      <c r="CX16" s="101">
        <v>2</v>
      </c>
      <c r="CY16" s="101">
        <v>2</v>
      </c>
      <c r="CZ16" s="101">
        <v>1</v>
      </c>
      <c r="DA16" s="101">
        <v>0</v>
      </c>
      <c r="DB16" s="101">
        <v>0</v>
      </c>
      <c r="DC16" s="101">
        <v>0</v>
      </c>
      <c r="DD16" s="102">
        <v>3</v>
      </c>
      <c r="DE16" s="100" t="s">
        <v>447</v>
      </c>
      <c r="DF16" s="101">
        <v>3</v>
      </c>
      <c r="DG16" s="101">
        <v>0</v>
      </c>
      <c r="DH16" s="101">
        <v>1</v>
      </c>
      <c r="DI16" s="101">
        <v>1</v>
      </c>
      <c r="DJ16" s="101">
        <v>1</v>
      </c>
      <c r="DK16" s="101">
        <v>1</v>
      </c>
      <c r="DL16" s="101">
        <v>0</v>
      </c>
      <c r="DM16" s="101">
        <v>0</v>
      </c>
      <c r="DN16" s="102">
        <v>2</v>
      </c>
      <c r="DO16" s="100" t="s">
        <v>448</v>
      </c>
      <c r="DP16" s="101">
        <v>3</v>
      </c>
      <c r="DQ16" s="101">
        <v>0</v>
      </c>
      <c r="DR16" s="101">
        <v>0</v>
      </c>
      <c r="DS16" s="101">
        <v>0</v>
      </c>
      <c r="DT16" s="101">
        <v>0</v>
      </c>
      <c r="DU16" s="101">
        <v>0</v>
      </c>
      <c r="DV16" s="101">
        <v>0</v>
      </c>
      <c r="DW16" s="101">
        <v>0</v>
      </c>
      <c r="DX16" s="102">
        <v>0</v>
      </c>
      <c r="DY16" s="103">
        <v>0</v>
      </c>
      <c r="DZ16" s="104">
        <v>0</v>
      </c>
      <c r="EA16" s="104">
        <v>0</v>
      </c>
      <c r="EB16" s="105">
        <v>9</v>
      </c>
      <c r="EC16" s="104">
        <v>0</v>
      </c>
      <c r="ED16" s="106">
        <v>0</v>
      </c>
      <c r="EE16" s="107">
        <v>0</v>
      </c>
      <c r="EF16" s="104">
        <v>0</v>
      </c>
      <c r="EG16" s="104">
        <v>0</v>
      </c>
      <c r="EH16" s="104">
        <v>0</v>
      </c>
      <c r="EI16" s="104">
        <v>1</v>
      </c>
      <c r="EJ16" s="104">
        <v>1</v>
      </c>
      <c r="EK16" s="104">
        <v>0</v>
      </c>
      <c r="EL16" s="104">
        <v>0</v>
      </c>
      <c r="EM16" s="104">
        <v>3</v>
      </c>
      <c r="EN16" s="104"/>
      <c r="EO16" s="104"/>
      <c r="EP16" s="104"/>
      <c r="EQ16" s="104"/>
      <c r="ER16" s="104"/>
      <c r="ES16" s="104"/>
      <c r="ET16" s="106">
        <f t="shared" si="0"/>
        <v>5</v>
      </c>
      <c r="EU16" s="104">
        <v>0</v>
      </c>
      <c r="EV16" s="104">
        <v>1</v>
      </c>
      <c r="EW16" s="104">
        <v>0</v>
      </c>
      <c r="EX16" s="104">
        <v>0</v>
      </c>
      <c r="EY16" s="104">
        <v>2</v>
      </c>
      <c r="EZ16" s="104">
        <v>2</v>
      </c>
      <c r="FA16" s="104">
        <v>1</v>
      </c>
      <c r="FB16" s="104">
        <v>0</v>
      </c>
      <c r="FC16" s="104"/>
      <c r="FD16" s="104"/>
      <c r="FE16" s="104"/>
      <c r="FF16" s="104"/>
      <c r="FG16" s="104"/>
      <c r="FH16" s="104"/>
      <c r="FI16" s="104"/>
      <c r="FJ16" s="104">
        <f t="shared" si="1"/>
        <v>6</v>
      </c>
      <c r="FK16" s="108">
        <f t="shared" si="4"/>
        <v>0</v>
      </c>
      <c r="FL16" s="108">
        <f t="shared" si="5"/>
        <v>0</v>
      </c>
      <c r="FM16" s="109"/>
    </row>
    <row r="17" spans="1:169" x14ac:dyDescent="0.25">
      <c r="A17" s="91">
        <v>40290</v>
      </c>
      <c r="B17" s="91" t="s">
        <v>133</v>
      </c>
      <c r="C17" s="91" t="s">
        <v>131</v>
      </c>
      <c r="D17" s="91" t="s">
        <v>375</v>
      </c>
      <c r="E17" s="92">
        <v>4479</v>
      </c>
      <c r="F17" s="93">
        <v>4</v>
      </c>
      <c r="G17" s="94" t="s">
        <v>438</v>
      </c>
      <c r="H17" s="95">
        <v>0</v>
      </c>
      <c r="I17" s="95">
        <v>0</v>
      </c>
      <c r="J17" s="96">
        <v>5</v>
      </c>
      <c r="K17" s="95">
        <v>7</v>
      </c>
      <c r="L17" s="95">
        <v>4</v>
      </c>
      <c r="M17" s="95">
        <v>4</v>
      </c>
      <c r="N17" s="95">
        <v>2</v>
      </c>
      <c r="O17" s="95">
        <v>2</v>
      </c>
      <c r="P17" s="95">
        <v>0</v>
      </c>
      <c r="Q17" s="95">
        <v>0</v>
      </c>
      <c r="R17" s="95">
        <v>23</v>
      </c>
      <c r="S17" s="95">
        <v>79</v>
      </c>
      <c r="T17" s="95">
        <v>51</v>
      </c>
      <c r="U17" s="95">
        <v>0</v>
      </c>
      <c r="V17" s="97">
        <v>0</v>
      </c>
      <c r="W17" s="98">
        <v>0</v>
      </c>
      <c r="X17" s="98">
        <v>1</v>
      </c>
      <c r="Y17" s="98">
        <v>0</v>
      </c>
      <c r="Z17" s="98">
        <v>0</v>
      </c>
      <c r="AA17" s="98">
        <v>0</v>
      </c>
      <c r="AB17" s="99">
        <f>4+1/3</f>
        <v>4.333333333333333</v>
      </c>
      <c r="AC17" s="98">
        <v>5</v>
      </c>
      <c r="AD17" s="98">
        <v>2</v>
      </c>
      <c r="AE17" s="98">
        <v>2</v>
      </c>
      <c r="AF17" s="98">
        <v>3</v>
      </c>
      <c r="AG17" s="98">
        <v>3</v>
      </c>
      <c r="AH17" s="98">
        <v>2</v>
      </c>
      <c r="AI17" s="98">
        <v>0</v>
      </c>
      <c r="AJ17" s="98">
        <v>20</v>
      </c>
      <c r="AK17" s="98">
        <v>76</v>
      </c>
      <c r="AL17" s="98">
        <v>49</v>
      </c>
      <c r="AM17" s="100" t="s">
        <v>441</v>
      </c>
      <c r="AN17" s="101">
        <v>4</v>
      </c>
      <c r="AO17" s="101">
        <v>0</v>
      </c>
      <c r="AP17" s="101">
        <v>1</v>
      </c>
      <c r="AQ17" s="101">
        <v>1</v>
      </c>
      <c r="AR17" s="101">
        <v>1</v>
      </c>
      <c r="AS17" s="101">
        <v>0</v>
      </c>
      <c r="AT17" s="101">
        <v>0</v>
      </c>
      <c r="AU17" s="101">
        <v>0</v>
      </c>
      <c r="AV17" s="102">
        <v>2</v>
      </c>
      <c r="AW17" s="100" t="s">
        <v>365</v>
      </c>
      <c r="AX17" s="101">
        <v>5</v>
      </c>
      <c r="AY17" s="101">
        <v>0</v>
      </c>
      <c r="AZ17" s="101">
        <v>2</v>
      </c>
      <c r="BA17" s="101">
        <v>1</v>
      </c>
      <c r="BB17" s="101">
        <v>0</v>
      </c>
      <c r="BC17" s="101">
        <v>0</v>
      </c>
      <c r="BD17" s="101">
        <v>0</v>
      </c>
      <c r="BE17" s="101">
        <v>0</v>
      </c>
      <c r="BF17" s="102">
        <v>3</v>
      </c>
      <c r="BG17" s="100" t="s">
        <v>367</v>
      </c>
      <c r="BH17" s="101">
        <v>3</v>
      </c>
      <c r="BI17" s="101">
        <v>1</v>
      </c>
      <c r="BJ17" s="101">
        <v>1</v>
      </c>
      <c r="BK17" s="101">
        <v>0</v>
      </c>
      <c r="BL17" s="101">
        <v>2</v>
      </c>
      <c r="BM17" s="101">
        <v>2</v>
      </c>
      <c r="BN17" s="101">
        <v>0</v>
      </c>
      <c r="BO17" s="101">
        <v>0</v>
      </c>
      <c r="BP17" s="102">
        <v>2</v>
      </c>
      <c r="BQ17" s="100" t="s">
        <v>366</v>
      </c>
      <c r="BR17" s="101">
        <v>5</v>
      </c>
      <c r="BS17" s="101">
        <v>1</v>
      </c>
      <c r="BT17" s="101">
        <v>2</v>
      </c>
      <c r="BU17" s="101">
        <v>2</v>
      </c>
      <c r="BV17" s="101">
        <v>0</v>
      </c>
      <c r="BW17" s="101">
        <v>2</v>
      </c>
      <c r="BX17" s="101">
        <v>0</v>
      </c>
      <c r="BY17" s="101">
        <v>0</v>
      </c>
      <c r="BZ17" s="102">
        <v>6</v>
      </c>
      <c r="CA17" s="100" t="s">
        <v>444</v>
      </c>
      <c r="CB17" s="101">
        <v>4</v>
      </c>
      <c r="CC17" s="101">
        <v>0</v>
      </c>
      <c r="CD17" s="101">
        <v>0</v>
      </c>
      <c r="CE17" s="101">
        <v>0</v>
      </c>
      <c r="CF17" s="101">
        <v>0</v>
      </c>
      <c r="CG17" s="101">
        <v>3</v>
      </c>
      <c r="CH17" s="101">
        <v>0</v>
      </c>
      <c r="CI17" s="101">
        <v>0</v>
      </c>
      <c r="CJ17" s="102">
        <v>0</v>
      </c>
      <c r="CK17" s="100" t="s">
        <v>445</v>
      </c>
      <c r="CL17" s="101">
        <v>4</v>
      </c>
      <c r="CM17" s="101">
        <v>0</v>
      </c>
      <c r="CN17" s="101">
        <v>0</v>
      </c>
      <c r="CO17" s="101">
        <v>0</v>
      </c>
      <c r="CP17" s="101">
        <v>0</v>
      </c>
      <c r="CQ17" s="101">
        <v>2</v>
      </c>
      <c r="CR17" s="101">
        <v>0</v>
      </c>
      <c r="CS17" s="101">
        <v>0</v>
      </c>
      <c r="CT17" s="102">
        <v>0</v>
      </c>
      <c r="CU17" s="100" t="s">
        <v>364</v>
      </c>
      <c r="CV17" s="101">
        <v>4</v>
      </c>
      <c r="CW17" s="101">
        <v>1</v>
      </c>
      <c r="CX17" s="101">
        <v>1</v>
      </c>
      <c r="CY17" s="101">
        <v>0</v>
      </c>
      <c r="CZ17" s="101">
        <v>0</v>
      </c>
      <c r="DA17" s="101">
        <v>0</v>
      </c>
      <c r="DB17" s="101">
        <v>0</v>
      </c>
      <c r="DC17" s="101">
        <v>0</v>
      </c>
      <c r="DD17" s="102">
        <v>3</v>
      </c>
      <c r="DE17" s="100" t="s">
        <v>449</v>
      </c>
      <c r="DF17" s="101">
        <v>4</v>
      </c>
      <c r="DG17" s="101">
        <v>1</v>
      </c>
      <c r="DH17" s="101">
        <v>1</v>
      </c>
      <c r="DI17" s="101">
        <v>0</v>
      </c>
      <c r="DJ17" s="101">
        <v>0</v>
      </c>
      <c r="DK17" s="101">
        <v>1</v>
      </c>
      <c r="DL17" s="101">
        <v>0</v>
      </c>
      <c r="DM17" s="101">
        <v>0</v>
      </c>
      <c r="DN17" s="102">
        <v>1</v>
      </c>
      <c r="DO17" s="100" t="s">
        <v>448</v>
      </c>
      <c r="DP17" s="101">
        <v>3</v>
      </c>
      <c r="DQ17" s="101">
        <v>1</v>
      </c>
      <c r="DR17" s="101">
        <v>0</v>
      </c>
      <c r="DS17" s="101">
        <v>0</v>
      </c>
      <c r="DT17" s="101">
        <v>1</v>
      </c>
      <c r="DU17" s="101">
        <v>0</v>
      </c>
      <c r="DV17" s="101">
        <v>0</v>
      </c>
      <c r="DW17" s="101">
        <v>0</v>
      </c>
      <c r="DX17" s="102">
        <v>0</v>
      </c>
      <c r="DY17" s="103">
        <v>6</v>
      </c>
      <c r="DZ17" s="104">
        <v>0</v>
      </c>
      <c r="EA17" s="104">
        <v>0</v>
      </c>
      <c r="EB17" s="105">
        <v>4</v>
      </c>
      <c r="EC17" s="104">
        <v>0</v>
      </c>
      <c r="ED17" s="106">
        <v>1</v>
      </c>
      <c r="EE17" s="107">
        <v>1</v>
      </c>
      <c r="EF17" s="104">
        <v>0</v>
      </c>
      <c r="EG17" s="104">
        <v>0</v>
      </c>
      <c r="EH17" s="104">
        <v>1</v>
      </c>
      <c r="EI17" s="104">
        <v>1</v>
      </c>
      <c r="EJ17" s="104">
        <v>0</v>
      </c>
      <c r="EK17" s="104">
        <v>2</v>
      </c>
      <c r="EL17" s="104">
        <v>0</v>
      </c>
      <c r="EM17" s="104">
        <v>0</v>
      </c>
      <c r="EN17" s="104">
        <v>0</v>
      </c>
      <c r="EO17" s="104"/>
      <c r="EP17" s="104"/>
      <c r="EQ17" s="104"/>
      <c r="ER17" s="104"/>
      <c r="ES17" s="104"/>
      <c r="ET17" s="106">
        <f t="shared" si="0"/>
        <v>5</v>
      </c>
      <c r="EU17" s="104">
        <v>1</v>
      </c>
      <c r="EV17" s="104">
        <v>0</v>
      </c>
      <c r="EW17" s="104">
        <v>0</v>
      </c>
      <c r="EX17" s="104">
        <v>1</v>
      </c>
      <c r="EY17" s="104">
        <v>2</v>
      </c>
      <c r="EZ17" s="104">
        <v>0</v>
      </c>
      <c r="FA17" s="104">
        <v>1</v>
      </c>
      <c r="FB17" s="104">
        <v>0</v>
      </c>
      <c r="FC17" s="104">
        <v>0</v>
      </c>
      <c r="FD17" s="104">
        <v>1</v>
      </c>
      <c r="FE17" s="104"/>
      <c r="FF17" s="104"/>
      <c r="FG17" s="104"/>
      <c r="FH17" s="104"/>
      <c r="FI17" s="104"/>
      <c r="FJ17" s="104">
        <f t="shared" si="1"/>
        <v>6</v>
      </c>
      <c r="FK17" s="108">
        <f t="shared" si="4"/>
        <v>0</v>
      </c>
      <c r="FL17" s="108">
        <f t="shared" si="5"/>
        <v>0</v>
      </c>
      <c r="FM17" s="109"/>
    </row>
    <row r="18" spans="1:169" x14ac:dyDescent="0.25">
      <c r="A18" s="91">
        <v>40291</v>
      </c>
      <c r="B18" s="91" t="s">
        <v>133</v>
      </c>
      <c r="C18" s="91" t="s">
        <v>131</v>
      </c>
      <c r="D18" s="91" t="s">
        <v>375</v>
      </c>
      <c r="E18" s="92">
        <v>6438</v>
      </c>
      <c r="F18" s="93">
        <v>5</v>
      </c>
      <c r="G18" s="94" t="s">
        <v>368</v>
      </c>
      <c r="H18" s="95">
        <v>0</v>
      </c>
      <c r="I18" s="95">
        <v>1</v>
      </c>
      <c r="J18" s="96">
        <v>5</v>
      </c>
      <c r="K18" s="95">
        <v>4</v>
      </c>
      <c r="L18" s="95">
        <v>3</v>
      </c>
      <c r="M18" s="95">
        <v>0</v>
      </c>
      <c r="N18" s="95">
        <v>4</v>
      </c>
      <c r="O18" s="95">
        <v>1</v>
      </c>
      <c r="P18" s="95">
        <v>0</v>
      </c>
      <c r="Q18" s="95">
        <v>0</v>
      </c>
      <c r="R18" s="95">
        <v>23</v>
      </c>
      <c r="S18" s="95">
        <v>104</v>
      </c>
      <c r="T18" s="95">
        <v>65</v>
      </c>
      <c r="U18" s="95">
        <v>0</v>
      </c>
      <c r="V18" s="97">
        <v>0</v>
      </c>
      <c r="W18" s="98">
        <v>0</v>
      </c>
      <c r="X18" s="98">
        <v>0</v>
      </c>
      <c r="Y18" s="98">
        <v>0</v>
      </c>
      <c r="Z18" s="98">
        <v>0</v>
      </c>
      <c r="AA18" s="98">
        <v>0</v>
      </c>
      <c r="AB18" s="99">
        <v>3</v>
      </c>
      <c r="AC18" s="98">
        <v>4</v>
      </c>
      <c r="AD18" s="98">
        <v>3</v>
      </c>
      <c r="AE18" s="98">
        <v>3</v>
      </c>
      <c r="AF18" s="98">
        <v>3</v>
      </c>
      <c r="AG18" s="98">
        <v>1</v>
      </c>
      <c r="AH18" s="98">
        <v>1</v>
      </c>
      <c r="AI18" s="98">
        <v>0</v>
      </c>
      <c r="AJ18" s="98">
        <v>16</v>
      </c>
      <c r="AK18" s="98">
        <v>57</v>
      </c>
      <c r="AL18" s="98">
        <v>32</v>
      </c>
      <c r="AM18" s="100" t="s">
        <v>441</v>
      </c>
      <c r="AN18" s="101">
        <v>3</v>
      </c>
      <c r="AO18" s="101">
        <v>0</v>
      </c>
      <c r="AP18" s="101">
        <v>1</v>
      </c>
      <c r="AQ18" s="101">
        <v>0</v>
      </c>
      <c r="AR18" s="101">
        <v>1</v>
      </c>
      <c r="AS18" s="101">
        <v>0</v>
      </c>
      <c r="AT18" s="101">
        <v>0</v>
      </c>
      <c r="AU18" s="101">
        <v>0</v>
      </c>
      <c r="AV18" s="102">
        <v>1</v>
      </c>
      <c r="AW18" s="100" t="s">
        <v>365</v>
      </c>
      <c r="AX18" s="101">
        <v>3</v>
      </c>
      <c r="AY18" s="101">
        <v>0</v>
      </c>
      <c r="AZ18" s="101">
        <v>1</v>
      </c>
      <c r="BA18" s="101">
        <v>0</v>
      </c>
      <c r="BB18" s="101">
        <v>1</v>
      </c>
      <c r="BC18" s="101">
        <v>0</v>
      </c>
      <c r="BD18" s="101">
        <v>0</v>
      </c>
      <c r="BE18" s="101">
        <v>0</v>
      </c>
      <c r="BF18" s="102">
        <v>1</v>
      </c>
      <c r="BG18" s="100" t="s">
        <v>367</v>
      </c>
      <c r="BH18" s="101">
        <v>4</v>
      </c>
      <c r="BI18" s="101">
        <v>1</v>
      </c>
      <c r="BJ18" s="101">
        <v>2</v>
      </c>
      <c r="BK18" s="101">
        <v>0</v>
      </c>
      <c r="BL18" s="101">
        <v>0</v>
      </c>
      <c r="BM18" s="101">
        <v>0</v>
      </c>
      <c r="BN18" s="101">
        <v>0</v>
      </c>
      <c r="BO18" s="101">
        <v>0</v>
      </c>
      <c r="BP18" s="102">
        <v>3</v>
      </c>
      <c r="BQ18" s="100" t="s">
        <v>366</v>
      </c>
      <c r="BR18" s="101">
        <v>4</v>
      </c>
      <c r="BS18" s="101">
        <v>0</v>
      </c>
      <c r="BT18" s="101">
        <v>1</v>
      </c>
      <c r="BU18" s="101">
        <v>1</v>
      </c>
      <c r="BV18" s="101">
        <v>0</v>
      </c>
      <c r="BW18" s="101">
        <v>1</v>
      </c>
      <c r="BX18" s="101">
        <v>0</v>
      </c>
      <c r="BY18" s="101">
        <v>0</v>
      </c>
      <c r="BZ18" s="102">
        <v>2</v>
      </c>
      <c r="CA18" s="100" t="s">
        <v>446</v>
      </c>
      <c r="CB18" s="101">
        <v>4</v>
      </c>
      <c r="CC18" s="101">
        <v>0</v>
      </c>
      <c r="CD18" s="101">
        <v>0</v>
      </c>
      <c r="CE18" s="101">
        <v>0</v>
      </c>
      <c r="CF18" s="101">
        <v>0</v>
      </c>
      <c r="CG18" s="101">
        <v>1</v>
      </c>
      <c r="CH18" s="101">
        <v>0</v>
      </c>
      <c r="CI18" s="101">
        <v>0</v>
      </c>
      <c r="CJ18" s="102">
        <v>0</v>
      </c>
      <c r="CK18" s="100" t="s">
        <v>444</v>
      </c>
      <c r="CL18" s="101">
        <v>4</v>
      </c>
      <c r="CM18" s="101">
        <v>0</v>
      </c>
      <c r="CN18" s="101">
        <v>0</v>
      </c>
      <c r="CO18" s="101">
        <v>0</v>
      </c>
      <c r="CP18" s="101">
        <v>0</v>
      </c>
      <c r="CQ18" s="101">
        <v>0</v>
      </c>
      <c r="CR18" s="101">
        <v>0</v>
      </c>
      <c r="CS18" s="101">
        <v>0</v>
      </c>
      <c r="CT18" s="102">
        <v>0</v>
      </c>
      <c r="CU18" s="100" t="s">
        <v>445</v>
      </c>
      <c r="CV18" s="101">
        <v>4</v>
      </c>
      <c r="CW18" s="101">
        <v>0</v>
      </c>
      <c r="CX18" s="101">
        <v>0</v>
      </c>
      <c r="CY18" s="101">
        <v>0</v>
      </c>
      <c r="CZ18" s="101">
        <v>0</v>
      </c>
      <c r="DA18" s="101">
        <v>0</v>
      </c>
      <c r="DB18" s="101">
        <v>0</v>
      </c>
      <c r="DC18" s="101">
        <v>0</v>
      </c>
      <c r="DD18" s="102">
        <v>0</v>
      </c>
      <c r="DE18" s="100" t="s">
        <v>364</v>
      </c>
      <c r="DF18" s="101">
        <v>3</v>
      </c>
      <c r="DG18" s="101">
        <v>0</v>
      </c>
      <c r="DH18" s="101">
        <v>1</v>
      </c>
      <c r="DI18" s="101">
        <v>0</v>
      </c>
      <c r="DJ18" s="101">
        <v>0</v>
      </c>
      <c r="DK18" s="101">
        <v>0</v>
      </c>
      <c r="DL18" s="101">
        <v>0</v>
      </c>
      <c r="DM18" s="101">
        <v>0</v>
      </c>
      <c r="DN18" s="102">
        <v>1</v>
      </c>
      <c r="DO18" s="100" t="s">
        <v>448</v>
      </c>
      <c r="DP18" s="101">
        <v>3</v>
      </c>
      <c r="DQ18" s="101">
        <v>0</v>
      </c>
      <c r="DR18" s="101">
        <v>0</v>
      </c>
      <c r="DS18" s="101">
        <v>0</v>
      </c>
      <c r="DT18" s="101">
        <v>0</v>
      </c>
      <c r="DU18" s="101">
        <v>0</v>
      </c>
      <c r="DV18" s="101">
        <v>0</v>
      </c>
      <c r="DW18" s="101">
        <v>0</v>
      </c>
      <c r="DX18" s="102">
        <v>0</v>
      </c>
      <c r="DY18" s="103">
        <v>1</v>
      </c>
      <c r="DZ18" s="104">
        <v>0</v>
      </c>
      <c r="EA18" s="104">
        <v>0</v>
      </c>
      <c r="EB18" s="105">
        <v>8</v>
      </c>
      <c r="EC18" s="104">
        <v>0</v>
      </c>
      <c r="ED18" s="106">
        <v>0</v>
      </c>
      <c r="EE18" s="107">
        <v>0</v>
      </c>
      <c r="EF18" s="104">
        <v>0</v>
      </c>
      <c r="EG18" s="104">
        <v>0</v>
      </c>
      <c r="EH18" s="104">
        <v>0</v>
      </c>
      <c r="EI18" s="104">
        <v>0</v>
      </c>
      <c r="EJ18" s="104">
        <v>0</v>
      </c>
      <c r="EK18" s="104">
        <v>0</v>
      </c>
      <c r="EL18" s="104">
        <v>0</v>
      </c>
      <c r="EM18" s="104">
        <v>1</v>
      </c>
      <c r="EN18" s="104"/>
      <c r="EO18" s="104"/>
      <c r="EP18" s="104"/>
      <c r="EQ18" s="104"/>
      <c r="ER18" s="104"/>
      <c r="ES18" s="104"/>
      <c r="ET18" s="106">
        <f t="shared" si="0"/>
        <v>1</v>
      </c>
      <c r="EU18" s="104">
        <v>0</v>
      </c>
      <c r="EV18" s="104">
        <v>0</v>
      </c>
      <c r="EW18" s="104">
        <v>0</v>
      </c>
      <c r="EX18" s="104">
        <v>0</v>
      </c>
      <c r="EY18" s="104">
        <v>3</v>
      </c>
      <c r="EZ18" s="104">
        <v>0</v>
      </c>
      <c r="FA18" s="104">
        <v>1</v>
      </c>
      <c r="FB18" s="104">
        <v>2</v>
      </c>
      <c r="FC18" s="104"/>
      <c r="FD18" s="104"/>
      <c r="FE18" s="104"/>
      <c r="FF18" s="104"/>
      <c r="FG18" s="104"/>
      <c r="FH18" s="104"/>
      <c r="FI18" s="104"/>
      <c r="FJ18" s="104">
        <f t="shared" si="1"/>
        <v>6</v>
      </c>
      <c r="FK18" s="108">
        <f t="shared" si="4"/>
        <v>0</v>
      </c>
      <c r="FL18" s="108">
        <f t="shared" si="5"/>
        <v>0</v>
      </c>
      <c r="FM18" s="109"/>
    </row>
    <row r="19" spans="1:169" x14ac:dyDescent="0.25">
      <c r="A19" s="91">
        <v>40293</v>
      </c>
      <c r="B19" s="91" t="s">
        <v>19</v>
      </c>
      <c r="C19" s="91" t="s">
        <v>129</v>
      </c>
      <c r="D19" s="91" t="s">
        <v>376</v>
      </c>
      <c r="E19" s="92"/>
      <c r="F19" s="93">
        <v>1</v>
      </c>
      <c r="G19" s="94" t="s">
        <v>424</v>
      </c>
      <c r="H19" s="95">
        <v>1</v>
      </c>
      <c r="I19" s="95">
        <v>0</v>
      </c>
      <c r="J19" s="96">
        <v>6</v>
      </c>
      <c r="K19" s="95">
        <v>2</v>
      </c>
      <c r="L19" s="95">
        <v>0</v>
      </c>
      <c r="M19" s="95">
        <v>0</v>
      </c>
      <c r="N19" s="95">
        <v>4</v>
      </c>
      <c r="O19" s="95">
        <v>7</v>
      </c>
      <c r="P19" s="95">
        <v>0</v>
      </c>
      <c r="Q19" s="95">
        <v>0</v>
      </c>
      <c r="R19" s="95">
        <v>23</v>
      </c>
      <c r="S19" s="95">
        <v>84</v>
      </c>
      <c r="T19" s="95">
        <v>48</v>
      </c>
      <c r="U19" s="95">
        <v>0</v>
      </c>
      <c r="V19" s="97">
        <v>0</v>
      </c>
      <c r="W19" s="98">
        <v>0</v>
      </c>
      <c r="X19" s="98">
        <v>0</v>
      </c>
      <c r="Y19" s="98">
        <v>0</v>
      </c>
      <c r="Z19" s="98">
        <v>0</v>
      </c>
      <c r="AA19" s="98">
        <v>0</v>
      </c>
      <c r="AB19" s="99">
        <v>1</v>
      </c>
      <c r="AC19" s="98">
        <v>1</v>
      </c>
      <c r="AD19" s="98">
        <v>0</v>
      </c>
      <c r="AE19" s="98">
        <v>0</v>
      </c>
      <c r="AF19" s="98">
        <v>1</v>
      </c>
      <c r="AG19" s="98">
        <v>2</v>
      </c>
      <c r="AH19" s="98">
        <v>0</v>
      </c>
      <c r="AI19" s="98">
        <v>0</v>
      </c>
      <c r="AJ19" s="98">
        <v>5</v>
      </c>
      <c r="AK19" s="98">
        <v>20</v>
      </c>
      <c r="AL19" s="98">
        <v>13</v>
      </c>
      <c r="AM19" s="100" t="s">
        <v>441</v>
      </c>
      <c r="AN19" s="101">
        <v>4</v>
      </c>
      <c r="AO19" s="101">
        <v>1</v>
      </c>
      <c r="AP19" s="101">
        <v>0</v>
      </c>
      <c r="AQ19" s="101">
        <v>0</v>
      </c>
      <c r="AR19" s="101">
        <v>0</v>
      </c>
      <c r="AS19" s="101">
        <v>0</v>
      </c>
      <c r="AT19" s="101">
        <v>0</v>
      </c>
      <c r="AU19" s="101">
        <v>0</v>
      </c>
      <c r="AV19" s="102">
        <v>0</v>
      </c>
      <c r="AW19" s="100" t="s">
        <v>365</v>
      </c>
      <c r="AX19" s="101">
        <v>3</v>
      </c>
      <c r="AY19" s="101">
        <v>0</v>
      </c>
      <c r="AZ19" s="101">
        <v>0</v>
      </c>
      <c r="BA19" s="101">
        <v>0</v>
      </c>
      <c r="BB19" s="101">
        <v>0</v>
      </c>
      <c r="BC19" s="101">
        <v>1</v>
      </c>
      <c r="BD19" s="101">
        <v>0</v>
      </c>
      <c r="BE19" s="101">
        <v>0</v>
      </c>
      <c r="BF19" s="102">
        <v>0</v>
      </c>
      <c r="BG19" s="100" t="s">
        <v>443</v>
      </c>
      <c r="BH19" s="101">
        <v>2</v>
      </c>
      <c r="BI19" s="101">
        <v>1</v>
      </c>
      <c r="BJ19" s="101">
        <v>0</v>
      </c>
      <c r="BK19" s="101">
        <v>0</v>
      </c>
      <c r="BL19" s="101">
        <v>2</v>
      </c>
      <c r="BM19" s="101">
        <v>0</v>
      </c>
      <c r="BN19" s="101">
        <v>0</v>
      </c>
      <c r="BO19" s="101">
        <v>0</v>
      </c>
      <c r="BP19" s="102">
        <v>0</v>
      </c>
      <c r="BQ19" s="100" t="s">
        <v>366</v>
      </c>
      <c r="BR19" s="101">
        <v>4</v>
      </c>
      <c r="BS19" s="101">
        <v>0</v>
      </c>
      <c r="BT19" s="101">
        <v>0</v>
      </c>
      <c r="BU19" s="101">
        <v>0</v>
      </c>
      <c r="BV19" s="101">
        <v>0</v>
      </c>
      <c r="BW19" s="101">
        <v>2</v>
      </c>
      <c r="BX19" s="101">
        <v>0</v>
      </c>
      <c r="BY19" s="101">
        <v>0</v>
      </c>
      <c r="BZ19" s="102">
        <v>0</v>
      </c>
      <c r="CA19" s="100" t="s">
        <v>446</v>
      </c>
      <c r="CB19" s="101">
        <v>3</v>
      </c>
      <c r="CC19" s="101">
        <v>1</v>
      </c>
      <c r="CD19" s="101">
        <v>1</v>
      </c>
      <c r="CE19" s="101">
        <v>2</v>
      </c>
      <c r="CF19" s="101">
        <v>0</v>
      </c>
      <c r="CG19" s="101">
        <v>1</v>
      </c>
      <c r="CH19" s="101">
        <v>0</v>
      </c>
      <c r="CI19" s="101">
        <v>0</v>
      </c>
      <c r="CJ19" s="102">
        <v>2</v>
      </c>
      <c r="CK19" s="100" t="s">
        <v>367</v>
      </c>
      <c r="CL19" s="101">
        <v>1</v>
      </c>
      <c r="CM19" s="101">
        <v>1</v>
      </c>
      <c r="CN19" s="101">
        <v>1</v>
      </c>
      <c r="CO19" s="101">
        <v>2</v>
      </c>
      <c r="CP19" s="101">
        <v>2</v>
      </c>
      <c r="CQ19" s="101">
        <v>0</v>
      </c>
      <c r="CR19" s="101">
        <v>0</v>
      </c>
      <c r="CS19" s="101">
        <v>0</v>
      </c>
      <c r="CT19" s="102">
        <v>1</v>
      </c>
      <c r="CU19" s="100" t="s">
        <v>444</v>
      </c>
      <c r="CV19" s="101">
        <v>3</v>
      </c>
      <c r="CW19" s="101">
        <v>1</v>
      </c>
      <c r="CX19" s="101">
        <v>1</v>
      </c>
      <c r="CY19" s="101">
        <v>0</v>
      </c>
      <c r="CZ19" s="101">
        <v>0</v>
      </c>
      <c r="DA19" s="101">
        <v>0</v>
      </c>
      <c r="DB19" s="101">
        <v>0</v>
      </c>
      <c r="DC19" s="101">
        <v>0</v>
      </c>
      <c r="DD19" s="102">
        <v>1</v>
      </c>
      <c r="DE19" s="100" t="s">
        <v>445</v>
      </c>
      <c r="DF19" s="101">
        <v>3</v>
      </c>
      <c r="DG19" s="101">
        <v>1</v>
      </c>
      <c r="DH19" s="101">
        <v>2</v>
      </c>
      <c r="DI19" s="101">
        <v>1</v>
      </c>
      <c r="DJ19" s="101">
        <v>0</v>
      </c>
      <c r="DK19" s="101">
        <v>0</v>
      </c>
      <c r="DL19" s="101">
        <v>0</v>
      </c>
      <c r="DM19" s="101">
        <v>0</v>
      </c>
      <c r="DN19" s="102">
        <v>4</v>
      </c>
      <c r="DO19" s="100" t="s">
        <v>448</v>
      </c>
      <c r="DP19" s="101">
        <v>3</v>
      </c>
      <c r="DQ19" s="101">
        <v>2</v>
      </c>
      <c r="DR19" s="101">
        <v>2</v>
      </c>
      <c r="DS19" s="101">
        <v>2</v>
      </c>
      <c r="DT19" s="101">
        <v>0</v>
      </c>
      <c r="DU19" s="101">
        <v>0</v>
      </c>
      <c r="DV19" s="101">
        <v>0</v>
      </c>
      <c r="DW19" s="101">
        <v>0</v>
      </c>
      <c r="DX19" s="102">
        <v>2</v>
      </c>
      <c r="DY19" s="103">
        <v>6</v>
      </c>
      <c r="DZ19" s="104">
        <v>1</v>
      </c>
      <c r="EA19" s="104">
        <v>0</v>
      </c>
      <c r="EB19" s="105">
        <v>0</v>
      </c>
      <c r="EC19" s="104">
        <v>0</v>
      </c>
      <c r="ED19" s="106">
        <v>0</v>
      </c>
      <c r="EE19" s="107">
        <v>0</v>
      </c>
      <c r="EF19" s="104">
        <v>0</v>
      </c>
      <c r="EG19" s="104">
        <v>1</v>
      </c>
      <c r="EH19" s="104">
        <v>0</v>
      </c>
      <c r="EI19" s="104">
        <v>7</v>
      </c>
      <c r="EJ19" s="104">
        <v>0</v>
      </c>
      <c r="EK19" s="104"/>
      <c r="EL19" s="104"/>
      <c r="EM19" s="104"/>
      <c r="EN19" s="104"/>
      <c r="EO19" s="104"/>
      <c r="EP19" s="104"/>
      <c r="EQ19" s="104"/>
      <c r="ER19" s="104"/>
      <c r="ES19" s="104"/>
      <c r="ET19" s="106">
        <f t="shared" si="0"/>
        <v>8</v>
      </c>
      <c r="EU19" s="104">
        <v>0</v>
      </c>
      <c r="EV19" s="104">
        <v>0</v>
      </c>
      <c r="EW19" s="104">
        <v>0</v>
      </c>
      <c r="EX19" s="104">
        <v>0</v>
      </c>
      <c r="EY19" s="104">
        <v>0</v>
      </c>
      <c r="EZ19" s="104">
        <v>0</v>
      </c>
      <c r="FA19" s="104">
        <v>0</v>
      </c>
      <c r="FB19" s="104"/>
      <c r="FC19" s="104"/>
      <c r="FD19" s="104"/>
      <c r="FE19" s="104"/>
      <c r="FF19" s="104"/>
      <c r="FG19" s="104"/>
      <c r="FH19" s="104"/>
      <c r="FI19" s="104"/>
      <c r="FJ19" s="104">
        <f t="shared" si="1"/>
        <v>0</v>
      </c>
      <c r="FK19" s="108">
        <f t="shared" si="4"/>
        <v>0</v>
      </c>
      <c r="FL19" s="108">
        <f t="shared" si="5"/>
        <v>0</v>
      </c>
      <c r="FM19" s="109" t="s">
        <v>377</v>
      </c>
    </row>
    <row r="20" spans="1:169" x14ac:dyDescent="0.25">
      <c r="A20" s="91">
        <v>40293</v>
      </c>
      <c r="B20" s="91" t="s">
        <v>19</v>
      </c>
      <c r="C20" s="91" t="s">
        <v>131</v>
      </c>
      <c r="D20" s="91" t="s">
        <v>376</v>
      </c>
      <c r="E20" s="92">
        <v>4382</v>
      </c>
      <c r="F20" s="93">
        <v>2</v>
      </c>
      <c r="G20" s="94" t="s">
        <v>440</v>
      </c>
      <c r="H20" s="95">
        <v>0</v>
      </c>
      <c r="I20" s="95">
        <v>1</v>
      </c>
      <c r="J20" s="96">
        <v>4</v>
      </c>
      <c r="K20" s="95">
        <v>5</v>
      </c>
      <c r="L20" s="95">
        <v>4</v>
      </c>
      <c r="M20" s="95">
        <v>4</v>
      </c>
      <c r="N20" s="95">
        <v>1</v>
      </c>
      <c r="O20" s="95">
        <v>2</v>
      </c>
      <c r="P20" s="95">
        <v>2</v>
      </c>
      <c r="Q20" s="95">
        <v>0</v>
      </c>
      <c r="R20" s="95">
        <v>17</v>
      </c>
      <c r="S20" s="95">
        <v>60</v>
      </c>
      <c r="T20" s="95">
        <v>39</v>
      </c>
      <c r="U20" s="95">
        <v>0</v>
      </c>
      <c r="V20" s="97">
        <v>0</v>
      </c>
      <c r="W20" s="98">
        <v>0</v>
      </c>
      <c r="X20" s="98">
        <v>0</v>
      </c>
      <c r="Y20" s="98">
        <v>0</v>
      </c>
      <c r="Z20" s="98">
        <v>0</v>
      </c>
      <c r="AA20" s="98">
        <v>0</v>
      </c>
      <c r="AB20" s="99">
        <v>3</v>
      </c>
      <c r="AC20" s="98">
        <v>5</v>
      </c>
      <c r="AD20" s="98">
        <v>3</v>
      </c>
      <c r="AE20" s="98">
        <v>3</v>
      </c>
      <c r="AF20" s="98">
        <v>4</v>
      </c>
      <c r="AG20" s="98">
        <v>1</v>
      </c>
      <c r="AH20" s="98">
        <v>0</v>
      </c>
      <c r="AI20" s="98">
        <v>0</v>
      </c>
      <c r="AJ20" s="98">
        <v>18</v>
      </c>
      <c r="AK20" s="98">
        <v>81</v>
      </c>
      <c r="AL20" s="98">
        <v>44</v>
      </c>
      <c r="AM20" s="100" t="s">
        <v>441</v>
      </c>
      <c r="AN20" s="101">
        <v>4</v>
      </c>
      <c r="AO20" s="101">
        <v>1</v>
      </c>
      <c r="AP20" s="101">
        <v>2</v>
      </c>
      <c r="AQ20" s="101">
        <v>1</v>
      </c>
      <c r="AR20" s="101">
        <v>0</v>
      </c>
      <c r="AS20" s="101">
        <v>0</v>
      </c>
      <c r="AT20" s="101">
        <v>0</v>
      </c>
      <c r="AU20" s="101">
        <v>0</v>
      </c>
      <c r="AV20" s="102">
        <v>2</v>
      </c>
      <c r="AW20" s="100" t="s">
        <v>365</v>
      </c>
      <c r="AX20" s="101">
        <v>3</v>
      </c>
      <c r="AY20" s="101">
        <v>1</v>
      </c>
      <c r="AZ20" s="101">
        <v>2</v>
      </c>
      <c r="BA20" s="101">
        <v>0</v>
      </c>
      <c r="BB20" s="101">
        <v>1</v>
      </c>
      <c r="BC20" s="101">
        <v>0</v>
      </c>
      <c r="BD20" s="101">
        <v>0</v>
      </c>
      <c r="BE20" s="101">
        <v>0</v>
      </c>
      <c r="BF20" s="102">
        <v>2</v>
      </c>
      <c r="BG20" s="100" t="s">
        <v>443</v>
      </c>
      <c r="BH20" s="101">
        <v>4</v>
      </c>
      <c r="BI20" s="101">
        <v>0</v>
      </c>
      <c r="BJ20" s="101">
        <v>1</v>
      </c>
      <c r="BK20" s="101">
        <v>0</v>
      </c>
      <c r="BL20" s="101">
        <v>0</v>
      </c>
      <c r="BM20" s="101">
        <v>1</v>
      </c>
      <c r="BN20" s="101">
        <v>0</v>
      </c>
      <c r="BO20" s="101">
        <v>0</v>
      </c>
      <c r="BP20" s="102">
        <v>1</v>
      </c>
      <c r="BQ20" s="100" t="s">
        <v>366</v>
      </c>
      <c r="BR20" s="101">
        <v>3</v>
      </c>
      <c r="BS20" s="101">
        <v>0</v>
      </c>
      <c r="BT20" s="101">
        <v>0</v>
      </c>
      <c r="BU20" s="101">
        <v>1</v>
      </c>
      <c r="BV20" s="101">
        <v>0</v>
      </c>
      <c r="BW20" s="101">
        <v>1</v>
      </c>
      <c r="BX20" s="101">
        <v>0</v>
      </c>
      <c r="BY20" s="101">
        <v>0</v>
      </c>
      <c r="BZ20" s="102">
        <v>0</v>
      </c>
      <c r="CA20" s="100" t="s">
        <v>367</v>
      </c>
      <c r="CB20" s="101">
        <v>2</v>
      </c>
      <c r="CC20" s="101">
        <v>0</v>
      </c>
      <c r="CD20" s="101">
        <v>0</v>
      </c>
      <c r="CE20" s="101">
        <v>0</v>
      </c>
      <c r="CF20" s="101">
        <v>1</v>
      </c>
      <c r="CG20" s="101">
        <v>0</v>
      </c>
      <c r="CH20" s="101">
        <v>0</v>
      </c>
      <c r="CI20" s="101">
        <v>0</v>
      </c>
      <c r="CJ20" s="102">
        <v>0</v>
      </c>
      <c r="CK20" s="100" t="s">
        <v>445</v>
      </c>
      <c r="CL20" s="101">
        <v>3</v>
      </c>
      <c r="CM20" s="101">
        <v>0</v>
      </c>
      <c r="CN20" s="101">
        <v>0</v>
      </c>
      <c r="CO20" s="101">
        <v>0</v>
      </c>
      <c r="CP20" s="101">
        <v>0</v>
      </c>
      <c r="CQ20" s="101">
        <v>1</v>
      </c>
      <c r="CR20" s="101">
        <v>0</v>
      </c>
      <c r="CS20" s="101">
        <v>0</v>
      </c>
      <c r="CT20" s="102">
        <v>0</v>
      </c>
      <c r="CU20" s="100" t="s">
        <v>364</v>
      </c>
      <c r="CV20" s="101">
        <v>3</v>
      </c>
      <c r="CW20" s="101">
        <v>1</v>
      </c>
      <c r="CX20" s="101">
        <v>0</v>
      </c>
      <c r="CY20" s="101">
        <v>0</v>
      </c>
      <c r="CZ20" s="101">
        <v>0</v>
      </c>
      <c r="DA20" s="101">
        <v>0</v>
      </c>
      <c r="DB20" s="101">
        <v>0</v>
      </c>
      <c r="DC20" s="101">
        <v>0</v>
      </c>
      <c r="DD20" s="102">
        <v>0</v>
      </c>
      <c r="DE20" s="100" t="s">
        <v>449</v>
      </c>
      <c r="DF20" s="101">
        <v>3</v>
      </c>
      <c r="DG20" s="101">
        <v>0</v>
      </c>
      <c r="DH20" s="101">
        <v>0</v>
      </c>
      <c r="DI20" s="101">
        <v>0</v>
      </c>
      <c r="DJ20" s="101">
        <v>0</v>
      </c>
      <c r="DK20" s="101">
        <v>1</v>
      </c>
      <c r="DL20" s="101">
        <v>0</v>
      </c>
      <c r="DM20" s="101">
        <v>0</v>
      </c>
      <c r="DN20" s="102">
        <v>0</v>
      </c>
      <c r="DO20" s="100" t="s">
        <v>448</v>
      </c>
      <c r="DP20" s="101">
        <v>3</v>
      </c>
      <c r="DQ20" s="101">
        <v>0</v>
      </c>
      <c r="DR20" s="101">
        <v>1</v>
      </c>
      <c r="DS20" s="101">
        <v>0</v>
      </c>
      <c r="DT20" s="101">
        <v>0</v>
      </c>
      <c r="DU20" s="101">
        <v>1</v>
      </c>
      <c r="DV20" s="101">
        <v>0</v>
      </c>
      <c r="DW20" s="101">
        <v>0</v>
      </c>
      <c r="DX20" s="102">
        <v>2</v>
      </c>
      <c r="DY20" s="103">
        <v>1</v>
      </c>
      <c r="DZ20" s="104">
        <v>0</v>
      </c>
      <c r="EA20" s="104">
        <v>0</v>
      </c>
      <c r="EB20" s="105">
        <v>6</v>
      </c>
      <c r="EC20" s="104">
        <v>0</v>
      </c>
      <c r="ED20" s="106">
        <v>0</v>
      </c>
      <c r="EE20" s="107">
        <v>0</v>
      </c>
      <c r="EF20" s="104">
        <v>0</v>
      </c>
      <c r="EG20" s="104">
        <v>2</v>
      </c>
      <c r="EH20" s="104">
        <v>0</v>
      </c>
      <c r="EI20" s="104">
        <v>0</v>
      </c>
      <c r="EJ20" s="104">
        <v>0</v>
      </c>
      <c r="EK20" s="104">
        <v>1</v>
      </c>
      <c r="EL20" s="104"/>
      <c r="EM20" s="104"/>
      <c r="EN20" s="104"/>
      <c r="EO20" s="104"/>
      <c r="EP20" s="104"/>
      <c r="EQ20" s="104"/>
      <c r="ER20" s="104"/>
      <c r="ES20" s="104"/>
      <c r="ET20" s="106">
        <f t="shared" si="0"/>
        <v>3</v>
      </c>
      <c r="EU20" s="104">
        <v>1</v>
      </c>
      <c r="EV20" s="104">
        <v>0</v>
      </c>
      <c r="EW20" s="104">
        <v>0</v>
      </c>
      <c r="EX20" s="104">
        <v>3</v>
      </c>
      <c r="EY20" s="104">
        <v>3</v>
      </c>
      <c r="EZ20" s="104">
        <v>0</v>
      </c>
      <c r="FA20" s="104">
        <v>0</v>
      </c>
      <c r="FB20" s="104"/>
      <c r="FC20" s="104"/>
      <c r="FD20" s="104"/>
      <c r="FE20" s="104"/>
      <c r="FF20" s="104"/>
      <c r="FG20" s="104"/>
      <c r="FH20" s="104"/>
      <c r="FI20" s="104"/>
      <c r="FJ20" s="104">
        <f t="shared" si="1"/>
        <v>7</v>
      </c>
      <c r="FK20" s="108">
        <f t="shared" si="4"/>
        <v>0</v>
      </c>
      <c r="FL20" s="108">
        <f t="shared" si="5"/>
        <v>0</v>
      </c>
      <c r="FM20" s="109" t="s">
        <v>378</v>
      </c>
    </row>
    <row r="21" spans="1:169" x14ac:dyDescent="0.25">
      <c r="A21" s="91">
        <v>40294</v>
      </c>
      <c r="B21" s="91" t="s">
        <v>19</v>
      </c>
      <c r="C21" s="91" t="s">
        <v>129</v>
      </c>
      <c r="D21" s="91" t="s">
        <v>376</v>
      </c>
      <c r="E21" s="92">
        <v>1727</v>
      </c>
      <c r="F21" s="93">
        <v>3</v>
      </c>
      <c r="G21" s="94" t="s">
        <v>437</v>
      </c>
      <c r="H21" s="95">
        <v>1</v>
      </c>
      <c r="I21" s="95">
        <v>0</v>
      </c>
      <c r="J21" s="96">
        <f>5+2/3</f>
        <v>5.666666666666667</v>
      </c>
      <c r="K21" s="95">
        <v>2</v>
      </c>
      <c r="L21" s="95">
        <v>0</v>
      </c>
      <c r="M21" s="95">
        <v>0</v>
      </c>
      <c r="N21" s="95">
        <v>2</v>
      </c>
      <c r="O21" s="95">
        <v>5</v>
      </c>
      <c r="P21" s="95">
        <v>0</v>
      </c>
      <c r="Q21" s="95">
        <v>0</v>
      </c>
      <c r="R21" s="95">
        <v>21</v>
      </c>
      <c r="S21" s="95">
        <v>76</v>
      </c>
      <c r="T21" s="95">
        <v>47</v>
      </c>
      <c r="U21" s="95">
        <v>2</v>
      </c>
      <c r="V21" s="97">
        <v>0</v>
      </c>
      <c r="W21" s="98">
        <v>0</v>
      </c>
      <c r="X21" s="98">
        <v>0</v>
      </c>
      <c r="Y21" s="98">
        <v>1</v>
      </c>
      <c r="Z21" s="98">
        <v>1</v>
      </c>
      <c r="AA21" s="98">
        <v>0</v>
      </c>
      <c r="AB21" s="99">
        <f>3+1/3</f>
        <v>3.3333333333333335</v>
      </c>
      <c r="AC21" s="98">
        <v>3</v>
      </c>
      <c r="AD21" s="98">
        <v>1</v>
      </c>
      <c r="AE21" s="98">
        <v>1</v>
      </c>
      <c r="AF21" s="98">
        <v>1</v>
      </c>
      <c r="AG21" s="98">
        <v>5</v>
      </c>
      <c r="AH21" s="98">
        <v>0</v>
      </c>
      <c r="AI21" s="98">
        <v>0</v>
      </c>
      <c r="AJ21" s="98">
        <v>14</v>
      </c>
      <c r="AK21" s="98">
        <v>52</v>
      </c>
      <c r="AL21" s="98">
        <v>36</v>
      </c>
      <c r="AM21" s="100" t="s">
        <v>441</v>
      </c>
      <c r="AN21" s="101">
        <v>3</v>
      </c>
      <c r="AO21" s="101">
        <v>1</v>
      </c>
      <c r="AP21" s="101">
        <v>1</v>
      </c>
      <c r="AQ21" s="101">
        <v>0</v>
      </c>
      <c r="AR21" s="101">
        <v>1</v>
      </c>
      <c r="AS21" s="101">
        <v>0</v>
      </c>
      <c r="AT21" s="101">
        <v>0</v>
      </c>
      <c r="AU21" s="101">
        <v>0</v>
      </c>
      <c r="AV21" s="102">
        <v>2</v>
      </c>
      <c r="AW21" s="100" t="s">
        <v>365</v>
      </c>
      <c r="AX21" s="101">
        <v>4</v>
      </c>
      <c r="AY21" s="101">
        <v>0</v>
      </c>
      <c r="AZ21" s="101">
        <v>2</v>
      </c>
      <c r="BA21" s="101">
        <v>0</v>
      </c>
      <c r="BB21" s="101">
        <v>0</v>
      </c>
      <c r="BC21" s="101">
        <v>0</v>
      </c>
      <c r="BD21" s="101">
        <v>0</v>
      </c>
      <c r="BE21" s="101">
        <v>0</v>
      </c>
      <c r="BF21" s="102">
        <v>4</v>
      </c>
      <c r="BG21" s="100" t="s">
        <v>443</v>
      </c>
      <c r="BH21" s="101">
        <v>3</v>
      </c>
      <c r="BI21" s="101">
        <v>0</v>
      </c>
      <c r="BJ21" s="101">
        <v>0</v>
      </c>
      <c r="BK21" s="101">
        <v>0</v>
      </c>
      <c r="BL21" s="101">
        <v>1</v>
      </c>
      <c r="BM21" s="101">
        <v>1</v>
      </c>
      <c r="BN21" s="101">
        <v>0</v>
      </c>
      <c r="BO21" s="101">
        <v>0</v>
      </c>
      <c r="BP21" s="102">
        <v>0</v>
      </c>
      <c r="BQ21" s="100" t="s">
        <v>366</v>
      </c>
      <c r="BR21" s="101">
        <v>4</v>
      </c>
      <c r="BS21" s="101">
        <v>0</v>
      </c>
      <c r="BT21" s="101">
        <v>0</v>
      </c>
      <c r="BU21" s="101">
        <v>1</v>
      </c>
      <c r="BV21" s="101">
        <v>0</v>
      </c>
      <c r="BW21" s="101">
        <v>2</v>
      </c>
      <c r="BX21" s="101">
        <v>0</v>
      </c>
      <c r="BY21" s="101">
        <v>0</v>
      </c>
      <c r="BZ21" s="102">
        <v>0</v>
      </c>
      <c r="CA21" s="100" t="s">
        <v>446</v>
      </c>
      <c r="CB21" s="101">
        <v>4</v>
      </c>
      <c r="CC21" s="101">
        <v>0</v>
      </c>
      <c r="CD21" s="101">
        <v>0</v>
      </c>
      <c r="CE21" s="101">
        <v>0</v>
      </c>
      <c r="CF21" s="101">
        <v>0</v>
      </c>
      <c r="CG21" s="101">
        <v>1</v>
      </c>
      <c r="CH21" s="101">
        <v>0</v>
      </c>
      <c r="CI21" s="101">
        <v>0</v>
      </c>
      <c r="CJ21" s="102">
        <v>0</v>
      </c>
      <c r="CK21" s="100" t="s">
        <v>367</v>
      </c>
      <c r="CL21" s="101">
        <v>4</v>
      </c>
      <c r="CM21" s="101">
        <v>1</v>
      </c>
      <c r="CN21" s="101">
        <v>1</v>
      </c>
      <c r="CO21" s="101">
        <v>0</v>
      </c>
      <c r="CP21" s="101">
        <v>0</v>
      </c>
      <c r="CQ21" s="101">
        <v>1</v>
      </c>
      <c r="CR21" s="101">
        <v>0</v>
      </c>
      <c r="CS21" s="101">
        <v>0</v>
      </c>
      <c r="CT21" s="102">
        <v>1</v>
      </c>
      <c r="CU21" s="100" t="s">
        <v>444</v>
      </c>
      <c r="CV21" s="101">
        <v>4</v>
      </c>
      <c r="CW21" s="101">
        <v>0</v>
      </c>
      <c r="CX21" s="101">
        <v>2</v>
      </c>
      <c r="CY21" s="101">
        <v>0</v>
      </c>
      <c r="CZ21" s="101">
        <v>0</v>
      </c>
      <c r="DA21" s="101">
        <v>0</v>
      </c>
      <c r="DB21" s="101">
        <v>0</v>
      </c>
      <c r="DC21" s="101">
        <v>0</v>
      </c>
      <c r="DD21" s="102">
        <v>2</v>
      </c>
      <c r="DE21" s="100" t="s">
        <v>445</v>
      </c>
      <c r="DF21" s="101">
        <v>4</v>
      </c>
      <c r="DG21" s="101">
        <v>0</v>
      </c>
      <c r="DH21" s="101">
        <v>1</v>
      </c>
      <c r="DI21" s="101">
        <v>0</v>
      </c>
      <c r="DJ21" s="101">
        <v>0</v>
      </c>
      <c r="DK21" s="101">
        <v>1</v>
      </c>
      <c r="DL21" s="101">
        <v>0</v>
      </c>
      <c r="DM21" s="101">
        <v>0</v>
      </c>
      <c r="DN21" s="102">
        <v>2</v>
      </c>
      <c r="DO21" s="100" t="s">
        <v>448</v>
      </c>
      <c r="DP21" s="101">
        <v>3</v>
      </c>
      <c r="DQ21" s="101">
        <v>0</v>
      </c>
      <c r="DR21" s="101">
        <v>1</v>
      </c>
      <c r="DS21" s="101">
        <v>1</v>
      </c>
      <c r="DT21" s="101">
        <v>0</v>
      </c>
      <c r="DU21" s="101">
        <v>1</v>
      </c>
      <c r="DV21" s="101">
        <v>0</v>
      </c>
      <c r="DW21" s="101">
        <v>0</v>
      </c>
      <c r="DX21" s="102">
        <v>1</v>
      </c>
      <c r="DY21" s="103">
        <v>0</v>
      </c>
      <c r="DZ21" s="104">
        <v>0</v>
      </c>
      <c r="EA21" s="104">
        <v>0</v>
      </c>
      <c r="EB21" s="105">
        <v>8</v>
      </c>
      <c r="EC21" s="104">
        <v>0</v>
      </c>
      <c r="ED21" s="106">
        <v>0</v>
      </c>
      <c r="EE21" s="107">
        <v>1</v>
      </c>
      <c r="EF21" s="104">
        <v>0</v>
      </c>
      <c r="EG21" s="104">
        <v>0</v>
      </c>
      <c r="EH21" s="104">
        <v>1</v>
      </c>
      <c r="EI21" s="104">
        <v>0</v>
      </c>
      <c r="EJ21" s="104">
        <v>0</v>
      </c>
      <c r="EK21" s="104">
        <v>0</v>
      </c>
      <c r="EL21" s="104">
        <v>0</v>
      </c>
      <c r="EM21" s="104"/>
      <c r="EN21" s="104"/>
      <c r="EO21" s="104"/>
      <c r="EP21" s="104"/>
      <c r="EQ21" s="104"/>
      <c r="ER21" s="104"/>
      <c r="ES21" s="104"/>
      <c r="ET21" s="106">
        <f t="shared" si="0"/>
        <v>2</v>
      </c>
      <c r="EU21" s="104">
        <v>0</v>
      </c>
      <c r="EV21" s="104">
        <v>0</v>
      </c>
      <c r="EW21" s="104">
        <v>0</v>
      </c>
      <c r="EX21" s="104">
        <v>0</v>
      </c>
      <c r="EY21" s="104">
        <v>0</v>
      </c>
      <c r="EZ21" s="104">
        <v>0</v>
      </c>
      <c r="FA21" s="104">
        <v>0</v>
      </c>
      <c r="FB21" s="104">
        <v>0</v>
      </c>
      <c r="FC21" s="104">
        <v>1</v>
      </c>
      <c r="FD21" s="104"/>
      <c r="FE21" s="104"/>
      <c r="FF21" s="104"/>
      <c r="FG21" s="104"/>
      <c r="FH21" s="104"/>
      <c r="FI21" s="104"/>
      <c r="FJ21" s="104">
        <f t="shared" si="1"/>
        <v>1</v>
      </c>
      <c r="FK21" s="108">
        <f t="shared" si="4"/>
        <v>0</v>
      </c>
      <c r="FL21" s="108">
        <f t="shared" si="5"/>
        <v>0</v>
      </c>
      <c r="FM21" s="109"/>
    </row>
    <row r="22" spans="1:169" x14ac:dyDescent="0.25">
      <c r="A22" s="91">
        <v>40295</v>
      </c>
      <c r="B22" s="91" t="s">
        <v>19</v>
      </c>
      <c r="C22" s="91" t="s">
        <v>129</v>
      </c>
      <c r="D22" s="91" t="s">
        <v>376</v>
      </c>
      <c r="E22" s="92">
        <v>6318</v>
      </c>
      <c r="F22" s="93">
        <v>4</v>
      </c>
      <c r="G22" s="94" t="s">
        <v>438</v>
      </c>
      <c r="H22" s="95">
        <v>1</v>
      </c>
      <c r="I22" s="95">
        <v>0</v>
      </c>
      <c r="J22" s="96">
        <f>7+2/3</f>
        <v>7.666666666666667</v>
      </c>
      <c r="K22" s="95">
        <v>4</v>
      </c>
      <c r="L22" s="95">
        <v>0</v>
      </c>
      <c r="M22" s="95">
        <v>0</v>
      </c>
      <c r="N22" s="95">
        <v>1</v>
      </c>
      <c r="O22" s="95">
        <v>7</v>
      </c>
      <c r="P22" s="95">
        <v>0</v>
      </c>
      <c r="Q22" s="95">
        <v>0</v>
      </c>
      <c r="R22" s="95">
        <v>26</v>
      </c>
      <c r="S22" s="95">
        <v>83</v>
      </c>
      <c r="T22" s="95">
        <v>57</v>
      </c>
      <c r="U22" s="95">
        <v>1</v>
      </c>
      <c r="V22" s="97">
        <v>0</v>
      </c>
      <c r="W22" s="98">
        <v>0</v>
      </c>
      <c r="X22" s="98">
        <v>0</v>
      </c>
      <c r="Y22" s="98">
        <v>0</v>
      </c>
      <c r="Z22" s="98">
        <v>1</v>
      </c>
      <c r="AA22" s="98">
        <v>0</v>
      </c>
      <c r="AB22" s="99">
        <f>1+1/3</f>
        <v>1.3333333333333333</v>
      </c>
      <c r="AC22" s="98">
        <v>1</v>
      </c>
      <c r="AD22" s="98">
        <v>0</v>
      </c>
      <c r="AE22" s="98">
        <v>0</v>
      </c>
      <c r="AF22" s="98">
        <v>0</v>
      </c>
      <c r="AG22" s="98">
        <v>1</v>
      </c>
      <c r="AH22" s="98">
        <v>0</v>
      </c>
      <c r="AI22" s="98">
        <v>0</v>
      </c>
      <c r="AJ22" s="98">
        <v>5</v>
      </c>
      <c r="AK22" s="98">
        <v>20</v>
      </c>
      <c r="AL22" s="98">
        <v>16</v>
      </c>
      <c r="AM22" s="100" t="s">
        <v>441</v>
      </c>
      <c r="AN22" s="101">
        <v>4</v>
      </c>
      <c r="AO22" s="101">
        <v>0</v>
      </c>
      <c r="AP22" s="101">
        <v>3</v>
      </c>
      <c r="AQ22" s="101">
        <v>0</v>
      </c>
      <c r="AR22" s="101">
        <v>1</v>
      </c>
      <c r="AS22" s="101">
        <v>0</v>
      </c>
      <c r="AT22" s="101">
        <v>0</v>
      </c>
      <c r="AU22" s="101">
        <v>0</v>
      </c>
      <c r="AV22" s="102">
        <v>3</v>
      </c>
      <c r="AW22" s="100" t="s">
        <v>364</v>
      </c>
      <c r="AX22" s="101">
        <v>4</v>
      </c>
      <c r="AY22" s="101">
        <v>0</v>
      </c>
      <c r="AZ22" s="101">
        <v>0</v>
      </c>
      <c r="BA22" s="101">
        <v>0</v>
      </c>
      <c r="BB22" s="101">
        <v>1</v>
      </c>
      <c r="BC22" s="101">
        <v>0</v>
      </c>
      <c r="BD22" s="101">
        <v>0</v>
      </c>
      <c r="BE22" s="101">
        <v>0</v>
      </c>
      <c r="BF22" s="102">
        <v>0</v>
      </c>
      <c r="BG22" s="100" t="s">
        <v>443</v>
      </c>
      <c r="BH22" s="101">
        <v>4</v>
      </c>
      <c r="BI22" s="101">
        <v>1</v>
      </c>
      <c r="BJ22" s="101">
        <v>2</v>
      </c>
      <c r="BK22" s="101">
        <v>0</v>
      </c>
      <c r="BL22" s="101">
        <v>1</v>
      </c>
      <c r="BM22" s="101">
        <v>1</v>
      </c>
      <c r="BN22" s="101">
        <v>0</v>
      </c>
      <c r="BO22" s="101">
        <v>0</v>
      </c>
      <c r="BP22" s="102">
        <v>3</v>
      </c>
      <c r="BQ22" s="100" t="s">
        <v>366</v>
      </c>
      <c r="BR22" s="101">
        <v>3</v>
      </c>
      <c r="BS22" s="101">
        <v>2</v>
      </c>
      <c r="BT22" s="101">
        <v>1</v>
      </c>
      <c r="BU22" s="101">
        <v>0</v>
      </c>
      <c r="BV22" s="101">
        <v>2</v>
      </c>
      <c r="BW22" s="101">
        <v>2</v>
      </c>
      <c r="BX22" s="101">
        <v>0</v>
      </c>
      <c r="BY22" s="101">
        <v>0</v>
      </c>
      <c r="BZ22" s="102">
        <v>2</v>
      </c>
      <c r="CA22" s="100" t="s">
        <v>367</v>
      </c>
      <c r="CB22" s="101">
        <v>4</v>
      </c>
      <c r="CC22" s="101">
        <v>0</v>
      </c>
      <c r="CD22" s="101">
        <v>1</v>
      </c>
      <c r="CE22" s="101">
        <v>2</v>
      </c>
      <c r="CF22" s="101">
        <v>1</v>
      </c>
      <c r="CG22" s="101">
        <v>0</v>
      </c>
      <c r="CH22" s="101">
        <v>0</v>
      </c>
      <c r="CI22" s="101">
        <v>0</v>
      </c>
      <c r="CJ22" s="102">
        <v>2</v>
      </c>
      <c r="CK22" s="100" t="s">
        <v>444</v>
      </c>
      <c r="CL22" s="101">
        <v>4</v>
      </c>
      <c r="CM22" s="101">
        <v>0</v>
      </c>
      <c r="CN22" s="101">
        <v>2</v>
      </c>
      <c r="CO22" s="101">
        <v>1</v>
      </c>
      <c r="CP22" s="101">
        <v>1</v>
      </c>
      <c r="CQ22" s="101">
        <v>0</v>
      </c>
      <c r="CR22" s="101">
        <v>0</v>
      </c>
      <c r="CS22" s="101">
        <v>0</v>
      </c>
      <c r="CT22" s="102">
        <v>1</v>
      </c>
      <c r="CU22" s="100" t="s">
        <v>445</v>
      </c>
      <c r="CV22" s="101">
        <v>5</v>
      </c>
      <c r="CW22" s="101">
        <v>0</v>
      </c>
      <c r="CX22" s="101">
        <v>0</v>
      </c>
      <c r="CY22" s="101">
        <v>0</v>
      </c>
      <c r="CZ22" s="101">
        <v>0</v>
      </c>
      <c r="DA22" s="101">
        <v>2</v>
      </c>
      <c r="DB22" s="101">
        <v>0</v>
      </c>
      <c r="DC22" s="101">
        <v>0</v>
      </c>
      <c r="DD22" s="102">
        <v>0</v>
      </c>
      <c r="DE22" s="100" t="s">
        <v>449</v>
      </c>
      <c r="DF22" s="101">
        <v>3</v>
      </c>
      <c r="DG22" s="101">
        <v>1</v>
      </c>
      <c r="DH22" s="101">
        <v>1</v>
      </c>
      <c r="DI22" s="101">
        <v>0</v>
      </c>
      <c r="DJ22" s="101">
        <v>1</v>
      </c>
      <c r="DK22" s="101">
        <v>0</v>
      </c>
      <c r="DL22" s="101">
        <v>0</v>
      </c>
      <c r="DM22" s="101">
        <v>0</v>
      </c>
      <c r="DN22" s="102">
        <v>1</v>
      </c>
      <c r="DO22" s="100" t="s">
        <v>448</v>
      </c>
      <c r="DP22" s="101">
        <v>4</v>
      </c>
      <c r="DQ22" s="101">
        <v>0</v>
      </c>
      <c r="DR22" s="101">
        <v>2</v>
      </c>
      <c r="DS22" s="101">
        <v>1</v>
      </c>
      <c r="DT22" s="101">
        <v>0</v>
      </c>
      <c r="DU22" s="101">
        <v>1</v>
      </c>
      <c r="DV22" s="101">
        <v>0</v>
      </c>
      <c r="DW22" s="101">
        <v>0</v>
      </c>
      <c r="DX22" s="102">
        <v>4</v>
      </c>
      <c r="DY22" s="103">
        <f>5+2/3</f>
        <v>5.666666666666667</v>
      </c>
      <c r="DZ22" s="104">
        <v>0</v>
      </c>
      <c r="EA22" s="104">
        <v>1</v>
      </c>
      <c r="EB22" s="105">
        <f>2+1/3</f>
        <v>2.3333333333333335</v>
      </c>
      <c r="EC22" s="104">
        <v>0</v>
      </c>
      <c r="ED22" s="106">
        <v>0</v>
      </c>
      <c r="EE22" s="107">
        <v>0</v>
      </c>
      <c r="EF22" s="104">
        <v>0</v>
      </c>
      <c r="EG22" s="104">
        <v>0</v>
      </c>
      <c r="EH22" s="104">
        <v>0</v>
      </c>
      <c r="EI22" s="104">
        <v>2</v>
      </c>
      <c r="EJ22" s="104">
        <v>0</v>
      </c>
      <c r="EK22" s="104">
        <v>1</v>
      </c>
      <c r="EL22" s="104">
        <v>1</v>
      </c>
      <c r="EM22" s="104"/>
      <c r="EN22" s="104"/>
      <c r="EO22" s="104"/>
      <c r="EP22" s="104"/>
      <c r="EQ22" s="104"/>
      <c r="ER22" s="104"/>
      <c r="ES22" s="104"/>
      <c r="ET22" s="106">
        <f t="shared" si="0"/>
        <v>4</v>
      </c>
      <c r="EU22" s="104">
        <v>0</v>
      </c>
      <c r="EV22" s="104">
        <v>0</v>
      </c>
      <c r="EW22" s="104">
        <v>0</v>
      </c>
      <c r="EX22" s="104">
        <v>0</v>
      </c>
      <c r="EY22" s="104">
        <v>0</v>
      </c>
      <c r="EZ22" s="104">
        <v>0</v>
      </c>
      <c r="FA22" s="104">
        <v>0</v>
      </c>
      <c r="FB22" s="104">
        <v>0</v>
      </c>
      <c r="FC22" s="104">
        <v>0</v>
      </c>
      <c r="FD22" s="104"/>
      <c r="FE22" s="104"/>
      <c r="FF22" s="104"/>
      <c r="FG22" s="104"/>
      <c r="FH22" s="104"/>
      <c r="FI22" s="104"/>
      <c r="FJ22" s="104">
        <f t="shared" si="1"/>
        <v>0</v>
      </c>
      <c r="FK22" s="108">
        <f t="shared" ref="FK22:FK34" si="6">((SUM(L22,AD22))-(FJ22))</f>
        <v>0</v>
      </c>
      <c r="FL22" s="108">
        <f t="shared" ref="FL22:FL34" si="7">((SUM(AO22,AY22,BI22,BS22,CC22,CM22,CW22,DG22,DQ22))-(ET22))</f>
        <v>0</v>
      </c>
      <c r="FM22" s="109"/>
    </row>
    <row r="23" spans="1:169" x14ac:dyDescent="0.25">
      <c r="A23" s="91">
        <v>40296</v>
      </c>
      <c r="B23" s="91" t="s">
        <v>19</v>
      </c>
      <c r="C23" s="91" t="s">
        <v>129</v>
      </c>
      <c r="D23" s="91" t="s">
        <v>376</v>
      </c>
      <c r="E23" s="92">
        <v>4619</v>
      </c>
      <c r="F23" s="93">
        <v>5</v>
      </c>
      <c r="G23" s="94" t="s">
        <v>368</v>
      </c>
      <c r="H23" s="95">
        <v>0</v>
      </c>
      <c r="I23" s="95">
        <v>0</v>
      </c>
      <c r="J23" s="96">
        <f>5+1/3</f>
        <v>5.333333333333333</v>
      </c>
      <c r="K23" s="95">
        <v>4</v>
      </c>
      <c r="L23" s="95">
        <v>2</v>
      </c>
      <c r="M23" s="95">
        <v>2</v>
      </c>
      <c r="N23" s="95">
        <v>1</v>
      </c>
      <c r="O23" s="95">
        <v>5</v>
      </c>
      <c r="P23" s="95">
        <v>0</v>
      </c>
      <c r="Q23" s="95">
        <v>1</v>
      </c>
      <c r="R23" s="95">
        <v>20</v>
      </c>
      <c r="S23" s="95">
        <v>79</v>
      </c>
      <c r="T23" s="95">
        <v>48</v>
      </c>
      <c r="U23" s="95">
        <v>2</v>
      </c>
      <c r="V23" s="97">
        <v>0</v>
      </c>
      <c r="W23" s="98">
        <v>1</v>
      </c>
      <c r="X23" s="98">
        <v>0</v>
      </c>
      <c r="Y23" s="98">
        <v>0</v>
      </c>
      <c r="Z23" s="98">
        <v>1</v>
      </c>
      <c r="AA23" s="98">
        <v>0</v>
      </c>
      <c r="AB23" s="99">
        <f>3+2/3</f>
        <v>3.6666666666666665</v>
      </c>
      <c r="AC23" s="98">
        <v>4</v>
      </c>
      <c r="AD23" s="98">
        <v>1</v>
      </c>
      <c r="AE23" s="98">
        <v>1</v>
      </c>
      <c r="AF23" s="98">
        <v>0</v>
      </c>
      <c r="AG23" s="98">
        <v>2</v>
      </c>
      <c r="AH23" s="98">
        <v>1</v>
      </c>
      <c r="AI23" s="98">
        <v>0</v>
      </c>
      <c r="AJ23" s="98">
        <v>14</v>
      </c>
      <c r="AK23" s="98">
        <v>41</v>
      </c>
      <c r="AL23" s="98">
        <v>27</v>
      </c>
      <c r="AM23" s="100" t="s">
        <v>441</v>
      </c>
      <c r="AN23" s="101">
        <v>3</v>
      </c>
      <c r="AO23" s="101">
        <v>0</v>
      </c>
      <c r="AP23" s="101">
        <v>2</v>
      </c>
      <c r="AQ23" s="101">
        <v>2</v>
      </c>
      <c r="AR23" s="101">
        <v>1</v>
      </c>
      <c r="AS23" s="101">
        <v>0</v>
      </c>
      <c r="AT23" s="101">
        <v>0</v>
      </c>
      <c r="AU23" s="101">
        <v>0</v>
      </c>
      <c r="AV23" s="102">
        <v>4</v>
      </c>
      <c r="AW23" s="100" t="s">
        <v>364</v>
      </c>
      <c r="AX23" s="101">
        <v>4</v>
      </c>
      <c r="AY23" s="101">
        <v>0</v>
      </c>
      <c r="AZ23" s="101">
        <v>0</v>
      </c>
      <c r="BA23" s="101">
        <v>0</v>
      </c>
      <c r="BB23" s="101">
        <v>0</v>
      </c>
      <c r="BC23" s="101">
        <v>1</v>
      </c>
      <c r="BD23" s="101">
        <v>0</v>
      </c>
      <c r="BE23" s="101">
        <v>0</v>
      </c>
      <c r="BF23" s="102">
        <v>0</v>
      </c>
      <c r="BG23" s="100" t="s">
        <v>443</v>
      </c>
      <c r="BH23" s="101">
        <v>4</v>
      </c>
      <c r="BI23" s="101">
        <v>0</v>
      </c>
      <c r="BJ23" s="101">
        <v>0</v>
      </c>
      <c r="BK23" s="101">
        <v>0</v>
      </c>
      <c r="BL23" s="101">
        <v>0</v>
      </c>
      <c r="BM23" s="101">
        <v>2</v>
      </c>
      <c r="BN23" s="101">
        <v>0</v>
      </c>
      <c r="BO23" s="101">
        <v>0</v>
      </c>
      <c r="BP23" s="102">
        <v>0</v>
      </c>
      <c r="BQ23" s="100" t="s">
        <v>446</v>
      </c>
      <c r="BR23" s="101">
        <v>3</v>
      </c>
      <c r="BS23" s="101">
        <v>1</v>
      </c>
      <c r="BT23" s="101">
        <v>1</v>
      </c>
      <c r="BU23" s="101">
        <v>0</v>
      </c>
      <c r="BV23" s="101">
        <v>1</v>
      </c>
      <c r="BW23" s="101">
        <v>0</v>
      </c>
      <c r="BX23" s="101">
        <v>0</v>
      </c>
      <c r="BY23" s="101">
        <v>0</v>
      </c>
      <c r="BZ23" s="102">
        <v>1</v>
      </c>
      <c r="CA23" s="100" t="s">
        <v>444</v>
      </c>
      <c r="CB23" s="101">
        <v>4</v>
      </c>
      <c r="CC23" s="101">
        <v>0</v>
      </c>
      <c r="CD23" s="101">
        <v>0</v>
      </c>
      <c r="CE23" s="101">
        <v>0</v>
      </c>
      <c r="CF23" s="101">
        <v>0</v>
      </c>
      <c r="CG23" s="101">
        <v>2</v>
      </c>
      <c r="CH23" s="101">
        <v>0</v>
      </c>
      <c r="CI23" s="101">
        <v>0</v>
      </c>
      <c r="CJ23" s="102">
        <v>0</v>
      </c>
      <c r="CK23" s="100" t="s">
        <v>366</v>
      </c>
      <c r="CL23" s="101">
        <v>4</v>
      </c>
      <c r="CM23" s="101">
        <v>3</v>
      </c>
      <c r="CN23" s="101">
        <v>3</v>
      </c>
      <c r="CO23" s="101">
        <v>2</v>
      </c>
      <c r="CP23" s="101">
        <v>0</v>
      </c>
      <c r="CQ23" s="101">
        <v>1</v>
      </c>
      <c r="CR23" s="101">
        <v>0</v>
      </c>
      <c r="CS23" s="101">
        <v>0</v>
      </c>
      <c r="CT23" s="102">
        <v>7</v>
      </c>
      <c r="CU23" s="100" t="s">
        <v>367</v>
      </c>
      <c r="CV23" s="101">
        <v>3</v>
      </c>
      <c r="CW23" s="101">
        <v>0</v>
      </c>
      <c r="CX23" s="101">
        <v>2</v>
      </c>
      <c r="CY23" s="101">
        <v>1</v>
      </c>
      <c r="CZ23" s="101">
        <v>1</v>
      </c>
      <c r="DA23" s="101">
        <v>1</v>
      </c>
      <c r="DB23" s="101">
        <v>0</v>
      </c>
      <c r="DC23" s="101">
        <v>0</v>
      </c>
      <c r="DD23" s="102">
        <v>2</v>
      </c>
      <c r="DE23" s="100" t="s">
        <v>445</v>
      </c>
      <c r="DF23" s="101">
        <v>3</v>
      </c>
      <c r="DG23" s="101">
        <v>1</v>
      </c>
      <c r="DH23" s="101">
        <v>1</v>
      </c>
      <c r="DI23" s="101">
        <v>1</v>
      </c>
      <c r="DJ23" s="101">
        <v>1</v>
      </c>
      <c r="DK23" s="101">
        <v>0</v>
      </c>
      <c r="DL23" s="101">
        <v>0</v>
      </c>
      <c r="DM23" s="101">
        <v>0</v>
      </c>
      <c r="DN23" s="102">
        <v>1</v>
      </c>
      <c r="DO23" s="100" t="s">
        <v>448</v>
      </c>
      <c r="DP23" s="101">
        <v>2</v>
      </c>
      <c r="DQ23" s="101">
        <v>1</v>
      </c>
      <c r="DR23" s="101">
        <v>0</v>
      </c>
      <c r="DS23" s="101">
        <v>0</v>
      </c>
      <c r="DT23" s="101">
        <v>1</v>
      </c>
      <c r="DU23" s="101">
        <v>0</v>
      </c>
      <c r="DV23" s="101">
        <v>0</v>
      </c>
      <c r="DW23" s="101">
        <v>0</v>
      </c>
      <c r="DX23" s="102">
        <v>0</v>
      </c>
      <c r="DY23" s="103">
        <f>1+2/3</f>
        <v>1.6666666666666665</v>
      </c>
      <c r="DZ23" s="104">
        <v>0</v>
      </c>
      <c r="EA23" s="104">
        <v>1</v>
      </c>
      <c r="EB23" s="105">
        <f>6+1/3</f>
        <v>6.333333333333333</v>
      </c>
      <c r="EC23" s="104">
        <v>1</v>
      </c>
      <c r="ED23" s="106">
        <v>0</v>
      </c>
      <c r="EE23" s="107">
        <v>0</v>
      </c>
      <c r="EF23" s="104">
        <v>1</v>
      </c>
      <c r="EG23" s="104">
        <v>0</v>
      </c>
      <c r="EH23" s="104">
        <v>1</v>
      </c>
      <c r="EI23" s="104">
        <v>0</v>
      </c>
      <c r="EJ23" s="104">
        <v>0</v>
      </c>
      <c r="EK23" s="104">
        <v>2</v>
      </c>
      <c r="EL23" s="104">
        <v>2</v>
      </c>
      <c r="EM23" s="104"/>
      <c r="EN23" s="104"/>
      <c r="EO23" s="104"/>
      <c r="EP23" s="104"/>
      <c r="EQ23" s="104"/>
      <c r="ER23" s="104"/>
      <c r="ES23" s="104"/>
      <c r="ET23" s="106">
        <f t="shared" si="0"/>
        <v>6</v>
      </c>
      <c r="EU23" s="104">
        <v>0</v>
      </c>
      <c r="EV23" s="104">
        <v>0</v>
      </c>
      <c r="EW23" s="104">
        <v>0</v>
      </c>
      <c r="EX23" s="104">
        <v>0</v>
      </c>
      <c r="EY23" s="104">
        <v>0</v>
      </c>
      <c r="EZ23" s="104">
        <v>2</v>
      </c>
      <c r="FA23" s="104">
        <v>1</v>
      </c>
      <c r="FB23" s="104">
        <v>0</v>
      </c>
      <c r="FC23" s="104">
        <v>0</v>
      </c>
      <c r="FD23" s="104"/>
      <c r="FE23" s="104"/>
      <c r="FF23" s="104"/>
      <c r="FG23" s="104"/>
      <c r="FH23" s="104"/>
      <c r="FI23" s="104"/>
      <c r="FJ23" s="104">
        <f t="shared" si="1"/>
        <v>3</v>
      </c>
      <c r="FK23" s="108">
        <f t="shared" si="6"/>
        <v>0</v>
      </c>
      <c r="FL23" s="108">
        <f t="shared" si="7"/>
        <v>0</v>
      </c>
      <c r="FM23" s="109"/>
    </row>
    <row r="24" spans="1:169" x14ac:dyDescent="0.25">
      <c r="A24" s="91">
        <v>40297</v>
      </c>
      <c r="B24" s="91" t="s">
        <v>133</v>
      </c>
      <c r="C24" s="91" t="s">
        <v>131</v>
      </c>
      <c r="D24" s="91" t="s">
        <v>380</v>
      </c>
      <c r="E24" s="92">
        <v>2889</v>
      </c>
      <c r="F24" s="58" t="s">
        <v>523</v>
      </c>
      <c r="G24" s="94" t="s">
        <v>440</v>
      </c>
      <c r="H24" s="95">
        <v>0</v>
      </c>
      <c r="I24" s="95">
        <v>1</v>
      </c>
      <c r="J24" s="96">
        <v>4</v>
      </c>
      <c r="K24" s="95">
        <v>6</v>
      </c>
      <c r="L24" s="95">
        <v>5</v>
      </c>
      <c r="M24" s="95">
        <v>5</v>
      </c>
      <c r="N24" s="95">
        <v>2</v>
      </c>
      <c r="O24" s="95">
        <v>1</v>
      </c>
      <c r="P24" s="95">
        <v>0</v>
      </c>
      <c r="Q24" s="95">
        <v>0</v>
      </c>
      <c r="R24" s="95">
        <v>19</v>
      </c>
      <c r="S24" s="95">
        <v>66</v>
      </c>
      <c r="T24" s="95">
        <v>43</v>
      </c>
      <c r="U24" s="95">
        <v>0</v>
      </c>
      <c r="V24" s="97">
        <v>0</v>
      </c>
      <c r="W24" s="98">
        <v>0</v>
      </c>
      <c r="X24" s="98">
        <v>0</v>
      </c>
      <c r="Y24" s="98">
        <v>0</v>
      </c>
      <c r="Z24" s="98">
        <v>0</v>
      </c>
      <c r="AA24" s="98">
        <v>0</v>
      </c>
      <c r="AB24" s="99">
        <v>4</v>
      </c>
      <c r="AC24" s="98">
        <v>5</v>
      </c>
      <c r="AD24" s="98">
        <v>3</v>
      </c>
      <c r="AE24" s="98">
        <v>3</v>
      </c>
      <c r="AF24" s="98">
        <v>0</v>
      </c>
      <c r="AG24" s="98">
        <v>3</v>
      </c>
      <c r="AH24" s="98">
        <v>2</v>
      </c>
      <c r="AI24" s="98">
        <v>0</v>
      </c>
      <c r="AJ24" s="98">
        <v>16</v>
      </c>
      <c r="AK24" s="98">
        <v>57</v>
      </c>
      <c r="AL24" s="98">
        <v>34</v>
      </c>
      <c r="AM24" s="100" t="s">
        <v>441</v>
      </c>
      <c r="AN24" s="101">
        <v>4</v>
      </c>
      <c r="AO24" s="101">
        <v>1</v>
      </c>
      <c r="AP24" s="101">
        <v>0</v>
      </c>
      <c r="AQ24" s="101">
        <v>0</v>
      </c>
      <c r="AR24" s="101">
        <v>1</v>
      </c>
      <c r="AS24" s="101">
        <v>0</v>
      </c>
      <c r="AT24" s="101">
        <v>0</v>
      </c>
      <c r="AU24" s="101">
        <v>0</v>
      </c>
      <c r="AV24" s="102">
        <v>0</v>
      </c>
      <c r="AW24" s="100" t="s">
        <v>365</v>
      </c>
      <c r="AX24" s="101">
        <v>3</v>
      </c>
      <c r="AY24" s="101">
        <v>0</v>
      </c>
      <c r="AZ24" s="101">
        <v>1</v>
      </c>
      <c r="BA24" s="101">
        <v>0</v>
      </c>
      <c r="BB24" s="101">
        <v>1</v>
      </c>
      <c r="BC24" s="101">
        <v>0</v>
      </c>
      <c r="BD24" s="101">
        <v>0</v>
      </c>
      <c r="BE24" s="101">
        <v>0</v>
      </c>
      <c r="BF24" s="102">
        <v>1</v>
      </c>
      <c r="BG24" s="100" t="s">
        <v>443</v>
      </c>
      <c r="BH24" s="101">
        <v>4</v>
      </c>
      <c r="BI24" s="101">
        <v>0</v>
      </c>
      <c r="BJ24" s="101">
        <v>1</v>
      </c>
      <c r="BK24" s="101">
        <v>1</v>
      </c>
      <c r="BL24" s="101">
        <v>0</v>
      </c>
      <c r="BM24" s="101">
        <v>1</v>
      </c>
      <c r="BN24" s="101">
        <v>0</v>
      </c>
      <c r="BO24" s="101">
        <v>0</v>
      </c>
      <c r="BP24" s="102">
        <v>1</v>
      </c>
      <c r="BQ24" s="100" t="s">
        <v>446</v>
      </c>
      <c r="BR24" s="101">
        <v>4</v>
      </c>
      <c r="BS24" s="101">
        <v>0</v>
      </c>
      <c r="BT24" s="101">
        <v>0</v>
      </c>
      <c r="BU24" s="101">
        <v>0</v>
      </c>
      <c r="BV24" s="101">
        <v>0</v>
      </c>
      <c r="BW24" s="101">
        <v>2</v>
      </c>
      <c r="BX24" s="101">
        <v>0</v>
      </c>
      <c r="BY24" s="101">
        <v>0</v>
      </c>
      <c r="BZ24" s="102">
        <v>0</v>
      </c>
      <c r="CA24" s="100" t="s">
        <v>444</v>
      </c>
      <c r="CB24" s="101">
        <v>3</v>
      </c>
      <c r="CC24" s="101">
        <v>1</v>
      </c>
      <c r="CD24" s="101">
        <v>0</v>
      </c>
      <c r="CE24" s="101">
        <v>0</v>
      </c>
      <c r="CF24" s="101">
        <v>1</v>
      </c>
      <c r="CG24" s="101">
        <v>2</v>
      </c>
      <c r="CH24" s="101">
        <v>0</v>
      </c>
      <c r="CI24" s="101">
        <v>0</v>
      </c>
      <c r="CJ24" s="102">
        <v>0</v>
      </c>
      <c r="CK24" s="100" t="s">
        <v>366</v>
      </c>
      <c r="CL24" s="101">
        <v>4</v>
      </c>
      <c r="CM24" s="101">
        <v>1</v>
      </c>
      <c r="CN24" s="101">
        <v>2</v>
      </c>
      <c r="CO24" s="101">
        <v>1</v>
      </c>
      <c r="CP24" s="101">
        <v>0</v>
      </c>
      <c r="CQ24" s="101">
        <v>2</v>
      </c>
      <c r="CR24" s="101">
        <v>0</v>
      </c>
      <c r="CS24" s="101">
        <v>0</v>
      </c>
      <c r="CT24" s="102">
        <v>3</v>
      </c>
      <c r="CU24" s="100" t="s">
        <v>367</v>
      </c>
      <c r="CV24" s="101">
        <v>4</v>
      </c>
      <c r="CW24" s="101">
        <v>1</v>
      </c>
      <c r="CX24" s="101">
        <v>1</v>
      </c>
      <c r="CY24" s="101">
        <v>1</v>
      </c>
      <c r="CZ24" s="101">
        <v>0</v>
      </c>
      <c r="DA24" s="101">
        <v>1</v>
      </c>
      <c r="DB24" s="101">
        <v>0</v>
      </c>
      <c r="DC24" s="101">
        <v>0</v>
      </c>
      <c r="DD24" s="102">
        <v>1</v>
      </c>
      <c r="DE24" s="100" t="s">
        <v>445</v>
      </c>
      <c r="DF24" s="101">
        <v>4</v>
      </c>
      <c r="DG24" s="101">
        <v>0</v>
      </c>
      <c r="DH24" s="101">
        <v>2</v>
      </c>
      <c r="DI24" s="101">
        <v>1</v>
      </c>
      <c r="DJ24" s="101">
        <v>0</v>
      </c>
      <c r="DK24" s="101">
        <v>1</v>
      </c>
      <c r="DL24" s="101">
        <v>0</v>
      </c>
      <c r="DM24" s="101">
        <v>0</v>
      </c>
      <c r="DN24" s="102">
        <v>2</v>
      </c>
      <c r="DO24" s="100" t="s">
        <v>448</v>
      </c>
      <c r="DP24" s="101">
        <v>4</v>
      </c>
      <c r="DQ24" s="101">
        <v>0</v>
      </c>
      <c r="DR24" s="101">
        <v>1</v>
      </c>
      <c r="DS24" s="101">
        <v>0</v>
      </c>
      <c r="DT24" s="101">
        <v>0</v>
      </c>
      <c r="DU24" s="101">
        <v>1</v>
      </c>
      <c r="DV24" s="101">
        <v>0</v>
      </c>
      <c r="DW24" s="101">
        <v>0</v>
      </c>
      <c r="DX24" s="102">
        <v>1</v>
      </c>
      <c r="DY24" s="103">
        <v>3</v>
      </c>
      <c r="DZ24" s="104">
        <v>0</v>
      </c>
      <c r="EA24" s="104">
        <v>0</v>
      </c>
      <c r="EB24" s="105">
        <v>6</v>
      </c>
      <c r="EC24" s="104">
        <v>1</v>
      </c>
      <c r="ED24" s="106">
        <v>0</v>
      </c>
      <c r="EE24" s="107">
        <v>1</v>
      </c>
      <c r="EF24" s="104">
        <v>0</v>
      </c>
      <c r="EG24" s="104">
        <v>0</v>
      </c>
      <c r="EH24" s="104">
        <v>1</v>
      </c>
      <c r="EI24" s="104">
        <v>0</v>
      </c>
      <c r="EJ24" s="104">
        <v>2</v>
      </c>
      <c r="EK24" s="104">
        <v>0</v>
      </c>
      <c r="EL24" s="104">
        <v>0</v>
      </c>
      <c r="EM24" s="104">
        <v>0</v>
      </c>
      <c r="EN24" s="104"/>
      <c r="EO24" s="104"/>
      <c r="EP24" s="104"/>
      <c r="EQ24" s="104"/>
      <c r="ER24" s="104"/>
      <c r="ES24" s="104"/>
      <c r="ET24" s="106">
        <f t="shared" si="0"/>
        <v>4</v>
      </c>
      <c r="EU24" s="104">
        <v>4</v>
      </c>
      <c r="EV24" s="104">
        <v>1</v>
      </c>
      <c r="EW24" s="104">
        <v>0</v>
      </c>
      <c r="EX24" s="104">
        <v>0</v>
      </c>
      <c r="EY24" s="104">
        <v>1</v>
      </c>
      <c r="EZ24" s="104">
        <v>2</v>
      </c>
      <c r="FA24" s="104">
        <v>0</v>
      </c>
      <c r="FB24" s="104">
        <v>0</v>
      </c>
      <c r="FC24" s="104"/>
      <c r="FD24" s="104"/>
      <c r="FE24" s="104"/>
      <c r="FF24" s="104"/>
      <c r="FG24" s="104"/>
      <c r="FH24" s="104"/>
      <c r="FI24" s="104"/>
      <c r="FJ24" s="104">
        <f t="shared" si="1"/>
        <v>8</v>
      </c>
      <c r="FK24" s="108">
        <f t="shared" si="6"/>
        <v>0</v>
      </c>
      <c r="FL24" s="108">
        <f t="shared" si="7"/>
        <v>0</v>
      </c>
      <c r="FM24" s="109"/>
    </row>
    <row r="25" spans="1:169" x14ac:dyDescent="0.25">
      <c r="A25" s="91">
        <v>40298</v>
      </c>
      <c r="B25" s="91" t="s">
        <v>133</v>
      </c>
      <c r="C25" s="91" t="s">
        <v>129</v>
      </c>
      <c r="D25" s="91" t="s">
        <v>380</v>
      </c>
      <c r="E25" s="92">
        <v>1946</v>
      </c>
      <c r="F25" s="93">
        <v>1</v>
      </c>
      <c r="G25" s="94" t="s">
        <v>424</v>
      </c>
      <c r="H25" s="95">
        <v>1</v>
      </c>
      <c r="I25" s="95">
        <v>0</v>
      </c>
      <c r="J25" s="96">
        <v>7</v>
      </c>
      <c r="K25" s="95">
        <v>4</v>
      </c>
      <c r="L25" s="95">
        <v>3</v>
      </c>
      <c r="M25" s="95">
        <v>3</v>
      </c>
      <c r="N25" s="95">
        <v>1</v>
      </c>
      <c r="O25" s="95">
        <v>7</v>
      </c>
      <c r="P25" s="95">
        <v>2</v>
      </c>
      <c r="Q25" s="95">
        <v>1</v>
      </c>
      <c r="R25" s="95">
        <v>25</v>
      </c>
      <c r="S25" s="95">
        <v>85</v>
      </c>
      <c r="T25" s="95">
        <v>50</v>
      </c>
      <c r="U25" s="95">
        <v>0</v>
      </c>
      <c r="V25" s="97">
        <v>0</v>
      </c>
      <c r="W25" s="98">
        <v>0</v>
      </c>
      <c r="X25" s="98">
        <v>0</v>
      </c>
      <c r="Y25" s="98">
        <v>0</v>
      </c>
      <c r="Z25" s="98">
        <v>0</v>
      </c>
      <c r="AA25" s="98">
        <v>0</v>
      </c>
      <c r="AB25" s="99">
        <v>2</v>
      </c>
      <c r="AC25" s="98">
        <v>3</v>
      </c>
      <c r="AD25" s="98">
        <v>1</v>
      </c>
      <c r="AE25" s="98">
        <v>1</v>
      </c>
      <c r="AF25" s="98">
        <v>0</v>
      </c>
      <c r="AG25" s="98">
        <v>2</v>
      </c>
      <c r="AH25" s="98">
        <v>0</v>
      </c>
      <c r="AI25" s="98">
        <v>0</v>
      </c>
      <c r="AJ25" s="98">
        <v>9</v>
      </c>
      <c r="AK25" s="98">
        <v>28</v>
      </c>
      <c r="AL25" s="98">
        <v>21</v>
      </c>
      <c r="AM25" s="100" t="s">
        <v>441</v>
      </c>
      <c r="AN25" s="101">
        <v>5</v>
      </c>
      <c r="AO25" s="101">
        <v>0</v>
      </c>
      <c r="AP25" s="101">
        <v>1</v>
      </c>
      <c r="AQ25" s="101">
        <v>2</v>
      </c>
      <c r="AR25" s="101">
        <v>0</v>
      </c>
      <c r="AS25" s="101">
        <v>0</v>
      </c>
      <c r="AT25" s="101">
        <v>0</v>
      </c>
      <c r="AU25" s="101">
        <v>0</v>
      </c>
      <c r="AV25" s="102">
        <v>2</v>
      </c>
      <c r="AW25" s="100" t="s">
        <v>365</v>
      </c>
      <c r="AX25" s="101">
        <v>5</v>
      </c>
      <c r="AY25" s="101">
        <v>1</v>
      </c>
      <c r="AZ25" s="101">
        <v>2</v>
      </c>
      <c r="BA25" s="101">
        <v>0</v>
      </c>
      <c r="BB25" s="101">
        <v>0</v>
      </c>
      <c r="BC25" s="101">
        <v>1</v>
      </c>
      <c r="BD25" s="101">
        <v>0</v>
      </c>
      <c r="BE25" s="101">
        <v>0</v>
      </c>
      <c r="BF25" s="102">
        <v>3</v>
      </c>
      <c r="BG25" s="100" t="s">
        <v>443</v>
      </c>
      <c r="BH25" s="101">
        <v>3</v>
      </c>
      <c r="BI25" s="101">
        <v>2</v>
      </c>
      <c r="BJ25" s="101">
        <v>1</v>
      </c>
      <c r="BK25" s="101">
        <v>0</v>
      </c>
      <c r="BL25" s="101">
        <v>2</v>
      </c>
      <c r="BM25" s="101">
        <v>0</v>
      </c>
      <c r="BN25" s="101">
        <v>0</v>
      </c>
      <c r="BO25" s="101">
        <v>0</v>
      </c>
      <c r="BP25" s="102">
        <v>1</v>
      </c>
      <c r="BQ25" s="100" t="s">
        <v>446</v>
      </c>
      <c r="BR25" s="101">
        <v>5</v>
      </c>
      <c r="BS25" s="101">
        <v>2</v>
      </c>
      <c r="BT25" s="101">
        <v>2</v>
      </c>
      <c r="BU25" s="101">
        <v>0</v>
      </c>
      <c r="BV25" s="101">
        <v>0</v>
      </c>
      <c r="BW25" s="101">
        <v>0</v>
      </c>
      <c r="BX25" s="101">
        <v>0</v>
      </c>
      <c r="BY25" s="101">
        <v>0</v>
      </c>
      <c r="BZ25" s="102">
        <v>4</v>
      </c>
      <c r="CA25" s="100" t="s">
        <v>444</v>
      </c>
      <c r="CB25" s="101">
        <v>1</v>
      </c>
      <c r="CC25" s="101">
        <v>2</v>
      </c>
      <c r="CD25" s="101">
        <v>0</v>
      </c>
      <c r="CE25" s="101">
        <v>1</v>
      </c>
      <c r="CF25" s="101">
        <v>2</v>
      </c>
      <c r="CG25" s="101">
        <v>1</v>
      </c>
      <c r="CH25" s="101">
        <v>1</v>
      </c>
      <c r="CI25" s="101">
        <v>1</v>
      </c>
      <c r="CJ25" s="102">
        <v>0</v>
      </c>
      <c r="CK25" s="100" t="s">
        <v>366</v>
      </c>
      <c r="CL25" s="101">
        <v>5</v>
      </c>
      <c r="CM25" s="101">
        <v>1</v>
      </c>
      <c r="CN25" s="101">
        <v>3</v>
      </c>
      <c r="CO25" s="101">
        <v>2</v>
      </c>
      <c r="CP25" s="101">
        <v>0</v>
      </c>
      <c r="CQ25" s="101">
        <v>2</v>
      </c>
      <c r="CR25" s="101">
        <v>0</v>
      </c>
      <c r="CS25" s="101">
        <v>0</v>
      </c>
      <c r="CT25" s="102">
        <v>4</v>
      </c>
      <c r="CU25" s="100" t="s">
        <v>367</v>
      </c>
      <c r="CV25" s="101">
        <v>4</v>
      </c>
      <c r="CW25" s="101">
        <v>0</v>
      </c>
      <c r="CX25" s="101">
        <v>1</v>
      </c>
      <c r="CY25" s="101">
        <v>2</v>
      </c>
      <c r="CZ25" s="101">
        <v>1</v>
      </c>
      <c r="DA25" s="101">
        <v>0</v>
      </c>
      <c r="DB25" s="101">
        <v>0</v>
      </c>
      <c r="DC25" s="101">
        <v>0</v>
      </c>
      <c r="DD25" s="102">
        <v>1</v>
      </c>
      <c r="DE25" s="100" t="s">
        <v>445</v>
      </c>
      <c r="DF25" s="101">
        <v>4</v>
      </c>
      <c r="DG25" s="101">
        <v>1</v>
      </c>
      <c r="DH25" s="101">
        <v>0</v>
      </c>
      <c r="DI25" s="101">
        <v>1</v>
      </c>
      <c r="DJ25" s="101">
        <v>0</v>
      </c>
      <c r="DK25" s="101">
        <v>1</v>
      </c>
      <c r="DL25" s="101">
        <v>1</v>
      </c>
      <c r="DM25" s="101">
        <v>0</v>
      </c>
      <c r="DN25" s="102">
        <v>0</v>
      </c>
      <c r="DO25" s="100" t="s">
        <v>448</v>
      </c>
      <c r="DP25" s="101">
        <v>4</v>
      </c>
      <c r="DQ25" s="101">
        <v>1</v>
      </c>
      <c r="DR25" s="101">
        <v>2</v>
      </c>
      <c r="DS25" s="101">
        <v>2</v>
      </c>
      <c r="DT25" s="101">
        <v>0</v>
      </c>
      <c r="DU25" s="101">
        <v>0</v>
      </c>
      <c r="DV25" s="101">
        <v>0</v>
      </c>
      <c r="DW25" s="101">
        <v>1</v>
      </c>
      <c r="DX25" s="102">
        <v>5</v>
      </c>
      <c r="DY25" s="103">
        <v>2</v>
      </c>
      <c r="DZ25" s="104">
        <v>0</v>
      </c>
      <c r="EA25" s="104">
        <v>0</v>
      </c>
      <c r="EB25" s="105">
        <v>7</v>
      </c>
      <c r="EC25" s="104">
        <v>1</v>
      </c>
      <c r="ED25" s="106">
        <v>0</v>
      </c>
      <c r="EE25" s="107">
        <v>3</v>
      </c>
      <c r="EF25" s="104">
        <v>1</v>
      </c>
      <c r="EG25" s="104">
        <v>2</v>
      </c>
      <c r="EH25" s="104">
        <v>0</v>
      </c>
      <c r="EI25" s="104">
        <v>0</v>
      </c>
      <c r="EJ25" s="104">
        <v>0</v>
      </c>
      <c r="EK25" s="104">
        <v>4</v>
      </c>
      <c r="EL25" s="104">
        <v>0</v>
      </c>
      <c r="EM25" s="104">
        <v>0</v>
      </c>
      <c r="EN25" s="104"/>
      <c r="EO25" s="104"/>
      <c r="EP25" s="104"/>
      <c r="EQ25" s="104"/>
      <c r="ER25" s="104"/>
      <c r="ES25" s="104"/>
      <c r="ET25" s="106">
        <f t="shared" si="0"/>
        <v>10</v>
      </c>
      <c r="EU25" s="104">
        <v>1</v>
      </c>
      <c r="EV25" s="104">
        <v>0</v>
      </c>
      <c r="EW25" s="104">
        <v>2</v>
      </c>
      <c r="EX25" s="104">
        <v>0</v>
      </c>
      <c r="EY25" s="104">
        <v>0</v>
      </c>
      <c r="EZ25" s="104">
        <v>0</v>
      </c>
      <c r="FA25" s="104">
        <v>0</v>
      </c>
      <c r="FB25" s="104">
        <v>1</v>
      </c>
      <c r="FC25" s="104">
        <v>0</v>
      </c>
      <c r="FD25" s="104"/>
      <c r="FE25" s="104"/>
      <c r="FF25" s="104"/>
      <c r="FG25" s="104"/>
      <c r="FH25" s="104"/>
      <c r="FI25" s="104"/>
      <c r="FJ25" s="104">
        <f t="shared" si="1"/>
        <v>4</v>
      </c>
      <c r="FK25" s="108">
        <f t="shared" si="6"/>
        <v>0</v>
      </c>
      <c r="FL25" s="108">
        <f t="shared" si="7"/>
        <v>0</v>
      </c>
      <c r="FM25" s="109"/>
    </row>
    <row r="26" spans="1:169" x14ac:dyDescent="0.25">
      <c r="A26" s="91">
        <v>40301</v>
      </c>
      <c r="B26" s="91" t="s">
        <v>133</v>
      </c>
      <c r="C26" s="91" t="s">
        <v>129</v>
      </c>
      <c r="D26" s="91" t="s">
        <v>380</v>
      </c>
      <c r="E26" s="92"/>
      <c r="F26" s="93">
        <v>2</v>
      </c>
      <c r="G26" s="94" t="s">
        <v>438</v>
      </c>
      <c r="H26" s="95">
        <v>0</v>
      </c>
      <c r="I26" s="95">
        <v>0</v>
      </c>
      <c r="J26" s="96">
        <v>4</v>
      </c>
      <c r="K26" s="95">
        <v>6</v>
      </c>
      <c r="L26" s="95">
        <v>4</v>
      </c>
      <c r="M26" s="95">
        <v>4</v>
      </c>
      <c r="N26" s="95">
        <v>4</v>
      </c>
      <c r="O26" s="95">
        <v>1</v>
      </c>
      <c r="P26" s="95">
        <v>1</v>
      </c>
      <c r="Q26" s="95">
        <v>0</v>
      </c>
      <c r="R26" s="95">
        <v>21</v>
      </c>
      <c r="S26" s="95">
        <v>81</v>
      </c>
      <c r="T26" s="95">
        <v>45</v>
      </c>
      <c r="U26" s="95">
        <v>0</v>
      </c>
      <c r="V26" s="97">
        <v>0</v>
      </c>
      <c r="W26" s="98">
        <v>1</v>
      </c>
      <c r="X26" s="98">
        <v>0</v>
      </c>
      <c r="Y26" s="98">
        <v>0</v>
      </c>
      <c r="Z26" s="98">
        <v>1</v>
      </c>
      <c r="AA26" s="98">
        <v>0</v>
      </c>
      <c r="AB26" s="99">
        <v>3</v>
      </c>
      <c r="AC26" s="98">
        <v>1</v>
      </c>
      <c r="AD26" s="98">
        <v>0</v>
      </c>
      <c r="AE26" s="98">
        <v>0</v>
      </c>
      <c r="AF26" s="98">
        <v>2</v>
      </c>
      <c r="AG26" s="98">
        <v>0</v>
      </c>
      <c r="AH26" s="98">
        <v>0</v>
      </c>
      <c r="AI26" s="98">
        <v>0</v>
      </c>
      <c r="AJ26" s="98">
        <v>10</v>
      </c>
      <c r="AK26" s="98">
        <v>39</v>
      </c>
      <c r="AL26" s="98">
        <v>23</v>
      </c>
      <c r="AM26" s="100" t="s">
        <v>441</v>
      </c>
      <c r="AN26" s="101">
        <v>3</v>
      </c>
      <c r="AO26" s="101">
        <v>1</v>
      </c>
      <c r="AP26" s="101">
        <v>0</v>
      </c>
      <c r="AQ26" s="101">
        <v>0</v>
      </c>
      <c r="AR26" s="101">
        <v>1</v>
      </c>
      <c r="AS26" s="101">
        <v>2</v>
      </c>
      <c r="AT26" s="101">
        <v>0</v>
      </c>
      <c r="AU26" s="101">
        <v>0</v>
      </c>
      <c r="AV26" s="102">
        <v>0</v>
      </c>
      <c r="AW26" s="100" t="s">
        <v>365</v>
      </c>
      <c r="AX26" s="101">
        <v>3</v>
      </c>
      <c r="AY26" s="101">
        <v>0</v>
      </c>
      <c r="AZ26" s="101">
        <v>0</v>
      </c>
      <c r="BA26" s="101">
        <v>0</v>
      </c>
      <c r="BB26" s="101">
        <v>1</v>
      </c>
      <c r="BC26" s="101">
        <v>0</v>
      </c>
      <c r="BD26" s="101">
        <v>0</v>
      </c>
      <c r="BE26" s="101">
        <v>0</v>
      </c>
      <c r="BF26" s="102">
        <v>0</v>
      </c>
      <c r="BG26" s="100" t="s">
        <v>443</v>
      </c>
      <c r="BH26" s="101">
        <v>4</v>
      </c>
      <c r="BI26" s="101">
        <v>0</v>
      </c>
      <c r="BJ26" s="101">
        <v>0</v>
      </c>
      <c r="BK26" s="101">
        <v>0</v>
      </c>
      <c r="BL26" s="101">
        <v>0</v>
      </c>
      <c r="BM26" s="101">
        <v>0</v>
      </c>
      <c r="BN26" s="101">
        <v>0</v>
      </c>
      <c r="BO26" s="101">
        <v>0</v>
      </c>
      <c r="BP26" s="102">
        <v>0</v>
      </c>
      <c r="BQ26" s="100" t="s">
        <v>446</v>
      </c>
      <c r="BR26" s="101">
        <v>3</v>
      </c>
      <c r="BS26" s="101">
        <v>2</v>
      </c>
      <c r="BT26" s="101">
        <v>2</v>
      </c>
      <c r="BU26" s="101">
        <v>0</v>
      </c>
      <c r="BV26" s="101">
        <v>0</v>
      </c>
      <c r="BW26" s="101">
        <v>0</v>
      </c>
      <c r="BX26" s="101">
        <v>0</v>
      </c>
      <c r="BY26" s="101">
        <v>0</v>
      </c>
      <c r="BZ26" s="102">
        <v>2</v>
      </c>
      <c r="CA26" s="100" t="s">
        <v>444</v>
      </c>
      <c r="CB26" s="101">
        <v>3</v>
      </c>
      <c r="CC26" s="101">
        <v>2</v>
      </c>
      <c r="CD26" s="101">
        <v>2</v>
      </c>
      <c r="CE26" s="101">
        <v>3</v>
      </c>
      <c r="CF26" s="101">
        <v>0</v>
      </c>
      <c r="CG26" s="101">
        <v>0</v>
      </c>
      <c r="CH26" s="101">
        <v>0</v>
      </c>
      <c r="CI26" s="101">
        <v>0</v>
      </c>
      <c r="CJ26" s="102">
        <v>6</v>
      </c>
      <c r="CK26" s="100" t="s">
        <v>366</v>
      </c>
      <c r="CL26" s="101">
        <v>3</v>
      </c>
      <c r="CM26" s="101">
        <v>0</v>
      </c>
      <c r="CN26" s="101">
        <v>1</v>
      </c>
      <c r="CO26" s="101">
        <v>1</v>
      </c>
      <c r="CP26" s="101">
        <v>0</v>
      </c>
      <c r="CQ26" s="101">
        <v>1</v>
      </c>
      <c r="CR26" s="101">
        <v>0</v>
      </c>
      <c r="CS26" s="101">
        <v>0</v>
      </c>
      <c r="CT26" s="102">
        <v>2</v>
      </c>
      <c r="CU26" s="100" t="s">
        <v>367</v>
      </c>
      <c r="CV26" s="101">
        <v>3</v>
      </c>
      <c r="CW26" s="101">
        <v>0</v>
      </c>
      <c r="CX26" s="101">
        <v>1</v>
      </c>
      <c r="CY26" s="101">
        <v>0</v>
      </c>
      <c r="CZ26" s="101">
        <v>0</v>
      </c>
      <c r="DA26" s="101">
        <v>1</v>
      </c>
      <c r="DB26" s="101">
        <v>0</v>
      </c>
      <c r="DC26" s="101">
        <v>0</v>
      </c>
      <c r="DD26" s="102">
        <v>1</v>
      </c>
      <c r="DE26" s="100" t="s">
        <v>445</v>
      </c>
      <c r="DF26" s="101">
        <v>2</v>
      </c>
      <c r="DG26" s="101">
        <v>0</v>
      </c>
      <c r="DH26" s="101">
        <v>0</v>
      </c>
      <c r="DI26" s="101">
        <v>0</v>
      </c>
      <c r="DJ26" s="101">
        <v>1</v>
      </c>
      <c r="DK26" s="101">
        <v>0</v>
      </c>
      <c r="DL26" s="101">
        <v>0</v>
      </c>
      <c r="DM26" s="101">
        <v>0</v>
      </c>
      <c r="DN26" s="102">
        <v>0</v>
      </c>
      <c r="DO26" s="100" t="s">
        <v>448</v>
      </c>
      <c r="DP26" s="101">
        <v>3</v>
      </c>
      <c r="DQ26" s="101">
        <v>0</v>
      </c>
      <c r="DR26" s="101">
        <v>0</v>
      </c>
      <c r="DS26" s="101">
        <v>0</v>
      </c>
      <c r="DT26" s="101">
        <v>0</v>
      </c>
      <c r="DU26" s="101">
        <v>2</v>
      </c>
      <c r="DV26" s="101">
        <v>0</v>
      </c>
      <c r="DW26" s="101">
        <v>0</v>
      </c>
      <c r="DX26" s="102">
        <v>0</v>
      </c>
      <c r="DY26" s="103">
        <v>4</v>
      </c>
      <c r="DZ26" s="104">
        <v>1</v>
      </c>
      <c r="EA26" s="104">
        <v>0</v>
      </c>
      <c r="EB26" s="105">
        <v>3</v>
      </c>
      <c r="EC26" s="104">
        <v>0</v>
      </c>
      <c r="ED26" s="106">
        <v>0</v>
      </c>
      <c r="EE26" s="107">
        <v>0</v>
      </c>
      <c r="EF26" s="104">
        <v>0</v>
      </c>
      <c r="EG26" s="104">
        <v>0</v>
      </c>
      <c r="EH26" s="104">
        <v>2</v>
      </c>
      <c r="EI26" s="104">
        <v>3</v>
      </c>
      <c r="EJ26" s="104">
        <v>0</v>
      </c>
      <c r="EK26" s="104">
        <v>0</v>
      </c>
      <c r="EL26" s="104"/>
      <c r="EM26" s="104"/>
      <c r="EN26" s="104"/>
      <c r="EO26" s="104"/>
      <c r="EP26" s="104"/>
      <c r="EQ26" s="104"/>
      <c r="ER26" s="104"/>
      <c r="ES26" s="104"/>
      <c r="ET26" s="106">
        <f t="shared" si="0"/>
        <v>5</v>
      </c>
      <c r="EU26" s="104">
        <v>4</v>
      </c>
      <c r="EV26" s="104">
        <v>0</v>
      </c>
      <c r="EW26" s="104">
        <v>0</v>
      </c>
      <c r="EX26" s="104">
        <v>0</v>
      </c>
      <c r="EY26" s="104">
        <v>0</v>
      </c>
      <c r="EZ26" s="104">
        <v>0</v>
      </c>
      <c r="FA26" s="104">
        <v>0</v>
      </c>
      <c r="FB26" s="104"/>
      <c r="FC26" s="104"/>
      <c r="FD26" s="104"/>
      <c r="FE26" s="104"/>
      <c r="FF26" s="104"/>
      <c r="FG26" s="104"/>
      <c r="FH26" s="104"/>
      <c r="FI26" s="104"/>
      <c r="FJ26" s="104">
        <f t="shared" si="1"/>
        <v>4</v>
      </c>
      <c r="FK26" s="108">
        <f t="shared" si="6"/>
        <v>0</v>
      </c>
      <c r="FL26" s="108">
        <f t="shared" si="7"/>
        <v>0</v>
      </c>
      <c r="FM26" s="109" t="s">
        <v>381</v>
      </c>
    </row>
    <row r="27" spans="1:169" x14ac:dyDescent="0.25">
      <c r="A27" s="91">
        <v>40301</v>
      </c>
      <c r="B27" s="91" t="s">
        <v>133</v>
      </c>
      <c r="C27" s="91" t="s">
        <v>129</v>
      </c>
      <c r="D27" s="91" t="s">
        <v>380</v>
      </c>
      <c r="E27" s="92">
        <v>1539</v>
      </c>
      <c r="F27" s="58" t="s">
        <v>523</v>
      </c>
      <c r="G27" s="94" t="s">
        <v>437</v>
      </c>
      <c r="H27" s="95">
        <v>1</v>
      </c>
      <c r="I27" s="95">
        <v>0</v>
      </c>
      <c r="J27" s="96">
        <v>6</v>
      </c>
      <c r="K27" s="95">
        <v>1</v>
      </c>
      <c r="L27" s="95">
        <v>0</v>
      </c>
      <c r="M27" s="95">
        <v>0</v>
      </c>
      <c r="N27" s="95">
        <v>2</v>
      </c>
      <c r="O27" s="95">
        <v>5</v>
      </c>
      <c r="P27" s="95">
        <v>0</v>
      </c>
      <c r="Q27" s="95">
        <v>1</v>
      </c>
      <c r="R27" s="95">
        <v>19</v>
      </c>
      <c r="S27" s="95">
        <v>71</v>
      </c>
      <c r="T27" s="95">
        <v>44</v>
      </c>
      <c r="U27" s="95">
        <v>0</v>
      </c>
      <c r="V27" s="97">
        <v>0</v>
      </c>
      <c r="W27" s="98">
        <v>0</v>
      </c>
      <c r="X27" s="98">
        <v>0</v>
      </c>
      <c r="Y27" s="98">
        <v>0</v>
      </c>
      <c r="Z27" s="98">
        <v>1</v>
      </c>
      <c r="AA27" s="98">
        <v>0</v>
      </c>
      <c r="AB27" s="99">
        <v>1</v>
      </c>
      <c r="AC27" s="98">
        <v>1</v>
      </c>
      <c r="AD27" s="98">
        <v>1</v>
      </c>
      <c r="AE27" s="98">
        <v>1</v>
      </c>
      <c r="AF27" s="98">
        <v>2</v>
      </c>
      <c r="AG27" s="98">
        <v>1</v>
      </c>
      <c r="AH27" s="98">
        <v>0</v>
      </c>
      <c r="AI27" s="98">
        <v>0</v>
      </c>
      <c r="AJ27" s="98">
        <v>6</v>
      </c>
      <c r="AK27" s="98">
        <v>28</v>
      </c>
      <c r="AL27" s="98">
        <v>13</v>
      </c>
      <c r="AM27" s="100" t="s">
        <v>441</v>
      </c>
      <c r="AN27" s="101">
        <v>3</v>
      </c>
      <c r="AO27" s="101">
        <v>1</v>
      </c>
      <c r="AP27" s="101">
        <v>1</v>
      </c>
      <c r="AQ27" s="101">
        <v>1</v>
      </c>
      <c r="AR27" s="101">
        <v>0</v>
      </c>
      <c r="AS27" s="101">
        <v>0</v>
      </c>
      <c r="AT27" s="101">
        <v>0</v>
      </c>
      <c r="AU27" s="101">
        <v>0</v>
      </c>
      <c r="AV27" s="102">
        <v>2</v>
      </c>
      <c r="AW27" s="100" t="s">
        <v>365</v>
      </c>
      <c r="AX27" s="101">
        <v>3</v>
      </c>
      <c r="AY27" s="101">
        <v>0</v>
      </c>
      <c r="AZ27" s="101">
        <v>0</v>
      </c>
      <c r="BA27" s="101">
        <v>0</v>
      </c>
      <c r="BB27" s="101">
        <v>0</v>
      </c>
      <c r="BC27" s="101">
        <v>1</v>
      </c>
      <c r="BD27" s="101">
        <v>0</v>
      </c>
      <c r="BE27" s="101">
        <v>0</v>
      </c>
      <c r="BF27" s="102">
        <v>0</v>
      </c>
      <c r="BG27" s="100" t="s">
        <v>443</v>
      </c>
      <c r="BH27" s="101">
        <v>3</v>
      </c>
      <c r="BI27" s="101">
        <v>0</v>
      </c>
      <c r="BJ27" s="101">
        <v>0</v>
      </c>
      <c r="BK27" s="101">
        <v>0</v>
      </c>
      <c r="BL27" s="101">
        <v>0</v>
      </c>
      <c r="BM27" s="101">
        <v>0</v>
      </c>
      <c r="BN27" s="101">
        <v>0</v>
      </c>
      <c r="BO27" s="101">
        <v>0</v>
      </c>
      <c r="BP27" s="102">
        <v>0</v>
      </c>
      <c r="BQ27" s="100" t="s">
        <v>366</v>
      </c>
      <c r="BR27" s="101">
        <v>3</v>
      </c>
      <c r="BS27" s="101">
        <v>0</v>
      </c>
      <c r="BT27" s="101">
        <v>0</v>
      </c>
      <c r="BU27" s="101">
        <v>0</v>
      </c>
      <c r="BV27" s="101">
        <v>0</v>
      </c>
      <c r="BW27" s="101">
        <v>1</v>
      </c>
      <c r="BX27" s="101">
        <v>0</v>
      </c>
      <c r="BY27" s="101">
        <v>0</v>
      </c>
      <c r="BZ27" s="102">
        <v>0</v>
      </c>
      <c r="CA27" s="100" t="s">
        <v>444</v>
      </c>
      <c r="CB27" s="101">
        <v>3</v>
      </c>
      <c r="CC27" s="101">
        <v>0</v>
      </c>
      <c r="CD27" s="101">
        <v>0</v>
      </c>
      <c r="CE27" s="101">
        <v>0</v>
      </c>
      <c r="CF27" s="101">
        <v>0</v>
      </c>
      <c r="CG27" s="101">
        <v>2</v>
      </c>
      <c r="CH27" s="101">
        <v>0</v>
      </c>
      <c r="CI27" s="101">
        <v>0</v>
      </c>
      <c r="CJ27" s="102">
        <v>0</v>
      </c>
      <c r="CK27" s="100" t="s">
        <v>445</v>
      </c>
      <c r="CL27" s="101">
        <v>3</v>
      </c>
      <c r="CM27" s="101">
        <v>0</v>
      </c>
      <c r="CN27" s="101">
        <v>0</v>
      </c>
      <c r="CO27" s="101">
        <v>0</v>
      </c>
      <c r="CP27" s="101">
        <v>0</v>
      </c>
      <c r="CQ27" s="101">
        <v>0</v>
      </c>
      <c r="CR27" s="101">
        <v>0</v>
      </c>
      <c r="CS27" s="101">
        <v>0</v>
      </c>
      <c r="CT27" s="102">
        <v>0</v>
      </c>
      <c r="CU27" s="100" t="s">
        <v>364</v>
      </c>
      <c r="CV27" s="101">
        <v>2</v>
      </c>
      <c r="CW27" s="101">
        <v>0</v>
      </c>
      <c r="CX27" s="101">
        <v>1</v>
      </c>
      <c r="CY27" s="101">
        <v>0</v>
      </c>
      <c r="CZ27" s="101">
        <v>1</v>
      </c>
      <c r="DA27" s="101">
        <v>0</v>
      </c>
      <c r="DB27" s="101">
        <v>0</v>
      </c>
      <c r="DC27" s="101">
        <v>0</v>
      </c>
      <c r="DD27" s="102">
        <v>1</v>
      </c>
      <c r="DE27" s="100" t="s">
        <v>449</v>
      </c>
      <c r="DF27" s="101">
        <v>3</v>
      </c>
      <c r="DG27" s="101">
        <v>1</v>
      </c>
      <c r="DH27" s="101">
        <v>1</v>
      </c>
      <c r="DI27" s="101">
        <v>0</v>
      </c>
      <c r="DJ27" s="101">
        <v>0</v>
      </c>
      <c r="DK27" s="101">
        <v>0</v>
      </c>
      <c r="DL27" s="101">
        <v>0</v>
      </c>
      <c r="DM27" s="101">
        <v>0</v>
      </c>
      <c r="DN27" s="102">
        <v>1</v>
      </c>
      <c r="DO27" s="100" t="s">
        <v>448</v>
      </c>
      <c r="DP27" s="101">
        <v>3</v>
      </c>
      <c r="DQ27" s="101">
        <v>1</v>
      </c>
      <c r="DR27" s="101">
        <v>1</v>
      </c>
      <c r="DS27" s="101">
        <v>0</v>
      </c>
      <c r="DT27" s="101">
        <v>0</v>
      </c>
      <c r="DU27" s="101">
        <v>0</v>
      </c>
      <c r="DV27" s="101">
        <v>0</v>
      </c>
      <c r="DW27" s="101">
        <v>0</v>
      </c>
      <c r="DX27" s="102">
        <v>1</v>
      </c>
      <c r="DY27" s="103">
        <v>0</v>
      </c>
      <c r="DZ27" s="104">
        <v>0</v>
      </c>
      <c r="EA27" s="104">
        <v>0</v>
      </c>
      <c r="EB27" s="105">
        <v>7</v>
      </c>
      <c r="EC27" s="104">
        <v>0</v>
      </c>
      <c r="ED27" s="106">
        <v>1</v>
      </c>
      <c r="EE27" s="107">
        <v>0</v>
      </c>
      <c r="EF27" s="104">
        <v>0</v>
      </c>
      <c r="EG27" s="104">
        <v>3</v>
      </c>
      <c r="EH27" s="104">
        <v>0</v>
      </c>
      <c r="EI27" s="104">
        <v>0</v>
      </c>
      <c r="EJ27" s="104">
        <v>0</v>
      </c>
      <c r="EK27" s="104">
        <v>0</v>
      </c>
      <c r="EL27" s="104"/>
      <c r="EM27" s="104"/>
      <c r="EN27" s="104"/>
      <c r="EO27" s="104"/>
      <c r="EP27" s="104"/>
      <c r="EQ27" s="104"/>
      <c r="ER27" s="104"/>
      <c r="ES27" s="104"/>
      <c r="ET27" s="106">
        <f t="shared" si="0"/>
        <v>3</v>
      </c>
      <c r="EU27" s="104">
        <v>0</v>
      </c>
      <c r="EV27" s="104">
        <v>0</v>
      </c>
      <c r="EW27" s="104">
        <v>0</v>
      </c>
      <c r="EX27" s="104">
        <v>0</v>
      </c>
      <c r="EY27" s="104">
        <v>0</v>
      </c>
      <c r="EZ27" s="104">
        <v>0</v>
      </c>
      <c r="FA27" s="104">
        <v>1</v>
      </c>
      <c r="FB27" s="104"/>
      <c r="FC27" s="104"/>
      <c r="FD27" s="104"/>
      <c r="FE27" s="104"/>
      <c r="FF27" s="104"/>
      <c r="FG27" s="104"/>
      <c r="FH27" s="104"/>
      <c r="FI27" s="104"/>
      <c r="FJ27" s="104">
        <f t="shared" si="1"/>
        <v>1</v>
      </c>
      <c r="FK27" s="108">
        <f t="shared" si="6"/>
        <v>0</v>
      </c>
      <c r="FL27" s="108">
        <f t="shared" si="7"/>
        <v>0</v>
      </c>
      <c r="FM27" s="109" t="s">
        <v>378</v>
      </c>
    </row>
    <row r="28" spans="1:169" x14ac:dyDescent="0.25">
      <c r="A28" s="91">
        <v>40302</v>
      </c>
      <c r="B28" s="91" t="s">
        <v>19</v>
      </c>
      <c r="C28" s="91" t="s">
        <v>129</v>
      </c>
      <c r="D28" s="91" t="s">
        <v>451</v>
      </c>
      <c r="E28" s="92">
        <v>2019</v>
      </c>
      <c r="F28" s="93">
        <v>3</v>
      </c>
      <c r="G28" s="94" t="s">
        <v>368</v>
      </c>
      <c r="H28" s="95">
        <v>0</v>
      </c>
      <c r="I28" s="95">
        <v>0</v>
      </c>
      <c r="J28" s="96">
        <f>3+2/3</f>
        <v>3.6666666666666665</v>
      </c>
      <c r="K28" s="95">
        <v>5</v>
      </c>
      <c r="L28" s="95">
        <v>3</v>
      </c>
      <c r="M28" s="95">
        <v>3</v>
      </c>
      <c r="N28" s="95">
        <v>4</v>
      </c>
      <c r="O28" s="95">
        <v>3</v>
      </c>
      <c r="P28" s="95">
        <v>0</v>
      </c>
      <c r="Q28" s="95">
        <v>0</v>
      </c>
      <c r="R28" s="95">
        <v>18</v>
      </c>
      <c r="S28" s="95">
        <v>88</v>
      </c>
      <c r="T28" s="95">
        <v>51</v>
      </c>
      <c r="U28" s="95">
        <v>2</v>
      </c>
      <c r="V28" s="97">
        <v>0</v>
      </c>
      <c r="W28" s="98">
        <v>1</v>
      </c>
      <c r="X28" s="98">
        <v>0</v>
      </c>
      <c r="Y28" s="98">
        <v>0</v>
      </c>
      <c r="Z28" s="98">
        <v>0</v>
      </c>
      <c r="AA28" s="98">
        <v>1</v>
      </c>
      <c r="AB28" s="99">
        <f>6+1/3</f>
        <v>6.333333333333333</v>
      </c>
      <c r="AC28" s="98">
        <v>6</v>
      </c>
      <c r="AD28" s="98">
        <v>2</v>
      </c>
      <c r="AE28" s="98">
        <v>2</v>
      </c>
      <c r="AF28" s="98">
        <v>3</v>
      </c>
      <c r="AG28" s="98">
        <v>4</v>
      </c>
      <c r="AH28" s="98">
        <v>0</v>
      </c>
      <c r="AI28" s="98">
        <v>0</v>
      </c>
      <c r="AJ28" s="98">
        <v>28</v>
      </c>
      <c r="AK28" s="98">
        <v>108</v>
      </c>
      <c r="AL28" s="98">
        <v>63</v>
      </c>
      <c r="AM28" s="100" t="s">
        <v>441</v>
      </c>
      <c r="AN28" s="101">
        <v>3</v>
      </c>
      <c r="AO28" s="101">
        <v>0</v>
      </c>
      <c r="AP28" s="101">
        <v>0</v>
      </c>
      <c r="AQ28" s="101">
        <v>0</v>
      </c>
      <c r="AR28" s="101">
        <v>1</v>
      </c>
      <c r="AS28" s="101">
        <v>0</v>
      </c>
      <c r="AT28" s="101">
        <v>0</v>
      </c>
      <c r="AU28" s="101">
        <v>0</v>
      </c>
      <c r="AV28" s="102">
        <v>0</v>
      </c>
      <c r="AW28" s="100" t="s">
        <v>365</v>
      </c>
      <c r="AX28" s="101">
        <v>4</v>
      </c>
      <c r="AY28" s="101">
        <v>1</v>
      </c>
      <c r="AZ28" s="101">
        <v>1</v>
      </c>
      <c r="BA28" s="101">
        <v>0</v>
      </c>
      <c r="BB28" s="101">
        <v>1</v>
      </c>
      <c r="BC28" s="101">
        <v>0</v>
      </c>
      <c r="BD28" s="101">
        <v>0</v>
      </c>
      <c r="BE28" s="101">
        <v>0</v>
      </c>
      <c r="BF28" s="102">
        <v>1</v>
      </c>
      <c r="BG28" s="100" t="s">
        <v>443</v>
      </c>
      <c r="BH28" s="101">
        <v>4</v>
      </c>
      <c r="BI28" s="101">
        <v>2</v>
      </c>
      <c r="BJ28" s="101">
        <v>3</v>
      </c>
      <c r="BK28" s="101">
        <v>1</v>
      </c>
      <c r="BL28" s="101">
        <v>1</v>
      </c>
      <c r="BM28" s="101">
        <v>0</v>
      </c>
      <c r="BN28" s="101">
        <v>0</v>
      </c>
      <c r="BO28" s="101">
        <v>0</v>
      </c>
      <c r="BP28" s="102">
        <v>6</v>
      </c>
      <c r="BQ28" s="100" t="s">
        <v>446</v>
      </c>
      <c r="BR28" s="101">
        <v>5</v>
      </c>
      <c r="BS28" s="101">
        <v>1</v>
      </c>
      <c r="BT28" s="101">
        <v>1</v>
      </c>
      <c r="BU28" s="101">
        <v>0</v>
      </c>
      <c r="BV28" s="101">
        <v>0</v>
      </c>
      <c r="BW28" s="101">
        <v>0</v>
      </c>
      <c r="BX28" s="101">
        <v>0</v>
      </c>
      <c r="BY28" s="101">
        <v>0</v>
      </c>
      <c r="BZ28" s="102">
        <v>1</v>
      </c>
      <c r="CA28" s="100" t="s">
        <v>444</v>
      </c>
      <c r="CB28" s="101">
        <v>5</v>
      </c>
      <c r="CC28" s="101">
        <v>1</v>
      </c>
      <c r="CD28" s="101">
        <v>1</v>
      </c>
      <c r="CE28" s="101">
        <v>0</v>
      </c>
      <c r="CF28" s="101">
        <v>0</v>
      </c>
      <c r="CG28" s="101">
        <v>0</v>
      </c>
      <c r="CH28" s="101">
        <v>0</v>
      </c>
      <c r="CI28" s="101">
        <v>0</v>
      </c>
      <c r="CJ28" s="102">
        <v>1</v>
      </c>
      <c r="CK28" s="100" t="s">
        <v>366</v>
      </c>
      <c r="CL28" s="101">
        <v>4</v>
      </c>
      <c r="CM28" s="101">
        <v>1</v>
      </c>
      <c r="CN28" s="101">
        <v>1</v>
      </c>
      <c r="CO28" s="101">
        <v>2</v>
      </c>
      <c r="CP28" s="101">
        <v>1</v>
      </c>
      <c r="CQ28" s="101">
        <v>0</v>
      </c>
      <c r="CR28" s="101">
        <v>0</v>
      </c>
      <c r="CS28" s="101">
        <v>0</v>
      </c>
      <c r="CT28" s="102">
        <v>1</v>
      </c>
      <c r="CU28" s="100" t="s">
        <v>367</v>
      </c>
      <c r="CV28" s="101">
        <v>3</v>
      </c>
      <c r="CW28" s="101">
        <v>0</v>
      </c>
      <c r="CX28" s="101">
        <v>0</v>
      </c>
      <c r="CY28" s="101">
        <v>1</v>
      </c>
      <c r="CZ28" s="101">
        <v>0</v>
      </c>
      <c r="DA28" s="101">
        <v>0</v>
      </c>
      <c r="DB28" s="101">
        <v>1</v>
      </c>
      <c r="DC28" s="101">
        <v>0</v>
      </c>
      <c r="DD28" s="102">
        <v>0</v>
      </c>
      <c r="DE28" s="100" t="s">
        <v>445</v>
      </c>
      <c r="DF28" s="101">
        <v>4</v>
      </c>
      <c r="DG28" s="101">
        <v>0</v>
      </c>
      <c r="DH28" s="101">
        <v>0</v>
      </c>
      <c r="DI28" s="101">
        <v>1</v>
      </c>
      <c r="DJ28" s="101">
        <v>0</v>
      </c>
      <c r="DK28" s="101">
        <v>0</v>
      </c>
      <c r="DL28" s="101">
        <v>0</v>
      </c>
      <c r="DM28" s="101">
        <v>0</v>
      </c>
      <c r="DN28" s="102">
        <v>0</v>
      </c>
      <c r="DO28" s="100" t="s">
        <v>448</v>
      </c>
      <c r="DP28" s="101">
        <v>4</v>
      </c>
      <c r="DQ28" s="101">
        <v>0</v>
      </c>
      <c r="DR28" s="101">
        <v>2</v>
      </c>
      <c r="DS28" s="101">
        <v>1</v>
      </c>
      <c r="DT28" s="101">
        <v>0</v>
      </c>
      <c r="DU28" s="101">
        <v>0</v>
      </c>
      <c r="DV28" s="101">
        <v>0</v>
      </c>
      <c r="DW28" s="101">
        <v>0</v>
      </c>
      <c r="DX28" s="102">
        <v>2</v>
      </c>
      <c r="DY28" s="103">
        <f>1/3</f>
        <v>0.33333333333333331</v>
      </c>
      <c r="DZ28" s="104">
        <v>0</v>
      </c>
      <c r="EA28" s="104">
        <v>0</v>
      </c>
      <c r="EB28" s="105">
        <f>9+1/3</f>
        <v>9.3333333333333339</v>
      </c>
      <c r="EC28" s="104">
        <v>1</v>
      </c>
      <c r="ED28" s="106">
        <v>1</v>
      </c>
      <c r="EE28" s="107">
        <v>1</v>
      </c>
      <c r="EF28" s="104">
        <v>0</v>
      </c>
      <c r="EG28" s="104">
        <v>0</v>
      </c>
      <c r="EH28" s="104">
        <v>4</v>
      </c>
      <c r="EI28" s="104">
        <v>0</v>
      </c>
      <c r="EJ28" s="104">
        <v>0</v>
      </c>
      <c r="EK28" s="104">
        <v>0</v>
      </c>
      <c r="EL28" s="104">
        <v>0</v>
      </c>
      <c r="EM28" s="104">
        <v>0</v>
      </c>
      <c r="EN28" s="104">
        <v>1</v>
      </c>
      <c r="EO28" s="104"/>
      <c r="EP28" s="104"/>
      <c r="EQ28" s="104"/>
      <c r="ER28" s="104"/>
      <c r="ES28" s="104"/>
      <c r="ET28" s="106">
        <f t="shared" si="0"/>
        <v>6</v>
      </c>
      <c r="EU28" s="104">
        <v>3</v>
      </c>
      <c r="EV28" s="104">
        <v>0</v>
      </c>
      <c r="EW28" s="104">
        <v>0</v>
      </c>
      <c r="EX28" s="104">
        <v>0</v>
      </c>
      <c r="EY28" s="104">
        <v>0</v>
      </c>
      <c r="EZ28" s="104">
        <v>2</v>
      </c>
      <c r="FA28" s="104">
        <v>0</v>
      </c>
      <c r="FB28" s="104">
        <v>0</v>
      </c>
      <c r="FC28" s="104">
        <v>0</v>
      </c>
      <c r="FD28" s="104">
        <v>0</v>
      </c>
      <c r="FE28" s="104"/>
      <c r="FF28" s="104"/>
      <c r="FG28" s="104"/>
      <c r="FH28" s="104"/>
      <c r="FI28" s="104"/>
      <c r="FJ28" s="104">
        <f t="shared" si="1"/>
        <v>5</v>
      </c>
      <c r="FK28" s="108">
        <f t="shared" si="6"/>
        <v>0</v>
      </c>
      <c r="FL28" s="108">
        <f t="shared" si="7"/>
        <v>0</v>
      </c>
      <c r="FM28" s="109"/>
    </row>
    <row r="29" spans="1:169" x14ac:dyDescent="0.25">
      <c r="A29" s="91">
        <v>40303</v>
      </c>
      <c r="B29" s="91" t="s">
        <v>19</v>
      </c>
      <c r="C29" s="91" t="s">
        <v>129</v>
      </c>
      <c r="D29" s="91" t="s">
        <v>451</v>
      </c>
      <c r="E29" s="92">
        <v>7123</v>
      </c>
      <c r="F29" s="93">
        <v>4</v>
      </c>
      <c r="G29" s="94" t="s">
        <v>439</v>
      </c>
      <c r="H29" s="95">
        <v>0</v>
      </c>
      <c r="I29" s="95">
        <v>0</v>
      </c>
      <c r="J29" s="96">
        <f>2+1/3</f>
        <v>2.3333333333333335</v>
      </c>
      <c r="K29" s="95">
        <v>3</v>
      </c>
      <c r="L29" s="95">
        <v>1</v>
      </c>
      <c r="M29" s="95">
        <v>1</v>
      </c>
      <c r="N29" s="95">
        <v>1</v>
      </c>
      <c r="O29" s="95">
        <v>4</v>
      </c>
      <c r="P29" s="95">
        <v>0</v>
      </c>
      <c r="Q29" s="95">
        <v>0</v>
      </c>
      <c r="R29" s="95">
        <v>11</v>
      </c>
      <c r="S29" s="95">
        <v>61</v>
      </c>
      <c r="T29" s="95">
        <v>39</v>
      </c>
      <c r="U29" s="95">
        <v>1</v>
      </c>
      <c r="V29" s="97">
        <v>0</v>
      </c>
      <c r="W29" s="98">
        <v>1</v>
      </c>
      <c r="X29" s="98">
        <v>0</v>
      </c>
      <c r="Y29" s="98">
        <v>0</v>
      </c>
      <c r="Z29" s="98">
        <v>0</v>
      </c>
      <c r="AA29" s="98">
        <v>0</v>
      </c>
      <c r="AB29" s="99">
        <f>6+2/3</f>
        <v>6.666666666666667</v>
      </c>
      <c r="AC29" s="98">
        <v>6</v>
      </c>
      <c r="AD29" s="98">
        <v>0</v>
      </c>
      <c r="AE29" s="98">
        <v>0</v>
      </c>
      <c r="AF29" s="98">
        <v>3</v>
      </c>
      <c r="AG29" s="98">
        <v>10</v>
      </c>
      <c r="AH29" s="98">
        <v>0</v>
      </c>
      <c r="AI29" s="98">
        <v>0</v>
      </c>
      <c r="AJ29" s="98">
        <v>29</v>
      </c>
      <c r="AK29" s="98">
        <v>119</v>
      </c>
      <c r="AL29" s="98">
        <v>67</v>
      </c>
      <c r="AM29" s="100" t="s">
        <v>441</v>
      </c>
      <c r="AN29" s="101">
        <v>3</v>
      </c>
      <c r="AO29" s="101">
        <v>0</v>
      </c>
      <c r="AP29" s="101">
        <v>0</v>
      </c>
      <c r="AQ29" s="101">
        <v>0</v>
      </c>
      <c r="AR29" s="101">
        <v>1</v>
      </c>
      <c r="AS29" s="101">
        <v>0</v>
      </c>
      <c r="AT29" s="101">
        <v>0</v>
      </c>
      <c r="AU29" s="101">
        <v>0</v>
      </c>
      <c r="AV29" s="102">
        <v>0</v>
      </c>
      <c r="AW29" s="100" t="s">
        <v>365</v>
      </c>
      <c r="AX29" s="101">
        <v>3</v>
      </c>
      <c r="AY29" s="101">
        <v>0</v>
      </c>
      <c r="AZ29" s="101">
        <v>2</v>
      </c>
      <c r="BA29" s="101">
        <v>1</v>
      </c>
      <c r="BB29" s="101">
        <v>1</v>
      </c>
      <c r="BC29" s="101">
        <v>0</v>
      </c>
      <c r="BD29" s="101">
        <v>0</v>
      </c>
      <c r="BE29" s="101">
        <v>0</v>
      </c>
      <c r="BF29" s="102">
        <v>3</v>
      </c>
      <c r="BG29" s="100" t="s">
        <v>443</v>
      </c>
      <c r="BH29" s="101">
        <v>4</v>
      </c>
      <c r="BI29" s="101">
        <v>0</v>
      </c>
      <c r="BJ29" s="101">
        <v>0</v>
      </c>
      <c r="BK29" s="101">
        <v>0</v>
      </c>
      <c r="BL29" s="101">
        <v>0</v>
      </c>
      <c r="BM29" s="101">
        <v>0</v>
      </c>
      <c r="BN29" s="101">
        <v>0</v>
      </c>
      <c r="BO29" s="101">
        <v>0</v>
      </c>
      <c r="BP29" s="102">
        <v>0</v>
      </c>
      <c r="BQ29" s="100" t="s">
        <v>366</v>
      </c>
      <c r="BR29" s="101">
        <v>4</v>
      </c>
      <c r="BS29" s="101">
        <v>0</v>
      </c>
      <c r="BT29" s="101">
        <v>1</v>
      </c>
      <c r="BU29" s="101">
        <v>0</v>
      </c>
      <c r="BV29" s="101">
        <v>0</v>
      </c>
      <c r="BW29" s="101">
        <v>1</v>
      </c>
      <c r="BX29" s="101">
        <v>0</v>
      </c>
      <c r="BY29" s="101">
        <v>0</v>
      </c>
      <c r="BZ29" s="102">
        <v>1</v>
      </c>
      <c r="CA29" s="100" t="s">
        <v>444</v>
      </c>
      <c r="CB29" s="101">
        <v>4</v>
      </c>
      <c r="CC29" s="101">
        <v>1</v>
      </c>
      <c r="CD29" s="101">
        <v>1</v>
      </c>
      <c r="CE29" s="101">
        <v>0</v>
      </c>
      <c r="CF29" s="101">
        <v>0</v>
      </c>
      <c r="CG29" s="101">
        <v>1</v>
      </c>
      <c r="CH29" s="101">
        <v>0</v>
      </c>
      <c r="CI29" s="101">
        <v>0</v>
      </c>
      <c r="CJ29" s="102">
        <v>3</v>
      </c>
      <c r="CK29" s="100" t="s">
        <v>367</v>
      </c>
      <c r="CL29" s="101">
        <v>1</v>
      </c>
      <c r="CM29" s="101">
        <v>0</v>
      </c>
      <c r="CN29" s="101">
        <v>0</v>
      </c>
      <c r="CO29" s="101">
        <v>0</v>
      </c>
      <c r="CP29" s="101">
        <v>3</v>
      </c>
      <c r="CQ29" s="101">
        <v>1</v>
      </c>
      <c r="CR29" s="101">
        <v>0</v>
      </c>
      <c r="CS29" s="101">
        <v>0</v>
      </c>
      <c r="CT29" s="102">
        <v>0</v>
      </c>
      <c r="CU29" s="100" t="s">
        <v>364</v>
      </c>
      <c r="CV29" s="101">
        <v>3</v>
      </c>
      <c r="CW29" s="101">
        <v>0</v>
      </c>
      <c r="CX29" s="101">
        <v>1</v>
      </c>
      <c r="CY29" s="101">
        <v>0</v>
      </c>
      <c r="CZ29" s="101">
        <v>0</v>
      </c>
      <c r="DA29" s="101">
        <v>0</v>
      </c>
      <c r="DB29" s="101">
        <v>0</v>
      </c>
      <c r="DC29" s="101">
        <v>0</v>
      </c>
      <c r="DD29" s="102">
        <v>1</v>
      </c>
      <c r="DE29" s="100" t="s">
        <v>449</v>
      </c>
      <c r="DF29" s="101">
        <v>3</v>
      </c>
      <c r="DG29" s="101">
        <v>0</v>
      </c>
      <c r="DH29" s="101">
        <v>0</v>
      </c>
      <c r="DI29" s="101">
        <v>0</v>
      </c>
      <c r="DJ29" s="101">
        <v>0</v>
      </c>
      <c r="DK29" s="101">
        <v>0</v>
      </c>
      <c r="DL29" s="101">
        <v>0</v>
      </c>
      <c r="DM29" s="101">
        <v>0</v>
      </c>
      <c r="DN29" s="102">
        <v>0</v>
      </c>
      <c r="DO29" s="100" t="s">
        <v>448</v>
      </c>
      <c r="DP29" s="101">
        <v>3</v>
      </c>
      <c r="DQ29" s="101">
        <v>1</v>
      </c>
      <c r="DR29" s="101">
        <v>1</v>
      </c>
      <c r="DS29" s="101">
        <v>0</v>
      </c>
      <c r="DT29" s="101">
        <v>0</v>
      </c>
      <c r="DU29" s="101">
        <v>0</v>
      </c>
      <c r="DV29" s="101">
        <v>0</v>
      </c>
      <c r="DW29" s="101">
        <v>0</v>
      </c>
      <c r="DX29" s="102">
        <v>2</v>
      </c>
      <c r="DY29" s="103">
        <v>0</v>
      </c>
      <c r="DZ29" s="104">
        <v>0</v>
      </c>
      <c r="EA29" s="104">
        <v>0</v>
      </c>
      <c r="EB29" s="105">
        <v>8</v>
      </c>
      <c r="EC29" s="104">
        <v>0</v>
      </c>
      <c r="ED29" s="106">
        <v>0</v>
      </c>
      <c r="EE29" s="107">
        <v>0</v>
      </c>
      <c r="EF29" s="104">
        <v>0</v>
      </c>
      <c r="EG29" s="104">
        <v>1</v>
      </c>
      <c r="EH29" s="104">
        <v>0</v>
      </c>
      <c r="EI29" s="104">
        <v>0</v>
      </c>
      <c r="EJ29" s="104">
        <v>0</v>
      </c>
      <c r="EK29" s="104">
        <v>0</v>
      </c>
      <c r="EL29" s="104">
        <v>0</v>
      </c>
      <c r="EM29" s="104">
        <v>1</v>
      </c>
      <c r="EN29" s="104"/>
      <c r="EO29" s="104"/>
      <c r="EP29" s="104"/>
      <c r="EQ29" s="104"/>
      <c r="ER29" s="104"/>
      <c r="ES29" s="104"/>
      <c r="ET29" s="106">
        <f t="shared" si="0"/>
        <v>2</v>
      </c>
      <c r="EU29" s="104">
        <v>0</v>
      </c>
      <c r="EV29" s="104">
        <v>1</v>
      </c>
      <c r="EW29" s="104">
        <v>0</v>
      </c>
      <c r="EX29" s="104">
        <v>0</v>
      </c>
      <c r="EY29" s="104">
        <v>0</v>
      </c>
      <c r="EZ29" s="104">
        <v>0</v>
      </c>
      <c r="FA29" s="104">
        <v>0</v>
      </c>
      <c r="FB29" s="104">
        <v>0</v>
      </c>
      <c r="FC29" s="104">
        <v>0</v>
      </c>
      <c r="FD29" s="104"/>
      <c r="FE29" s="104"/>
      <c r="FF29" s="104"/>
      <c r="FG29" s="104"/>
      <c r="FH29" s="104"/>
      <c r="FI29" s="104"/>
      <c r="FJ29" s="104">
        <f t="shared" si="1"/>
        <v>1</v>
      </c>
      <c r="FK29" s="108">
        <f t="shared" si="6"/>
        <v>0</v>
      </c>
      <c r="FL29" s="108">
        <f t="shared" si="7"/>
        <v>0</v>
      </c>
      <c r="FM29" s="109"/>
    </row>
    <row r="30" spans="1:169" x14ac:dyDescent="0.25">
      <c r="A30" s="91">
        <v>40304</v>
      </c>
      <c r="B30" s="91" t="s">
        <v>19</v>
      </c>
      <c r="C30" s="91" t="s">
        <v>131</v>
      </c>
      <c r="D30" s="91" t="s">
        <v>451</v>
      </c>
      <c r="E30" s="92">
        <v>3989</v>
      </c>
      <c r="F30" s="93">
        <v>1</v>
      </c>
      <c r="G30" s="94" t="s">
        <v>424</v>
      </c>
      <c r="H30" s="95">
        <v>0</v>
      </c>
      <c r="I30" s="95">
        <v>1</v>
      </c>
      <c r="J30" s="96">
        <v>3</v>
      </c>
      <c r="K30" s="95">
        <v>6</v>
      </c>
      <c r="L30" s="95">
        <v>5</v>
      </c>
      <c r="M30" s="95">
        <v>2</v>
      </c>
      <c r="N30" s="95">
        <v>3</v>
      </c>
      <c r="O30" s="95">
        <v>5</v>
      </c>
      <c r="P30" s="95">
        <v>1</v>
      </c>
      <c r="Q30" s="95">
        <v>0</v>
      </c>
      <c r="R30" s="95">
        <v>18</v>
      </c>
      <c r="S30" s="95">
        <v>76</v>
      </c>
      <c r="T30" s="95">
        <v>41</v>
      </c>
      <c r="U30" s="95">
        <v>0</v>
      </c>
      <c r="V30" s="97">
        <v>0</v>
      </c>
      <c r="W30" s="98">
        <v>0</v>
      </c>
      <c r="X30" s="98">
        <v>0</v>
      </c>
      <c r="Y30" s="98">
        <v>0</v>
      </c>
      <c r="Z30" s="98">
        <v>0</v>
      </c>
      <c r="AA30" s="98">
        <v>0</v>
      </c>
      <c r="AB30" s="99">
        <v>6</v>
      </c>
      <c r="AC30" s="98">
        <v>8</v>
      </c>
      <c r="AD30" s="98">
        <v>4</v>
      </c>
      <c r="AE30" s="98">
        <v>4</v>
      </c>
      <c r="AF30" s="98">
        <v>0</v>
      </c>
      <c r="AG30" s="98">
        <v>4</v>
      </c>
      <c r="AH30" s="98">
        <v>2</v>
      </c>
      <c r="AI30" s="98">
        <v>0</v>
      </c>
      <c r="AJ30" s="98">
        <v>27</v>
      </c>
      <c r="AK30" s="98">
        <v>107</v>
      </c>
      <c r="AL30" s="98">
        <v>69</v>
      </c>
      <c r="AM30" s="100" t="s">
        <v>441</v>
      </c>
      <c r="AN30" s="101">
        <v>4</v>
      </c>
      <c r="AO30" s="101">
        <v>0</v>
      </c>
      <c r="AP30" s="101">
        <v>0</v>
      </c>
      <c r="AQ30" s="101">
        <v>0</v>
      </c>
      <c r="AR30" s="101">
        <v>0</v>
      </c>
      <c r="AS30" s="101">
        <v>0</v>
      </c>
      <c r="AT30" s="101">
        <v>0</v>
      </c>
      <c r="AU30" s="101">
        <v>0</v>
      </c>
      <c r="AV30" s="102">
        <v>0</v>
      </c>
      <c r="AW30" s="100" t="s">
        <v>365</v>
      </c>
      <c r="AX30" s="101">
        <v>4</v>
      </c>
      <c r="AY30" s="101">
        <v>1</v>
      </c>
      <c r="AZ30" s="101">
        <v>1</v>
      </c>
      <c r="BA30" s="101">
        <v>0</v>
      </c>
      <c r="BB30" s="101">
        <v>0</v>
      </c>
      <c r="BC30" s="101">
        <v>0</v>
      </c>
      <c r="BD30" s="101">
        <v>0</v>
      </c>
      <c r="BE30" s="101">
        <v>0</v>
      </c>
      <c r="BF30" s="102">
        <v>2</v>
      </c>
      <c r="BG30" s="100" t="s">
        <v>443</v>
      </c>
      <c r="BH30" s="101">
        <v>2</v>
      </c>
      <c r="BI30" s="101">
        <v>1</v>
      </c>
      <c r="BJ30" s="101">
        <v>1</v>
      </c>
      <c r="BK30" s="101">
        <v>0</v>
      </c>
      <c r="BL30" s="101">
        <v>2</v>
      </c>
      <c r="BM30" s="101">
        <v>0</v>
      </c>
      <c r="BN30" s="101">
        <v>0</v>
      </c>
      <c r="BO30" s="101">
        <v>0</v>
      </c>
      <c r="BP30" s="102">
        <v>1</v>
      </c>
      <c r="BQ30" s="100" t="s">
        <v>446</v>
      </c>
      <c r="BR30" s="101">
        <v>3</v>
      </c>
      <c r="BS30" s="101">
        <v>1</v>
      </c>
      <c r="BT30" s="101">
        <v>0</v>
      </c>
      <c r="BU30" s="101">
        <v>0</v>
      </c>
      <c r="BV30" s="101">
        <v>1</v>
      </c>
      <c r="BW30" s="101">
        <v>1</v>
      </c>
      <c r="BX30" s="101">
        <v>0</v>
      </c>
      <c r="BY30" s="101">
        <v>0</v>
      </c>
      <c r="BZ30" s="102">
        <v>0</v>
      </c>
      <c r="CA30" s="100" t="s">
        <v>444</v>
      </c>
      <c r="CB30" s="101">
        <v>4</v>
      </c>
      <c r="CC30" s="101">
        <v>0</v>
      </c>
      <c r="CD30" s="101">
        <v>0</v>
      </c>
      <c r="CE30" s="101">
        <v>0</v>
      </c>
      <c r="CF30" s="101">
        <v>0</v>
      </c>
      <c r="CG30" s="101">
        <v>2</v>
      </c>
      <c r="CH30" s="101">
        <v>0</v>
      </c>
      <c r="CI30" s="101">
        <v>0</v>
      </c>
      <c r="CJ30" s="102">
        <v>0</v>
      </c>
      <c r="CK30" s="100" t="s">
        <v>366</v>
      </c>
      <c r="CL30" s="101">
        <v>4</v>
      </c>
      <c r="CM30" s="101">
        <v>0</v>
      </c>
      <c r="CN30" s="101">
        <v>1</v>
      </c>
      <c r="CO30" s="101">
        <v>1</v>
      </c>
      <c r="CP30" s="101">
        <v>0</v>
      </c>
      <c r="CQ30" s="101">
        <v>1</v>
      </c>
      <c r="CR30" s="101">
        <v>0</v>
      </c>
      <c r="CS30" s="101">
        <v>0</v>
      </c>
      <c r="CT30" s="102">
        <v>1</v>
      </c>
      <c r="CU30" s="100" t="s">
        <v>367</v>
      </c>
      <c r="CV30" s="101">
        <v>3</v>
      </c>
      <c r="CW30" s="101">
        <v>0</v>
      </c>
      <c r="CX30" s="101">
        <v>1</v>
      </c>
      <c r="CY30" s="101">
        <v>1</v>
      </c>
      <c r="CZ30" s="101">
        <v>1</v>
      </c>
      <c r="DA30" s="101">
        <v>0</v>
      </c>
      <c r="DB30" s="101">
        <v>0</v>
      </c>
      <c r="DC30" s="101">
        <v>0</v>
      </c>
      <c r="DD30" s="102">
        <v>2</v>
      </c>
      <c r="DE30" s="100" t="s">
        <v>445</v>
      </c>
      <c r="DF30" s="101">
        <v>3</v>
      </c>
      <c r="DG30" s="101">
        <v>0</v>
      </c>
      <c r="DH30" s="101">
        <v>0</v>
      </c>
      <c r="DI30" s="101">
        <v>0</v>
      </c>
      <c r="DJ30" s="101">
        <v>1</v>
      </c>
      <c r="DK30" s="101">
        <v>1</v>
      </c>
      <c r="DL30" s="101">
        <v>0</v>
      </c>
      <c r="DM30" s="101">
        <v>0</v>
      </c>
      <c r="DN30" s="102">
        <v>0</v>
      </c>
      <c r="DO30" s="100" t="s">
        <v>448</v>
      </c>
      <c r="DP30" s="101">
        <v>4</v>
      </c>
      <c r="DQ30" s="101">
        <v>0</v>
      </c>
      <c r="DR30" s="101">
        <v>2</v>
      </c>
      <c r="DS30" s="101">
        <v>0</v>
      </c>
      <c r="DT30" s="101">
        <v>0</v>
      </c>
      <c r="DU30" s="101">
        <v>0</v>
      </c>
      <c r="DV30" s="101">
        <v>0</v>
      </c>
      <c r="DW30" s="101">
        <v>0</v>
      </c>
      <c r="DX30" s="102">
        <v>2</v>
      </c>
      <c r="DY30" s="103">
        <v>1</v>
      </c>
      <c r="DZ30" s="104">
        <v>0</v>
      </c>
      <c r="EA30" s="104">
        <v>0</v>
      </c>
      <c r="EB30" s="105">
        <v>8</v>
      </c>
      <c r="EC30" s="104">
        <v>0</v>
      </c>
      <c r="ED30" s="106">
        <v>0</v>
      </c>
      <c r="EE30" s="107">
        <v>1</v>
      </c>
      <c r="EF30" s="104">
        <v>0</v>
      </c>
      <c r="EG30" s="104">
        <v>0</v>
      </c>
      <c r="EH30" s="104">
        <v>2</v>
      </c>
      <c r="EI30" s="104">
        <v>0</v>
      </c>
      <c r="EJ30" s="104">
        <v>0</v>
      </c>
      <c r="EK30" s="104">
        <v>0</v>
      </c>
      <c r="EL30" s="104">
        <v>0</v>
      </c>
      <c r="EM30" s="104">
        <v>0</v>
      </c>
      <c r="EN30" s="104"/>
      <c r="EO30" s="104"/>
      <c r="EP30" s="104"/>
      <c r="EQ30" s="104"/>
      <c r="ER30" s="104"/>
      <c r="ES30" s="104"/>
      <c r="ET30" s="106">
        <f t="shared" si="0"/>
        <v>3</v>
      </c>
      <c r="EU30" s="104">
        <v>0</v>
      </c>
      <c r="EV30" s="104">
        <v>0</v>
      </c>
      <c r="EW30" s="104">
        <v>5</v>
      </c>
      <c r="EX30" s="104">
        <v>0</v>
      </c>
      <c r="EY30" s="104">
        <v>1</v>
      </c>
      <c r="EZ30" s="104">
        <v>2</v>
      </c>
      <c r="FA30" s="104">
        <v>1</v>
      </c>
      <c r="FB30" s="104">
        <v>0</v>
      </c>
      <c r="FC30" s="104">
        <v>0</v>
      </c>
      <c r="FD30" s="104"/>
      <c r="FE30" s="104"/>
      <c r="FF30" s="104"/>
      <c r="FG30" s="104"/>
      <c r="FH30" s="104"/>
      <c r="FI30" s="104"/>
      <c r="FJ30" s="104">
        <f t="shared" si="1"/>
        <v>9</v>
      </c>
      <c r="FK30" s="108">
        <f t="shared" si="6"/>
        <v>0</v>
      </c>
      <c r="FL30" s="108">
        <f t="shared" si="7"/>
        <v>0</v>
      </c>
      <c r="FM30" s="109"/>
    </row>
    <row r="31" spans="1:169" x14ac:dyDescent="0.25">
      <c r="A31" s="91">
        <v>40305</v>
      </c>
      <c r="B31" s="91" t="s">
        <v>19</v>
      </c>
      <c r="C31" s="91" t="s">
        <v>131</v>
      </c>
      <c r="D31" s="91" t="s">
        <v>451</v>
      </c>
      <c r="E31" s="92">
        <v>6003</v>
      </c>
      <c r="F31" s="58" t="s">
        <v>523</v>
      </c>
      <c r="G31" s="94" t="s">
        <v>440</v>
      </c>
      <c r="H31" s="95">
        <v>0</v>
      </c>
      <c r="I31" s="95">
        <v>1</v>
      </c>
      <c r="J31" s="96">
        <v>4</v>
      </c>
      <c r="K31" s="95">
        <v>8</v>
      </c>
      <c r="L31" s="95">
        <v>6</v>
      </c>
      <c r="M31" s="95">
        <v>6</v>
      </c>
      <c r="N31" s="95">
        <v>0</v>
      </c>
      <c r="O31" s="95">
        <v>0</v>
      </c>
      <c r="P31" s="95">
        <v>1</v>
      </c>
      <c r="Q31" s="95">
        <v>1</v>
      </c>
      <c r="R31" s="95">
        <v>21</v>
      </c>
      <c r="S31" s="95">
        <v>59</v>
      </c>
      <c r="T31" s="95">
        <v>41</v>
      </c>
      <c r="U31" s="95">
        <v>0</v>
      </c>
      <c r="V31" s="97">
        <v>0</v>
      </c>
      <c r="W31" s="98">
        <v>0</v>
      </c>
      <c r="X31" s="98">
        <v>0</v>
      </c>
      <c r="Y31" s="98">
        <v>0</v>
      </c>
      <c r="Z31" s="98">
        <v>0</v>
      </c>
      <c r="AA31" s="98">
        <v>0</v>
      </c>
      <c r="AB31" s="99">
        <v>5</v>
      </c>
      <c r="AC31" s="98">
        <v>11</v>
      </c>
      <c r="AD31" s="98">
        <v>7</v>
      </c>
      <c r="AE31" s="98">
        <v>7</v>
      </c>
      <c r="AF31" s="98">
        <v>3</v>
      </c>
      <c r="AG31" s="98">
        <v>4</v>
      </c>
      <c r="AH31" s="98">
        <v>1</v>
      </c>
      <c r="AI31" s="98">
        <v>0</v>
      </c>
      <c r="AJ31" s="98">
        <v>28</v>
      </c>
      <c r="AK31" s="98">
        <v>116</v>
      </c>
      <c r="AL31" s="98">
        <v>64</v>
      </c>
      <c r="AM31" s="100" t="s">
        <v>441</v>
      </c>
      <c r="AN31" s="101">
        <v>3</v>
      </c>
      <c r="AO31" s="101">
        <v>0</v>
      </c>
      <c r="AP31" s="101">
        <v>1</v>
      </c>
      <c r="AQ31" s="101">
        <v>0</v>
      </c>
      <c r="AR31" s="101">
        <v>1</v>
      </c>
      <c r="AS31" s="101">
        <v>0</v>
      </c>
      <c r="AT31" s="101">
        <v>0</v>
      </c>
      <c r="AU31" s="101">
        <v>0</v>
      </c>
      <c r="AV31" s="102">
        <v>1</v>
      </c>
      <c r="AW31" s="100" t="s">
        <v>365</v>
      </c>
      <c r="AX31" s="101">
        <v>3</v>
      </c>
      <c r="AY31" s="101">
        <v>1</v>
      </c>
      <c r="AZ31" s="101">
        <v>1</v>
      </c>
      <c r="BA31" s="101">
        <v>1</v>
      </c>
      <c r="BB31" s="101">
        <v>1</v>
      </c>
      <c r="BC31" s="101">
        <v>0</v>
      </c>
      <c r="BD31" s="101">
        <v>0</v>
      </c>
      <c r="BE31" s="101">
        <v>0</v>
      </c>
      <c r="BF31" s="102">
        <v>4</v>
      </c>
      <c r="BG31" s="100" t="s">
        <v>443</v>
      </c>
      <c r="BH31" s="101">
        <v>3</v>
      </c>
      <c r="BI31" s="101">
        <v>0</v>
      </c>
      <c r="BJ31" s="101">
        <v>0</v>
      </c>
      <c r="BK31" s="101">
        <v>0</v>
      </c>
      <c r="BL31" s="101">
        <v>1</v>
      </c>
      <c r="BM31" s="101">
        <v>1</v>
      </c>
      <c r="BN31" s="101">
        <v>0</v>
      </c>
      <c r="BO31" s="101">
        <v>0</v>
      </c>
      <c r="BP31" s="102">
        <v>0</v>
      </c>
      <c r="BQ31" s="100" t="s">
        <v>446</v>
      </c>
      <c r="BR31" s="101">
        <v>3</v>
      </c>
      <c r="BS31" s="101">
        <v>0</v>
      </c>
      <c r="BT31" s="101">
        <v>0</v>
      </c>
      <c r="BU31" s="101">
        <v>0</v>
      </c>
      <c r="BV31" s="101">
        <v>1</v>
      </c>
      <c r="BW31" s="101">
        <v>0</v>
      </c>
      <c r="BX31" s="101">
        <v>0</v>
      </c>
      <c r="BY31" s="101">
        <v>0</v>
      </c>
      <c r="BZ31" s="102">
        <v>0</v>
      </c>
      <c r="CA31" s="100" t="s">
        <v>366</v>
      </c>
      <c r="CB31" s="101">
        <v>3</v>
      </c>
      <c r="CC31" s="101">
        <v>0</v>
      </c>
      <c r="CD31" s="101">
        <v>0</v>
      </c>
      <c r="CE31" s="101">
        <v>0</v>
      </c>
      <c r="CF31" s="101">
        <v>1</v>
      </c>
      <c r="CG31" s="101">
        <v>1</v>
      </c>
      <c r="CH31" s="101">
        <v>0</v>
      </c>
      <c r="CI31" s="101">
        <v>0</v>
      </c>
      <c r="CJ31" s="102">
        <v>0</v>
      </c>
      <c r="CK31" s="100" t="s">
        <v>367</v>
      </c>
      <c r="CL31" s="101">
        <v>4</v>
      </c>
      <c r="CM31" s="101">
        <v>0</v>
      </c>
      <c r="CN31" s="101">
        <v>0</v>
      </c>
      <c r="CO31" s="101">
        <v>0</v>
      </c>
      <c r="CP31" s="101">
        <v>0</v>
      </c>
      <c r="CQ31" s="101">
        <v>1</v>
      </c>
      <c r="CR31" s="101">
        <v>0</v>
      </c>
      <c r="CS31" s="101">
        <v>0</v>
      </c>
      <c r="CT31" s="102">
        <v>0</v>
      </c>
      <c r="CU31" s="100" t="s">
        <v>364</v>
      </c>
      <c r="CV31" s="101">
        <v>4</v>
      </c>
      <c r="CW31" s="101">
        <v>0</v>
      </c>
      <c r="CX31" s="101">
        <v>0</v>
      </c>
      <c r="CY31" s="101">
        <v>0</v>
      </c>
      <c r="CZ31" s="101">
        <v>0</v>
      </c>
      <c r="DA31" s="101">
        <v>0</v>
      </c>
      <c r="DB31" s="101">
        <v>0</v>
      </c>
      <c r="DC31" s="101">
        <v>0</v>
      </c>
      <c r="DD31" s="102">
        <v>0</v>
      </c>
      <c r="DE31" s="100" t="s">
        <v>445</v>
      </c>
      <c r="DF31" s="101">
        <v>4</v>
      </c>
      <c r="DG31" s="101">
        <v>0</v>
      </c>
      <c r="DH31" s="101">
        <v>0</v>
      </c>
      <c r="DI31" s="101">
        <v>0</v>
      </c>
      <c r="DJ31" s="101">
        <v>0</v>
      </c>
      <c r="DK31" s="101">
        <v>1</v>
      </c>
      <c r="DL31" s="101">
        <v>0</v>
      </c>
      <c r="DM31" s="101">
        <v>0</v>
      </c>
      <c r="DN31" s="102">
        <v>0</v>
      </c>
      <c r="DO31" s="100" t="s">
        <v>448</v>
      </c>
      <c r="DP31" s="101">
        <v>3</v>
      </c>
      <c r="DQ31" s="101">
        <v>0</v>
      </c>
      <c r="DR31" s="101">
        <v>1</v>
      </c>
      <c r="DS31" s="101">
        <v>0</v>
      </c>
      <c r="DT31" s="101">
        <v>0</v>
      </c>
      <c r="DU31" s="101">
        <v>1</v>
      </c>
      <c r="DV31" s="101">
        <v>0</v>
      </c>
      <c r="DW31" s="101">
        <v>0</v>
      </c>
      <c r="DX31" s="102">
        <v>1</v>
      </c>
      <c r="DY31" s="103">
        <v>2</v>
      </c>
      <c r="DZ31" s="104">
        <v>0</v>
      </c>
      <c r="EA31" s="104">
        <v>0</v>
      </c>
      <c r="EB31" s="105">
        <v>7</v>
      </c>
      <c r="EC31" s="104">
        <v>0</v>
      </c>
      <c r="ED31" s="106">
        <v>0</v>
      </c>
      <c r="EE31" s="107">
        <v>0</v>
      </c>
      <c r="EF31" s="104">
        <v>0</v>
      </c>
      <c r="EG31" s="104">
        <v>0</v>
      </c>
      <c r="EH31" s="104">
        <v>1</v>
      </c>
      <c r="EI31" s="104">
        <v>0</v>
      </c>
      <c r="EJ31" s="104">
        <v>0</v>
      </c>
      <c r="EK31" s="104">
        <v>0</v>
      </c>
      <c r="EL31" s="104">
        <v>0</v>
      </c>
      <c r="EM31" s="104">
        <v>0</v>
      </c>
      <c r="EN31" s="104"/>
      <c r="EO31" s="104"/>
      <c r="EP31" s="104"/>
      <c r="EQ31" s="104"/>
      <c r="ER31" s="104"/>
      <c r="ES31" s="104"/>
      <c r="ET31" s="106">
        <f t="shared" si="0"/>
        <v>1</v>
      </c>
      <c r="EU31" s="104">
        <v>1</v>
      </c>
      <c r="EV31" s="104">
        <v>0</v>
      </c>
      <c r="EW31" s="104">
        <v>1</v>
      </c>
      <c r="EX31" s="104">
        <v>4</v>
      </c>
      <c r="EY31" s="104">
        <v>0</v>
      </c>
      <c r="EZ31" s="104">
        <v>0</v>
      </c>
      <c r="FA31" s="104">
        <v>4</v>
      </c>
      <c r="FB31" s="104">
        <v>1</v>
      </c>
      <c r="FC31" s="104">
        <v>2</v>
      </c>
      <c r="FD31" s="104"/>
      <c r="FE31" s="104"/>
      <c r="FF31" s="104"/>
      <c r="FG31" s="104"/>
      <c r="FH31" s="104"/>
      <c r="FI31" s="104"/>
      <c r="FJ31" s="104">
        <f t="shared" si="1"/>
        <v>13</v>
      </c>
      <c r="FK31" s="108">
        <f t="shared" si="6"/>
        <v>0</v>
      </c>
      <c r="FL31" s="108">
        <f t="shared" si="7"/>
        <v>0</v>
      </c>
      <c r="FM31" s="109"/>
    </row>
    <row r="32" spans="1:169" x14ac:dyDescent="0.25">
      <c r="A32" s="91">
        <v>40306</v>
      </c>
      <c r="B32" s="91" t="s">
        <v>19</v>
      </c>
      <c r="C32" s="91" t="s">
        <v>131</v>
      </c>
      <c r="D32" s="91" t="s">
        <v>451</v>
      </c>
      <c r="E32" s="92">
        <v>7223</v>
      </c>
      <c r="F32" s="93">
        <v>2</v>
      </c>
      <c r="G32" s="94" t="s">
        <v>438</v>
      </c>
      <c r="H32" s="95">
        <v>0</v>
      </c>
      <c r="I32" s="95">
        <v>1</v>
      </c>
      <c r="J32" s="96">
        <v>5</v>
      </c>
      <c r="K32" s="95">
        <v>6</v>
      </c>
      <c r="L32" s="95">
        <v>2</v>
      </c>
      <c r="M32" s="95">
        <v>2</v>
      </c>
      <c r="N32" s="95">
        <v>4</v>
      </c>
      <c r="O32" s="95">
        <v>2</v>
      </c>
      <c r="P32" s="95">
        <v>0</v>
      </c>
      <c r="Q32" s="95">
        <v>0</v>
      </c>
      <c r="R32" s="95">
        <v>23</v>
      </c>
      <c r="S32" s="95">
        <v>86</v>
      </c>
      <c r="T32" s="95">
        <v>47</v>
      </c>
      <c r="U32" s="95">
        <v>0</v>
      </c>
      <c r="V32" s="97">
        <v>0</v>
      </c>
      <c r="W32" s="98">
        <v>0</v>
      </c>
      <c r="X32" s="98">
        <v>0</v>
      </c>
      <c r="Y32" s="98">
        <v>0</v>
      </c>
      <c r="Z32" s="98">
        <v>0</v>
      </c>
      <c r="AA32" s="98">
        <v>0</v>
      </c>
      <c r="AB32" s="99">
        <v>4</v>
      </c>
      <c r="AC32" s="98">
        <v>6</v>
      </c>
      <c r="AD32" s="98">
        <v>5</v>
      </c>
      <c r="AE32" s="98">
        <v>4</v>
      </c>
      <c r="AF32" s="98">
        <v>2</v>
      </c>
      <c r="AG32" s="98">
        <v>3</v>
      </c>
      <c r="AH32" s="98">
        <v>3</v>
      </c>
      <c r="AI32" s="98">
        <v>0</v>
      </c>
      <c r="AJ32" s="98">
        <v>21</v>
      </c>
      <c r="AK32" s="98">
        <v>75</v>
      </c>
      <c r="AL32" s="98">
        <v>46</v>
      </c>
      <c r="AM32" s="100" t="s">
        <v>441</v>
      </c>
      <c r="AN32" s="101">
        <v>4</v>
      </c>
      <c r="AO32" s="101">
        <v>0</v>
      </c>
      <c r="AP32" s="101">
        <v>1</v>
      </c>
      <c r="AQ32" s="101">
        <v>0</v>
      </c>
      <c r="AR32" s="101">
        <v>0</v>
      </c>
      <c r="AS32" s="101">
        <v>0</v>
      </c>
      <c r="AT32" s="101">
        <v>0</v>
      </c>
      <c r="AU32" s="101">
        <v>0</v>
      </c>
      <c r="AV32" s="102">
        <v>1</v>
      </c>
      <c r="AW32" s="100" t="s">
        <v>365</v>
      </c>
      <c r="AX32" s="101">
        <v>3</v>
      </c>
      <c r="AY32" s="101">
        <v>0</v>
      </c>
      <c r="AZ32" s="101">
        <v>0</v>
      </c>
      <c r="BA32" s="101">
        <v>0</v>
      </c>
      <c r="BB32" s="101">
        <v>0</v>
      </c>
      <c r="BC32" s="101">
        <v>1</v>
      </c>
      <c r="BD32" s="101">
        <v>0</v>
      </c>
      <c r="BE32" s="101">
        <v>0</v>
      </c>
      <c r="BF32" s="102">
        <v>0</v>
      </c>
      <c r="BG32" s="100" t="s">
        <v>443</v>
      </c>
      <c r="BH32" s="101">
        <v>3</v>
      </c>
      <c r="BI32" s="101">
        <v>0</v>
      </c>
      <c r="BJ32" s="101">
        <v>0</v>
      </c>
      <c r="BK32" s="101">
        <v>0</v>
      </c>
      <c r="BL32" s="101">
        <v>1</v>
      </c>
      <c r="BM32" s="101">
        <v>1</v>
      </c>
      <c r="BN32" s="101">
        <v>0</v>
      </c>
      <c r="BO32" s="101">
        <v>0</v>
      </c>
      <c r="BP32" s="102">
        <v>0</v>
      </c>
      <c r="BQ32" s="100" t="s">
        <v>446</v>
      </c>
      <c r="BR32" s="101">
        <v>3</v>
      </c>
      <c r="BS32" s="101">
        <v>0</v>
      </c>
      <c r="BT32" s="101">
        <v>2</v>
      </c>
      <c r="BU32" s="101">
        <v>0</v>
      </c>
      <c r="BV32" s="101">
        <v>1</v>
      </c>
      <c r="BW32" s="101">
        <v>0</v>
      </c>
      <c r="BX32" s="101">
        <v>0</v>
      </c>
      <c r="BY32" s="101">
        <v>0</v>
      </c>
      <c r="BZ32" s="102">
        <v>3</v>
      </c>
      <c r="CA32" s="100" t="s">
        <v>366</v>
      </c>
      <c r="CB32" s="101">
        <v>4</v>
      </c>
      <c r="CC32" s="101">
        <v>0</v>
      </c>
      <c r="CD32" s="101">
        <v>0</v>
      </c>
      <c r="CE32" s="101">
        <v>0</v>
      </c>
      <c r="CF32" s="101">
        <v>0</v>
      </c>
      <c r="CG32" s="101">
        <v>1</v>
      </c>
      <c r="CH32" s="101">
        <v>0</v>
      </c>
      <c r="CI32" s="101">
        <v>0</v>
      </c>
      <c r="CJ32" s="102">
        <v>0</v>
      </c>
      <c r="CK32" s="100" t="s">
        <v>367</v>
      </c>
      <c r="CL32" s="101">
        <v>4</v>
      </c>
      <c r="CM32" s="101">
        <v>1</v>
      </c>
      <c r="CN32" s="101">
        <v>2</v>
      </c>
      <c r="CO32" s="101">
        <v>0</v>
      </c>
      <c r="CP32" s="101">
        <v>0</v>
      </c>
      <c r="CQ32" s="101">
        <v>0</v>
      </c>
      <c r="CR32" s="101">
        <v>0</v>
      </c>
      <c r="CS32" s="101">
        <v>0</v>
      </c>
      <c r="CT32" s="102">
        <v>2</v>
      </c>
      <c r="CU32" s="100" t="s">
        <v>364</v>
      </c>
      <c r="CV32" s="101">
        <v>3</v>
      </c>
      <c r="CW32" s="101">
        <v>1</v>
      </c>
      <c r="CX32" s="101">
        <v>2</v>
      </c>
      <c r="CY32" s="101">
        <v>0</v>
      </c>
      <c r="CZ32" s="101">
        <v>1</v>
      </c>
      <c r="DA32" s="101">
        <v>0</v>
      </c>
      <c r="DB32" s="101">
        <v>0</v>
      </c>
      <c r="DC32" s="101">
        <v>0</v>
      </c>
      <c r="DD32" s="102">
        <v>4</v>
      </c>
      <c r="DE32" s="100" t="s">
        <v>445</v>
      </c>
      <c r="DF32" s="101">
        <v>2</v>
      </c>
      <c r="DG32" s="101">
        <v>0</v>
      </c>
      <c r="DH32" s="101">
        <v>0</v>
      </c>
      <c r="DI32" s="101">
        <v>0</v>
      </c>
      <c r="DJ32" s="101">
        <v>0</v>
      </c>
      <c r="DK32" s="101">
        <v>0</v>
      </c>
      <c r="DL32" s="101">
        <v>1</v>
      </c>
      <c r="DM32" s="101">
        <v>0</v>
      </c>
      <c r="DN32" s="102">
        <v>0</v>
      </c>
      <c r="DO32" s="100" t="s">
        <v>448</v>
      </c>
      <c r="DP32" s="101">
        <v>2</v>
      </c>
      <c r="DQ32" s="101">
        <v>0</v>
      </c>
      <c r="DR32" s="101">
        <v>1</v>
      </c>
      <c r="DS32" s="101">
        <v>2</v>
      </c>
      <c r="DT32" s="101">
        <v>0</v>
      </c>
      <c r="DU32" s="101">
        <v>1</v>
      </c>
      <c r="DV32" s="101">
        <v>0</v>
      </c>
      <c r="DW32" s="101">
        <v>2</v>
      </c>
      <c r="DX32" s="102">
        <v>1</v>
      </c>
      <c r="DY32" s="103">
        <v>1</v>
      </c>
      <c r="DZ32" s="104">
        <v>0</v>
      </c>
      <c r="EA32" s="104">
        <v>0</v>
      </c>
      <c r="EB32" s="105">
        <v>8</v>
      </c>
      <c r="EC32" s="104">
        <v>0</v>
      </c>
      <c r="ED32" s="106">
        <v>2</v>
      </c>
      <c r="EE32" s="107">
        <v>0</v>
      </c>
      <c r="EF32" s="104">
        <v>0</v>
      </c>
      <c r="EG32" s="104">
        <v>1</v>
      </c>
      <c r="EH32" s="104">
        <v>0</v>
      </c>
      <c r="EI32" s="104">
        <v>0</v>
      </c>
      <c r="EJ32" s="104">
        <v>0</v>
      </c>
      <c r="EK32" s="104">
        <v>1</v>
      </c>
      <c r="EL32" s="104">
        <v>0</v>
      </c>
      <c r="EM32" s="104">
        <v>0</v>
      </c>
      <c r="EN32" s="104"/>
      <c r="EO32" s="104"/>
      <c r="EP32" s="104"/>
      <c r="EQ32" s="104"/>
      <c r="ER32" s="104"/>
      <c r="ES32" s="104"/>
      <c r="ET32" s="106">
        <f t="shared" si="0"/>
        <v>2</v>
      </c>
      <c r="EU32" s="104">
        <v>2</v>
      </c>
      <c r="EV32" s="104">
        <v>0</v>
      </c>
      <c r="EW32" s="104">
        <v>0</v>
      </c>
      <c r="EX32" s="104">
        <v>0</v>
      </c>
      <c r="EY32" s="104">
        <v>0</v>
      </c>
      <c r="EZ32" s="104">
        <v>0</v>
      </c>
      <c r="FA32" s="104">
        <v>1</v>
      </c>
      <c r="FB32" s="104">
        <v>1</v>
      </c>
      <c r="FC32" s="104">
        <v>3</v>
      </c>
      <c r="FD32" s="104"/>
      <c r="FE32" s="104"/>
      <c r="FF32" s="104"/>
      <c r="FG32" s="104"/>
      <c r="FH32" s="104"/>
      <c r="FI32" s="104"/>
      <c r="FJ32" s="104">
        <f t="shared" si="1"/>
        <v>7</v>
      </c>
      <c r="FK32" s="108">
        <f t="shared" si="6"/>
        <v>0</v>
      </c>
      <c r="FL32" s="108">
        <f t="shared" si="7"/>
        <v>0</v>
      </c>
      <c r="FM32" s="109"/>
    </row>
    <row r="33" spans="1:169" x14ac:dyDescent="0.25">
      <c r="A33" s="91">
        <v>40308</v>
      </c>
      <c r="B33" s="91" t="s">
        <v>19</v>
      </c>
      <c r="C33" s="91" t="s">
        <v>129</v>
      </c>
      <c r="D33" s="91" t="s">
        <v>452</v>
      </c>
      <c r="E33" s="92">
        <v>1734</v>
      </c>
      <c r="F33" s="93">
        <v>3</v>
      </c>
      <c r="G33" s="94" t="s">
        <v>368</v>
      </c>
      <c r="H33" s="95">
        <v>0</v>
      </c>
      <c r="I33" s="95">
        <v>0</v>
      </c>
      <c r="J33" s="96">
        <v>6</v>
      </c>
      <c r="K33" s="95">
        <v>4</v>
      </c>
      <c r="L33" s="95">
        <v>1</v>
      </c>
      <c r="M33" s="95">
        <v>1</v>
      </c>
      <c r="N33" s="95">
        <v>0</v>
      </c>
      <c r="O33" s="95">
        <v>6</v>
      </c>
      <c r="P33" s="95">
        <v>0</v>
      </c>
      <c r="Q33" s="95">
        <v>0</v>
      </c>
      <c r="R33" s="95">
        <v>21</v>
      </c>
      <c r="S33" s="95">
        <v>83</v>
      </c>
      <c r="T33" s="95">
        <v>56</v>
      </c>
      <c r="U33" s="95">
        <v>0</v>
      </c>
      <c r="V33" s="97">
        <v>0</v>
      </c>
      <c r="W33" s="98">
        <v>1</v>
      </c>
      <c r="X33" s="98">
        <v>0</v>
      </c>
      <c r="Y33" s="98">
        <v>0</v>
      </c>
      <c r="Z33" s="98">
        <v>1</v>
      </c>
      <c r="AA33" s="98">
        <v>1</v>
      </c>
      <c r="AB33" s="99">
        <v>3</v>
      </c>
      <c r="AC33" s="98">
        <v>4</v>
      </c>
      <c r="AD33" s="98">
        <v>1</v>
      </c>
      <c r="AE33" s="98">
        <v>1</v>
      </c>
      <c r="AF33" s="98">
        <v>2</v>
      </c>
      <c r="AG33" s="98">
        <v>1</v>
      </c>
      <c r="AH33" s="98">
        <v>0</v>
      </c>
      <c r="AI33" s="98">
        <v>0</v>
      </c>
      <c r="AJ33" s="98">
        <v>14</v>
      </c>
      <c r="AK33" s="98">
        <v>47</v>
      </c>
      <c r="AL33" s="98">
        <v>30</v>
      </c>
      <c r="AM33" s="100" t="s">
        <v>441</v>
      </c>
      <c r="AN33" s="101">
        <v>4</v>
      </c>
      <c r="AO33" s="101">
        <v>0</v>
      </c>
      <c r="AP33" s="101">
        <v>1</v>
      </c>
      <c r="AQ33" s="101">
        <v>1</v>
      </c>
      <c r="AR33" s="101">
        <v>0</v>
      </c>
      <c r="AS33" s="101">
        <v>0</v>
      </c>
      <c r="AT33" s="101">
        <v>0</v>
      </c>
      <c r="AU33" s="101">
        <v>0</v>
      </c>
      <c r="AV33" s="102">
        <v>1</v>
      </c>
      <c r="AW33" s="100" t="s">
        <v>364</v>
      </c>
      <c r="AX33" s="101">
        <v>4</v>
      </c>
      <c r="AY33" s="101">
        <v>0</v>
      </c>
      <c r="AZ33" s="101">
        <v>1</v>
      </c>
      <c r="BA33" s="101">
        <v>0</v>
      </c>
      <c r="BB33" s="101">
        <v>0</v>
      </c>
      <c r="BC33" s="101">
        <v>0</v>
      </c>
      <c r="BD33" s="101">
        <v>0</v>
      </c>
      <c r="BE33" s="101">
        <v>0</v>
      </c>
      <c r="BF33" s="102">
        <v>1</v>
      </c>
      <c r="BG33" s="100" t="s">
        <v>443</v>
      </c>
      <c r="BH33" s="101">
        <v>3</v>
      </c>
      <c r="BI33" s="101">
        <v>0</v>
      </c>
      <c r="BJ33" s="101">
        <v>0</v>
      </c>
      <c r="BK33" s="101">
        <v>0</v>
      </c>
      <c r="BL33" s="101">
        <v>1</v>
      </c>
      <c r="BM33" s="101">
        <v>2</v>
      </c>
      <c r="BN33" s="101">
        <v>0</v>
      </c>
      <c r="BO33" s="101">
        <v>0</v>
      </c>
      <c r="BP33" s="102">
        <v>0</v>
      </c>
      <c r="BQ33" s="100" t="s">
        <v>446</v>
      </c>
      <c r="BR33" s="101">
        <v>3</v>
      </c>
      <c r="BS33" s="101">
        <v>0</v>
      </c>
      <c r="BT33" s="101">
        <v>1</v>
      </c>
      <c r="BU33" s="101">
        <v>0</v>
      </c>
      <c r="BV33" s="101">
        <v>1</v>
      </c>
      <c r="BW33" s="101">
        <v>0</v>
      </c>
      <c r="BX33" s="101">
        <v>0</v>
      </c>
      <c r="BY33" s="101">
        <v>0</v>
      </c>
      <c r="BZ33" s="102">
        <v>1</v>
      </c>
      <c r="CA33" s="100" t="s">
        <v>365</v>
      </c>
      <c r="CB33" s="101">
        <v>4</v>
      </c>
      <c r="CC33" s="101">
        <v>0</v>
      </c>
      <c r="CD33" s="101">
        <v>1</v>
      </c>
      <c r="CE33" s="101">
        <v>0</v>
      </c>
      <c r="CF33" s="101">
        <v>0</v>
      </c>
      <c r="CG33" s="101">
        <v>2</v>
      </c>
      <c r="CH33" s="101">
        <v>0</v>
      </c>
      <c r="CI33" s="101">
        <v>0</v>
      </c>
      <c r="CJ33" s="102">
        <v>1</v>
      </c>
      <c r="CK33" s="100" t="s">
        <v>366</v>
      </c>
      <c r="CL33" s="101">
        <v>3</v>
      </c>
      <c r="CM33" s="101">
        <v>1</v>
      </c>
      <c r="CN33" s="101">
        <v>1</v>
      </c>
      <c r="CO33" s="101">
        <v>1</v>
      </c>
      <c r="CP33" s="101">
        <v>0</v>
      </c>
      <c r="CQ33" s="101">
        <v>0</v>
      </c>
      <c r="CR33" s="101">
        <v>0</v>
      </c>
      <c r="CS33" s="101">
        <v>0</v>
      </c>
      <c r="CT33" s="102">
        <v>4</v>
      </c>
      <c r="CU33" s="100" t="s">
        <v>367</v>
      </c>
      <c r="CV33" s="101">
        <v>3</v>
      </c>
      <c r="CW33" s="101">
        <v>1</v>
      </c>
      <c r="CX33" s="101">
        <v>1</v>
      </c>
      <c r="CY33" s="101">
        <v>0</v>
      </c>
      <c r="CZ33" s="101">
        <v>0</v>
      </c>
      <c r="DA33" s="101">
        <v>1</v>
      </c>
      <c r="DB33" s="101">
        <v>0</v>
      </c>
      <c r="DC33" s="101">
        <v>0</v>
      </c>
      <c r="DD33" s="102">
        <v>2</v>
      </c>
      <c r="DE33" s="100" t="s">
        <v>445</v>
      </c>
      <c r="DF33" s="101">
        <v>3</v>
      </c>
      <c r="DG33" s="101">
        <v>1</v>
      </c>
      <c r="DH33" s="101">
        <v>0</v>
      </c>
      <c r="DI33" s="101">
        <v>0</v>
      </c>
      <c r="DJ33" s="101">
        <v>0</v>
      </c>
      <c r="DK33" s="101">
        <v>0</v>
      </c>
      <c r="DL33" s="101">
        <v>0</v>
      </c>
      <c r="DM33" s="101">
        <v>0</v>
      </c>
      <c r="DN33" s="102">
        <v>0</v>
      </c>
      <c r="DO33" s="100" t="s">
        <v>448</v>
      </c>
      <c r="DP33" s="101">
        <v>2</v>
      </c>
      <c r="DQ33" s="101">
        <v>0</v>
      </c>
      <c r="DR33" s="101">
        <v>1</v>
      </c>
      <c r="DS33" s="101">
        <v>1</v>
      </c>
      <c r="DT33" s="101">
        <v>0</v>
      </c>
      <c r="DU33" s="101">
        <v>1</v>
      </c>
      <c r="DV33" s="101">
        <v>0</v>
      </c>
      <c r="DW33" s="101">
        <v>1</v>
      </c>
      <c r="DX33" s="102">
        <v>1</v>
      </c>
      <c r="DY33" s="103">
        <v>0</v>
      </c>
      <c r="DZ33" s="104">
        <v>0</v>
      </c>
      <c r="EA33" s="104">
        <v>0</v>
      </c>
      <c r="EB33" s="105">
        <v>8</v>
      </c>
      <c r="EC33" s="104">
        <v>1</v>
      </c>
      <c r="ED33" s="106">
        <v>1</v>
      </c>
      <c r="EE33" s="107">
        <v>0</v>
      </c>
      <c r="EF33" s="104">
        <v>1</v>
      </c>
      <c r="EG33" s="104">
        <v>0</v>
      </c>
      <c r="EH33" s="104">
        <v>0</v>
      </c>
      <c r="EI33" s="104">
        <v>1</v>
      </c>
      <c r="EJ33" s="104">
        <v>0</v>
      </c>
      <c r="EK33" s="104">
        <v>1</v>
      </c>
      <c r="EL33" s="104">
        <v>0</v>
      </c>
      <c r="EM33" s="104"/>
      <c r="EN33" s="104"/>
      <c r="EO33" s="104"/>
      <c r="EP33" s="104"/>
      <c r="EQ33" s="104"/>
      <c r="ER33" s="104"/>
      <c r="ES33" s="104"/>
      <c r="ET33" s="106">
        <f t="shared" si="0"/>
        <v>3</v>
      </c>
      <c r="EU33" s="104">
        <v>0</v>
      </c>
      <c r="EV33" s="104">
        <v>0</v>
      </c>
      <c r="EW33" s="104">
        <v>1</v>
      </c>
      <c r="EX33" s="104">
        <v>0</v>
      </c>
      <c r="EY33" s="104">
        <v>0</v>
      </c>
      <c r="EZ33" s="104">
        <v>0</v>
      </c>
      <c r="FA33" s="104">
        <v>1</v>
      </c>
      <c r="FB33" s="104">
        <v>0</v>
      </c>
      <c r="FC33" s="104">
        <v>0</v>
      </c>
      <c r="FD33" s="104"/>
      <c r="FE33" s="104"/>
      <c r="FF33" s="104"/>
      <c r="FG33" s="104"/>
      <c r="FH33" s="104"/>
      <c r="FI33" s="104"/>
      <c r="FJ33" s="104">
        <f t="shared" si="1"/>
        <v>2</v>
      </c>
      <c r="FK33" s="108">
        <f t="shared" si="6"/>
        <v>0</v>
      </c>
      <c r="FL33" s="108">
        <f t="shared" si="7"/>
        <v>0</v>
      </c>
      <c r="FM33" s="109"/>
    </row>
    <row r="34" spans="1:169" x14ac:dyDescent="0.25">
      <c r="A34" s="91">
        <v>40309</v>
      </c>
      <c r="B34" s="91" t="s">
        <v>19</v>
      </c>
      <c r="C34" s="91" t="s">
        <v>131</v>
      </c>
      <c r="D34" s="91" t="s">
        <v>452</v>
      </c>
      <c r="E34" s="92">
        <v>6417</v>
      </c>
      <c r="F34" s="93">
        <v>4</v>
      </c>
      <c r="G34" s="94" t="s">
        <v>439</v>
      </c>
      <c r="H34" s="95">
        <v>0</v>
      </c>
      <c r="I34" s="95">
        <v>1</v>
      </c>
      <c r="J34" s="96">
        <v>4</v>
      </c>
      <c r="K34" s="95">
        <v>3</v>
      </c>
      <c r="L34" s="95">
        <v>2</v>
      </c>
      <c r="M34" s="95">
        <v>1</v>
      </c>
      <c r="N34" s="95">
        <v>1</v>
      </c>
      <c r="O34" s="95">
        <v>4</v>
      </c>
      <c r="P34" s="95">
        <v>0</v>
      </c>
      <c r="Q34" s="95">
        <v>0</v>
      </c>
      <c r="R34" s="95">
        <v>16</v>
      </c>
      <c r="S34" s="95">
        <v>70</v>
      </c>
      <c r="T34" s="95">
        <v>46</v>
      </c>
      <c r="U34" s="95">
        <v>0</v>
      </c>
      <c r="V34" s="97">
        <v>0</v>
      </c>
      <c r="W34" s="98">
        <v>0</v>
      </c>
      <c r="X34" s="98">
        <v>0</v>
      </c>
      <c r="Y34" s="98">
        <v>0</v>
      </c>
      <c r="Z34" s="98">
        <v>0</v>
      </c>
      <c r="AA34" s="98">
        <v>0</v>
      </c>
      <c r="AB34" s="99">
        <v>5</v>
      </c>
      <c r="AC34" s="98">
        <v>7</v>
      </c>
      <c r="AD34" s="98">
        <v>2</v>
      </c>
      <c r="AE34" s="98">
        <v>2</v>
      </c>
      <c r="AF34" s="98">
        <v>0</v>
      </c>
      <c r="AG34" s="98">
        <v>3</v>
      </c>
      <c r="AH34" s="98">
        <v>1</v>
      </c>
      <c r="AI34" s="98">
        <v>0</v>
      </c>
      <c r="AJ34" s="98">
        <v>21</v>
      </c>
      <c r="AK34" s="98">
        <v>75</v>
      </c>
      <c r="AL34" s="98">
        <v>51</v>
      </c>
      <c r="AM34" s="100" t="s">
        <v>441</v>
      </c>
      <c r="AN34" s="101">
        <v>4</v>
      </c>
      <c r="AO34" s="101">
        <v>0</v>
      </c>
      <c r="AP34" s="101">
        <v>1</v>
      </c>
      <c r="AQ34" s="101">
        <v>0</v>
      </c>
      <c r="AR34" s="101">
        <v>0</v>
      </c>
      <c r="AS34" s="101">
        <v>0</v>
      </c>
      <c r="AT34" s="101">
        <v>0</v>
      </c>
      <c r="AU34" s="101">
        <v>0</v>
      </c>
      <c r="AV34" s="102">
        <v>1</v>
      </c>
      <c r="AW34" s="100" t="s">
        <v>365</v>
      </c>
      <c r="AX34" s="101">
        <v>2</v>
      </c>
      <c r="AY34" s="101">
        <v>0</v>
      </c>
      <c r="AZ34" s="101">
        <v>1</v>
      </c>
      <c r="BA34" s="101">
        <v>0</v>
      </c>
      <c r="BB34" s="101">
        <v>2</v>
      </c>
      <c r="BC34" s="101">
        <v>0</v>
      </c>
      <c r="BD34" s="101">
        <v>0</v>
      </c>
      <c r="BE34" s="101">
        <v>0</v>
      </c>
      <c r="BF34" s="102">
        <v>1</v>
      </c>
      <c r="BG34" s="100" t="s">
        <v>443</v>
      </c>
      <c r="BH34" s="101">
        <v>4</v>
      </c>
      <c r="BI34" s="101">
        <v>0</v>
      </c>
      <c r="BJ34" s="101">
        <v>1</v>
      </c>
      <c r="BK34" s="101">
        <v>0</v>
      </c>
      <c r="BL34" s="101">
        <v>0</v>
      </c>
      <c r="BM34" s="101">
        <v>1</v>
      </c>
      <c r="BN34" s="101">
        <v>0</v>
      </c>
      <c r="BO34" s="101">
        <v>0</v>
      </c>
      <c r="BP34" s="102">
        <v>1</v>
      </c>
      <c r="BQ34" s="100" t="s">
        <v>366</v>
      </c>
      <c r="BR34" s="101">
        <v>3</v>
      </c>
      <c r="BS34" s="101">
        <v>0</v>
      </c>
      <c r="BT34" s="101">
        <v>1</v>
      </c>
      <c r="BU34" s="101">
        <v>0</v>
      </c>
      <c r="BV34" s="101">
        <v>1</v>
      </c>
      <c r="BW34" s="101">
        <v>2</v>
      </c>
      <c r="BX34" s="101">
        <v>0</v>
      </c>
      <c r="BY34" s="101">
        <v>0</v>
      </c>
      <c r="BZ34" s="102">
        <v>1</v>
      </c>
      <c r="CA34" s="100" t="s">
        <v>367</v>
      </c>
      <c r="CB34" s="101">
        <v>3</v>
      </c>
      <c r="CC34" s="101">
        <v>0</v>
      </c>
      <c r="CD34" s="101">
        <v>0</v>
      </c>
      <c r="CE34" s="101">
        <v>0</v>
      </c>
      <c r="CF34" s="101">
        <v>1</v>
      </c>
      <c r="CG34" s="101">
        <v>1</v>
      </c>
      <c r="CH34" s="101">
        <v>0</v>
      </c>
      <c r="CI34" s="101">
        <v>0</v>
      </c>
      <c r="CJ34" s="102">
        <v>0</v>
      </c>
      <c r="CK34" s="100" t="s">
        <v>364</v>
      </c>
      <c r="CL34" s="101">
        <v>3</v>
      </c>
      <c r="CM34" s="101">
        <v>0</v>
      </c>
      <c r="CN34" s="101">
        <v>0</v>
      </c>
      <c r="CO34" s="101">
        <v>0</v>
      </c>
      <c r="CP34" s="101">
        <v>1</v>
      </c>
      <c r="CQ34" s="101">
        <v>1</v>
      </c>
      <c r="CR34" s="101">
        <v>0</v>
      </c>
      <c r="CS34" s="101">
        <v>0</v>
      </c>
      <c r="CT34" s="102">
        <v>0</v>
      </c>
      <c r="CU34" s="100" t="s">
        <v>445</v>
      </c>
      <c r="CV34" s="101">
        <v>3</v>
      </c>
      <c r="CW34" s="101">
        <v>0</v>
      </c>
      <c r="CX34" s="101">
        <v>0</v>
      </c>
      <c r="CY34" s="101">
        <v>0</v>
      </c>
      <c r="CZ34" s="101">
        <v>0</v>
      </c>
      <c r="DA34" s="101">
        <v>1</v>
      </c>
      <c r="DB34" s="101">
        <v>0</v>
      </c>
      <c r="DC34" s="101">
        <v>0</v>
      </c>
      <c r="DD34" s="102">
        <v>0</v>
      </c>
      <c r="DE34" s="100" t="s">
        <v>449</v>
      </c>
      <c r="DF34" s="101">
        <v>3</v>
      </c>
      <c r="DG34" s="101">
        <v>0</v>
      </c>
      <c r="DH34" s="101">
        <v>0</v>
      </c>
      <c r="DI34" s="101">
        <v>0</v>
      </c>
      <c r="DJ34" s="101">
        <v>0</v>
      </c>
      <c r="DK34" s="101">
        <v>1</v>
      </c>
      <c r="DL34" s="101">
        <v>0</v>
      </c>
      <c r="DM34" s="101">
        <v>0</v>
      </c>
      <c r="DN34" s="102">
        <v>0</v>
      </c>
      <c r="DO34" s="100" t="s">
        <v>448</v>
      </c>
      <c r="DP34" s="101">
        <v>2</v>
      </c>
      <c r="DQ34" s="101">
        <v>0</v>
      </c>
      <c r="DR34" s="101">
        <v>0</v>
      </c>
      <c r="DS34" s="101">
        <v>0</v>
      </c>
      <c r="DT34" s="101">
        <v>0</v>
      </c>
      <c r="DU34" s="101">
        <v>0</v>
      </c>
      <c r="DV34" s="101">
        <v>1</v>
      </c>
      <c r="DW34" s="101">
        <v>0</v>
      </c>
      <c r="DX34" s="102">
        <v>0</v>
      </c>
      <c r="DY34" s="103">
        <v>0</v>
      </c>
      <c r="DZ34" s="104">
        <v>0</v>
      </c>
      <c r="EA34" s="104">
        <v>0</v>
      </c>
      <c r="EB34" s="105">
        <v>9</v>
      </c>
      <c r="EC34" s="104">
        <v>0</v>
      </c>
      <c r="ED34" s="106">
        <v>1</v>
      </c>
      <c r="EE34" s="107">
        <v>0</v>
      </c>
      <c r="EF34" s="104">
        <v>0</v>
      </c>
      <c r="EG34" s="104">
        <v>0</v>
      </c>
      <c r="EH34" s="104">
        <v>0</v>
      </c>
      <c r="EI34" s="104">
        <v>0</v>
      </c>
      <c r="EJ34" s="104">
        <v>0</v>
      </c>
      <c r="EK34" s="104">
        <v>0</v>
      </c>
      <c r="EL34" s="104">
        <v>0</v>
      </c>
      <c r="EM34" s="104">
        <v>0</v>
      </c>
      <c r="EN34" s="104"/>
      <c r="EO34" s="104"/>
      <c r="EP34" s="104"/>
      <c r="EQ34" s="104"/>
      <c r="ER34" s="104"/>
      <c r="ES34" s="104"/>
      <c r="ET34" s="106">
        <f t="shared" si="0"/>
        <v>0</v>
      </c>
      <c r="EU34" s="104">
        <v>0</v>
      </c>
      <c r="EV34" s="104">
        <v>1</v>
      </c>
      <c r="EW34" s="104">
        <v>0</v>
      </c>
      <c r="EX34" s="104">
        <v>1</v>
      </c>
      <c r="EY34" s="104">
        <v>2</v>
      </c>
      <c r="EZ34" s="104">
        <v>0</v>
      </c>
      <c r="FA34" s="104">
        <v>0</v>
      </c>
      <c r="FB34" s="104">
        <v>0</v>
      </c>
      <c r="FC34" s="104">
        <v>0</v>
      </c>
      <c r="FD34" s="104"/>
      <c r="FE34" s="104"/>
      <c r="FF34" s="104"/>
      <c r="FG34" s="104"/>
      <c r="FH34" s="104"/>
      <c r="FI34" s="104"/>
      <c r="FJ34" s="104">
        <f t="shared" si="1"/>
        <v>4</v>
      </c>
      <c r="FK34" s="108">
        <f t="shared" si="6"/>
        <v>0</v>
      </c>
      <c r="FL34" s="108">
        <f t="shared" si="7"/>
        <v>0</v>
      </c>
      <c r="FM34" s="109"/>
    </row>
    <row r="35" spans="1:169" x14ac:dyDescent="0.25">
      <c r="A35" s="91">
        <v>40310</v>
      </c>
      <c r="B35" s="91" t="s">
        <v>19</v>
      </c>
      <c r="C35" s="91" t="s">
        <v>129</v>
      </c>
      <c r="D35" s="91" t="s">
        <v>452</v>
      </c>
      <c r="E35" s="92">
        <v>3319</v>
      </c>
      <c r="F35" s="93">
        <v>5</v>
      </c>
      <c r="G35" s="94" t="s">
        <v>470</v>
      </c>
      <c r="H35" s="95">
        <v>0</v>
      </c>
      <c r="I35" s="95">
        <v>0</v>
      </c>
      <c r="J35" s="96">
        <v>4</v>
      </c>
      <c r="K35" s="95">
        <v>5</v>
      </c>
      <c r="L35" s="95">
        <v>2</v>
      </c>
      <c r="M35" s="95">
        <v>0</v>
      </c>
      <c r="N35" s="95">
        <v>1</v>
      </c>
      <c r="O35" s="95">
        <v>4</v>
      </c>
      <c r="P35" s="95">
        <v>0</v>
      </c>
      <c r="Q35" s="95">
        <v>0</v>
      </c>
      <c r="R35" s="95">
        <v>19</v>
      </c>
      <c r="S35" s="95">
        <v>67</v>
      </c>
      <c r="T35" s="95">
        <v>45</v>
      </c>
      <c r="U35" s="95">
        <v>2</v>
      </c>
      <c r="V35" s="97">
        <v>0</v>
      </c>
      <c r="W35" s="98">
        <v>1</v>
      </c>
      <c r="X35" s="98">
        <v>0</v>
      </c>
      <c r="Y35" s="98">
        <v>1</v>
      </c>
      <c r="Z35" s="98">
        <v>1</v>
      </c>
      <c r="AA35" s="98">
        <v>0</v>
      </c>
      <c r="AB35" s="99">
        <v>5</v>
      </c>
      <c r="AC35" s="98">
        <v>5</v>
      </c>
      <c r="AD35" s="98">
        <v>1</v>
      </c>
      <c r="AE35" s="98">
        <v>1</v>
      </c>
      <c r="AF35" s="98">
        <v>2</v>
      </c>
      <c r="AG35" s="98">
        <v>6</v>
      </c>
      <c r="AH35" s="98">
        <v>0</v>
      </c>
      <c r="AI35" s="98">
        <v>0</v>
      </c>
      <c r="AJ35" s="98">
        <v>22</v>
      </c>
      <c r="AK35" s="98">
        <v>96</v>
      </c>
      <c r="AL35" s="98">
        <v>63</v>
      </c>
      <c r="AM35" s="100" t="s">
        <v>441</v>
      </c>
      <c r="AN35" s="101">
        <v>4</v>
      </c>
      <c r="AO35" s="101">
        <v>0</v>
      </c>
      <c r="AP35" s="101">
        <v>0</v>
      </c>
      <c r="AQ35" s="101">
        <v>0</v>
      </c>
      <c r="AR35" s="101">
        <v>0</v>
      </c>
      <c r="AS35" s="101">
        <v>0</v>
      </c>
      <c r="AT35" s="101">
        <v>0</v>
      </c>
      <c r="AU35" s="101">
        <v>0</v>
      </c>
      <c r="AV35" s="102">
        <v>0</v>
      </c>
      <c r="AW35" s="100" t="s">
        <v>365</v>
      </c>
      <c r="AX35" s="101">
        <v>4</v>
      </c>
      <c r="AY35" s="101">
        <v>0</v>
      </c>
      <c r="AZ35" s="101">
        <v>0</v>
      </c>
      <c r="BA35" s="101">
        <v>0</v>
      </c>
      <c r="BB35" s="101">
        <v>0</v>
      </c>
      <c r="BC35" s="101">
        <v>0</v>
      </c>
      <c r="BD35" s="101">
        <v>0</v>
      </c>
      <c r="BE35" s="101">
        <v>0</v>
      </c>
      <c r="BF35" s="102">
        <v>0</v>
      </c>
      <c r="BG35" s="100" t="s">
        <v>446</v>
      </c>
      <c r="BH35" s="101">
        <v>4</v>
      </c>
      <c r="BI35" s="101">
        <v>1</v>
      </c>
      <c r="BJ35" s="101">
        <v>3</v>
      </c>
      <c r="BK35" s="101">
        <v>0</v>
      </c>
      <c r="BL35" s="101">
        <v>0</v>
      </c>
      <c r="BM35" s="101">
        <v>0</v>
      </c>
      <c r="BN35" s="101">
        <v>0</v>
      </c>
      <c r="BO35" s="101">
        <v>0</v>
      </c>
      <c r="BP35" s="102">
        <v>3</v>
      </c>
      <c r="BQ35" s="100" t="s">
        <v>443</v>
      </c>
      <c r="BR35" s="101">
        <v>4</v>
      </c>
      <c r="BS35" s="101">
        <v>0</v>
      </c>
      <c r="BT35" s="101">
        <v>1</v>
      </c>
      <c r="BU35" s="101">
        <v>0</v>
      </c>
      <c r="BV35" s="101">
        <v>0</v>
      </c>
      <c r="BW35" s="101">
        <v>2</v>
      </c>
      <c r="BX35" s="101">
        <v>0</v>
      </c>
      <c r="BY35" s="101">
        <v>0</v>
      </c>
      <c r="BZ35" s="102">
        <v>1</v>
      </c>
      <c r="CA35" s="100" t="s">
        <v>367</v>
      </c>
      <c r="CB35" s="101">
        <v>4</v>
      </c>
      <c r="CC35" s="101">
        <v>1</v>
      </c>
      <c r="CD35" s="101">
        <v>1</v>
      </c>
      <c r="CE35" s="101">
        <v>2</v>
      </c>
      <c r="CF35" s="101">
        <v>0</v>
      </c>
      <c r="CG35" s="101">
        <v>0</v>
      </c>
      <c r="CH35" s="101">
        <v>0</v>
      </c>
      <c r="CI35" s="101">
        <v>0</v>
      </c>
      <c r="CJ35" s="102">
        <v>4</v>
      </c>
      <c r="CK35" s="100" t="s">
        <v>366</v>
      </c>
      <c r="CL35" s="101">
        <v>4</v>
      </c>
      <c r="CM35" s="101">
        <v>0</v>
      </c>
      <c r="CN35" s="101">
        <v>0</v>
      </c>
      <c r="CO35" s="101">
        <v>0</v>
      </c>
      <c r="CP35" s="101">
        <v>0</v>
      </c>
      <c r="CQ35" s="101">
        <v>2</v>
      </c>
      <c r="CR35" s="101">
        <v>0</v>
      </c>
      <c r="CS35" s="101">
        <v>0</v>
      </c>
      <c r="CT35" s="102">
        <v>0</v>
      </c>
      <c r="CU35" s="100" t="s">
        <v>364</v>
      </c>
      <c r="CV35" s="101">
        <v>4</v>
      </c>
      <c r="CW35" s="101">
        <v>1</v>
      </c>
      <c r="CX35" s="101">
        <v>2</v>
      </c>
      <c r="CY35" s="101">
        <v>0</v>
      </c>
      <c r="CZ35" s="101">
        <v>0</v>
      </c>
      <c r="DA35" s="101">
        <v>1</v>
      </c>
      <c r="DB35" s="101">
        <v>0</v>
      </c>
      <c r="DC35" s="101">
        <v>0</v>
      </c>
      <c r="DD35" s="102">
        <v>4</v>
      </c>
      <c r="DE35" s="100" t="s">
        <v>445</v>
      </c>
      <c r="DF35" s="101">
        <v>2</v>
      </c>
      <c r="DG35" s="101">
        <v>1</v>
      </c>
      <c r="DH35" s="101">
        <v>1</v>
      </c>
      <c r="DI35" s="101">
        <v>1</v>
      </c>
      <c r="DJ35" s="101">
        <v>1</v>
      </c>
      <c r="DK35" s="101">
        <v>0</v>
      </c>
      <c r="DL35" s="101">
        <v>0</v>
      </c>
      <c r="DM35" s="101">
        <v>0</v>
      </c>
      <c r="DN35" s="102">
        <v>1</v>
      </c>
      <c r="DO35" s="100" t="s">
        <v>448</v>
      </c>
      <c r="DP35" s="101">
        <v>3</v>
      </c>
      <c r="DQ35" s="101">
        <v>1</v>
      </c>
      <c r="DR35" s="101">
        <v>2</v>
      </c>
      <c r="DS35" s="101">
        <v>2</v>
      </c>
      <c r="DT35" s="101">
        <v>0</v>
      </c>
      <c r="DU35" s="101">
        <v>1</v>
      </c>
      <c r="DV35" s="101">
        <v>0</v>
      </c>
      <c r="DW35" s="101">
        <v>0</v>
      </c>
      <c r="DX35" s="102">
        <v>5</v>
      </c>
      <c r="DY35" s="103">
        <f>5+2/3</f>
        <v>5.666666666666667</v>
      </c>
      <c r="DZ35" s="104">
        <v>0</v>
      </c>
      <c r="EA35" s="104">
        <v>0</v>
      </c>
      <c r="EB35" s="105">
        <f>2+1/3</f>
        <v>2.3333333333333335</v>
      </c>
      <c r="EC35" s="104">
        <v>1</v>
      </c>
      <c r="ED35" s="106">
        <v>0</v>
      </c>
      <c r="EE35" s="107">
        <v>0</v>
      </c>
      <c r="EF35" s="104">
        <v>3</v>
      </c>
      <c r="EG35" s="104">
        <v>0</v>
      </c>
      <c r="EH35" s="104">
        <v>0</v>
      </c>
      <c r="EI35" s="104">
        <v>0</v>
      </c>
      <c r="EJ35" s="104">
        <v>2</v>
      </c>
      <c r="EK35" s="104">
        <v>0</v>
      </c>
      <c r="EL35" s="104">
        <v>0</v>
      </c>
      <c r="EM35" s="104"/>
      <c r="EN35" s="104"/>
      <c r="EO35" s="104"/>
      <c r="EP35" s="104"/>
      <c r="EQ35" s="104"/>
      <c r="ER35" s="104"/>
      <c r="ES35" s="104"/>
      <c r="ET35" s="106">
        <f t="shared" si="0"/>
        <v>5</v>
      </c>
      <c r="EU35" s="104">
        <v>0</v>
      </c>
      <c r="EV35" s="104">
        <v>2</v>
      </c>
      <c r="EW35" s="104">
        <v>0</v>
      </c>
      <c r="EX35" s="104">
        <v>0</v>
      </c>
      <c r="EY35" s="104">
        <v>0</v>
      </c>
      <c r="EZ35" s="104">
        <v>1</v>
      </c>
      <c r="FA35" s="104">
        <v>0</v>
      </c>
      <c r="FB35" s="104">
        <v>0</v>
      </c>
      <c r="FC35" s="104">
        <v>0</v>
      </c>
      <c r="FD35" s="104"/>
      <c r="FE35" s="104"/>
      <c r="FF35" s="104"/>
      <c r="FG35" s="104"/>
      <c r="FH35" s="104"/>
      <c r="FI35" s="104"/>
      <c r="FJ35" s="104">
        <f t="shared" si="1"/>
        <v>3</v>
      </c>
      <c r="FK35" s="108">
        <f t="shared" ref="FK35:FK43" si="8">((SUM(L35,AD35))-(FJ35))</f>
        <v>0</v>
      </c>
      <c r="FL35" s="108">
        <f t="shared" ref="FL35:FL43" si="9">((SUM(AO35,AY35,BI35,BS35,CC35,CM35,CW35,DG35,DQ35))-(ET35))</f>
        <v>0</v>
      </c>
      <c r="FM35" s="109"/>
    </row>
    <row r="36" spans="1:169" x14ac:dyDescent="0.25">
      <c r="A36" s="91">
        <v>40311</v>
      </c>
      <c r="B36" s="91" t="s">
        <v>19</v>
      </c>
      <c r="C36" s="91" t="s">
        <v>129</v>
      </c>
      <c r="D36" s="91" t="s">
        <v>452</v>
      </c>
      <c r="E36" s="92">
        <v>4414</v>
      </c>
      <c r="F36" s="93">
        <v>1</v>
      </c>
      <c r="G36" s="94" t="s">
        <v>424</v>
      </c>
      <c r="H36" s="95">
        <v>1</v>
      </c>
      <c r="I36" s="95">
        <v>0</v>
      </c>
      <c r="J36" s="96">
        <v>7</v>
      </c>
      <c r="K36" s="95">
        <v>3</v>
      </c>
      <c r="L36" s="95">
        <v>0</v>
      </c>
      <c r="M36" s="95">
        <v>0</v>
      </c>
      <c r="N36" s="95">
        <v>2</v>
      </c>
      <c r="O36" s="95">
        <v>3</v>
      </c>
      <c r="P36" s="95">
        <v>0</v>
      </c>
      <c r="Q36" s="95">
        <v>0</v>
      </c>
      <c r="R36" s="95">
        <v>26</v>
      </c>
      <c r="S36" s="95">
        <v>95</v>
      </c>
      <c r="T36" s="95">
        <v>57</v>
      </c>
      <c r="U36" s="95">
        <v>0</v>
      </c>
      <c r="V36" s="97">
        <v>0</v>
      </c>
      <c r="W36" s="98">
        <v>0</v>
      </c>
      <c r="X36" s="98">
        <v>0</v>
      </c>
      <c r="Y36" s="98">
        <v>0</v>
      </c>
      <c r="Z36" s="98">
        <v>1</v>
      </c>
      <c r="AA36" s="98">
        <v>0</v>
      </c>
      <c r="AB36" s="99">
        <v>2</v>
      </c>
      <c r="AC36" s="98">
        <v>1</v>
      </c>
      <c r="AD36" s="98">
        <v>0</v>
      </c>
      <c r="AE36" s="98">
        <v>0</v>
      </c>
      <c r="AF36" s="98">
        <v>1</v>
      </c>
      <c r="AG36" s="98">
        <v>4</v>
      </c>
      <c r="AH36" s="98">
        <v>0</v>
      </c>
      <c r="AI36" s="98">
        <v>0</v>
      </c>
      <c r="AJ36" s="98">
        <v>7</v>
      </c>
      <c r="AK36" s="98">
        <v>36</v>
      </c>
      <c r="AL36" s="98">
        <v>22</v>
      </c>
      <c r="AM36" s="100" t="s">
        <v>441</v>
      </c>
      <c r="AN36" s="101">
        <v>4</v>
      </c>
      <c r="AO36" s="101">
        <v>0</v>
      </c>
      <c r="AP36" s="101">
        <v>1</v>
      </c>
      <c r="AQ36" s="101">
        <v>0</v>
      </c>
      <c r="AR36" s="101">
        <v>0</v>
      </c>
      <c r="AS36" s="101">
        <v>0</v>
      </c>
      <c r="AT36" s="101">
        <v>0</v>
      </c>
      <c r="AU36" s="101">
        <v>0</v>
      </c>
      <c r="AV36" s="102">
        <v>1</v>
      </c>
      <c r="AW36" s="100" t="s">
        <v>364</v>
      </c>
      <c r="AX36" s="101">
        <v>4</v>
      </c>
      <c r="AY36" s="101">
        <v>0</v>
      </c>
      <c r="AZ36" s="101">
        <v>2</v>
      </c>
      <c r="BA36" s="101">
        <v>0</v>
      </c>
      <c r="BB36" s="101">
        <v>0</v>
      </c>
      <c r="BC36" s="101">
        <v>1</v>
      </c>
      <c r="BD36" s="101">
        <v>0</v>
      </c>
      <c r="BE36" s="101">
        <v>0</v>
      </c>
      <c r="BF36" s="102">
        <v>2</v>
      </c>
      <c r="BG36" s="100" t="s">
        <v>446</v>
      </c>
      <c r="BH36" s="101">
        <v>4</v>
      </c>
      <c r="BI36" s="101">
        <v>0</v>
      </c>
      <c r="BJ36" s="101">
        <v>1</v>
      </c>
      <c r="BK36" s="101">
        <v>0</v>
      </c>
      <c r="BL36" s="101">
        <v>0</v>
      </c>
      <c r="BM36" s="101">
        <v>2</v>
      </c>
      <c r="BN36" s="101">
        <v>0</v>
      </c>
      <c r="BO36" s="101">
        <v>0</v>
      </c>
      <c r="BP36" s="102">
        <v>1</v>
      </c>
      <c r="BQ36" s="100" t="s">
        <v>443</v>
      </c>
      <c r="BR36" s="101">
        <v>4</v>
      </c>
      <c r="BS36" s="101">
        <v>1</v>
      </c>
      <c r="BT36" s="101">
        <v>1</v>
      </c>
      <c r="BU36" s="101">
        <v>0</v>
      </c>
      <c r="BV36" s="101">
        <v>0</v>
      </c>
      <c r="BW36" s="101">
        <v>2</v>
      </c>
      <c r="BX36" s="101">
        <v>0</v>
      </c>
      <c r="BY36" s="101">
        <v>0</v>
      </c>
      <c r="BZ36" s="102">
        <v>2</v>
      </c>
      <c r="CA36" s="100" t="s">
        <v>367</v>
      </c>
      <c r="CB36" s="101">
        <v>3</v>
      </c>
      <c r="CC36" s="101">
        <v>0</v>
      </c>
      <c r="CD36" s="101">
        <v>0</v>
      </c>
      <c r="CE36" s="101">
        <v>0</v>
      </c>
      <c r="CF36" s="101">
        <v>0</v>
      </c>
      <c r="CG36" s="101">
        <v>0</v>
      </c>
      <c r="CH36" s="101">
        <v>0</v>
      </c>
      <c r="CI36" s="101">
        <v>0</v>
      </c>
      <c r="CJ36" s="102">
        <v>0</v>
      </c>
      <c r="CK36" s="100" t="s">
        <v>366</v>
      </c>
      <c r="CL36" s="101">
        <v>3</v>
      </c>
      <c r="CM36" s="101">
        <v>0</v>
      </c>
      <c r="CN36" s="101">
        <v>0</v>
      </c>
      <c r="CO36" s="101">
        <v>0</v>
      </c>
      <c r="CP36" s="101">
        <v>0</v>
      </c>
      <c r="CQ36" s="101">
        <v>1</v>
      </c>
      <c r="CR36" s="101">
        <v>0</v>
      </c>
      <c r="CS36" s="101">
        <v>0</v>
      </c>
      <c r="CT36" s="102">
        <v>0</v>
      </c>
      <c r="CU36" s="100" t="s">
        <v>448</v>
      </c>
      <c r="CV36" s="101">
        <v>3</v>
      </c>
      <c r="CW36" s="101">
        <v>1</v>
      </c>
      <c r="CX36" s="101">
        <v>1</v>
      </c>
      <c r="CY36" s="101">
        <v>0</v>
      </c>
      <c r="CZ36" s="101">
        <v>0</v>
      </c>
      <c r="DA36" s="101">
        <v>2</v>
      </c>
      <c r="DB36" s="101">
        <v>0</v>
      </c>
      <c r="DC36" s="101">
        <v>0</v>
      </c>
      <c r="DD36" s="102">
        <v>3</v>
      </c>
      <c r="DE36" s="100" t="s">
        <v>445</v>
      </c>
      <c r="DF36" s="101">
        <v>3</v>
      </c>
      <c r="DG36" s="101">
        <v>0</v>
      </c>
      <c r="DH36" s="101">
        <v>1</v>
      </c>
      <c r="DI36" s="101">
        <v>1</v>
      </c>
      <c r="DJ36" s="101">
        <v>0</v>
      </c>
      <c r="DK36" s="101">
        <v>0</v>
      </c>
      <c r="DL36" s="101">
        <v>0</v>
      </c>
      <c r="DM36" s="101">
        <v>0</v>
      </c>
      <c r="DN36" s="102">
        <v>1</v>
      </c>
      <c r="DO36" s="100" t="s">
        <v>335</v>
      </c>
      <c r="DP36" s="101">
        <v>3</v>
      </c>
      <c r="DQ36" s="101">
        <v>0</v>
      </c>
      <c r="DR36" s="101">
        <v>1</v>
      </c>
      <c r="DS36" s="101">
        <v>0</v>
      </c>
      <c r="DT36" s="101">
        <v>0</v>
      </c>
      <c r="DU36" s="101">
        <v>0</v>
      </c>
      <c r="DV36" s="101">
        <v>0</v>
      </c>
      <c r="DW36" s="101">
        <v>0</v>
      </c>
      <c r="DX36" s="102">
        <v>1</v>
      </c>
      <c r="DY36" s="103">
        <v>0</v>
      </c>
      <c r="DZ36" s="104">
        <v>0</v>
      </c>
      <c r="EA36" s="104">
        <v>0</v>
      </c>
      <c r="EB36" s="105">
        <v>8</v>
      </c>
      <c r="EC36" s="104">
        <v>0</v>
      </c>
      <c r="ED36" s="106">
        <v>0</v>
      </c>
      <c r="EE36" s="107">
        <v>0</v>
      </c>
      <c r="EF36" s="104">
        <v>0</v>
      </c>
      <c r="EG36" s="104">
        <v>1</v>
      </c>
      <c r="EH36" s="104">
        <v>0</v>
      </c>
      <c r="EI36" s="104">
        <v>0</v>
      </c>
      <c r="EJ36" s="104">
        <v>1</v>
      </c>
      <c r="EK36" s="104">
        <v>0</v>
      </c>
      <c r="EL36" s="104">
        <v>0</v>
      </c>
      <c r="EM36" s="104"/>
      <c r="EN36" s="104"/>
      <c r="EO36" s="104"/>
      <c r="EP36" s="104"/>
      <c r="EQ36" s="104"/>
      <c r="ER36" s="104"/>
      <c r="ES36" s="104"/>
      <c r="ET36" s="106">
        <f t="shared" ref="ET36:ET67" si="10">SUM(EE36:ES36)</f>
        <v>2</v>
      </c>
      <c r="EU36" s="104">
        <v>0</v>
      </c>
      <c r="EV36" s="104">
        <v>0</v>
      </c>
      <c r="EW36" s="104">
        <v>0</v>
      </c>
      <c r="EX36" s="104">
        <v>0</v>
      </c>
      <c r="EY36" s="104">
        <v>0</v>
      </c>
      <c r="EZ36" s="104">
        <v>0</v>
      </c>
      <c r="FA36" s="104">
        <v>0</v>
      </c>
      <c r="FB36" s="104">
        <v>0</v>
      </c>
      <c r="FC36" s="104">
        <v>0</v>
      </c>
      <c r="FD36" s="104"/>
      <c r="FE36" s="104"/>
      <c r="FF36" s="104"/>
      <c r="FG36" s="104"/>
      <c r="FH36" s="104"/>
      <c r="FI36" s="104"/>
      <c r="FJ36" s="104">
        <f t="shared" ref="FJ36:FJ67" si="11">SUM(EU36:FI36)</f>
        <v>0</v>
      </c>
      <c r="FK36" s="108">
        <f t="shared" si="8"/>
        <v>0</v>
      </c>
      <c r="FL36" s="108">
        <f t="shared" si="9"/>
        <v>0</v>
      </c>
      <c r="FM36" s="109"/>
    </row>
    <row r="37" spans="1:169" x14ac:dyDescent="0.25">
      <c r="A37" s="91">
        <v>40312</v>
      </c>
      <c r="B37" s="91" t="s">
        <v>19</v>
      </c>
      <c r="C37" s="91" t="s">
        <v>131</v>
      </c>
      <c r="D37" s="91" t="s">
        <v>452</v>
      </c>
      <c r="E37" s="92">
        <v>6123</v>
      </c>
      <c r="F37" s="93">
        <v>2</v>
      </c>
      <c r="G37" s="94" t="s">
        <v>438</v>
      </c>
      <c r="H37" s="95">
        <v>0</v>
      </c>
      <c r="I37" s="95">
        <v>0</v>
      </c>
      <c r="J37" s="96">
        <v>6</v>
      </c>
      <c r="K37" s="95">
        <v>7</v>
      </c>
      <c r="L37" s="95">
        <v>2</v>
      </c>
      <c r="M37" s="95">
        <v>2</v>
      </c>
      <c r="N37" s="95">
        <v>0</v>
      </c>
      <c r="O37" s="95">
        <v>6</v>
      </c>
      <c r="P37" s="95">
        <v>0</v>
      </c>
      <c r="Q37" s="95">
        <v>0</v>
      </c>
      <c r="R37" s="95">
        <v>24</v>
      </c>
      <c r="S37" s="95">
        <v>84</v>
      </c>
      <c r="T37" s="95">
        <v>62</v>
      </c>
      <c r="U37" s="95">
        <v>0</v>
      </c>
      <c r="V37" s="97">
        <v>0</v>
      </c>
      <c r="W37" s="98">
        <v>0</v>
      </c>
      <c r="X37" s="98">
        <v>1</v>
      </c>
      <c r="Y37" s="98">
        <v>0</v>
      </c>
      <c r="Z37" s="98">
        <v>0</v>
      </c>
      <c r="AA37" s="98">
        <v>0</v>
      </c>
      <c r="AB37" s="99">
        <v>3</v>
      </c>
      <c r="AC37" s="98">
        <v>3</v>
      </c>
      <c r="AD37" s="98">
        <v>1</v>
      </c>
      <c r="AE37" s="98">
        <v>1</v>
      </c>
      <c r="AF37" s="98">
        <v>0</v>
      </c>
      <c r="AG37" s="98">
        <v>4</v>
      </c>
      <c r="AH37" s="98">
        <v>1</v>
      </c>
      <c r="AI37" s="98">
        <v>0</v>
      </c>
      <c r="AJ37" s="98">
        <v>12</v>
      </c>
      <c r="AK37" s="98">
        <v>37</v>
      </c>
      <c r="AL37" s="98">
        <v>28</v>
      </c>
      <c r="AM37" s="100" t="s">
        <v>441</v>
      </c>
      <c r="AN37" s="101">
        <v>5</v>
      </c>
      <c r="AO37" s="101">
        <v>2</v>
      </c>
      <c r="AP37" s="101">
        <v>3</v>
      </c>
      <c r="AQ37" s="101">
        <v>0</v>
      </c>
      <c r="AR37" s="101">
        <v>0</v>
      </c>
      <c r="AS37" s="101">
        <v>0</v>
      </c>
      <c r="AT37" s="101">
        <v>0</v>
      </c>
      <c r="AU37" s="101">
        <v>0</v>
      </c>
      <c r="AV37" s="102">
        <v>5</v>
      </c>
      <c r="AW37" s="100" t="s">
        <v>365</v>
      </c>
      <c r="AX37" s="101">
        <v>4</v>
      </c>
      <c r="AY37" s="101">
        <v>0</v>
      </c>
      <c r="AZ37" s="101">
        <v>2</v>
      </c>
      <c r="BA37" s="101">
        <v>1</v>
      </c>
      <c r="BB37" s="101">
        <v>0</v>
      </c>
      <c r="BC37" s="101">
        <v>0</v>
      </c>
      <c r="BD37" s="101">
        <v>0</v>
      </c>
      <c r="BE37" s="101">
        <v>0</v>
      </c>
      <c r="BF37" s="102">
        <v>3</v>
      </c>
      <c r="BG37" s="100" t="s">
        <v>446</v>
      </c>
      <c r="BH37" s="101">
        <v>3</v>
      </c>
      <c r="BI37" s="101">
        <v>0</v>
      </c>
      <c r="BJ37" s="101">
        <v>2</v>
      </c>
      <c r="BK37" s="101">
        <v>1</v>
      </c>
      <c r="BL37" s="101">
        <v>1</v>
      </c>
      <c r="BM37" s="101">
        <v>0</v>
      </c>
      <c r="BN37" s="101">
        <v>0</v>
      </c>
      <c r="BO37" s="101">
        <v>0</v>
      </c>
      <c r="BP37" s="102">
        <v>2</v>
      </c>
      <c r="BQ37" s="100" t="s">
        <v>443</v>
      </c>
      <c r="BR37" s="101">
        <v>4</v>
      </c>
      <c r="BS37" s="101">
        <v>0</v>
      </c>
      <c r="BT37" s="101">
        <v>0</v>
      </c>
      <c r="BU37" s="101">
        <v>0</v>
      </c>
      <c r="BV37" s="101">
        <v>0</v>
      </c>
      <c r="BW37" s="101">
        <v>0</v>
      </c>
      <c r="BX37" s="101">
        <v>0</v>
      </c>
      <c r="BY37" s="101">
        <v>0</v>
      </c>
      <c r="BZ37" s="102">
        <v>0</v>
      </c>
      <c r="CA37" s="100" t="s">
        <v>367</v>
      </c>
      <c r="CB37" s="101">
        <v>4</v>
      </c>
      <c r="CC37" s="101">
        <v>0</v>
      </c>
      <c r="CD37" s="101">
        <v>0</v>
      </c>
      <c r="CE37" s="101">
        <v>0</v>
      </c>
      <c r="CF37" s="101">
        <v>0</v>
      </c>
      <c r="CG37" s="101">
        <v>0</v>
      </c>
      <c r="CH37" s="101">
        <v>0</v>
      </c>
      <c r="CI37" s="101">
        <v>0</v>
      </c>
      <c r="CJ37" s="102">
        <v>0</v>
      </c>
      <c r="CK37" s="100" t="s">
        <v>366</v>
      </c>
      <c r="CL37" s="101">
        <v>4</v>
      </c>
      <c r="CM37" s="101">
        <v>0</v>
      </c>
      <c r="CN37" s="101">
        <v>3</v>
      </c>
      <c r="CO37" s="101">
        <v>0</v>
      </c>
      <c r="CP37" s="101">
        <v>0</v>
      </c>
      <c r="CQ37" s="101">
        <v>0</v>
      </c>
      <c r="CR37" s="101">
        <v>0</v>
      </c>
      <c r="CS37" s="101">
        <v>0</v>
      </c>
      <c r="CT37" s="102">
        <v>3</v>
      </c>
      <c r="CU37" s="100" t="s">
        <v>448</v>
      </c>
      <c r="CV37" s="101">
        <v>4</v>
      </c>
      <c r="CW37" s="101">
        <v>0</v>
      </c>
      <c r="CX37" s="101">
        <v>0</v>
      </c>
      <c r="CY37" s="101">
        <v>0</v>
      </c>
      <c r="CZ37" s="101">
        <v>0</v>
      </c>
      <c r="DA37" s="101">
        <v>1</v>
      </c>
      <c r="DB37" s="101">
        <v>0</v>
      </c>
      <c r="DC37" s="101">
        <v>0</v>
      </c>
      <c r="DD37" s="102">
        <v>0</v>
      </c>
      <c r="DE37" s="100" t="s">
        <v>445</v>
      </c>
      <c r="DF37" s="101">
        <v>4</v>
      </c>
      <c r="DG37" s="101">
        <v>0</v>
      </c>
      <c r="DH37" s="101">
        <v>1</v>
      </c>
      <c r="DI37" s="101">
        <v>0</v>
      </c>
      <c r="DJ37" s="101">
        <v>0</v>
      </c>
      <c r="DK37" s="101">
        <v>1</v>
      </c>
      <c r="DL37" s="101">
        <v>0</v>
      </c>
      <c r="DM37" s="101">
        <v>0</v>
      </c>
      <c r="DN37" s="102">
        <v>1</v>
      </c>
      <c r="DO37" s="100" t="s">
        <v>364</v>
      </c>
      <c r="DP37" s="101">
        <v>4</v>
      </c>
      <c r="DQ37" s="101">
        <v>0</v>
      </c>
      <c r="DR37" s="101">
        <v>0</v>
      </c>
      <c r="DS37" s="101">
        <v>0</v>
      </c>
      <c r="DT37" s="101">
        <v>0</v>
      </c>
      <c r="DU37" s="101">
        <v>0</v>
      </c>
      <c r="DV37" s="101">
        <v>0</v>
      </c>
      <c r="DW37" s="101">
        <v>0</v>
      </c>
      <c r="DX37" s="102">
        <v>0</v>
      </c>
      <c r="DY37" s="103">
        <v>0</v>
      </c>
      <c r="DZ37" s="104">
        <v>0</v>
      </c>
      <c r="EA37" s="104">
        <v>0</v>
      </c>
      <c r="EB37" s="105">
        <v>9</v>
      </c>
      <c r="EC37" s="104">
        <v>0</v>
      </c>
      <c r="ED37" s="106">
        <v>0</v>
      </c>
      <c r="EE37" s="107">
        <v>1</v>
      </c>
      <c r="EF37" s="104">
        <v>0</v>
      </c>
      <c r="EG37" s="104">
        <v>0</v>
      </c>
      <c r="EH37" s="104">
        <v>0</v>
      </c>
      <c r="EI37" s="104">
        <v>1</v>
      </c>
      <c r="EJ37" s="104">
        <v>0</v>
      </c>
      <c r="EK37" s="104">
        <v>0</v>
      </c>
      <c r="EL37" s="104">
        <v>0</v>
      </c>
      <c r="EM37" s="104">
        <v>0</v>
      </c>
      <c r="EN37" s="104"/>
      <c r="EO37" s="104"/>
      <c r="EP37" s="104"/>
      <c r="EQ37" s="104"/>
      <c r="ER37" s="104"/>
      <c r="ES37" s="104"/>
      <c r="ET37" s="106">
        <f t="shared" si="10"/>
        <v>2</v>
      </c>
      <c r="EU37" s="104">
        <v>1</v>
      </c>
      <c r="EV37" s="104">
        <v>1</v>
      </c>
      <c r="EW37" s="104">
        <v>0</v>
      </c>
      <c r="EX37" s="104">
        <v>0</v>
      </c>
      <c r="EY37" s="104">
        <v>0</v>
      </c>
      <c r="EZ37" s="104">
        <v>0</v>
      </c>
      <c r="FA37" s="104">
        <v>1</v>
      </c>
      <c r="FB37" s="104">
        <v>0</v>
      </c>
      <c r="FC37" s="104">
        <v>0</v>
      </c>
      <c r="FD37" s="104"/>
      <c r="FE37" s="104"/>
      <c r="FF37" s="104"/>
      <c r="FG37" s="104"/>
      <c r="FH37" s="104"/>
      <c r="FI37" s="104"/>
      <c r="FJ37" s="104">
        <f t="shared" si="11"/>
        <v>3</v>
      </c>
      <c r="FK37" s="108">
        <f t="shared" si="8"/>
        <v>0</v>
      </c>
      <c r="FL37" s="108">
        <f t="shared" si="9"/>
        <v>0</v>
      </c>
      <c r="FM37" s="109"/>
    </row>
    <row r="38" spans="1:169" x14ac:dyDescent="0.25">
      <c r="A38" s="91">
        <v>40313</v>
      </c>
      <c r="B38" s="91" t="s">
        <v>133</v>
      </c>
      <c r="C38" s="91" t="s">
        <v>131</v>
      </c>
      <c r="D38" s="91" t="s">
        <v>471</v>
      </c>
      <c r="E38" s="92">
        <v>7160</v>
      </c>
      <c r="F38" s="93">
        <v>3</v>
      </c>
      <c r="G38" s="94" t="s">
        <v>368</v>
      </c>
      <c r="H38" s="95">
        <v>0</v>
      </c>
      <c r="I38" s="95">
        <v>1</v>
      </c>
      <c r="J38" s="96">
        <v>3</v>
      </c>
      <c r="K38" s="95">
        <v>7</v>
      </c>
      <c r="L38" s="95">
        <v>6</v>
      </c>
      <c r="M38" s="95">
        <v>6</v>
      </c>
      <c r="N38" s="95">
        <v>1</v>
      </c>
      <c r="O38" s="95">
        <v>2</v>
      </c>
      <c r="P38" s="95">
        <v>1</v>
      </c>
      <c r="Q38" s="95">
        <v>0</v>
      </c>
      <c r="R38" s="95">
        <v>18</v>
      </c>
      <c r="S38" s="95">
        <v>57</v>
      </c>
      <c r="T38" s="95">
        <v>36</v>
      </c>
      <c r="U38" s="95">
        <v>0</v>
      </c>
      <c r="V38" s="97">
        <v>0</v>
      </c>
      <c r="W38" s="98">
        <v>0</v>
      </c>
      <c r="X38" s="98">
        <v>0</v>
      </c>
      <c r="Y38" s="98">
        <v>0</v>
      </c>
      <c r="Z38" s="98">
        <v>0</v>
      </c>
      <c r="AA38" s="98">
        <v>0</v>
      </c>
      <c r="AB38" s="99">
        <v>5</v>
      </c>
      <c r="AC38" s="98">
        <v>4</v>
      </c>
      <c r="AD38" s="98">
        <v>1</v>
      </c>
      <c r="AE38" s="98">
        <v>1</v>
      </c>
      <c r="AF38" s="98">
        <v>0</v>
      </c>
      <c r="AG38" s="98">
        <v>4</v>
      </c>
      <c r="AH38" s="98">
        <v>1</v>
      </c>
      <c r="AI38" s="98">
        <v>1</v>
      </c>
      <c r="AJ38" s="98">
        <v>20</v>
      </c>
      <c r="AK38" s="98">
        <v>70</v>
      </c>
      <c r="AL38" s="98">
        <v>37</v>
      </c>
      <c r="AM38" s="100" t="s">
        <v>441</v>
      </c>
      <c r="AN38" s="101">
        <v>4</v>
      </c>
      <c r="AO38" s="101">
        <v>0</v>
      </c>
      <c r="AP38" s="101">
        <v>0</v>
      </c>
      <c r="AQ38" s="101">
        <v>0</v>
      </c>
      <c r="AR38" s="101">
        <v>0</v>
      </c>
      <c r="AS38" s="101">
        <v>1</v>
      </c>
      <c r="AT38" s="101">
        <v>0</v>
      </c>
      <c r="AU38" s="101">
        <v>0</v>
      </c>
      <c r="AV38" s="102">
        <v>0</v>
      </c>
      <c r="AW38" s="100" t="s">
        <v>401</v>
      </c>
      <c r="AX38" s="101">
        <v>4</v>
      </c>
      <c r="AY38" s="101">
        <v>0</v>
      </c>
      <c r="AZ38" s="101">
        <v>0</v>
      </c>
      <c r="BA38" s="101">
        <v>0</v>
      </c>
      <c r="BB38" s="101">
        <v>0</v>
      </c>
      <c r="BC38" s="101">
        <v>1</v>
      </c>
      <c r="BD38" s="101">
        <v>0</v>
      </c>
      <c r="BE38" s="101">
        <v>0</v>
      </c>
      <c r="BF38" s="102">
        <v>0</v>
      </c>
      <c r="BG38" s="100" t="s">
        <v>446</v>
      </c>
      <c r="BH38" s="101">
        <v>4</v>
      </c>
      <c r="BI38" s="101">
        <v>2</v>
      </c>
      <c r="BJ38" s="101">
        <v>3</v>
      </c>
      <c r="BK38" s="101">
        <v>0</v>
      </c>
      <c r="BL38" s="101">
        <v>0</v>
      </c>
      <c r="BM38" s="101">
        <v>1</v>
      </c>
      <c r="BN38" s="101">
        <v>0</v>
      </c>
      <c r="BO38" s="101">
        <v>0</v>
      </c>
      <c r="BP38" s="102">
        <v>7</v>
      </c>
      <c r="BQ38" s="100" t="s">
        <v>443</v>
      </c>
      <c r="BR38" s="101">
        <v>3</v>
      </c>
      <c r="BS38" s="101">
        <v>2</v>
      </c>
      <c r="BT38" s="101">
        <v>1</v>
      </c>
      <c r="BU38" s="101">
        <v>2</v>
      </c>
      <c r="BV38" s="101">
        <v>1</v>
      </c>
      <c r="BW38" s="101">
        <v>0</v>
      </c>
      <c r="BX38" s="101">
        <v>0</v>
      </c>
      <c r="BY38" s="101">
        <v>0</v>
      </c>
      <c r="BZ38" s="102">
        <v>4</v>
      </c>
      <c r="CA38" s="100" t="s">
        <v>365</v>
      </c>
      <c r="CB38" s="101">
        <v>3</v>
      </c>
      <c r="CC38" s="101">
        <v>0</v>
      </c>
      <c r="CD38" s="101">
        <v>1</v>
      </c>
      <c r="CE38" s="101">
        <v>1</v>
      </c>
      <c r="CF38" s="101">
        <v>1</v>
      </c>
      <c r="CG38" s="101">
        <v>0</v>
      </c>
      <c r="CH38" s="101">
        <v>0</v>
      </c>
      <c r="CI38" s="101">
        <v>0</v>
      </c>
      <c r="CJ38" s="102">
        <v>1</v>
      </c>
      <c r="CK38" s="100" t="s">
        <v>366</v>
      </c>
      <c r="CL38" s="101">
        <v>4</v>
      </c>
      <c r="CM38" s="101">
        <v>0</v>
      </c>
      <c r="CN38" s="101">
        <v>0</v>
      </c>
      <c r="CO38" s="101">
        <v>0</v>
      </c>
      <c r="CP38" s="101">
        <v>0</v>
      </c>
      <c r="CQ38" s="101">
        <v>1</v>
      </c>
      <c r="CR38" s="101">
        <v>0</v>
      </c>
      <c r="CS38" s="101">
        <v>0</v>
      </c>
      <c r="CT38" s="102">
        <v>0</v>
      </c>
      <c r="CU38" s="100" t="s">
        <v>367</v>
      </c>
      <c r="CV38" s="101">
        <v>4</v>
      </c>
      <c r="CW38" s="101">
        <v>0</v>
      </c>
      <c r="CX38" s="101">
        <v>0</v>
      </c>
      <c r="CY38" s="101">
        <v>0</v>
      </c>
      <c r="CZ38" s="101">
        <v>0</v>
      </c>
      <c r="DA38" s="101">
        <v>1</v>
      </c>
      <c r="DB38" s="101">
        <v>0</v>
      </c>
      <c r="DC38" s="101">
        <v>0</v>
      </c>
      <c r="DD38" s="102">
        <v>0</v>
      </c>
      <c r="DE38" s="100" t="s">
        <v>445</v>
      </c>
      <c r="DF38" s="101">
        <v>4</v>
      </c>
      <c r="DG38" s="101">
        <v>0</v>
      </c>
      <c r="DH38" s="101">
        <v>0</v>
      </c>
      <c r="DI38" s="101">
        <v>0</v>
      </c>
      <c r="DJ38" s="101">
        <v>0</v>
      </c>
      <c r="DK38" s="101">
        <v>2</v>
      </c>
      <c r="DL38" s="101">
        <v>0</v>
      </c>
      <c r="DM38" s="101">
        <v>0</v>
      </c>
      <c r="DN38" s="102">
        <v>0</v>
      </c>
      <c r="DO38" s="100" t="s">
        <v>448</v>
      </c>
      <c r="DP38" s="101">
        <v>4</v>
      </c>
      <c r="DQ38" s="101">
        <v>0</v>
      </c>
      <c r="DR38" s="101">
        <v>1</v>
      </c>
      <c r="DS38" s="101">
        <v>0</v>
      </c>
      <c r="DT38" s="101">
        <v>0</v>
      </c>
      <c r="DU38" s="101">
        <v>3</v>
      </c>
      <c r="DV38" s="101">
        <v>0</v>
      </c>
      <c r="DW38" s="101">
        <v>0</v>
      </c>
      <c r="DX38" s="102">
        <v>1</v>
      </c>
      <c r="DY38" s="103">
        <f>2+2/3</f>
        <v>2.6666666666666665</v>
      </c>
      <c r="DZ38" s="104">
        <v>0</v>
      </c>
      <c r="EA38" s="104">
        <v>0</v>
      </c>
      <c r="EB38" s="105">
        <f>6+1/3</f>
        <v>6.333333333333333</v>
      </c>
      <c r="EC38" s="104">
        <v>0</v>
      </c>
      <c r="ED38" s="106">
        <v>0</v>
      </c>
      <c r="EE38" s="107">
        <v>0</v>
      </c>
      <c r="EF38" s="104">
        <v>0</v>
      </c>
      <c r="EG38" s="104">
        <v>0</v>
      </c>
      <c r="EH38" s="104">
        <v>0</v>
      </c>
      <c r="EI38" s="104">
        <v>0</v>
      </c>
      <c r="EJ38" s="104">
        <v>0</v>
      </c>
      <c r="EK38" s="104">
        <v>2</v>
      </c>
      <c r="EL38" s="104">
        <v>2</v>
      </c>
      <c r="EM38" s="104">
        <v>0</v>
      </c>
      <c r="EN38" s="104"/>
      <c r="EO38" s="104"/>
      <c r="EP38" s="104"/>
      <c r="EQ38" s="104"/>
      <c r="ER38" s="104"/>
      <c r="ES38" s="104"/>
      <c r="ET38" s="106">
        <f t="shared" si="10"/>
        <v>4</v>
      </c>
      <c r="EU38" s="104">
        <v>0</v>
      </c>
      <c r="EV38" s="104">
        <v>0</v>
      </c>
      <c r="EW38" s="104">
        <v>6</v>
      </c>
      <c r="EX38" s="104">
        <v>0</v>
      </c>
      <c r="EY38" s="104">
        <v>0</v>
      </c>
      <c r="EZ38" s="104">
        <v>1</v>
      </c>
      <c r="FA38" s="104">
        <v>0</v>
      </c>
      <c r="FB38" s="104">
        <v>0</v>
      </c>
      <c r="FC38" s="104"/>
      <c r="FD38" s="104"/>
      <c r="FE38" s="104"/>
      <c r="FF38" s="104"/>
      <c r="FG38" s="104"/>
      <c r="FH38" s="104"/>
      <c r="FI38" s="104"/>
      <c r="FJ38" s="104">
        <f t="shared" si="11"/>
        <v>7</v>
      </c>
      <c r="FK38" s="108">
        <f t="shared" si="8"/>
        <v>0</v>
      </c>
      <c r="FL38" s="108">
        <f t="shared" si="9"/>
        <v>0</v>
      </c>
      <c r="FM38" s="109"/>
    </row>
    <row r="39" spans="1:169" x14ac:dyDescent="0.25">
      <c r="A39" s="91">
        <v>40314</v>
      </c>
      <c r="B39" s="91" t="s">
        <v>133</v>
      </c>
      <c r="C39" s="91" t="s">
        <v>131</v>
      </c>
      <c r="D39" s="91" t="s">
        <v>471</v>
      </c>
      <c r="E39" s="92">
        <v>2339</v>
      </c>
      <c r="F39" s="93">
        <v>4</v>
      </c>
      <c r="G39" s="94" t="s">
        <v>439</v>
      </c>
      <c r="H39" s="95">
        <v>0</v>
      </c>
      <c r="I39" s="95">
        <v>1</v>
      </c>
      <c r="J39" s="96">
        <f>3+2/3</f>
        <v>3.6666666666666665</v>
      </c>
      <c r="K39" s="95">
        <v>10</v>
      </c>
      <c r="L39" s="95">
        <v>8</v>
      </c>
      <c r="M39" s="95">
        <v>8</v>
      </c>
      <c r="N39" s="95">
        <v>1</v>
      </c>
      <c r="O39" s="95">
        <v>5</v>
      </c>
      <c r="P39" s="95">
        <v>0</v>
      </c>
      <c r="Q39" s="95">
        <v>0</v>
      </c>
      <c r="R39" s="95">
        <v>22</v>
      </c>
      <c r="S39" s="95">
        <v>72</v>
      </c>
      <c r="T39" s="95">
        <v>48</v>
      </c>
      <c r="U39" s="95">
        <v>1</v>
      </c>
      <c r="V39" s="97">
        <v>0</v>
      </c>
      <c r="W39" s="98">
        <v>0</v>
      </c>
      <c r="X39" s="98">
        <v>0</v>
      </c>
      <c r="Y39" s="98">
        <v>0</v>
      </c>
      <c r="Z39" s="98">
        <v>0</v>
      </c>
      <c r="AA39" s="98">
        <v>0</v>
      </c>
      <c r="AB39" s="99">
        <f>2+1/3</f>
        <v>2.3333333333333335</v>
      </c>
      <c r="AC39" s="98">
        <v>4</v>
      </c>
      <c r="AD39" s="98">
        <v>1</v>
      </c>
      <c r="AE39" s="98">
        <v>1</v>
      </c>
      <c r="AF39" s="98">
        <v>1</v>
      </c>
      <c r="AG39" s="98">
        <v>3</v>
      </c>
      <c r="AH39" s="98">
        <v>0</v>
      </c>
      <c r="AI39" s="98">
        <v>0</v>
      </c>
      <c r="AJ39" s="98">
        <v>12</v>
      </c>
      <c r="AK39" s="98">
        <v>41</v>
      </c>
      <c r="AL39" s="98">
        <v>22</v>
      </c>
      <c r="AM39" s="100" t="s">
        <v>441</v>
      </c>
      <c r="AN39" s="101">
        <v>2</v>
      </c>
      <c r="AO39" s="101">
        <v>0</v>
      </c>
      <c r="AP39" s="101">
        <v>0</v>
      </c>
      <c r="AQ39" s="101">
        <v>0</v>
      </c>
      <c r="AR39" s="101">
        <v>0</v>
      </c>
      <c r="AS39" s="101">
        <v>0</v>
      </c>
      <c r="AT39" s="101">
        <v>0</v>
      </c>
      <c r="AU39" s="101">
        <v>0</v>
      </c>
      <c r="AV39" s="102">
        <v>0</v>
      </c>
      <c r="AW39" s="100" t="s">
        <v>401</v>
      </c>
      <c r="AX39" s="101">
        <v>2</v>
      </c>
      <c r="AY39" s="101">
        <v>0</v>
      </c>
      <c r="AZ39" s="101">
        <v>0</v>
      </c>
      <c r="BA39" s="101">
        <v>0</v>
      </c>
      <c r="BB39" s="101">
        <v>0</v>
      </c>
      <c r="BC39" s="101">
        <v>0</v>
      </c>
      <c r="BD39" s="101">
        <v>0</v>
      </c>
      <c r="BE39" s="101">
        <v>0</v>
      </c>
      <c r="BF39" s="102">
        <v>0</v>
      </c>
      <c r="BG39" s="100" t="s">
        <v>443</v>
      </c>
      <c r="BH39" s="101">
        <v>2</v>
      </c>
      <c r="BI39" s="101">
        <v>0</v>
      </c>
      <c r="BJ39" s="101">
        <v>0</v>
      </c>
      <c r="BK39" s="101">
        <v>0</v>
      </c>
      <c r="BL39" s="101">
        <v>0</v>
      </c>
      <c r="BM39" s="101">
        <v>2</v>
      </c>
      <c r="BN39" s="101">
        <v>0</v>
      </c>
      <c r="BO39" s="101">
        <v>0</v>
      </c>
      <c r="BP39" s="102">
        <v>0</v>
      </c>
      <c r="BQ39" s="100" t="s">
        <v>366</v>
      </c>
      <c r="BR39" s="101">
        <v>2</v>
      </c>
      <c r="BS39" s="101">
        <v>0</v>
      </c>
      <c r="BT39" s="101">
        <v>0</v>
      </c>
      <c r="BU39" s="101">
        <v>0</v>
      </c>
      <c r="BV39" s="101">
        <v>0</v>
      </c>
      <c r="BW39" s="101">
        <v>1</v>
      </c>
      <c r="BX39" s="101">
        <v>0</v>
      </c>
      <c r="BY39" s="101">
        <v>0</v>
      </c>
      <c r="BZ39" s="102">
        <v>0</v>
      </c>
      <c r="CA39" s="100" t="s">
        <v>365</v>
      </c>
      <c r="CB39" s="101">
        <v>2</v>
      </c>
      <c r="CC39" s="101">
        <v>0</v>
      </c>
      <c r="CD39" s="101">
        <v>0</v>
      </c>
      <c r="CE39" s="101">
        <v>0</v>
      </c>
      <c r="CF39" s="101">
        <v>0</v>
      </c>
      <c r="CG39" s="101">
        <v>1</v>
      </c>
      <c r="CH39" s="101">
        <v>0</v>
      </c>
      <c r="CI39" s="101">
        <v>0</v>
      </c>
      <c r="CJ39" s="102">
        <v>0</v>
      </c>
      <c r="CK39" s="100" t="s">
        <v>448</v>
      </c>
      <c r="CL39" s="101">
        <v>2</v>
      </c>
      <c r="CM39" s="101">
        <v>0</v>
      </c>
      <c r="CN39" s="101">
        <v>0</v>
      </c>
      <c r="CO39" s="101">
        <v>0</v>
      </c>
      <c r="CP39" s="101">
        <v>0</v>
      </c>
      <c r="CQ39" s="101">
        <v>1</v>
      </c>
      <c r="CR39" s="101">
        <v>0</v>
      </c>
      <c r="CS39" s="101">
        <v>0</v>
      </c>
      <c r="CT39" s="102">
        <v>0</v>
      </c>
      <c r="CU39" s="100" t="s">
        <v>367</v>
      </c>
      <c r="CV39" s="101">
        <v>2</v>
      </c>
      <c r="CW39" s="101">
        <v>0</v>
      </c>
      <c r="CX39" s="101">
        <v>1</v>
      </c>
      <c r="CY39" s="101">
        <v>0</v>
      </c>
      <c r="CZ39" s="101">
        <v>0</v>
      </c>
      <c r="DA39" s="101">
        <v>0</v>
      </c>
      <c r="DB39" s="101">
        <v>0</v>
      </c>
      <c r="DC39" s="101">
        <v>0</v>
      </c>
      <c r="DD39" s="102">
        <v>1</v>
      </c>
      <c r="DE39" s="100" t="s">
        <v>449</v>
      </c>
      <c r="DF39" s="101">
        <v>2</v>
      </c>
      <c r="DG39" s="101">
        <v>0</v>
      </c>
      <c r="DH39" s="101">
        <v>0</v>
      </c>
      <c r="DI39" s="101">
        <v>0</v>
      </c>
      <c r="DJ39" s="101">
        <v>0</v>
      </c>
      <c r="DK39" s="101">
        <v>1</v>
      </c>
      <c r="DL39" s="101">
        <v>0</v>
      </c>
      <c r="DM39" s="101">
        <v>0</v>
      </c>
      <c r="DN39" s="102">
        <v>0</v>
      </c>
      <c r="DO39" s="100" t="s">
        <v>364</v>
      </c>
      <c r="DP39" s="101">
        <v>2</v>
      </c>
      <c r="DQ39" s="101">
        <v>0</v>
      </c>
      <c r="DR39" s="101">
        <v>0</v>
      </c>
      <c r="DS39" s="101">
        <v>0</v>
      </c>
      <c r="DT39" s="101">
        <v>0</v>
      </c>
      <c r="DU39" s="101">
        <v>1</v>
      </c>
      <c r="DV39" s="101">
        <v>0</v>
      </c>
      <c r="DW39" s="101">
        <v>0</v>
      </c>
      <c r="DX39" s="102">
        <v>0</v>
      </c>
      <c r="DY39" s="103">
        <v>0</v>
      </c>
      <c r="DZ39" s="104">
        <v>0</v>
      </c>
      <c r="EA39" s="104">
        <v>0</v>
      </c>
      <c r="EB39" s="105">
        <v>6</v>
      </c>
      <c r="EC39" s="104">
        <v>0</v>
      </c>
      <c r="ED39" s="106">
        <v>0</v>
      </c>
      <c r="EE39" s="107">
        <v>0</v>
      </c>
      <c r="EF39" s="104">
        <v>0</v>
      </c>
      <c r="EG39" s="104">
        <v>0</v>
      </c>
      <c r="EH39" s="104">
        <v>0</v>
      </c>
      <c r="EI39" s="104">
        <v>0</v>
      </c>
      <c r="EJ39" s="104">
        <v>0</v>
      </c>
      <c r="EK39" s="104">
        <v>0</v>
      </c>
      <c r="EL39" s="104"/>
      <c r="EM39" s="104"/>
      <c r="EN39" s="104"/>
      <c r="EO39" s="104"/>
      <c r="EP39" s="104"/>
      <c r="EQ39" s="104"/>
      <c r="ER39" s="104"/>
      <c r="ES39" s="104"/>
      <c r="ET39" s="106">
        <f t="shared" si="10"/>
        <v>0</v>
      </c>
      <c r="EU39" s="104">
        <v>0</v>
      </c>
      <c r="EV39" s="104">
        <v>0</v>
      </c>
      <c r="EW39" s="104">
        <v>1</v>
      </c>
      <c r="EX39" s="104">
        <v>7</v>
      </c>
      <c r="EY39" s="104">
        <v>1</v>
      </c>
      <c r="EZ39" s="104">
        <v>0</v>
      </c>
      <c r="FA39" s="104"/>
      <c r="FB39" s="104"/>
      <c r="FC39" s="104"/>
      <c r="FD39" s="104"/>
      <c r="FE39" s="104"/>
      <c r="FF39" s="104"/>
      <c r="FG39" s="104"/>
      <c r="FH39" s="104"/>
      <c r="FI39" s="104"/>
      <c r="FJ39" s="104">
        <f t="shared" si="11"/>
        <v>9</v>
      </c>
      <c r="FK39" s="108">
        <f t="shared" si="8"/>
        <v>0</v>
      </c>
      <c r="FL39" s="108">
        <f t="shared" si="9"/>
        <v>0</v>
      </c>
      <c r="FM39" s="109" t="s">
        <v>472</v>
      </c>
    </row>
    <row r="40" spans="1:169" x14ac:dyDescent="0.25">
      <c r="A40" s="91">
        <v>40315</v>
      </c>
      <c r="B40" s="91" t="s">
        <v>133</v>
      </c>
      <c r="C40" s="91" t="s">
        <v>131</v>
      </c>
      <c r="D40" s="91" t="s">
        <v>471</v>
      </c>
      <c r="E40" s="92">
        <v>1926</v>
      </c>
      <c r="F40" s="93">
        <v>5</v>
      </c>
      <c r="G40" s="94" t="s">
        <v>470</v>
      </c>
      <c r="H40" s="95">
        <v>0</v>
      </c>
      <c r="I40" s="95">
        <v>0</v>
      </c>
      <c r="J40" s="96">
        <v>6</v>
      </c>
      <c r="K40" s="95">
        <v>6</v>
      </c>
      <c r="L40" s="95">
        <v>1</v>
      </c>
      <c r="M40" s="95">
        <v>1</v>
      </c>
      <c r="N40" s="95">
        <v>0</v>
      </c>
      <c r="O40" s="95">
        <v>5</v>
      </c>
      <c r="P40" s="95">
        <v>0</v>
      </c>
      <c r="Q40" s="95">
        <v>0</v>
      </c>
      <c r="R40" s="95">
        <v>23</v>
      </c>
      <c r="S40" s="95">
        <v>84</v>
      </c>
      <c r="T40" s="95">
        <v>55</v>
      </c>
      <c r="U40" s="95">
        <v>0</v>
      </c>
      <c r="V40" s="97">
        <v>0</v>
      </c>
      <c r="W40" s="98">
        <v>0</v>
      </c>
      <c r="X40" s="98">
        <v>1</v>
      </c>
      <c r="Y40" s="98">
        <v>0</v>
      </c>
      <c r="Z40" s="98">
        <v>0</v>
      </c>
      <c r="AA40" s="98">
        <v>0</v>
      </c>
      <c r="AB40" s="99">
        <f>3+1/3</f>
        <v>3.3333333333333335</v>
      </c>
      <c r="AC40" s="98">
        <v>3</v>
      </c>
      <c r="AD40" s="98">
        <v>1</v>
      </c>
      <c r="AE40" s="98">
        <v>1</v>
      </c>
      <c r="AF40" s="98">
        <v>3</v>
      </c>
      <c r="AG40" s="98">
        <v>0</v>
      </c>
      <c r="AH40" s="98">
        <v>0</v>
      </c>
      <c r="AI40" s="98">
        <v>0</v>
      </c>
      <c r="AJ40" s="98">
        <v>15</v>
      </c>
      <c r="AK40" s="98">
        <v>51</v>
      </c>
      <c r="AL40" s="98">
        <v>30</v>
      </c>
      <c r="AM40" s="100" t="s">
        <v>441</v>
      </c>
      <c r="AN40" s="101">
        <v>4</v>
      </c>
      <c r="AO40" s="101">
        <v>0</v>
      </c>
      <c r="AP40" s="101">
        <v>0</v>
      </c>
      <c r="AQ40" s="101">
        <v>0</v>
      </c>
      <c r="AR40" s="101">
        <v>1</v>
      </c>
      <c r="AS40" s="101">
        <v>1</v>
      </c>
      <c r="AT40" s="101">
        <v>0</v>
      </c>
      <c r="AU40" s="101">
        <v>0</v>
      </c>
      <c r="AV40" s="102">
        <v>0</v>
      </c>
      <c r="AW40" s="100" t="s">
        <v>401</v>
      </c>
      <c r="AX40" s="101">
        <v>4</v>
      </c>
      <c r="AY40" s="101">
        <v>0</v>
      </c>
      <c r="AZ40" s="101">
        <v>1</v>
      </c>
      <c r="BA40" s="101">
        <v>0</v>
      </c>
      <c r="BB40" s="101">
        <v>1</v>
      </c>
      <c r="BC40" s="101">
        <v>1</v>
      </c>
      <c r="BD40" s="101">
        <v>0</v>
      </c>
      <c r="BE40" s="101">
        <v>0</v>
      </c>
      <c r="BF40" s="102">
        <v>1</v>
      </c>
      <c r="BG40" s="100" t="s">
        <v>446</v>
      </c>
      <c r="BH40" s="101">
        <v>3</v>
      </c>
      <c r="BI40" s="101">
        <v>0</v>
      </c>
      <c r="BJ40" s="101">
        <v>1</v>
      </c>
      <c r="BK40" s="101">
        <v>1</v>
      </c>
      <c r="BL40" s="101">
        <v>0</v>
      </c>
      <c r="BM40" s="101">
        <v>1</v>
      </c>
      <c r="BN40" s="101">
        <v>0</v>
      </c>
      <c r="BO40" s="101">
        <v>1</v>
      </c>
      <c r="BP40" s="102">
        <v>1</v>
      </c>
      <c r="BQ40" s="100" t="s">
        <v>443</v>
      </c>
      <c r="BR40" s="101">
        <v>4</v>
      </c>
      <c r="BS40" s="101">
        <v>0</v>
      </c>
      <c r="BT40" s="101">
        <v>0</v>
      </c>
      <c r="BU40" s="101">
        <v>0</v>
      </c>
      <c r="BV40" s="101">
        <v>0</v>
      </c>
      <c r="BW40" s="101">
        <v>2</v>
      </c>
      <c r="BX40" s="101">
        <v>0</v>
      </c>
      <c r="BY40" s="101">
        <v>0</v>
      </c>
      <c r="BZ40" s="102">
        <v>0</v>
      </c>
      <c r="CA40" s="100" t="s">
        <v>365</v>
      </c>
      <c r="CB40" s="101">
        <v>4</v>
      </c>
      <c r="CC40" s="101">
        <v>0</v>
      </c>
      <c r="CD40" s="101">
        <v>0</v>
      </c>
      <c r="CE40" s="101">
        <v>0</v>
      </c>
      <c r="CF40" s="101">
        <v>0</v>
      </c>
      <c r="CG40" s="101">
        <v>0</v>
      </c>
      <c r="CH40" s="101">
        <v>0</v>
      </c>
      <c r="CI40" s="101">
        <v>0</v>
      </c>
      <c r="CJ40" s="102">
        <v>0</v>
      </c>
      <c r="CK40" s="100" t="s">
        <v>366</v>
      </c>
      <c r="CL40" s="101">
        <v>4</v>
      </c>
      <c r="CM40" s="101">
        <v>0</v>
      </c>
      <c r="CN40" s="101">
        <v>2</v>
      </c>
      <c r="CO40" s="101">
        <v>0</v>
      </c>
      <c r="CP40" s="101">
        <v>0</v>
      </c>
      <c r="CQ40" s="101">
        <v>0</v>
      </c>
      <c r="CR40" s="101">
        <v>0</v>
      </c>
      <c r="CS40" s="101">
        <v>0</v>
      </c>
      <c r="CT40" s="102">
        <v>2</v>
      </c>
      <c r="CU40" s="100" t="s">
        <v>448</v>
      </c>
      <c r="CV40" s="101">
        <v>4</v>
      </c>
      <c r="CW40" s="101">
        <v>0</v>
      </c>
      <c r="CX40" s="101">
        <v>1</v>
      </c>
      <c r="CY40" s="101">
        <v>0</v>
      </c>
      <c r="CZ40" s="101">
        <v>0</v>
      </c>
      <c r="DA40" s="101">
        <v>0</v>
      </c>
      <c r="DB40" s="101">
        <v>0</v>
      </c>
      <c r="DC40" s="101">
        <v>0</v>
      </c>
      <c r="DD40" s="102">
        <v>2</v>
      </c>
      <c r="DE40" s="100" t="s">
        <v>445</v>
      </c>
      <c r="DF40" s="101">
        <v>3</v>
      </c>
      <c r="DG40" s="101">
        <v>0</v>
      </c>
      <c r="DH40" s="101">
        <v>1</v>
      </c>
      <c r="DI40" s="101">
        <v>0</v>
      </c>
      <c r="DJ40" s="101">
        <v>1</v>
      </c>
      <c r="DK40" s="101">
        <v>1</v>
      </c>
      <c r="DL40" s="101">
        <v>0</v>
      </c>
      <c r="DM40" s="101">
        <v>0</v>
      </c>
      <c r="DN40" s="102">
        <v>1</v>
      </c>
      <c r="DO40" s="100" t="s">
        <v>364</v>
      </c>
      <c r="DP40" s="101">
        <v>4</v>
      </c>
      <c r="DQ40" s="101">
        <v>1</v>
      </c>
      <c r="DR40" s="101">
        <v>2</v>
      </c>
      <c r="DS40" s="101">
        <v>0</v>
      </c>
      <c r="DT40" s="101">
        <v>0</v>
      </c>
      <c r="DU40" s="101">
        <v>0</v>
      </c>
      <c r="DV40" s="101">
        <v>0</v>
      </c>
      <c r="DW40" s="101">
        <v>0</v>
      </c>
      <c r="DX40" s="102">
        <v>2</v>
      </c>
      <c r="DY40" s="103">
        <v>0</v>
      </c>
      <c r="DZ40" s="104">
        <v>0</v>
      </c>
      <c r="EA40" s="104">
        <v>0</v>
      </c>
      <c r="EB40" s="105">
        <v>10</v>
      </c>
      <c r="EC40" s="104">
        <v>0</v>
      </c>
      <c r="ED40" s="106">
        <v>1</v>
      </c>
      <c r="EE40" s="107">
        <v>0</v>
      </c>
      <c r="EF40" s="104">
        <v>0</v>
      </c>
      <c r="EG40" s="104">
        <v>0</v>
      </c>
      <c r="EH40" s="104">
        <v>0</v>
      </c>
      <c r="EI40" s="104">
        <v>0</v>
      </c>
      <c r="EJ40" s="104">
        <v>0</v>
      </c>
      <c r="EK40" s="104">
        <v>0</v>
      </c>
      <c r="EL40" s="104">
        <v>1</v>
      </c>
      <c r="EM40" s="104">
        <v>0</v>
      </c>
      <c r="EN40" s="104">
        <v>0</v>
      </c>
      <c r="EO40" s="104"/>
      <c r="EP40" s="104"/>
      <c r="EQ40" s="104"/>
      <c r="ER40" s="104"/>
      <c r="ES40" s="104"/>
      <c r="ET40" s="106">
        <f t="shared" si="10"/>
        <v>1</v>
      </c>
      <c r="EU40" s="104">
        <v>1</v>
      </c>
      <c r="EV40" s="104">
        <v>0</v>
      </c>
      <c r="EW40" s="104">
        <v>0</v>
      </c>
      <c r="EX40" s="104">
        <v>0</v>
      </c>
      <c r="EY40" s="104">
        <v>0</v>
      </c>
      <c r="EZ40" s="104">
        <v>0</v>
      </c>
      <c r="FA40" s="104">
        <v>0</v>
      </c>
      <c r="FB40" s="104">
        <v>0</v>
      </c>
      <c r="FC40" s="104">
        <v>0</v>
      </c>
      <c r="FD40" s="104">
        <v>1</v>
      </c>
      <c r="FE40" s="104"/>
      <c r="FF40" s="104"/>
      <c r="FG40" s="104"/>
      <c r="FH40" s="104"/>
      <c r="FI40" s="104"/>
      <c r="FJ40" s="104">
        <f t="shared" si="11"/>
        <v>2</v>
      </c>
      <c r="FK40" s="108">
        <f t="shared" si="8"/>
        <v>0</v>
      </c>
      <c r="FL40" s="108">
        <f t="shared" si="9"/>
        <v>0</v>
      </c>
      <c r="FM40" s="109"/>
    </row>
    <row r="41" spans="1:169" x14ac:dyDescent="0.25">
      <c r="A41" s="91">
        <v>40316</v>
      </c>
      <c r="B41" s="91" t="s">
        <v>133</v>
      </c>
      <c r="C41" s="91" t="s">
        <v>129</v>
      </c>
      <c r="D41" s="91" t="s">
        <v>471</v>
      </c>
      <c r="E41" s="92">
        <v>2834</v>
      </c>
      <c r="F41" s="93">
        <v>1</v>
      </c>
      <c r="G41" s="94" t="s">
        <v>424</v>
      </c>
      <c r="H41" s="95">
        <v>0</v>
      </c>
      <c r="I41" s="95">
        <v>0</v>
      </c>
      <c r="J41" s="96">
        <v>5</v>
      </c>
      <c r="K41" s="95">
        <v>7</v>
      </c>
      <c r="L41" s="95">
        <v>2</v>
      </c>
      <c r="M41" s="95">
        <v>2</v>
      </c>
      <c r="N41" s="95">
        <v>3</v>
      </c>
      <c r="O41" s="95">
        <v>8</v>
      </c>
      <c r="P41" s="95">
        <v>0</v>
      </c>
      <c r="Q41" s="95">
        <v>0</v>
      </c>
      <c r="R41" s="95">
        <v>24</v>
      </c>
      <c r="S41" s="95">
        <v>84</v>
      </c>
      <c r="T41" s="95">
        <v>50</v>
      </c>
      <c r="U41" s="95">
        <v>0</v>
      </c>
      <c r="V41" s="97">
        <v>0</v>
      </c>
      <c r="W41" s="98">
        <v>1</v>
      </c>
      <c r="X41" s="98">
        <v>0</v>
      </c>
      <c r="Y41" s="98">
        <v>1</v>
      </c>
      <c r="Z41" s="98">
        <v>1</v>
      </c>
      <c r="AA41" s="98">
        <v>0</v>
      </c>
      <c r="AB41" s="99">
        <v>4</v>
      </c>
      <c r="AC41" s="98">
        <v>3</v>
      </c>
      <c r="AD41" s="98">
        <v>0</v>
      </c>
      <c r="AE41" s="98">
        <v>0</v>
      </c>
      <c r="AF41" s="98">
        <v>0</v>
      </c>
      <c r="AG41" s="98">
        <v>2</v>
      </c>
      <c r="AH41" s="98">
        <v>0</v>
      </c>
      <c r="AI41" s="98">
        <v>0</v>
      </c>
      <c r="AJ41" s="98">
        <v>16</v>
      </c>
      <c r="AK41" s="98">
        <v>45</v>
      </c>
      <c r="AL41" s="98">
        <v>35</v>
      </c>
      <c r="AM41" s="100" t="s">
        <v>441</v>
      </c>
      <c r="AN41" s="101">
        <v>5</v>
      </c>
      <c r="AO41" s="101">
        <v>0</v>
      </c>
      <c r="AP41" s="101">
        <v>1</v>
      </c>
      <c r="AQ41" s="101">
        <v>0</v>
      </c>
      <c r="AR41" s="101">
        <v>0</v>
      </c>
      <c r="AS41" s="101">
        <v>2</v>
      </c>
      <c r="AT41" s="101">
        <v>0</v>
      </c>
      <c r="AU41" s="101">
        <v>0</v>
      </c>
      <c r="AV41" s="102">
        <v>1</v>
      </c>
      <c r="AW41" s="100" t="s">
        <v>365</v>
      </c>
      <c r="AX41" s="101">
        <v>5</v>
      </c>
      <c r="AY41" s="101">
        <v>0</v>
      </c>
      <c r="AZ41" s="101">
        <v>0</v>
      </c>
      <c r="BA41" s="101">
        <v>0</v>
      </c>
      <c r="BB41" s="101">
        <v>0</v>
      </c>
      <c r="BC41" s="101">
        <v>0</v>
      </c>
      <c r="BD41" s="101">
        <v>0</v>
      </c>
      <c r="BE41" s="101">
        <v>0</v>
      </c>
      <c r="BF41" s="102">
        <v>0</v>
      </c>
      <c r="BG41" s="100" t="s">
        <v>446</v>
      </c>
      <c r="BH41" s="101">
        <v>3</v>
      </c>
      <c r="BI41" s="101">
        <v>1</v>
      </c>
      <c r="BJ41" s="101">
        <v>1</v>
      </c>
      <c r="BK41" s="101">
        <v>0</v>
      </c>
      <c r="BL41" s="101">
        <v>2</v>
      </c>
      <c r="BM41" s="101">
        <v>0</v>
      </c>
      <c r="BN41" s="101">
        <v>0</v>
      </c>
      <c r="BO41" s="101">
        <v>0</v>
      </c>
      <c r="BP41" s="102">
        <v>1</v>
      </c>
      <c r="BQ41" s="100" t="s">
        <v>443</v>
      </c>
      <c r="BR41" s="101">
        <v>3</v>
      </c>
      <c r="BS41" s="101">
        <v>0</v>
      </c>
      <c r="BT41" s="101">
        <v>0</v>
      </c>
      <c r="BU41" s="101">
        <v>0</v>
      </c>
      <c r="BV41" s="101">
        <v>1</v>
      </c>
      <c r="BW41" s="101">
        <v>2</v>
      </c>
      <c r="BX41" s="101">
        <v>0</v>
      </c>
      <c r="BY41" s="101">
        <v>0</v>
      </c>
      <c r="BZ41" s="102">
        <v>0</v>
      </c>
      <c r="CA41" s="100" t="s">
        <v>473</v>
      </c>
      <c r="CB41" s="101">
        <v>4</v>
      </c>
      <c r="CC41" s="101">
        <v>0</v>
      </c>
      <c r="CD41" s="101">
        <v>1</v>
      </c>
      <c r="CE41" s="101">
        <v>1</v>
      </c>
      <c r="CF41" s="101">
        <v>0</v>
      </c>
      <c r="CG41" s="101">
        <v>0</v>
      </c>
      <c r="CH41" s="101">
        <v>0</v>
      </c>
      <c r="CI41" s="101">
        <v>0</v>
      </c>
      <c r="CJ41" s="102">
        <v>2</v>
      </c>
      <c r="CK41" s="100" t="s">
        <v>366</v>
      </c>
      <c r="CL41" s="101">
        <v>3</v>
      </c>
      <c r="CM41" s="101">
        <v>1</v>
      </c>
      <c r="CN41" s="101">
        <v>0</v>
      </c>
      <c r="CO41" s="101">
        <v>0</v>
      </c>
      <c r="CP41" s="101">
        <v>1</v>
      </c>
      <c r="CQ41" s="101">
        <v>2</v>
      </c>
      <c r="CR41" s="101">
        <v>0</v>
      </c>
      <c r="CS41" s="101">
        <v>0</v>
      </c>
      <c r="CT41" s="102">
        <v>0</v>
      </c>
      <c r="CU41" s="100" t="s">
        <v>448</v>
      </c>
      <c r="CV41" s="101">
        <v>4</v>
      </c>
      <c r="CW41" s="101">
        <v>1</v>
      </c>
      <c r="CX41" s="101">
        <v>1</v>
      </c>
      <c r="CY41" s="101">
        <v>0</v>
      </c>
      <c r="CZ41" s="101">
        <v>0</v>
      </c>
      <c r="DA41" s="101">
        <v>0</v>
      </c>
      <c r="DB41" s="101">
        <v>0</v>
      </c>
      <c r="DC41" s="101">
        <v>0</v>
      </c>
      <c r="DD41" s="102">
        <v>2</v>
      </c>
      <c r="DE41" s="100" t="s">
        <v>445</v>
      </c>
      <c r="DF41" s="101">
        <v>3</v>
      </c>
      <c r="DG41" s="101">
        <v>0</v>
      </c>
      <c r="DH41" s="101">
        <v>1</v>
      </c>
      <c r="DI41" s="101">
        <v>1</v>
      </c>
      <c r="DJ41" s="101">
        <v>1</v>
      </c>
      <c r="DK41" s="101">
        <v>1</v>
      </c>
      <c r="DL41" s="101">
        <v>0</v>
      </c>
      <c r="DM41" s="101">
        <v>0</v>
      </c>
      <c r="DN41" s="102">
        <v>2</v>
      </c>
      <c r="DO41" s="100" t="s">
        <v>364</v>
      </c>
      <c r="DP41" s="101">
        <v>4</v>
      </c>
      <c r="DQ41" s="101">
        <v>0</v>
      </c>
      <c r="DR41" s="101">
        <v>1</v>
      </c>
      <c r="DS41" s="101">
        <v>1</v>
      </c>
      <c r="DT41" s="101">
        <v>0</v>
      </c>
      <c r="DU41" s="101">
        <v>0</v>
      </c>
      <c r="DV41" s="101">
        <v>0</v>
      </c>
      <c r="DW41" s="101">
        <v>0</v>
      </c>
      <c r="DX41" s="102">
        <v>1</v>
      </c>
      <c r="DY41" s="103">
        <v>4</v>
      </c>
      <c r="DZ41" s="104">
        <v>0</v>
      </c>
      <c r="EA41" s="104">
        <v>0</v>
      </c>
      <c r="EB41" s="105">
        <v>5</v>
      </c>
      <c r="EC41" s="104">
        <v>0</v>
      </c>
      <c r="ED41" s="106">
        <v>0</v>
      </c>
      <c r="EE41" s="107">
        <v>0</v>
      </c>
      <c r="EF41" s="104">
        <v>1</v>
      </c>
      <c r="EG41" s="104">
        <v>1</v>
      </c>
      <c r="EH41" s="104">
        <v>0</v>
      </c>
      <c r="EI41" s="104">
        <v>0</v>
      </c>
      <c r="EJ41" s="104">
        <v>0</v>
      </c>
      <c r="EK41" s="104">
        <v>0</v>
      </c>
      <c r="EL41" s="104">
        <v>1</v>
      </c>
      <c r="EM41" s="104">
        <v>0</v>
      </c>
      <c r="EN41" s="104"/>
      <c r="EO41" s="104"/>
      <c r="EP41" s="104"/>
      <c r="EQ41" s="104"/>
      <c r="ER41" s="104"/>
      <c r="ES41" s="104"/>
      <c r="ET41" s="106">
        <f t="shared" si="10"/>
        <v>3</v>
      </c>
      <c r="EU41" s="104">
        <v>2</v>
      </c>
      <c r="EV41" s="104">
        <v>0</v>
      </c>
      <c r="EW41" s="104">
        <v>0</v>
      </c>
      <c r="EX41" s="104">
        <v>0</v>
      </c>
      <c r="EY41" s="104">
        <v>0</v>
      </c>
      <c r="EZ41" s="104">
        <v>0</v>
      </c>
      <c r="FA41" s="104">
        <v>0</v>
      </c>
      <c r="FB41" s="104">
        <v>0</v>
      </c>
      <c r="FC41" s="104">
        <v>0</v>
      </c>
      <c r="FD41" s="104"/>
      <c r="FE41" s="104"/>
      <c r="FF41" s="104"/>
      <c r="FG41" s="104"/>
      <c r="FH41" s="104"/>
      <c r="FI41" s="104"/>
      <c r="FJ41" s="104">
        <f t="shared" si="11"/>
        <v>2</v>
      </c>
      <c r="FK41" s="108">
        <f t="shared" si="8"/>
        <v>0</v>
      </c>
      <c r="FL41" s="108">
        <f t="shared" si="9"/>
        <v>0</v>
      </c>
      <c r="FM41" s="109"/>
    </row>
    <row r="42" spans="1:169" x14ac:dyDescent="0.25">
      <c r="A42" s="91">
        <v>40317</v>
      </c>
      <c r="B42" s="91" t="s">
        <v>133</v>
      </c>
      <c r="C42" s="91" t="s">
        <v>129</v>
      </c>
      <c r="D42" s="91" t="s">
        <v>471</v>
      </c>
      <c r="E42" s="92">
        <v>8448</v>
      </c>
      <c r="F42" s="93">
        <v>2</v>
      </c>
      <c r="G42" s="94" t="s">
        <v>438</v>
      </c>
      <c r="H42" s="95">
        <v>0</v>
      </c>
      <c r="I42" s="95">
        <v>0</v>
      </c>
      <c r="J42" s="96">
        <v>4</v>
      </c>
      <c r="K42" s="95">
        <v>4</v>
      </c>
      <c r="L42" s="95">
        <v>3</v>
      </c>
      <c r="M42" s="95">
        <v>2</v>
      </c>
      <c r="N42" s="95">
        <v>3</v>
      </c>
      <c r="O42" s="95">
        <v>1</v>
      </c>
      <c r="P42" s="95">
        <v>0</v>
      </c>
      <c r="Q42" s="95">
        <v>0</v>
      </c>
      <c r="R42" s="95">
        <v>19</v>
      </c>
      <c r="S42" s="95">
        <v>81</v>
      </c>
      <c r="T42" s="95">
        <v>44</v>
      </c>
      <c r="U42" s="95">
        <v>0</v>
      </c>
      <c r="V42" s="97">
        <v>0</v>
      </c>
      <c r="W42" s="98">
        <v>1</v>
      </c>
      <c r="X42" s="98">
        <v>0</v>
      </c>
      <c r="Y42" s="98">
        <v>0</v>
      </c>
      <c r="Z42" s="98">
        <v>1</v>
      </c>
      <c r="AA42" s="98">
        <v>0</v>
      </c>
      <c r="AB42" s="99">
        <v>5</v>
      </c>
      <c r="AC42" s="98">
        <v>2</v>
      </c>
      <c r="AD42" s="98">
        <v>1</v>
      </c>
      <c r="AE42" s="98">
        <v>1</v>
      </c>
      <c r="AF42" s="98">
        <v>3</v>
      </c>
      <c r="AG42" s="98">
        <v>6</v>
      </c>
      <c r="AH42" s="98">
        <v>1</v>
      </c>
      <c r="AI42" s="98">
        <v>0</v>
      </c>
      <c r="AJ42" s="98">
        <v>21</v>
      </c>
      <c r="AK42" s="98">
        <v>86</v>
      </c>
      <c r="AL42" s="98">
        <v>51</v>
      </c>
      <c r="AM42" s="100" t="s">
        <v>441</v>
      </c>
      <c r="AN42" s="101">
        <v>5</v>
      </c>
      <c r="AO42" s="101">
        <v>0</v>
      </c>
      <c r="AP42" s="101">
        <v>2</v>
      </c>
      <c r="AQ42" s="101">
        <v>0</v>
      </c>
      <c r="AR42" s="101">
        <v>1</v>
      </c>
      <c r="AS42" s="101">
        <v>0</v>
      </c>
      <c r="AT42" s="101">
        <v>0</v>
      </c>
      <c r="AU42" s="101">
        <v>0</v>
      </c>
      <c r="AV42" s="102">
        <v>2</v>
      </c>
      <c r="AW42" s="100" t="s">
        <v>364</v>
      </c>
      <c r="AX42" s="101">
        <v>4</v>
      </c>
      <c r="AY42" s="101">
        <v>2</v>
      </c>
      <c r="AZ42" s="101">
        <v>1</v>
      </c>
      <c r="BA42" s="101">
        <v>1</v>
      </c>
      <c r="BB42" s="101">
        <v>2</v>
      </c>
      <c r="BC42" s="101">
        <v>0</v>
      </c>
      <c r="BD42" s="101">
        <v>0</v>
      </c>
      <c r="BE42" s="101">
        <v>0</v>
      </c>
      <c r="BF42" s="102">
        <v>1</v>
      </c>
      <c r="BG42" s="100" t="s">
        <v>473</v>
      </c>
      <c r="BH42" s="101">
        <v>5</v>
      </c>
      <c r="BI42" s="101">
        <v>0</v>
      </c>
      <c r="BJ42" s="101">
        <v>1</v>
      </c>
      <c r="BK42" s="101">
        <v>1</v>
      </c>
      <c r="BL42" s="101">
        <v>0</v>
      </c>
      <c r="BM42" s="101">
        <v>2</v>
      </c>
      <c r="BN42" s="101">
        <v>0</v>
      </c>
      <c r="BO42" s="101">
        <v>0</v>
      </c>
      <c r="BP42" s="102">
        <v>1</v>
      </c>
      <c r="BQ42" s="100" t="s">
        <v>366</v>
      </c>
      <c r="BR42" s="101">
        <v>3</v>
      </c>
      <c r="BS42" s="101">
        <v>1</v>
      </c>
      <c r="BT42" s="101">
        <v>1</v>
      </c>
      <c r="BU42" s="101">
        <v>0</v>
      </c>
      <c r="BV42" s="101">
        <v>3</v>
      </c>
      <c r="BW42" s="101">
        <v>1</v>
      </c>
      <c r="BX42" s="101">
        <v>0</v>
      </c>
      <c r="BY42" s="101">
        <v>0</v>
      </c>
      <c r="BZ42" s="102">
        <v>1</v>
      </c>
      <c r="CA42" s="100" t="s">
        <v>401</v>
      </c>
      <c r="CB42" s="101">
        <v>5</v>
      </c>
      <c r="CC42" s="101">
        <v>1</v>
      </c>
      <c r="CD42" s="101">
        <v>3</v>
      </c>
      <c r="CE42" s="101">
        <v>2</v>
      </c>
      <c r="CF42" s="101">
        <v>0</v>
      </c>
      <c r="CG42" s="101">
        <v>0</v>
      </c>
      <c r="CH42" s="101">
        <v>0</v>
      </c>
      <c r="CI42" s="101">
        <v>0</v>
      </c>
      <c r="CJ42" s="102">
        <v>4</v>
      </c>
      <c r="CK42" s="100" t="s">
        <v>443</v>
      </c>
      <c r="CL42" s="101">
        <v>4</v>
      </c>
      <c r="CM42" s="101">
        <v>1</v>
      </c>
      <c r="CN42" s="101">
        <v>2</v>
      </c>
      <c r="CO42" s="101">
        <v>2</v>
      </c>
      <c r="CP42" s="101">
        <v>1</v>
      </c>
      <c r="CQ42" s="101">
        <v>1</v>
      </c>
      <c r="CR42" s="101">
        <v>0</v>
      </c>
      <c r="CS42" s="101">
        <v>0</v>
      </c>
      <c r="CT42" s="102">
        <v>2</v>
      </c>
      <c r="CU42" s="100" t="s">
        <v>448</v>
      </c>
      <c r="CV42" s="101">
        <v>5</v>
      </c>
      <c r="CW42" s="101">
        <v>1</v>
      </c>
      <c r="CX42" s="101">
        <v>2</v>
      </c>
      <c r="CY42" s="101">
        <v>1</v>
      </c>
      <c r="CZ42" s="101">
        <v>0</v>
      </c>
      <c r="DA42" s="101">
        <v>0</v>
      </c>
      <c r="DB42" s="101">
        <v>0</v>
      </c>
      <c r="DC42" s="101">
        <v>0</v>
      </c>
      <c r="DD42" s="102">
        <v>2</v>
      </c>
      <c r="DE42" s="100" t="s">
        <v>445</v>
      </c>
      <c r="DF42" s="101">
        <v>3</v>
      </c>
      <c r="DG42" s="101">
        <v>1</v>
      </c>
      <c r="DH42" s="101">
        <v>2</v>
      </c>
      <c r="DI42" s="101">
        <v>0</v>
      </c>
      <c r="DJ42" s="101">
        <v>1</v>
      </c>
      <c r="DK42" s="101">
        <v>1</v>
      </c>
      <c r="DL42" s="101">
        <v>0</v>
      </c>
      <c r="DM42" s="101">
        <v>0</v>
      </c>
      <c r="DN42" s="102">
        <v>3</v>
      </c>
      <c r="DO42" s="100" t="s">
        <v>449</v>
      </c>
      <c r="DP42" s="101">
        <v>4</v>
      </c>
      <c r="DQ42" s="101">
        <v>2</v>
      </c>
      <c r="DR42" s="101">
        <v>1</v>
      </c>
      <c r="DS42" s="101">
        <v>0</v>
      </c>
      <c r="DT42" s="101">
        <v>0</v>
      </c>
      <c r="DU42" s="101">
        <v>0</v>
      </c>
      <c r="DV42" s="101">
        <v>0</v>
      </c>
      <c r="DW42" s="101">
        <v>0</v>
      </c>
      <c r="DX42" s="102">
        <v>1</v>
      </c>
      <c r="DY42" s="103">
        <v>0</v>
      </c>
      <c r="DZ42" s="104">
        <v>0</v>
      </c>
      <c r="EA42" s="104">
        <v>0</v>
      </c>
      <c r="EB42" s="105">
        <v>9</v>
      </c>
      <c r="EC42" s="104">
        <v>3</v>
      </c>
      <c r="ED42" s="106">
        <v>0</v>
      </c>
      <c r="EE42" s="107">
        <v>0</v>
      </c>
      <c r="EF42" s="104">
        <v>0</v>
      </c>
      <c r="EG42" s="104">
        <v>3</v>
      </c>
      <c r="EH42" s="104">
        <v>2</v>
      </c>
      <c r="EI42" s="104">
        <v>1</v>
      </c>
      <c r="EJ42" s="104">
        <v>0</v>
      </c>
      <c r="EK42" s="104">
        <v>0</v>
      </c>
      <c r="EL42" s="104">
        <v>1</v>
      </c>
      <c r="EM42" s="104">
        <v>2</v>
      </c>
      <c r="EN42" s="104"/>
      <c r="EO42" s="104"/>
      <c r="EP42" s="104"/>
      <c r="EQ42" s="104"/>
      <c r="ER42" s="104"/>
      <c r="ES42" s="104"/>
      <c r="ET42" s="106">
        <f t="shared" si="10"/>
        <v>9</v>
      </c>
      <c r="EU42" s="104">
        <v>1</v>
      </c>
      <c r="EV42" s="104">
        <v>0</v>
      </c>
      <c r="EW42" s="104">
        <v>2</v>
      </c>
      <c r="EX42" s="104">
        <v>0</v>
      </c>
      <c r="EY42" s="104">
        <v>0</v>
      </c>
      <c r="EZ42" s="104">
        <v>0</v>
      </c>
      <c r="FA42" s="104">
        <v>1</v>
      </c>
      <c r="FB42" s="104">
        <v>0</v>
      </c>
      <c r="FC42" s="104">
        <v>0</v>
      </c>
      <c r="FD42" s="104"/>
      <c r="FE42" s="104"/>
      <c r="FF42" s="104"/>
      <c r="FG42" s="104"/>
      <c r="FH42" s="104"/>
      <c r="FI42" s="104"/>
      <c r="FJ42" s="104">
        <f t="shared" si="11"/>
        <v>4</v>
      </c>
      <c r="FK42" s="108">
        <f t="shared" si="8"/>
        <v>0</v>
      </c>
      <c r="FL42" s="108">
        <f t="shared" si="9"/>
        <v>0</v>
      </c>
      <c r="FM42" s="109"/>
    </row>
    <row r="43" spans="1:169" x14ac:dyDescent="0.25">
      <c r="A43" s="91">
        <v>40318</v>
      </c>
      <c r="B43" s="91" t="s">
        <v>133</v>
      </c>
      <c r="C43" s="91" t="s">
        <v>129</v>
      </c>
      <c r="D43" s="91" t="s">
        <v>380</v>
      </c>
      <c r="E43" s="92">
        <v>1393</v>
      </c>
      <c r="F43" s="93">
        <v>3</v>
      </c>
      <c r="G43" s="94" t="s">
        <v>368</v>
      </c>
      <c r="H43" s="95">
        <v>1</v>
      </c>
      <c r="I43" s="95">
        <v>0</v>
      </c>
      <c r="J43" s="96">
        <v>7</v>
      </c>
      <c r="K43" s="95">
        <v>7</v>
      </c>
      <c r="L43" s="95">
        <v>0</v>
      </c>
      <c r="M43" s="95">
        <v>0</v>
      </c>
      <c r="N43" s="95">
        <v>0</v>
      </c>
      <c r="O43" s="95">
        <v>3</v>
      </c>
      <c r="P43" s="95">
        <v>0</v>
      </c>
      <c r="Q43" s="95">
        <v>0</v>
      </c>
      <c r="R43" s="95">
        <v>26</v>
      </c>
      <c r="S43" s="95">
        <v>92</v>
      </c>
      <c r="T43" s="95">
        <v>62</v>
      </c>
      <c r="U43" s="95">
        <v>0</v>
      </c>
      <c r="V43" s="97">
        <v>0</v>
      </c>
      <c r="W43" s="98">
        <v>0</v>
      </c>
      <c r="X43" s="98">
        <v>0</v>
      </c>
      <c r="Y43" s="98">
        <v>1</v>
      </c>
      <c r="Z43" s="98">
        <v>1</v>
      </c>
      <c r="AA43" s="98">
        <v>0</v>
      </c>
      <c r="AB43" s="99">
        <v>2</v>
      </c>
      <c r="AC43" s="98">
        <v>2</v>
      </c>
      <c r="AD43" s="98">
        <v>0</v>
      </c>
      <c r="AE43" s="98">
        <v>0</v>
      </c>
      <c r="AF43" s="98">
        <v>0</v>
      </c>
      <c r="AG43" s="98">
        <v>1</v>
      </c>
      <c r="AH43" s="98">
        <v>0</v>
      </c>
      <c r="AI43" s="98">
        <v>0</v>
      </c>
      <c r="AJ43" s="98">
        <v>6</v>
      </c>
      <c r="AK43" s="98">
        <v>19</v>
      </c>
      <c r="AL43" s="98">
        <v>14</v>
      </c>
      <c r="AM43" s="100" t="s">
        <v>441</v>
      </c>
      <c r="AN43" s="101">
        <v>5</v>
      </c>
      <c r="AO43" s="101">
        <v>1</v>
      </c>
      <c r="AP43" s="101">
        <v>2</v>
      </c>
      <c r="AQ43" s="101">
        <v>1</v>
      </c>
      <c r="AR43" s="101">
        <v>0</v>
      </c>
      <c r="AS43" s="101">
        <v>1</v>
      </c>
      <c r="AT43" s="101">
        <v>0</v>
      </c>
      <c r="AU43" s="101">
        <v>0</v>
      </c>
      <c r="AV43" s="102">
        <v>2</v>
      </c>
      <c r="AW43" s="100" t="s">
        <v>401</v>
      </c>
      <c r="AX43" s="101">
        <v>4</v>
      </c>
      <c r="AY43" s="101">
        <v>0</v>
      </c>
      <c r="AZ43" s="101">
        <v>0</v>
      </c>
      <c r="BA43" s="101">
        <v>0</v>
      </c>
      <c r="BB43" s="101">
        <v>0</v>
      </c>
      <c r="BC43" s="101">
        <v>1</v>
      </c>
      <c r="BD43" s="101">
        <v>0</v>
      </c>
      <c r="BE43" s="101">
        <v>0</v>
      </c>
      <c r="BF43" s="102">
        <v>0</v>
      </c>
      <c r="BG43" s="100" t="s">
        <v>446</v>
      </c>
      <c r="BH43" s="101">
        <v>4</v>
      </c>
      <c r="BI43" s="101">
        <v>0</v>
      </c>
      <c r="BJ43" s="101">
        <v>2</v>
      </c>
      <c r="BK43" s="101">
        <v>0</v>
      </c>
      <c r="BL43" s="101">
        <v>0</v>
      </c>
      <c r="BM43" s="101">
        <v>1</v>
      </c>
      <c r="BN43" s="101">
        <v>0</v>
      </c>
      <c r="BO43" s="101">
        <v>0</v>
      </c>
      <c r="BP43" s="102">
        <v>2</v>
      </c>
      <c r="BQ43" s="100" t="s">
        <v>366</v>
      </c>
      <c r="BR43" s="101">
        <v>4</v>
      </c>
      <c r="BS43" s="101">
        <v>0</v>
      </c>
      <c r="BT43" s="101">
        <v>1</v>
      </c>
      <c r="BU43" s="101">
        <v>1</v>
      </c>
      <c r="BV43" s="101">
        <v>0</v>
      </c>
      <c r="BW43" s="101">
        <v>3</v>
      </c>
      <c r="BX43" s="101">
        <v>0</v>
      </c>
      <c r="BY43" s="101">
        <v>0</v>
      </c>
      <c r="BZ43" s="102">
        <v>1</v>
      </c>
      <c r="CA43" s="100" t="s">
        <v>473</v>
      </c>
      <c r="CB43" s="101">
        <v>3</v>
      </c>
      <c r="CC43" s="101">
        <v>0</v>
      </c>
      <c r="CD43" s="101">
        <v>1</v>
      </c>
      <c r="CE43" s="101">
        <v>1</v>
      </c>
      <c r="CF43" s="101">
        <v>1</v>
      </c>
      <c r="CG43" s="101">
        <v>1</v>
      </c>
      <c r="CH43" s="101">
        <v>0</v>
      </c>
      <c r="CI43" s="101">
        <v>0</v>
      </c>
      <c r="CJ43" s="102">
        <v>1</v>
      </c>
      <c r="CK43" s="100" t="s">
        <v>443</v>
      </c>
      <c r="CL43" s="101">
        <v>4</v>
      </c>
      <c r="CM43" s="101">
        <v>0</v>
      </c>
      <c r="CN43" s="101">
        <v>0</v>
      </c>
      <c r="CO43" s="101">
        <v>0</v>
      </c>
      <c r="CP43" s="101">
        <v>0</v>
      </c>
      <c r="CQ43" s="101">
        <v>2</v>
      </c>
      <c r="CR43" s="101">
        <v>0</v>
      </c>
      <c r="CS43" s="101">
        <v>0</v>
      </c>
      <c r="CT43" s="102">
        <v>0</v>
      </c>
      <c r="CU43" s="100" t="s">
        <v>448</v>
      </c>
      <c r="CV43" s="101">
        <v>4</v>
      </c>
      <c r="CW43" s="101">
        <v>1</v>
      </c>
      <c r="CX43" s="101">
        <v>2</v>
      </c>
      <c r="CY43" s="101">
        <v>0</v>
      </c>
      <c r="CZ43" s="101">
        <v>0</v>
      </c>
      <c r="DA43" s="101">
        <v>1</v>
      </c>
      <c r="DB43" s="101">
        <v>0</v>
      </c>
      <c r="DC43" s="101">
        <v>0</v>
      </c>
      <c r="DD43" s="102">
        <v>2</v>
      </c>
      <c r="DE43" s="100" t="s">
        <v>445</v>
      </c>
      <c r="DF43" s="101">
        <v>2</v>
      </c>
      <c r="DG43" s="101">
        <v>0</v>
      </c>
      <c r="DH43" s="101">
        <v>0</v>
      </c>
      <c r="DI43" s="101">
        <v>0</v>
      </c>
      <c r="DJ43" s="101">
        <v>0</v>
      </c>
      <c r="DK43" s="101">
        <v>0</v>
      </c>
      <c r="DL43" s="101">
        <v>1</v>
      </c>
      <c r="DM43" s="101">
        <v>0</v>
      </c>
      <c r="DN43" s="102">
        <v>0</v>
      </c>
      <c r="DO43" s="100" t="s">
        <v>365</v>
      </c>
      <c r="DP43" s="101">
        <v>4</v>
      </c>
      <c r="DQ43" s="101">
        <v>1</v>
      </c>
      <c r="DR43" s="101">
        <v>1</v>
      </c>
      <c r="DS43" s="101">
        <v>0</v>
      </c>
      <c r="DT43" s="101">
        <v>0</v>
      </c>
      <c r="DU43" s="101">
        <v>1</v>
      </c>
      <c r="DV43" s="101">
        <v>0</v>
      </c>
      <c r="DW43" s="101">
        <v>0</v>
      </c>
      <c r="DX43" s="102">
        <v>1</v>
      </c>
      <c r="DY43" s="103">
        <v>3</v>
      </c>
      <c r="DZ43" s="104">
        <v>3</v>
      </c>
      <c r="EA43" s="104">
        <v>0</v>
      </c>
      <c r="EB43" s="105">
        <v>6</v>
      </c>
      <c r="EC43" s="104">
        <v>0</v>
      </c>
      <c r="ED43" s="106">
        <v>1</v>
      </c>
      <c r="EE43" s="107">
        <v>0</v>
      </c>
      <c r="EF43" s="104">
        <v>0</v>
      </c>
      <c r="EG43" s="104">
        <v>2</v>
      </c>
      <c r="EH43" s="104">
        <v>0</v>
      </c>
      <c r="EI43" s="104">
        <v>0</v>
      </c>
      <c r="EJ43" s="104">
        <v>0</v>
      </c>
      <c r="EK43" s="104">
        <v>0</v>
      </c>
      <c r="EL43" s="104">
        <v>0</v>
      </c>
      <c r="EM43" s="104">
        <v>1</v>
      </c>
      <c r="EN43" s="104"/>
      <c r="EO43" s="104"/>
      <c r="EP43" s="104"/>
      <c r="EQ43" s="104"/>
      <c r="ER43" s="104"/>
      <c r="ES43" s="104"/>
      <c r="ET43" s="106">
        <f t="shared" si="10"/>
        <v>3</v>
      </c>
      <c r="EU43" s="104">
        <v>0</v>
      </c>
      <c r="EV43" s="104">
        <v>0</v>
      </c>
      <c r="EW43" s="104">
        <v>0</v>
      </c>
      <c r="EX43" s="104">
        <v>0</v>
      </c>
      <c r="EY43" s="104">
        <v>0</v>
      </c>
      <c r="EZ43" s="104">
        <v>0</v>
      </c>
      <c r="FA43" s="104">
        <v>0</v>
      </c>
      <c r="FB43" s="104">
        <v>0</v>
      </c>
      <c r="FC43" s="104">
        <v>0</v>
      </c>
      <c r="FD43" s="104"/>
      <c r="FE43" s="104"/>
      <c r="FF43" s="104"/>
      <c r="FG43" s="104"/>
      <c r="FH43" s="104"/>
      <c r="FI43" s="104"/>
      <c r="FJ43" s="104">
        <f t="shared" si="11"/>
        <v>0</v>
      </c>
      <c r="FK43" s="108">
        <f t="shared" si="8"/>
        <v>0</v>
      </c>
      <c r="FL43" s="108">
        <f t="shared" si="9"/>
        <v>0</v>
      </c>
      <c r="FM43" s="109"/>
    </row>
    <row r="44" spans="1:169" x14ac:dyDescent="0.25">
      <c r="A44" s="91">
        <v>40319</v>
      </c>
      <c r="B44" s="91" t="s">
        <v>133</v>
      </c>
      <c r="C44" s="91" t="s">
        <v>131</v>
      </c>
      <c r="D44" s="91" t="s">
        <v>380</v>
      </c>
      <c r="E44" s="92"/>
      <c r="F44" s="93">
        <v>4</v>
      </c>
      <c r="G44" s="94" t="s">
        <v>439</v>
      </c>
      <c r="H44" s="95">
        <v>0</v>
      </c>
      <c r="I44" s="95">
        <v>1</v>
      </c>
      <c r="J44" s="96">
        <v>4</v>
      </c>
      <c r="K44" s="95">
        <v>5</v>
      </c>
      <c r="L44" s="95">
        <v>5</v>
      </c>
      <c r="M44" s="95">
        <v>3</v>
      </c>
      <c r="N44" s="95">
        <v>2</v>
      </c>
      <c r="O44" s="95">
        <v>4</v>
      </c>
      <c r="P44" s="95">
        <v>1</v>
      </c>
      <c r="Q44" s="95">
        <v>0</v>
      </c>
      <c r="R44" s="95">
        <v>20</v>
      </c>
      <c r="S44" s="95">
        <v>74</v>
      </c>
      <c r="T44" s="95">
        <v>48</v>
      </c>
      <c r="U44" s="95">
        <v>0</v>
      </c>
      <c r="V44" s="97">
        <v>0</v>
      </c>
      <c r="W44" s="98">
        <v>0</v>
      </c>
      <c r="X44" s="98">
        <v>0</v>
      </c>
      <c r="Y44" s="98">
        <v>0</v>
      </c>
      <c r="Z44" s="98">
        <v>0</v>
      </c>
      <c r="AA44" s="98">
        <v>0</v>
      </c>
      <c r="AB44" s="99">
        <v>2</v>
      </c>
      <c r="AC44" s="98">
        <v>0</v>
      </c>
      <c r="AD44" s="98">
        <v>0</v>
      </c>
      <c r="AE44" s="98">
        <v>0</v>
      </c>
      <c r="AF44" s="98">
        <v>0</v>
      </c>
      <c r="AG44" s="98">
        <v>2</v>
      </c>
      <c r="AH44" s="98">
        <v>0</v>
      </c>
      <c r="AI44" s="98">
        <v>0</v>
      </c>
      <c r="AJ44" s="98">
        <v>6</v>
      </c>
      <c r="AK44" s="98">
        <v>22</v>
      </c>
      <c r="AL44" s="98">
        <v>12</v>
      </c>
      <c r="AM44" s="100" t="s">
        <v>441</v>
      </c>
      <c r="AN44" s="101">
        <v>3</v>
      </c>
      <c r="AO44" s="101">
        <v>2</v>
      </c>
      <c r="AP44" s="101">
        <v>1</v>
      </c>
      <c r="AQ44" s="101">
        <v>0</v>
      </c>
      <c r="AR44" s="101">
        <v>1</v>
      </c>
      <c r="AS44" s="101">
        <v>0</v>
      </c>
      <c r="AT44" s="101">
        <v>0</v>
      </c>
      <c r="AU44" s="101">
        <v>0</v>
      </c>
      <c r="AV44" s="102">
        <v>1</v>
      </c>
      <c r="AW44" s="100" t="s">
        <v>401</v>
      </c>
      <c r="AX44" s="101">
        <v>3</v>
      </c>
      <c r="AY44" s="101">
        <v>0</v>
      </c>
      <c r="AZ44" s="101">
        <v>2</v>
      </c>
      <c r="BA44" s="101">
        <v>0</v>
      </c>
      <c r="BB44" s="101">
        <v>1</v>
      </c>
      <c r="BC44" s="101">
        <v>0</v>
      </c>
      <c r="BD44" s="101">
        <v>0</v>
      </c>
      <c r="BE44" s="101">
        <v>0</v>
      </c>
      <c r="BF44" s="102">
        <v>4</v>
      </c>
      <c r="BG44" s="100" t="s">
        <v>446</v>
      </c>
      <c r="BH44" s="101">
        <v>3</v>
      </c>
      <c r="BI44" s="101">
        <v>0</v>
      </c>
      <c r="BJ44" s="101">
        <v>0</v>
      </c>
      <c r="BK44" s="101">
        <v>2</v>
      </c>
      <c r="BL44" s="101">
        <v>0</v>
      </c>
      <c r="BM44" s="101">
        <v>1</v>
      </c>
      <c r="BN44" s="101">
        <v>0</v>
      </c>
      <c r="BO44" s="101">
        <v>1</v>
      </c>
      <c r="BP44" s="102">
        <v>0</v>
      </c>
      <c r="BQ44" s="100" t="s">
        <v>366</v>
      </c>
      <c r="BR44" s="101">
        <v>4</v>
      </c>
      <c r="BS44" s="101">
        <v>0</v>
      </c>
      <c r="BT44" s="101">
        <v>0</v>
      </c>
      <c r="BU44" s="101">
        <v>0</v>
      </c>
      <c r="BV44" s="101">
        <v>0</v>
      </c>
      <c r="BW44" s="101">
        <v>0</v>
      </c>
      <c r="BX44" s="101">
        <v>0</v>
      </c>
      <c r="BY44" s="101">
        <v>0</v>
      </c>
      <c r="BZ44" s="102">
        <v>0</v>
      </c>
      <c r="CA44" s="100" t="s">
        <v>473</v>
      </c>
      <c r="CB44" s="101">
        <v>3</v>
      </c>
      <c r="CC44" s="101">
        <v>0</v>
      </c>
      <c r="CD44" s="101">
        <v>0</v>
      </c>
      <c r="CE44" s="101">
        <v>0</v>
      </c>
      <c r="CF44" s="101">
        <v>0</v>
      </c>
      <c r="CG44" s="101">
        <v>2</v>
      </c>
      <c r="CH44" s="101">
        <v>0</v>
      </c>
      <c r="CI44" s="101">
        <v>0</v>
      </c>
      <c r="CJ44" s="102">
        <v>0</v>
      </c>
      <c r="CK44" s="100" t="s">
        <v>443</v>
      </c>
      <c r="CL44" s="101">
        <v>3</v>
      </c>
      <c r="CM44" s="101">
        <v>1</v>
      </c>
      <c r="CN44" s="101">
        <v>3</v>
      </c>
      <c r="CO44" s="101">
        <v>0</v>
      </c>
      <c r="CP44" s="101">
        <v>0</v>
      </c>
      <c r="CQ44" s="101">
        <v>0</v>
      </c>
      <c r="CR44" s="101">
        <v>0</v>
      </c>
      <c r="CS44" s="101">
        <v>0</v>
      </c>
      <c r="CT44" s="102">
        <v>3</v>
      </c>
      <c r="CU44" s="100" t="s">
        <v>448</v>
      </c>
      <c r="CV44" s="101">
        <v>3</v>
      </c>
      <c r="CW44" s="101">
        <v>0</v>
      </c>
      <c r="CX44" s="101">
        <v>1</v>
      </c>
      <c r="CY44" s="101">
        <v>0</v>
      </c>
      <c r="CZ44" s="101">
        <v>0</v>
      </c>
      <c r="DA44" s="101">
        <v>1</v>
      </c>
      <c r="DB44" s="101">
        <v>0</v>
      </c>
      <c r="DC44" s="101">
        <v>0</v>
      </c>
      <c r="DD44" s="102">
        <v>1</v>
      </c>
      <c r="DE44" s="100" t="s">
        <v>445</v>
      </c>
      <c r="DF44" s="101">
        <v>3</v>
      </c>
      <c r="DG44" s="101">
        <v>0</v>
      </c>
      <c r="DH44" s="101">
        <v>0</v>
      </c>
      <c r="DI44" s="101">
        <v>0</v>
      </c>
      <c r="DJ44" s="101">
        <v>0</v>
      </c>
      <c r="DK44" s="101">
        <v>0</v>
      </c>
      <c r="DL44" s="101">
        <v>0</v>
      </c>
      <c r="DM44" s="101">
        <v>0</v>
      </c>
      <c r="DN44" s="102">
        <v>0</v>
      </c>
      <c r="DO44" s="100" t="s">
        <v>365</v>
      </c>
      <c r="DP44" s="101">
        <v>2</v>
      </c>
      <c r="DQ44" s="101">
        <v>0</v>
      </c>
      <c r="DR44" s="101">
        <v>1</v>
      </c>
      <c r="DS44" s="101">
        <v>1</v>
      </c>
      <c r="DT44" s="101">
        <v>1</v>
      </c>
      <c r="DU44" s="101">
        <v>0</v>
      </c>
      <c r="DV44" s="101">
        <v>0</v>
      </c>
      <c r="DW44" s="101">
        <v>0</v>
      </c>
      <c r="DX44" s="102">
        <v>1</v>
      </c>
      <c r="DY44" s="103">
        <v>0</v>
      </c>
      <c r="DZ44" s="104">
        <v>0</v>
      </c>
      <c r="EA44" s="104">
        <v>0</v>
      </c>
      <c r="EB44" s="105">
        <v>7</v>
      </c>
      <c r="EC44" s="104">
        <v>2</v>
      </c>
      <c r="ED44" s="106">
        <v>0</v>
      </c>
      <c r="EE44" s="107">
        <v>1</v>
      </c>
      <c r="EF44" s="104">
        <v>0</v>
      </c>
      <c r="EG44" s="104">
        <v>1</v>
      </c>
      <c r="EH44" s="104">
        <v>1</v>
      </c>
      <c r="EI44" s="104">
        <v>0</v>
      </c>
      <c r="EJ44" s="104">
        <v>0</v>
      </c>
      <c r="EK44" s="104">
        <v>0</v>
      </c>
      <c r="EL44" s="104"/>
      <c r="EM44" s="104"/>
      <c r="EN44" s="104"/>
      <c r="EO44" s="104"/>
      <c r="EP44" s="104"/>
      <c r="EQ44" s="104"/>
      <c r="ER44" s="104"/>
      <c r="ES44" s="104"/>
      <c r="ET44" s="106">
        <f t="shared" si="10"/>
        <v>3</v>
      </c>
      <c r="EU44" s="104">
        <v>0</v>
      </c>
      <c r="EV44" s="104">
        <v>2</v>
      </c>
      <c r="EW44" s="104">
        <v>2</v>
      </c>
      <c r="EX44" s="104">
        <v>1</v>
      </c>
      <c r="EY44" s="104">
        <v>0</v>
      </c>
      <c r="EZ44" s="104">
        <v>0</v>
      </c>
      <c r="FA44" s="104"/>
      <c r="FB44" s="104"/>
      <c r="FC44" s="104"/>
      <c r="FD44" s="104"/>
      <c r="FE44" s="104"/>
      <c r="FF44" s="104"/>
      <c r="FG44" s="104"/>
      <c r="FH44" s="104"/>
      <c r="FI44" s="104"/>
      <c r="FJ44" s="104">
        <f t="shared" si="11"/>
        <v>5</v>
      </c>
      <c r="FK44" s="108">
        <f t="shared" ref="FK44:FK55" si="12">((SUM(L44,AD44))-(FJ44))</f>
        <v>0</v>
      </c>
      <c r="FL44" s="108">
        <f t="shared" ref="FL44:FL55" si="13">((SUM(AO44,AY44,BI44,BS44,CC44,CM44,CW44,DG44,DQ44))-(ET44))</f>
        <v>0</v>
      </c>
      <c r="FM44" s="109" t="s">
        <v>475</v>
      </c>
    </row>
    <row r="45" spans="1:169" x14ac:dyDescent="0.25">
      <c r="A45" s="91">
        <v>40319</v>
      </c>
      <c r="B45" s="91" t="s">
        <v>133</v>
      </c>
      <c r="C45" s="91" t="s">
        <v>131</v>
      </c>
      <c r="D45" s="91" t="s">
        <v>380</v>
      </c>
      <c r="E45" s="92">
        <v>2136</v>
      </c>
      <c r="F45" s="58" t="s">
        <v>523</v>
      </c>
      <c r="G45" s="94" t="s">
        <v>437</v>
      </c>
      <c r="H45" s="95">
        <v>0</v>
      </c>
      <c r="I45" s="95">
        <v>1</v>
      </c>
      <c r="J45" s="96">
        <v>4</v>
      </c>
      <c r="K45" s="95">
        <v>6</v>
      </c>
      <c r="L45" s="95">
        <v>3</v>
      </c>
      <c r="M45" s="95">
        <v>1</v>
      </c>
      <c r="N45" s="95">
        <v>3</v>
      </c>
      <c r="O45" s="95">
        <v>5</v>
      </c>
      <c r="P45" s="95">
        <v>0</v>
      </c>
      <c r="Q45" s="95">
        <v>0</v>
      </c>
      <c r="R45" s="95">
        <v>21</v>
      </c>
      <c r="S45" s="95">
        <v>89</v>
      </c>
      <c r="T45" s="95">
        <v>48</v>
      </c>
      <c r="U45" s="95">
        <v>0</v>
      </c>
      <c r="V45" s="97">
        <v>0</v>
      </c>
      <c r="W45" s="98">
        <v>0</v>
      </c>
      <c r="X45" s="98">
        <v>0</v>
      </c>
      <c r="Y45" s="98">
        <v>0</v>
      </c>
      <c r="Z45" s="98">
        <v>0</v>
      </c>
      <c r="AA45" s="98">
        <v>0</v>
      </c>
      <c r="AB45" s="99">
        <v>2</v>
      </c>
      <c r="AC45" s="98">
        <v>1</v>
      </c>
      <c r="AD45" s="98">
        <v>0</v>
      </c>
      <c r="AE45" s="98">
        <v>0</v>
      </c>
      <c r="AF45" s="98">
        <v>0</v>
      </c>
      <c r="AG45" s="98">
        <v>2</v>
      </c>
      <c r="AH45" s="98">
        <v>0</v>
      </c>
      <c r="AI45" s="98">
        <v>0</v>
      </c>
      <c r="AJ45" s="98">
        <v>7</v>
      </c>
      <c r="AK45" s="98">
        <v>19</v>
      </c>
      <c r="AL45" s="98">
        <v>15</v>
      </c>
      <c r="AM45" s="100" t="s">
        <v>441</v>
      </c>
      <c r="AN45" s="101">
        <v>4</v>
      </c>
      <c r="AO45" s="101">
        <v>0</v>
      </c>
      <c r="AP45" s="101">
        <v>0</v>
      </c>
      <c r="AQ45" s="101">
        <v>0</v>
      </c>
      <c r="AR45" s="101">
        <v>0</v>
      </c>
      <c r="AS45" s="101">
        <v>0</v>
      </c>
      <c r="AT45" s="101">
        <v>0</v>
      </c>
      <c r="AU45" s="101">
        <v>0</v>
      </c>
      <c r="AV45" s="102">
        <v>0</v>
      </c>
      <c r="AW45" s="100" t="s">
        <v>364</v>
      </c>
      <c r="AX45" s="101">
        <v>3</v>
      </c>
      <c r="AY45" s="101">
        <v>1</v>
      </c>
      <c r="AZ45" s="101">
        <v>1</v>
      </c>
      <c r="BA45" s="101">
        <v>0</v>
      </c>
      <c r="BB45" s="101">
        <v>0</v>
      </c>
      <c r="BC45" s="101">
        <v>0</v>
      </c>
      <c r="BD45" s="101">
        <v>0</v>
      </c>
      <c r="BE45" s="101">
        <v>0</v>
      </c>
      <c r="BF45" s="102">
        <v>3</v>
      </c>
      <c r="BG45" s="100" t="s">
        <v>473</v>
      </c>
      <c r="BH45" s="101">
        <v>3</v>
      </c>
      <c r="BI45" s="101">
        <v>0</v>
      </c>
      <c r="BJ45" s="101">
        <v>0</v>
      </c>
      <c r="BK45" s="101">
        <v>1</v>
      </c>
      <c r="BL45" s="101">
        <v>0</v>
      </c>
      <c r="BM45" s="101">
        <v>0</v>
      </c>
      <c r="BN45" s="101">
        <v>0</v>
      </c>
      <c r="BO45" s="101">
        <v>0</v>
      </c>
      <c r="BP45" s="102">
        <v>0</v>
      </c>
      <c r="BQ45" s="100" t="s">
        <v>366</v>
      </c>
      <c r="BR45" s="101">
        <v>3</v>
      </c>
      <c r="BS45" s="101">
        <v>0</v>
      </c>
      <c r="BT45" s="101">
        <v>1</v>
      </c>
      <c r="BU45" s="101">
        <v>0</v>
      </c>
      <c r="BV45" s="101">
        <v>0</v>
      </c>
      <c r="BW45" s="101">
        <v>2</v>
      </c>
      <c r="BX45" s="101">
        <v>0</v>
      </c>
      <c r="BY45" s="101">
        <v>0</v>
      </c>
      <c r="BZ45" s="102">
        <v>2</v>
      </c>
      <c r="CA45" s="100" t="s">
        <v>401</v>
      </c>
      <c r="CB45" s="101">
        <v>3</v>
      </c>
      <c r="CC45" s="101">
        <v>0</v>
      </c>
      <c r="CD45" s="101">
        <v>1</v>
      </c>
      <c r="CE45" s="101">
        <v>0</v>
      </c>
      <c r="CF45" s="101">
        <v>0</v>
      </c>
      <c r="CG45" s="101">
        <v>1</v>
      </c>
      <c r="CH45" s="101">
        <v>0</v>
      </c>
      <c r="CI45" s="101">
        <v>0</v>
      </c>
      <c r="CJ45" s="102">
        <v>1</v>
      </c>
      <c r="CK45" s="100" t="s">
        <v>443</v>
      </c>
      <c r="CL45" s="101">
        <v>3</v>
      </c>
      <c r="CM45" s="101">
        <v>0</v>
      </c>
      <c r="CN45" s="101">
        <v>0</v>
      </c>
      <c r="CO45" s="101">
        <v>0</v>
      </c>
      <c r="CP45" s="101">
        <v>0</v>
      </c>
      <c r="CQ45" s="101">
        <v>3</v>
      </c>
      <c r="CR45" s="101">
        <v>0</v>
      </c>
      <c r="CS45" s="101">
        <v>0</v>
      </c>
      <c r="CT45" s="102">
        <v>0</v>
      </c>
      <c r="CU45" s="100" t="s">
        <v>448</v>
      </c>
      <c r="CV45" s="101">
        <v>3</v>
      </c>
      <c r="CW45" s="101">
        <v>0</v>
      </c>
      <c r="CX45" s="101">
        <v>1</v>
      </c>
      <c r="CY45" s="101">
        <v>0</v>
      </c>
      <c r="CZ45" s="101">
        <v>0</v>
      </c>
      <c r="DA45" s="101">
        <v>1</v>
      </c>
      <c r="DB45" s="101">
        <v>0</v>
      </c>
      <c r="DC45" s="101">
        <v>0</v>
      </c>
      <c r="DD45" s="102">
        <v>0</v>
      </c>
      <c r="DE45" s="100" t="s">
        <v>444</v>
      </c>
      <c r="DF45" s="101">
        <v>2</v>
      </c>
      <c r="DG45" s="101">
        <v>1</v>
      </c>
      <c r="DH45" s="101">
        <v>1</v>
      </c>
      <c r="DI45" s="101">
        <v>0</v>
      </c>
      <c r="DJ45" s="101">
        <v>1</v>
      </c>
      <c r="DK45" s="101">
        <v>0</v>
      </c>
      <c r="DL45" s="101">
        <v>0</v>
      </c>
      <c r="DM45" s="101">
        <v>0</v>
      </c>
      <c r="DN45" s="102">
        <v>1</v>
      </c>
      <c r="DO45" s="100" t="s">
        <v>449</v>
      </c>
      <c r="DP45" s="101">
        <v>3</v>
      </c>
      <c r="DQ45" s="101">
        <v>0</v>
      </c>
      <c r="DR45" s="101">
        <v>2</v>
      </c>
      <c r="DS45" s="101">
        <v>0</v>
      </c>
      <c r="DT45" s="101">
        <v>0</v>
      </c>
      <c r="DU45" s="101">
        <v>0</v>
      </c>
      <c r="DV45" s="101">
        <v>0</v>
      </c>
      <c r="DW45" s="101">
        <v>0</v>
      </c>
      <c r="DX45" s="102">
        <v>2</v>
      </c>
      <c r="DY45" s="103">
        <v>0</v>
      </c>
      <c r="DZ45" s="104">
        <v>0</v>
      </c>
      <c r="EA45" s="104">
        <v>0</v>
      </c>
      <c r="EB45" s="105">
        <v>7</v>
      </c>
      <c r="EC45" s="104">
        <v>0</v>
      </c>
      <c r="ED45" s="106">
        <v>0</v>
      </c>
      <c r="EE45" s="107">
        <v>0</v>
      </c>
      <c r="EF45" s="104">
        <v>0</v>
      </c>
      <c r="EG45" s="104">
        <v>0</v>
      </c>
      <c r="EH45" s="104">
        <v>1</v>
      </c>
      <c r="EI45" s="104">
        <v>0</v>
      </c>
      <c r="EJ45" s="104">
        <v>0</v>
      </c>
      <c r="EK45" s="104">
        <v>1</v>
      </c>
      <c r="EL45" s="104"/>
      <c r="EM45" s="104"/>
      <c r="EN45" s="104"/>
      <c r="EO45" s="104"/>
      <c r="EP45" s="104"/>
      <c r="EQ45" s="104"/>
      <c r="ER45" s="104"/>
      <c r="ES45" s="104"/>
      <c r="ET45" s="106">
        <f t="shared" si="10"/>
        <v>2</v>
      </c>
      <c r="EU45" s="104">
        <v>2</v>
      </c>
      <c r="EV45" s="104">
        <v>0</v>
      </c>
      <c r="EW45" s="104">
        <v>1</v>
      </c>
      <c r="EX45" s="104">
        <v>0</v>
      </c>
      <c r="EY45" s="104">
        <v>0</v>
      </c>
      <c r="EZ45" s="104">
        <v>0</v>
      </c>
      <c r="FA45" s="104"/>
      <c r="FB45" s="104"/>
      <c r="FC45" s="104"/>
      <c r="FD45" s="104"/>
      <c r="FE45" s="104"/>
      <c r="FF45" s="104"/>
      <c r="FG45" s="104"/>
      <c r="FH45" s="104"/>
      <c r="FI45" s="104"/>
      <c r="FJ45" s="104">
        <f t="shared" si="11"/>
        <v>3</v>
      </c>
      <c r="FK45" s="108">
        <f t="shared" si="12"/>
        <v>0</v>
      </c>
      <c r="FL45" s="108">
        <f t="shared" si="13"/>
        <v>0</v>
      </c>
      <c r="FM45" s="109" t="s">
        <v>378</v>
      </c>
    </row>
    <row r="46" spans="1:169" x14ac:dyDescent="0.25">
      <c r="A46" s="91">
        <v>40320</v>
      </c>
      <c r="B46" s="91" t="s">
        <v>133</v>
      </c>
      <c r="C46" s="91" t="s">
        <v>129</v>
      </c>
      <c r="D46" s="91" t="s">
        <v>380</v>
      </c>
      <c r="E46" s="92">
        <v>4979</v>
      </c>
      <c r="F46" s="93">
        <v>5</v>
      </c>
      <c r="G46" s="94" t="s">
        <v>470</v>
      </c>
      <c r="H46" s="95">
        <v>0</v>
      </c>
      <c r="I46" s="95">
        <v>0</v>
      </c>
      <c r="J46" s="96">
        <v>2</v>
      </c>
      <c r="K46" s="95">
        <v>1</v>
      </c>
      <c r="L46" s="95">
        <v>0</v>
      </c>
      <c r="M46" s="95">
        <v>0</v>
      </c>
      <c r="N46" s="95">
        <v>1</v>
      </c>
      <c r="O46" s="95">
        <v>1</v>
      </c>
      <c r="P46" s="95">
        <v>0</v>
      </c>
      <c r="Q46" s="95">
        <v>0</v>
      </c>
      <c r="R46" s="95">
        <v>7</v>
      </c>
      <c r="S46" s="95">
        <v>28</v>
      </c>
      <c r="T46" s="95">
        <v>17</v>
      </c>
      <c r="U46" s="95">
        <v>0</v>
      </c>
      <c r="V46" s="97">
        <v>0</v>
      </c>
      <c r="W46" s="98">
        <v>1</v>
      </c>
      <c r="X46" s="98">
        <v>0</v>
      </c>
      <c r="Y46" s="98">
        <v>0</v>
      </c>
      <c r="Z46" s="98">
        <v>1</v>
      </c>
      <c r="AA46" s="98">
        <v>0</v>
      </c>
      <c r="AB46" s="99">
        <v>7</v>
      </c>
      <c r="AC46" s="98">
        <v>2</v>
      </c>
      <c r="AD46" s="98">
        <v>2</v>
      </c>
      <c r="AE46" s="98">
        <v>2</v>
      </c>
      <c r="AF46" s="98">
        <v>4</v>
      </c>
      <c r="AG46" s="98">
        <v>7</v>
      </c>
      <c r="AH46" s="98">
        <v>0</v>
      </c>
      <c r="AI46" s="98">
        <v>1</v>
      </c>
      <c r="AJ46" s="98">
        <v>28</v>
      </c>
      <c r="AK46" s="98">
        <v>99</v>
      </c>
      <c r="AL46" s="98">
        <v>60</v>
      </c>
      <c r="AM46" s="100" t="s">
        <v>441</v>
      </c>
      <c r="AN46" s="101">
        <v>4</v>
      </c>
      <c r="AO46" s="101">
        <v>0</v>
      </c>
      <c r="AP46" s="101">
        <v>1</v>
      </c>
      <c r="AQ46" s="101">
        <v>0</v>
      </c>
      <c r="AR46" s="101">
        <v>0</v>
      </c>
      <c r="AS46" s="101">
        <v>2</v>
      </c>
      <c r="AT46" s="101">
        <v>0</v>
      </c>
      <c r="AU46" s="101">
        <v>0</v>
      </c>
      <c r="AV46" s="102">
        <v>1</v>
      </c>
      <c r="AW46" s="100" t="s">
        <v>365</v>
      </c>
      <c r="AX46" s="101">
        <v>5</v>
      </c>
      <c r="AY46" s="101">
        <v>0</v>
      </c>
      <c r="AZ46" s="101">
        <v>0</v>
      </c>
      <c r="BA46" s="101">
        <v>0</v>
      </c>
      <c r="BB46" s="101">
        <v>0</v>
      </c>
      <c r="BC46" s="101">
        <v>0</v>
      </c>
      <c r="BD46" s="101">
        <v>0</v>
      </c>
      <c r="BE46" s="101">
        <v>0</v>
      </c>
      <c r="BF46" s="102">
        <v>0</v>
      </c>
      <c r="BG46" s="100" t="s">
        <v>446</v>
      </c>
      <c r="BH46" s="101">
        <v>4</v>
      </c>
      <c r="BI46" s="101">
        <v>2</v>
      </c>
      <c r="BJ46" s="101">
        <v>1</v>
      </c>
      <c r="BK46" s="101">
        <v>0</v>
      </c>
      <c r="BL46" s="101">
        <v>1</v>
      </c>
      <c r="BM46" s="101">
        <v>0</v>
      </c>
      <c r="BN46" s="101">
        <v>0</v>
      </c>
      <c r="BO46" s="101">
        <v>0</v>
      </c>
      <c r="BP46" s="102">
        <v>1</v>
      </c>
      <c r="BQ46" s="100" t="s">
        <v>473</v>
      </c>
      <c r="BR46" s="101">
        <v>5</v>
      </c>
      <c r="BS46" s="101">
        <v>1</v>
      </c>
      <c r="BT46" s="101">
        <v>3</v>
      </c>
      <c r="BU46" s="101">
        <v>2</v>
      </c>
      <c r="BV46" s="101">
        <v>0</v>
      </c>
      <c r="BW46" s="101">
        <v>0</v>
      </c>
      <c r="BX46" s="101">
        <v>0</v>
      </c>
      <c r="BY46" s="101">
        <v>0</v>
      </c>
      <c r="BZ46" s="102">
        <v>4</v>
      </c>
      <c r="CA46" s="100" t="s">
        <v>401</v>
      </c>
      <c r="CB46" s="101">
        <v>5</v>
      </c>
      <c r="CC46" s="101">
        <v>1</v>
      </c>
      <c r="CD46" s="101">
        <v>1</v>
      </c>
      <c r="CE46" s="101">
        <v>1</v>
      </c>
      <c r="CF46" s="101">
        <v>0</v>
      </c>
      <c r="CG46" s="101">
        <v>2</v>
      </c>
      <c r="CH46" s="101">
        <v>0</v>
      </c>
      <c r="CI46" s="101">
        <v>0</v>
      </c>
      <c r="CJ46" s="102">
        <v>1</v>
      </c>
      <c r="CK46" s="100" t="s">
        <v>443</v>
      </c>
      <c r="CL46" s="101">
        <v>2</v>
      </c>
      <c r="CM46" s="101">
        <v>0</v>
      </c>
      <c r="CN46" s="101">
        <v>1</v>
      </c>
      <c r="CO46" s="101">
        <v>2</v>
      </c>
      <c r="CP46" s="101">
        <v>1</v>
      </c>
      <c r="CQ46" s="101">
        <v>1</v>
      </c>
      <c r="CR46" s="101">
        <v>0</v>
      </c>
      <c r="CS46" s="101">
        <v>1</v>
      </c>
      <c r="CT46" s="102">
        <v>3</v>
      </c>
      <c r="CU46" s="100" t="s">
        <v>448</v>
      </c>
      <c r="CV46" s="101">
        <v>4</v>
      </c>
      <c r="CW46" s="101">
        <v>0</v>
      </c>
      <c r="CX46" s="101">
        <v>1</v>
      </c>
      <c r="CY46" s="101">
        <v>0</v>
      </c>
      <c r="CZ46" s="101">
        <v>0</v>
      </c>
      <c r="DA46" s="101">
        <v>1</v>
      </c>
      <c r="DB46" s="101">
        <v>0</v>
      </c>
      <c r="DC46" s="101">
        <v>0</v>
      </c>
      <c r="DD46" s="102">
        <v>1</v>
      </c>
      <c r="DE46" s="100" t="s">
        <v>444</v>
      </c>
      <c r="DF46" s="101">
        <v>4</v>
      </c>
      <c r="DG46" s="101">
        <v>0</v>
      </c>
      <c r="DH46" s="101">
        <v>0</v>
      </c>
      <c r="DI46" s="101">
        <v>0</v>
      </c>
      <c r="DJ46" s="101">
        <v>0</v>
      </c>
      <c r="DK46" s="101">
        <v>1</v>
      </c>
      <c r="DL46" s="101">
        <v>0</v>
      </c>
      <c r="DM46" s="101">
        <v>0</v>
      </c>
      <c r="DN46" s="102">
        <v>0</v>
      </c>
      <c r="DO46" s="100" t="s">
        <v>364</v>
      </c>
      <c r="DP46" s="101">
        <v>2</v>
      </c>
      <c r="DQ46" s="101">
        <v>1</v>
      </c>
      <c r="DR46" s="101">
        <v>2</v>
      </c>
      <c r="DS46" s="101">
        <v>0</v>
      </c>
      <c r="DT46" s="101">
        <v>2</v>
      </c>
      <c r="DU46" s="101">
        <v>0</v>
      </c>
      <c r="DV46" s="101">
        <v>0</v>
      </c>
      <c r="DW46" s="101">
        <v>0</v>
      </c>
      <c r="DX46" s="102">
        <v>2</v>
      </c>
      <c r="DY46" s="103">
        <v>1</v>
      </c>
      <c r="DZ46" s="104">
        <v>0</v>
      </c>
      <c r="EA46" s="104">
        <v>0</v>
      </c>
      <c r="EB46" s="105">
        <v>8</v>
      </c>
      <c r="EC46" s="104">
        <v>2</v>
      </c>
      <c r="ED46" s="106">
        <v>0</v>
      </c>
      <c r="EE46" s="107">
        <v>0</v>
      </c>
      <c r="EF46" s="104">
        <v>0</v>
      </c>
      <c r="EG46" s="104">
        <v>0</v>
      </c>
      <c r="EH46" s="104">
        <v>1</v>
      </c>
      <c r="EI46" s="104">
        <v>4</v>
      </c>
      <c r="EJ46" s="104">
        <v>0</v>
      </c>
      <c r="EK46" s="104">
        <v>0</v>
      </c>
      <c r="EL46" s="104">
        <v>0</v>
      </c>
      <c r="EM46" s="104">
        <v>0</v>
      </c>
      <c r="EN46" s="104"/>
      <c r="EO46" s="104"/>
      <c r="EP46" s="104"/>
      <c r="EQ46" s="104"/>
      <c r="ER46" s="104"/>
      <c r="ES46" s="104"/>
      <c r="ET46" s="106">
        <f t="shared" si="10"/>
        <v>5</v>
      </c>
      <c r="EU46" s="104">
        <v>0</v>
      </c>
      <c r="EV46" s="104">
        <v>0</v>
      </c>
      <c r="EW46" s="104">
        <v>0</v>
      </c>
      <c r="EX46" s="104">
        <v>0</v>
      </c>
      <c r="EY46" s="104">
        <v>0</v>
      </c>
      <c r="EZ46" s="104">
        <v>0</v>
      </c>
      <c r="FA46" s="104">
        <v>0</v>
      </c>
      <c r="FB46" s="104">
        <v>0</v>
      </c>
      <c r="FC46" s="104">
        <v>2</v>
      </c>
      <c r="FD46" s="104"/>
      <c r="FE46" s="104"/>
      <c r="FF46" s="104"/>
      <c r="FG46" s="104"/>
      <c r="FH46" s="104"/>
      <c r="FI46" s="104"/>
      <c r="FJ46" s="104">
        <f t="shared" si="11"/>
        <v>2</v>
      </c>
      <c r="FK46" s="108">
        <f t="shared" si="12"/>
        <v>0</v>
      </c>
      <c r="FL46" s="108">
        <f t="shared" si="13"/>
        <v>0</v>
      </c>
      <c r="FM46" s="109"/>
    </row>
    <row r="47" spans="1:169" x14ac:dyDescent="0.25">
      <c r="A47" s="91">
        <v>40321</v>
      </c>
      <c r="B47" s="91" t="s">
        <v>133</v>
      </c>
      <c r="C47" s="91" t="s">
        <v>129</v>
      </c>
      <c r="D47" s="91" t="s">
        <v>380</v>
      </c>
      <c r="E47" s="92">
        <v>909</v>
      </c>
      <c r="F47" s="93">
        <v>1</v>
      </c>
      <c r="G47" s="94" t="s">
        <v>424</v>
      </c>
      <c r="H47" s="95">
        <v>1</v>
      </c>
      <c r="I47" s="95">
        <v>0</v>
      </c>
      <c r="J47" s="96">
        <f>6+2/3</f>
        <v>6.666666666666667</v>
      </c>
      <c r="K47" s="95">
        <v>7</v>
      </c>
      <c r="L47" s="95">
        <v>1</v>
      </c>
      <c r="M47" s="95">
        <v>1</v>
      </c>
      <c r="N47" s="95">
        <v>1</v>
      </c>
      <c r="O47" s="95">
        <v>7</v>
      </c>
      <c r="P47" s="95">
        <v>0</v>
      </c>
      <c r="Q47" s="95">
        <v>0</v>
      </c>
      <c r="R47" s="95">
        <v>26</v>
      </c>
      <c r="S47" s="95">
        <v>103</v>
      </c>
      <c r="T47" s="95">
        <v>67</v>
      </c>
      <c r="U47" s="95">
        <v>1</v>
      </c>
      <c r="V47" s="97">
        <v>0</v>
      </c>
      <c r="W47" s="98">
        <v>0</v>
      </c>
      <c r="X47" s="98">
        <v>0</v>
      </c>
      <c r="Y47" s="98">
        <v>0</v>
      </c>
      <c r="Z47" s="98">
        <v>0</v>
      </c>
      <c r="AA47" s="98">
        <v>0</v>
      </c>
      <c r="AB47" s="99">
        <f>2+1/3</f>
        <v>2.3333333333333335</v>
      </c>
      <c r="AC47" s="98">
        <v>3</v>
      </c>
      <c r="AD47" s="98">
        <v>0</v>
      </c>
      <c r="AE47" s="98">
        <v>0</v>
      </c>
      <c r="AF47" s="98">
        <v>1</v>
      </c>
      <c r="AG47" s="98">
        <v>4</v>
      </c>
      <c r="AH47" s="98">
        <v>0</v>
      </c>
      <c r="AI47" s="98">
        <v>0</v>
      </c>
      <c r="AJ47" s="98">
        <v>12</v>
      </c>
      <c r="AK47" s="98">
        <v>50</v>
      </c>
      <c r="AL47" s="98">
        <v>35</v>
      </c>
      <c r="AM47" s="100" t="s">
        <v>441</v>
      </c>
      <c r="AN47" s="101">
        <v>5</v>
      </c>
      <c r="AO47" s="101">
        <v>1</v>
      </c>
      <c r="AP47" s="101">
        <v>2</v>
      </c>
      <c r="AQ47" s="101">
        <v>1</v>
      </c>
      <c r="AR47" s="101">
        <v>0</v>
      </c>
      <c r="AS47" s="101">
        <v>0</v>
      </c>
      <c r="AT47" s="101">
        <v>0</v>
      </c>
      <c r="AU47" s="101">
        <v>0</v>
      </c>
      <c r="AV47" s="102">
        <v>4</v>
      </c>
      <c r="AW47" s="100" t="s">
        <v>365</v>
      </c>
      <c r="AX47" s="101">
        <v>4</v>
      </c>
      <c r="AY47" s="101">
        <v>0</v>
      </c>
      <c r="AZ47" s="101">
        <v>1</v>
      </c>
      <c r="BA47" s="101">
        <v>2</v>
      </c>
      <c r="BB47" s="101">
        <v>0</v>
      </c>
      <c r="BC47" s="101">
        <v>1</v>
      </c>
      <c r="BD47" s="101">
        <v>0</v>
      </c>
      <c r="BE47" s="101">
        <v>1</v>
      </c>
      <c r="BF47" s="102">
        <v>1</v>
      </c>
      <c r="BG47" s="100" t="s">
        <v>401</v>
      </c>
      <c r="BH47" s="101">
        <v>5</v>
      </c>
      <c r="BI47" s="101">
        <v>1</v>
      </c>
      <c r="BJ47" s="101">
        <v>1</v>
      </c>
      <c r="BK47" s="101">
        <v>0</v>
      </c>
      <c r="BL47" s="101">
        <v>0</v>
      </c>
      <c r="BM47" s="101">
        <v>1</v>
      </c>
      <c r="BN47" s="101">
        <v>0</v>
      </c>
      <c r="BO47" s="101">
        <v>0</v>
      </c>
      <c r="BP47" s="102">
        <v>1</v>
      </c>
      <c r="BQ47" s="100" t="s">
        <v>473</v>
      </c>
      <c r="BR47" s="101">
        <v>4</v>
      </c>
      <c r="BS47" s="101">
        <v>1</v>
      </c>
      <c r="BT47" s="101">
        <v>2</v>
      </c>
      <c r="BU47" s="101">
        <v>1</v>
      </c>
      <c r="BV47" s="101">
        <v>1</v>
      </c>
      <c r="BW47" s="101">
        <v>1</v>
      </c>
      <c r="BX47" s="101">
        <v>0</v>
      </c>
      <c r="BY47" s="101">
        <v>0</v>
      </c>
      <c r="BZ47" s="102">
        <v>3</v>
      </c>
      <c r="CA47" s="100" t="s">
        <v>443</v>
      </c>
      <c r="CB47" s="101">
        <v>5</v>
      </c>
      <c r="CC47" s="101">
        <v>1</v>
      </c>
      <c r="CD47" s="101">
        <v>0</v>
      </c>
      <c r="CE47" s="101">
        <v>0</v>
      </c>
      <c r="CF47" s="101">
        <v>0</v>
      </c>
      <c r="CG47" s="101">
        <v>0</v>
      </c>
      <c r="CH47" s="101">
        <v>0</v>
      </c>
      <c r="CI47" s="101">
        <v>0</v>
      </c>
      <c r="CJ47" s="102">
        <v>0</v>
      </c>
      <c r="CK47" s="100" t="s">
        <v>366</v>
      </c>
      <c r="CL47" s="101">
        <v>4</v>
      </c>
      <c r="CM47" s="101">
        <v>0</v>
      </c>
      <c r="CN47" s="101">
        <v>1</v>
      </c>
      <c r="CO47" s="101">
        <v>1</v>
      </c>
      <c r="CP47" s="101">
        <v>0</v>
      </c>
      <c r="CQ47" s="101">
        <v>3</v>
      </c>
      <c r="CR47" s="101">
        <v>0</v>
      </c>
      <c r="CS47" s="101">
        <v>1</v>
      </c>
      <c r="CT47" s="102">
        <v>1</v>
      </c>
      <c r="CU47" s="100" t="s">
        <v>448</v>
      </c>
      <c r="CV47" s="101">
        <v>5</v>
      </c>
      <c r="CW47" s="101">
        <v>1</v>
      </c>
      <c r="CX47" s="101">
        <v>2</v>
      </c>
      <c r="CY47" s="101">
        <v>1</v>
      </c>
      <c r="CZ47" s="101">
        <v>0</v>
      </c>
      <c r="DA47" s="101">
        <v>0</v>
      </c>
      <c r="DB47" s="101">
        <v>0</v>
      </c>
      <c r="DC47" s="101">
        <v>0</v>
      </c>
      <c r="DD47" s="102">
        <v>3</v>
      </c>
      <c r="DE47" s="100" t="s">
        <v>364</v>
      </c>
      <c r="DF47" s="101">
        <v>3</v>
      </c>
      <c r="DG47" s="101">
        <v>1</v>
      </c>
      <c r="DH47" s="101">
        <v>3</v>
      </c>
      <c r="DI47" s="101">
        <v>0</v>
      </c>
      <c r="DJ47" s="101">
        <v>1</v>
      </c>
      <c r="DK47" s="101">
        <v>0</v>
      </c>
      <c r="DL47" s="101">
        <v>0</v>
      </c>
      <c r="DM47" s="101">
        <v>0</v>
      </c>
      <c r="DN47" s="102">
        <v>3</v>
      </c>
      <c r="DO47" s="100" t="s">
        <v>449</v>
      </c>
      <c r="DP47" s="101">
        <v>4</v>
      </c>
      <c r="DQ47" s="101">
        <v>0</v>
      </c>
      <c r="DR47" s="101">
        <v>1</v>
      </c>
      <c r="DS47" s="101">
        <v>0</v>
      </c>
      <c r="DT47" s="101">
        <v>0</v>
      </c>
      <c r="DU47" s="101">
        <v>1</v>
      </c>
      <c r="DV47" s="101">
        <v>0</v>
      </c>
      <c r="DW47" s="101">
        <v>0</v>
      </c>
      <c r="DX47" s="102">
        <v>1</v>
      </c>
      <c r="DY47" s="103">
        <f>2+2/3</f>
        <v>2.6666666666666665</v>
      </c>
      <c r="DZ47" s="104">
        <v>0</v>
      </c>
      <c r="EA47" s="104">
        <v>0</v>
      </c>
      <c r="EB47" s="105">
        <f>6+1/3</f>
        <v>6.333333333333333</v>
      </c>
      <c r="EC47" s="104">
        <v>0</v>
      </c>
      <c r="ED47" s="106">
        <v>0</v>
      </c>
      <c r="EE47" s="107">
        <v>0</v>
      </c>
      <c r="EF47" s="104">
        <v>0</v>
      </c>
      <c r="EG47" s="104">
        <v>3</v>
      </c>
      <c r="EH47" s="104">
        <v>0</v>
      </c>
      <c r="EI47" s="104">
        <v>0</v>
      </c>
      <c r="EJ47" s="104">
        <v>2</v>
      </c>
      <c r="EK47" s="104">
        <v>0</v>
      </c>
      <c r="EL47" s="104">
        <v>1</v>
      </c>
      <c r="EM47" s="104">
        <v>0</v>
      </c>
      <c r="EN47" s="104"/>
      <c r="EO47" s="104"/>
      <c r="EP47" s="104"/>
      <c r="EQ47" s="104"/>
      <c r="ER47" s="104"/>
      <c r="ES47" s="104"/>
      <c r="ET47" s="106">
        <f t="shared" si="10"/>
        <v>6</v>
      </c>
      <c r="EU47" s="104">
        <v>0</v>
      </c>
      <c r="EV47" s="104">
        <v>0</v>
      </c>
      <c r="EW47" s="104">
        <v>0</v>
      </c>
      <c r="EX47" s="104">
        <v>0</v>
      </c>
      <c r="EY47" s="104">
        <v>0</v>
      </c>
      <c r="EZ47" s="104">
        <v>0</v>
      </c>
      <c r="FA47" s="104">
        <v>1</v>
      </c>
      <c r="FB47" s="104">
        <v>0</v>
      </c>
      <c r="FC47" s="104">
        <v>0</v>
      </c>
      <c r="FD47" s="104"/>
      <c r="FE47" s="104"/>
      <c r="FF47" s="104"/>
      <c r="FG47" s="104"/>
      <c r="FH47" s="104"/>
      <c r="FI47" s="104"/>
      <c r="FJ47" s="104">
        <f t="shared" si="11"/>
        <v>1</v>
      </c>
      <c r="FK47" s="108">
        <f t="shared" si="12"/>
        <v>0</v>
      </c>
      <c r="FL47" s="108">
        <f t="shared" si="13"/>
        <v>0</v>
      </c>
      <c r="FM47" s="109" t="s">
        <v>477</v>
      </c>
    </row>
    <row r="48" spans="1:169" x14ac:dyDescent="0.25">
      <c r="A48" s="91">
        <v>40324</v>
      </c>
      <c r="B48" s="91" t="s">
        <v>19</v>
      </c>
      <c r="C48" s="91" t="s">
        <v>131</v>
      </c>
      <c r="D48" s="91" t="s">
        <v>476</v>
      </c>
      <c r="E48" s="92">
        <v>2985</v>
      </c>
      <c r="F48" s="93">
        <v>2</v>
      </c>
      <c r="G48" s="94" t="s">
        <v>438</v>
      </c>
      <c r="H48" s="95">
        <v>0</v>
      </c>
      <c r="I48" s="95">
        <v>1</v>
      </c>
      <c r="J48" s="96">
        <f>6+1/3</f>
        <v>6.333333333333333</v>
      </c>
      <c r="K48" s="95">
        <v>9</v>
      </c>
      <c r="L48" s="95">
        <v>1</v>
      </c>
      <c r="M48" s="95">
        <v>0</v>
      </c>
      <c r="N48" s="95">
        <v>0</v>
      </c>
      <c r="O48" s="95">
        <v>5</v>
      </c>
      <c r="P48" s="95">
        <v>0</v>
      </c>
      <c r="Q48" s="95">
        <v>0</v>
      </c>
      <c r="R48" s="95">
        <v>24</v>
      </c>
      <c r="S48" s="95">
        <v>93</v>
      </c>
      <c r="T48" s="95">
        <v>59</v>
      </c>
      <c r="U48" s="95">
        <v>0</v>
      </c>
      <c r="V48" s="97">
        <v>0</v>
      </c>
      <c r="W48" s="98">
        <v>0</v>
      </c>
      <c r="X48" s="98">
        <v>0</v>
      </c>
      <c r="Y48" s="98">
        <v>0</v>
      </c>
      <c r="Z48" s="98">
        <v>0</v>
      </c>
      <c r="AA48" s="98">
        <v>0</v>
      </c>
      <c r="AB48" s="99">
        <f>2+2/3</f>
        <v>2.6666666666666665</v>
      </c>
      <c r="AC48" s="98">
        <v>8</v>
      </c>
      <c r="AD48" s="98">
        <v>2</v>
      </c>
      <c r="AE48" s="98">
        <v>1</v>
      </c>
      <c r="AF48" s="98">
        <v>0</v>
      </c>
      <c r="AG48" s="98">
        <v>2</v>
      </c>
      <c r="AH48" s="98">
        <v>0</v>
      </c>
      <c r="AI48" s="98">
        <v>0</v>
      </c>
      <c r="AJ48" s="98">
        <v>14</v>
      </c>
      <c r="AK48" s="98">
        <v>46</v>
      </c>
      <c r="AL48" s="98">
        <v>30</v>
      </c>
      <c r="AM48" s="100" t="s">
        <v>441</v>
      </c>
      <c r="AN48" s="101">
        <v>3</v>
      </c>
      <c r="AO48" s="101">
        <v>0</v>
      </c>
      <c r="AP48" s="101">
        <v>0</v>
      </c>
      <c r="AQ48" s="101">
        <v>0</v>
      </c>
      <c r="AR48" s="101">
        <v>0</v>
      </c>
      <c r="AS48" s="101">
        <v>0</v>
      </c>
      <c r="AT48" s="101">
        <v>1</v>
      </c>
      <c r="AU48" s="101">
        <v>0</v>
      </c>
      <c r="AV48" s="102">
        <v>0</v>
      </c>
      <c r="AW48" s="100" t="s">
        <v>364</v>
      </c>
      <c r="AX48" s="101">
        <v>4</v>
      </c>
      <c r="AY48" s="101">
        <v>0</v>
      </c>
      <c r="AZ48" s="101">
        <v>1</v>
      </c>
      <c r="BA48" s="101">
        <v>0</v>
      </c>
      <c r="BB48" s="101">
        <v>0</v>
      </c>
      <c r="BC48" s="101">
        <v>0</v>
      </c>
      <c r="BD48" s="101">
        <v>0</v>
      </c>
      <c r="BE48" s="101">
        <v>0</v>
      </c>
      <c r="BF48" s="102">
        <v>1</v>
      </c>
      <c r="BG48" s="100" t="s">
        <v>446</v>
      </c>
      <c r="BH48" s="101">
        <v>4</v>
      </c>
      <c r="BI48" s="101">
        <v>0</v>
      </c>
      <c r="BJ48" s="101">
        <v>1</v>
      </c>
      <c r="BK48" s="101">
        <v>0</v>
      </c>
      <c r="BL48" s="101">
        <v>0</v>
      </c>
      <c r="BM48" s="101">
        <v>0</v>
      </c>
      <c r="BN48" s="101">
        <v>0</v>
      </c>
      <c r="BO48" s="101">
        <v>0</v>
      </c>
      <c r="BP48" s="102">
        <v>1</v>
      </c>
      <c r="BQ48" s="100" t="s">
        <v>473</v>
      </c>
      <c r="BR48" s="101">
        <v>4</v>
      </c>
      <c r="BS48" s="101">
        <v>0</v>
      </c>
      <c r="BT48" s="101">
        <v>0</v>
      </c>
      <c r="BU48" s="101">
        <v>0</v>
      </c>
      <c r="BV48" s="101">
        <v>0</v>
      </c>
      <c r="BW48" s="101">
        <v>1</v>
      </c>
      <c r="BX48" s="101">
        <v>0</v>
      </c>
      <c r="BY48" s="101">
        <v>0</v>
      </c>
      <c r="BZ48" s="102">
        <v>0</v>
      </c>
      <c r="CA48" s="100" t="s">
        <v>401</v>
      </c>
      <c r="CB48" s="101">
        <v>3</v>
      </c>
      <c r="CC48" s="101">
        <v>0</v>
      </c>
      <c r="CD48" s="101">
        <v>1</v>
      </c>
      <c r="CE48" s="101">
        <v>0</v>
      </c>
      <c r="CF48" s="101">
        <v>0</v>
      </c>
      <c r="CG48" s="101">
        <v>1</v>
      </c>
      <c r="CH48" s="101">
        <v>0</v>
      </c>
      <c r="CI48" s="101">
        <v>0</v>
      </c>
      <c r="CJ48" s="102">
        <v>1</v>
      </c>
      <c r="CK48" s="100" t="s">
        <v>366</v>
      </c>
      <c r="CL48" s="101">
        <v>3</v>
      </c>
      <c r="CM48" s="101">
        <v>0</v>
      </c>
      <c r="CN48" s="101">
        <v>0</v>
      </c>
      <c r="CO48" s="101">
        <v>0</v>
      </c>
      <c r="CP48" s="101">
        <v>0</v>
      </c>
      <c r="CQ48" s="101">
        <v>2</v>
      </c>
      <c r="CR48" s="101">
        <v>0</v>
      </c>
      <c r="CS48" s="101">
        <v>0</v>
      </c>
      <c r="CT48" s="102">
        <v>0</v>
      </c>
      <c r="CU48" s="100" t="s">
        <v>443</v>
      </c>
      <c r="CV48" s="101">
        <v>2</v>
      </c>
      <c r="CW48" s="101">
        <v>0</v>
      </c>
      <c r="CX48" s="101">
        <v>0</v>
      </c>
      <c r="CY48" s="101">
        <v>0</v>
      </c>
      <c r="CZ48" s="101">
        <v>1</v>
      </c>
      <c r="DA48" s="101">
        <v>0</v>
      </c>
      <c r="DB48" s="101">
        <v>0</v>
      </c>
      <c r="DC48" s="101">
        <v>0</v>
      </c>
      <c r="DD48" s="102">
        <v>0</v>
      </c>
      <c r="DE48" s="100" t="s">
        <v>448</v>
      </c>
      <c r="DF48" s="101">
        <v>3</v>
      </c>
      <c r="DG48" s="101">
        <v>0</v>
      </c>
      <c r="DH48" s="101">
        <v>0</v>
      </c>
      <c r="DI48" s="101">
        <v>0</v>
      </c>
      <c r="DJ48" s="101">
        <v>0</v>
      </c>
      <c r="DK48" s="101">
        <v>1</v>
      </c>
      <c r="DL48" s="101">
        <v>0</v>
      </c>
      <c r="DM48" s="101">
        <v>0</v>
      </c>
      <c r="DN48" s="102">
        <v>0</v>
      </c>
      <c r="DO48" s="100" t="s">
        <v>444</v>
      </c>
      <c r="DP48" s="101">
        <v>3</v>
      </c>
      <c r="DQ48" s="101">
        <v>0</v>
      </c>
      <c r="DR48" s="101">
        <v>0</v>
      </c>
      <c r="DS48" s="101">
        <v>0</v>
      </c>
      <c r="DT48" s="101">
        <v>0</v>
      </c>
      <c r="DU48" s="101">
        <v>1</v>
      </c>
      <c r="DV48" s="101">
        <v>0</v>
      </c>
      <c r="DW48" s="101">
        <v>0</v>
      </c>
      <c r="DX48" s="102">
        <v>0</v>
      </c>
      <c r="DY48" s="103">
        <v>1</v>
      </c>
      <c r="DZ48" s="104">
        <v>0</v>
      </c>
      <c r="EA48" s="104">
        <v>0</v>
      </c>
      <c r="EB48" s="105">
        <v>8</v>
      </c>
      <c r="EC48" s="104">
        <v>0</v>
      </c>
      <c r="ED48" s="106">
        <v>1</v>
      </c>
      <c r="EE48" s="107">
        <v>0</v>
      </c>
      <c r="EF48" s="104">
        <v>0</v>
      </c>
      <c r="EG48" s="104">
        <v>0</v>
      </c>
      <c r="EH48" s="104">
        <v>0</v>
      </c>
      <c r="EI48" s="104">
        <v>0</v>
      </c>
      <c r="EJ48" s="104">
        <v>0</v>
      </c>
      <c r="EK48" s="104">
        <v>0</v>
      </c>
      <c r="EL48" s="104">
        <v>0</v>
      </c>
      <c r="EM48" s="104">
        <v>0</v>
      </c>
      <c r="EN48" s="104"/>
      <c r="EO48" s="104"/>
      <c r="EP48" s="104"/>
      <c r="EQ48" s="104"/>
      <c r="ER48" s="104"/>
      <c r="ES48" s="104"/>
      <c r="ET48" s="106">
        <f t="shared" si="10"/>
        <v>0</v>
      </c>
      <c r="EU48" s="104">
        <v>0</v>
      </c>
      <c r="EV48" s="104">
        <v>0</v>
      </c>
      <c r="EW48" s="104">
        <v>1</v>
      </c>
      <c r="EX48" s="104">
        <v>0</v>
      </c>
      <c r="EY48" s="104">
        <v>0</v>
      </c>
      <c r="EZ48" s="104">
        <v>0</v>
      </c>
      <c r="FA48" s="104">
        <v>2</v>
      </c>
      <c r="FB48" s="104">
        <v>0</v>
      </c>
      <c r="FC48" s="104">
        <v>0</v>
      </c>
      <c r="FD48" s="104"/>
      <c r="FE48" s="104"/>
      <c r="FF48" s="104"/>
      <c r="FG48" s="104"/>
      <c r="FH48" s="104"/>
      <c r="FI48" s="104"/>
      <c r="FJ48" s="104">
        <f t="shared" si="11"/>
        <v>3</v>
      </c>
      <c r="FK48" s="108">
        <f t="shared" si="12"/>
        <v>0</v>
      </c>
      <c r="FL48" s="108">
        <f t="shared" si="13"/>
        <v>0</v>
      </c>
      <c r="FM48" s="109"/>
    </row>
    <row r="49" spans="1:169" x14ac:dyDescent="0.25">
      <c r="A49" s="91">
        <v>40325</v>
      </c>
      <c r="B49" s="91" t="s">
        <v>19</v>
      </c>
      <c r="C49" s="91" t="s">
        <v>129</v>
      </c>
      <c r="D49" s="91" t="s">
        <v>476</v>
      </c>
      <c r="E49" s="92">
        <v>3721</v>
      </c>
      <c r="F49" s="93">
        <v>3</v>
      </c>
      <c r="G49" s="94" t="s">
        <v>368</v>
      </c>
      <c r="H49" s="95">
        <v>1</v>
      </c>
      <c r="I49" s="95">
        <v>0</v>
      </c>
      <c r="J49" s="96">
        <v>8</v>
      </c>
      <c r="K49" s="95">
        <v>3</v>
      </c>
      <c r="L49" s="95">
        <v>0</v>
      </c>
      <c r="M49" s="95">
        <v>0</v>
      </c>
      <c r="N49" s="95">
        <v>2</v>
      </c>
      <c r="O49" s="95">
        <v>5</v>
      </c>
      <c r="P49" s="95">
        <v>0</v>
      </c>
      <c r="Q49" s="95">
        <v>0</v>
      </c>
      <c r="R49" s="95">
        <v>30</v>
      </c>
      <c r="S49" s="95">
        <v>99</v>
      </c>
      <c r="T49" s="95">
        <v>65</v>
      </c>
      <c r="U49" s="95">
        <v>0</v>
      </c>
      <c r="V49" s="97">
        <v>0</v>
      </c>
      <c r="W49" s="98">
        <v>0</v>
      </c>
      <c r="X49" s="98">
        <v>0</v>
      </c>
      <c r="Y49" s="98">
        <v>0</v>
      </c>
      <c r="Z49" s="98">
        <v>0</v>
      </c>
      <c r="AA49" s="98">
        <v>0</v>
      </c>
      <c r="AB49" s="99">
        <v>1</v>
      </c>
      <c r="AC49" s="98">
        <v>1</v>
      </c>
      <c r="AD49" s="98">
        <v>2</v>
      </c>
      <c r="AE49" s="98">
        <v>2</v>
      </c>
      <c r="AF49" s="98">
        <v>1</v>
      </c>
      <c r="AG49" s="98">
        <v>0</v>
      </c>
      <c r="AH49" s="98">
        <v>1</v>
      </c>
      <c r="AI49" s="98">
        <v>0</v>
      </c>
      <c r="AJ49" s="98">
        <v>5</v>
      </c>
      <c r="AK49" s="98">
        <v>17</v>
      </c>
      <c r="AL49" s="98">
        <v>9</v>
      </c>
      <c r="AM49" s="100" t="s">
        <v>441</v>
      </c>
      <c r="AN49" s="101">
        <v>5</v>
      </c>
      <c r="AO49" s="101">
        <v>0</v>
      </c>
      <c r="AP49" s="101">
        <v>1</v>
      </c>
      <c r="AQ49" s="101">
        <v>2</v>
      </c>
      <c r="AR49" s="101">
        <v>0</v>
      </c>
      <c r="AS49" s="101">
        <v>0</v>
      </c>
      <c r="AT49" s="101">
        <v>0</v>
      </c>
      <c r="AU49" s="101">
        <v>0</v>
      </c>
      <c r="AV49" s="102">
        <v>3</v>
      </c>
      <c r="AW49" s="100" t="s">
        <v>364</v>
      </c>
      <c r="AX49" s="101">
        <v>5</v>
      </c>
      <c r="AY49" s="101">
        <v>1</v>
      </c>
      <c r="AZ49" s="101">
        <v>1</v>
      </c>
      <c r="BA49" s="101">
        <v>0</v>
      </c>
      <c r="BB49" s="101">
        <v>0</v>
      </c>
      <c r="BC49" s="101">
        <v>1</v>
      </c>
      <c r="BD49" s="101">
        <v>0</v>
      </c>
      <c r="BE49" s="101">
        <v>0</v>
      </c>
      <c r="BF49" s="102">
        <v>1</v>
      </c>
      <c r="BG49" s="100" t="s">
        <v>446</v>
      </c>
      <c r="BH49" s="101">
        <v>4</v>
      </c>
      <c r="BI49" s="101">
        <v>2</v>
      </c>
      <c r="BJ49" s="101">
        <v>3</v>
      </c>
      <c r="BK49" s="101">
        <v>0</v>
      </c>
      <c r="BL49" s="101">
        <v>0</v>
      </c>
      <c r="BM49" s="101">
        <v>0</v>
      </c>
      <c r="BN49" s="101">
        <v>0</v>
      </c>
      <c r="BO49" s="101">
        <v>0</v>
      </c>
      <c r="BP49" s="102">
        <v>3</v>
      </c>
      <c r="BQ49" s="100" t="s">
        <v>473</v>
      </c>
      <c r="BR49" s="101">
        <v>4</v>
      </c>
      <c r="BS49" s="101">
        <v>0</v>
      </c>
      <c r="BT49" s="101">
        <v>1</v>
      </c>
      <c r="BU49" s="101">
        <v>0</v>
      </c>
      <c r="BV49" s="101">
        <v>0</v>
      </c>
      <c r="BW49" s="101">
        <v>1</v>
      </c>
      <c r="BX49" s="101">
        <v>0</v>
      </c>
      <c r="BY49" s="101">
        <v>0</v>
      </c>
      <c r="BZ49" s="102">
        <v>1</v>
      </c>
      <c r="CA49" s="100" t="s">
        <v>401</v>
      </c>
      <c r="CB49" s="101">
        <v>4</v>
      </c>
      <c r="CC49" s="101">
        <v>1</v>
      </c>
      <c r="CD49" s="101">
        <v>3</v>
      </c>
      <c r="CE49" s="101">
        <v>2</v>
      </c>
      <c r="CF49" s="101">
        <v>0</v>
      </c>
      <c r="CG49" s="101">
        <v>0</v>
      </c>
      <c r="CH49" s="101">
        <v>0</v>
      </c>
      <c r="CI49" s="101">
        <v>0</v>
      </c>
      <c r="CJ49" s="102">
        <v>3</v>
      </c>
      <c r="CK49" s="100" t="s">
        <v>366</v>
      </c>
      <c r="CL49" s="101">
        <v>4</v>
      </c>
      <c r="CM49" s="101">
        <v>0</v>
      </c>
      <c r="CN49" s="101">
        <v>1</v>
      </c>
      <c r="CO49" s="101">
        <v>2</v>
      </c>
      <c r="CP49" s="101">
        <v>0</v>
      </c>
      <c r="CQ49" s="101">
        <v>1</v>
      </c>
      <c r="CR49" s="101">
        <v>0</v>
      </c>
      <c r="CS49" s="101">
        <v>0</v>
      </c>
      <c r="CT49" s="102">
        <v>1</v>
      </c>
      <c r="CU49" s="100" t="s">
        <v>448</v>
      </c>
      <c r="CV49" s="101">
        <v>3</v>
      </c>
      <c r="CW49" s="101">
        <v>0</v>
      </c>
      <c r="CX49" s="101">
        <v>2</v>
      </c>
      <c r="CY49" s="101">
        <v>0</v>
      </c>
      <c r="CZ49" s="101">
        <v>0</v>
      </c>
      <c r="DA49" s="101">
        <v>0</v>
      </c>
      <c r="DB49" s="101">
        <v>1</v>
      </c>
      <c r="DC49" s="101">
        <v>0</v>
      </c>
      <c r="DD49" s="102">
        <v>3</v>
      </c>
      <c r="DE49" s="100" t="s">
        <v>444</v>
      </c>
      <c r="DF49" s="101">
        <v>3</v>
      </c>
      <c r="DG49" s="101">
        <v>2</v>
      </c>
      <c r="DH49" s="101">
        <v>1</v>
      </c>
      <c r="DI49" s="101">
        <v>0</v>
      </c>
      <c r="DJ49" s="101">
        <v>1</v>
      </c>
      <c r="DK49" s="101">
        <v>2</v>
      </c>
      <c r="DL49" s="101">
        <v>0</v>
      </c>
      <c r="DM49" s="101">
        <v>0</v>
      </c>
      <c r="DN49" s="102">
        <v>1</v>
      </c>
      <c r="DO49" s="100" t="s">
        <v>365</v>
      </c>
      <c r="DP49" s="101">
        <v>4</v>
      </c>
      <c r="DQ49" s="101">
        <v>1</v>
      </c>
      <c r="DR49" s="101">
        <v>1</v>
      </c>
      <c r="DS49" s="101">
        <v>1</v>
      </c>
      <c r="DT49" s="101">
        <v>0</v>
      </c>
      <c r="DU49" s="101">
        <v>0</v>
      </c>
      <c r="DV49" s="101">
        <v>0</v>
      </c>
      <c r="DW49" s="101">
        <v>0</v>
      </c>
      <c r="DX49" s="102">
        <v>3</v>
      </c>
      <c r="DY49" s="103">
        <f>3+2/3</f>
        <v>3.6666666666666665</v>
      </c>
      <c r="DZ49" s="104">
        <v>0</v>
      </c>
      <c r="EA49" s="104">
        <v>0</v>
      </c>
      <c r="EB49" s="105">
        <f>4+1/3</f>
        <v>4.333333333333333</v>
      </c>
      <c r="EC49" s="104">
        <v>0</v>
      </c>
      <c r="ED49" s="106">
        <v>0</v>
      </c>
      <c r="EE49" s="107">
        <v>1</v>
      </c>
      <c r="EF49" s="104">
        <v>0</v>
      </c>
      <c r="EG49" s="104">
        <v>1</v>
      </c>
      <c r="EH49" s="104">
        <v>1</v>
      </c>
      <c r="EI49" s="104">
        <v>2</v>
      </c>
      <c r="EJ49" s="104">
        <v>0</v>
      </c>
      <c r="EK49" s="104">
        <v>0</v>
      </c>
      <c r="EL49" s="104">
        <v>2</v>
      </c>
      <c r="EM49" s="104"/>
      <c r="EN49" s="104"/>
      <c r="EO49" s="104"/>
      <c r="EP49" s="104"/>
      <c r="EQ49" s="104"/>
      <c r="ER49" s="104"/>
      <c r="ES49" s="104"/>
      <c r="ET49" s="106">
        <f t="shared" si="10"/>
        <v>7</v>
      </c>
      <c r="EU49" s="104">
        <v>0</v>
      </c>
      <c r="EV49" s="104">
        <v>0</v>
      </c>
      <c r="EW49" s="104">
        <v>0</v>
      </c>
      <c r="EX49" s="104">
        <v>0</v>
      </c>
      <c r="EY49" s="104">
        <v>0</v>
      </c>
      <c r="EZ49" s="104">
        <v>0</v>
      </c>
      <c r="FA49" s="104">
        <v>0</v>
      </c>
      <c r="FB49" s="104">
        <v>0</v>
      </c>
      <c r="FC49" s="104">
        <v>2</v>
      </c>
      <c r="FD49" s="104"/>
      <c r="FE49" s="104"/>
      <c r="FF49" s="104"/>
      <c r="FG49" s="104"/>
      <c r="FH49" s="104"/>
      <c r="FI49" s="104"/>
      <c r="FJ49" s="104">
        <f t="shared" si="11"/>
        <v>2</v>
      </c>
      <c r="FK49" s="108">
        <f t="shared" si="12"/>
        <v>0</v>
      </c>
      <c r="FL49" s="108">
        <f t="shared" si="13"/>
        <v>0</v>
      </c>
      <c r="FM49" s="109"/>
    </row>
    <row r="50" spans="1:169" x14ac:dyDescent="0.25">
      <c r="A50" s="91">
        <v>40326</v>
      </c>
      <c r="B50" s="91" t="s">
        <v>19</v>
      </c>
      <c r="C50" s="91" t="s">
        <v>129</v>
      </c>
      <c r="D50" s="91" t="s">
        <v>476</v>
      </c>
      <c r="E50" s="92">
        <v>4311</v>
      </c>
      <c r="F50" s="93">
        <v>4</v>
      </c>
      <c r="G50" s="94" t="s">
        <v>439</v>
      </c>
      <c r="H50" s="95">
        <v>1</v>
      </c>
      <c r="I50" s="95">
        <v>0</v>
      </c>
      <c r="J50" s="96">
        <v>7</v>
      </c>
      <c r="K50" s="95">
        <v>5</v>
      </c>
      <c r="L50" s="95">
        <v>0</v>
      </c>
      <c r="M50" s="95">
        <v>0</v>
      </c>
      <c r="N50" s="95">
        <v>1</v>
      </c>
      <c r="O50" s="95">
        <v>11</v>
      </c>
      <c r="P50" s="95">
        <v>0</v>
      </c>
      <c r="Q50" s="95">
        <v>0</v>
      </c>
      <c r="R50" s="95">
        <v>27</v>
      </c>
      <c r="S50" s="95">
        <v>87</v>
      </c>
      <c r="T50" s="95">
        <v>66</v>
      </c>
      <c r="U50" s="95">
        <v>0</v>
      </c>
      <c r="V50" s="97">
        <v>0</v>
      </c>
      <c r="W50" s="98">
        <v>0</v>
      </c>
      <c r="X50" s="98">
        <v>0</v>
      </c>
      <c r="Y50" s="98">
        <v>0</v>
      </c>
      <c r="Z50" s="98">
        <v>0</v>
      </c>
      <c r="AA50" s="98">
        <v>0</v>
      </c>
      <c r="AB50" s="99">
        <v>2</v>
      </c>
      <c r="AC50" s="98">
        <v>2</v>
      </c>
      <c r="AD50" s="98">
        <v>1</v>
      </c>
      <c r="AE50" s="98">
        <v>0</v>
      </c>
      <c r="AF50" s="98">
        <v>0</v>
      </c>
      <c r="AG50" s="98">
        <v>4</v>
      </c>
      <c r="AH50" s="98">
        <v>0</v>
      </c>
      <c r="AI50" s="98">
        <v>0</v>
      </c>
      <c r="AJ50" s="98">
        <v>8</v>
      </c>
      <c r="AK50" s="98">
        <v>33</v>
      </c>
      <c r="AL50" s="98">
        <v>20</v>
      </c>
      <c r="AM50" s="100" t="s">
        <v>441</v>
      </c>
      <c r="AN50" s="101">
        <v>4</v>
      </c>
      <c r="AO50" s="101">
        <v>2</v>
      </c>
      <c r="AP50" s="101">
        <v>2</v>
      </c>
      <c r="AQ50" s="101">
        <v>0</v>
      </c>
      <c r="AR50" s="101">
        <v>1</v>
      </c>
      <c r="AS50" s="101">
        <v>0</v>
      </c>
      <c r="AT50" s="101">
        <v>0</v>
      </c>
      <c r="AU50" s="101">
        <v>0</v>
      </c>
      <c r="AV50" s="102">
        <v>2</v>
      </c>
      <c r="AW50" s="100" t="s">
        <v>364</v>
      </c>
      <c r="AX50" s="101">
        <v>4</v>
      </c>
      <c r="AY50" s="101">
        <v>1</v>
      </c>
      <c r="AZ50" s="101">
        <v>2</v>
      </c>
      <c r="BA50" s="101">
        <v>0</v>
      </c>
      <c r="BB50" s="101">
        <v>0</v>
      </c>
      <c r="BC50" s="101">
        <v>1</v>
      </c>
      <c r="BD50" s="101">
        <v>0</v>
      </c>
      <c r="BE50" s="101">
        <v>0</v>
      </c>
      <c r="BF50" s="102">
        <v>2</v>
      </c>
      <c r="BG50" s="100" t="s">
        <v>446</v>
      </c>
      <c r="BH50" s="101">
        <v>4</v>
      </c>
      <c r="BI50" s="101">
        <v>0</v>
      </c>
      <c r="BJ50" s="101">
        <v>0</v>
      </c>
      <c r="BK50" s="101">
        <v>0</v>
      </c>
      <c r="BL50" s="101">
        <v>0</v>
      </c>
      <c r="BM50" s="101">
        <v>1</v>
      </c>
      <c r="BN50" s="101">
        <v>0</v>
      </c>
      <c r="BO50" s="101">
        <v>0</v>
      </c>
      <c r="BP50" s="102">
        <v>0</v>
      </c>
      <c r="BQ50" s="100" t="s">
        <v>366</v>
      </c>
      <c r="BR50" s="101">
        <v>4</v>
      </c>
      <c r="BS50" s="101">
        <v>1</v>
      </c>
      <c r="BT50" s="101">
        <v>1</v>
      </c>
      <c r="BU50" s="101">
        <v>1</v>
      </c>
      <c r="BV50" s="101">
        <v>0</v>
      </c>
      <c r="BW50" s="101">
        <v>1</v>
      </c>
      <c r="BX50" s="101">
        <v>0</v>
      </c>
      <c r="BY50" s="101">
        <v>0</v>
      </c>
      <c r="BZ50" s="102">
        <v>1</v>
      </c>
      <c r="CA50" s="100" t="s">
        <v>473</v>
      </c>
      <c r="CB50" s="101">
        <v>4</v>
      </c>
      <c r="CC50" s="101">
        <v>1</v>
      </c>
      <c r="CD50" s="101">
        <v>1</v>
      </c>
      <c r="CE50" s="101">
        <v>1</v>
      </c>
      <c r="CF50" s="101">
        <v>0</v>
      </c>
      <c r="CG50" s="101">
        <v>0</v>
      </c>
      <c r="CH50" s="101">
        <v>0</v>
      </c>
      <c r="CI50" s="101">
        <v>0</v>
      </c>
      <c r="CJ50" s="102">
        <v>1</v>
      </c>
      <c r="CK50" s="100" t="s">
        <v>443</v>
      </c>
      <c r="CL50" s="101">
        <v>2</v>
      </c>
      <c r="CM50" s="101">
        <v>0</v>
      </c>
      <c r="CN50" s="101">
        <v>0</v>
      </c>
      <c r="CO50" s="101">
        <v>0</v>
      </c>
      <c r="CP50" s="101">
        <v>2</v>
      </c>
      <c r="CQ50" s="101">
        <v>0</v>
      </c>
      <c r="CR50" s="101">
        <v>0</v>
      </c>
      <c r="CS50" s="101">
        <v>0</v>
      </c>
      <c r="CT50" s="102">
        <v>0</v>
      </c>
      <c r="CU50" s="100" t="s">
        <v>448</v>
      </c>
      <c r="CV50" s="101">
        <v>3</v>
      </c>
      <c r="CW50" s="101">
        <v>0</v>
      </c>
      <c r="CX50" s="101">
        <v>0</v>
      </c>
      <c r="CY50" s="101">
        <v>0</v>
      </c>
      <c r="CZ50" s="101">
        <v>1</v>
      </c>
      <c r="DA50" s="101">
        <v>2</v>
      </c>
      <c r="DB50" s="101">
        <v>0</v>
      </c>
      <c r="DC50" s="101">
        <v>0</v>
      </c>
      <c r="DD50" s="102">
        <v>0</v>
      </c>
      <c r="DE50" s="100" t="s">
        <v>444</v>
      </c>
      <c r="DF50" s="101">
        <v>4</v>
      </c>
      <c r="DG50" s="101">
        <v>1</v>
      </c>
      <c r="DH50" s="101">
        <v>3</v>
      </c>
      <c r="DI50" s="101">
        <v>1</v>
      </c>
      <c r="DJ50" s="101">
        <v>0</v>
      </c>
      <c r="DK50" s="101">
        <v>1</v>
      </c>
      <c r="DL50" s="101">
        <v>0</v>
      </c>
      <c r="DM50" s="101">
        <v>0</v>
      </c>
      <c r="DN50" s="102">
        <v>3</v>
      </c>
      <c r="DO50" s="100" t="s">
        <v>365</v>
      </c>
      <c r="DP50" s="101">
        <v>4</v>
      </c>
      <c r="DQ50" s="101">
        <v>0</v>
      </c>
      <c r="DR50" s="101">
        <v>1</v>
      </c>
      <c r="DS50" s="101">
        <v>0</v>
      </c>
      <c r="DT50" s="101">
        <v>0</v>
      </c>
      <c r="DU50" s="101">
        <v>0</v>
      </c>
      <c r="DV50" s="101">
        <v>0</v>
      </c>
      <c r="DW50" s="101">
        <v>0</v>
      </c>
      <c r="DX50" s="102">
        <v>1</v>
      </c>
      <c r="DY50" s="103">
        <v>0</v>
      </c>
      <c r="DZ50" s="104">
        <v>0</v>
      </c>
      <c r="EA50" s="104">
        <v>0</v>
      </c>
      <c r="EB50" s="105">
        <v>8</v>
      </c>
      <c r="EC50" s="104">
        <v>3</v>
      </c>
      <c r="ED50" s="106">
        <v>0</v>
      </c>
      <c r="EE50" s="107">
        <v>0</v>
      </c>
      <c r="EF50" s="104">
        <v>0</v>
      </c>
      <c r="EG50" s="104">
        <v>4</v>
      </c>
      <c r="EH50" s="104">
        <v>1</v>
      </c>
      <c r="EI50" s="104">
        <v>0</v>
      </c>
      <c r="EJ50" s="104">
        <v>1</v>
      </c>
      <c r="EK50" s="104">
        <v>0</v>
      </c>
      <c r="EL50" s="104">
        <v>0</v>
      </c>
      <c r="EM50" s="104"/>
      <c r="EN50" s="104"/>
      <c r="EO50" s="104"/>
      <c r="EP50" s="104"/>
      <c r="EQ50" s="104"/>
      <c r="ER50" s="104"/>
      <c r="ES50" s="104"/>
      <c r="ET50" s="106">
        <f t="shared" si="10"/>
        <v>6</v>
      </c>
      <c r="EU50" s="104">
        <v>0</v>
      </c>
      <c r="EV50" s="104">
        <v>0</v>
      </c>
      <c r="EW50" s="104">
        <v>0</v>
      </c>
      <c r="EX50" s="104">
        <v>0</v>
      </c>
      <c r="EY50" s="104">
        <v>0</v>
      </c>
      <c r="EZ50" s="104">
        <v>0</v>
      </c>
      <c r="FA50" s="104">
        <v>0</v>
      </c>
      <c r="FB50" s="104">
        <v>0</v>
      </c>
      <c r="FC50" s="104">
        <v>1</v>
      </c>
      <c r="FD50" s="104"/>
      <c r="FE50" s="104"/>
      <c r="FF50" s="104"/>
      <c r="FG50" s="104"/>
      <c r="FH50" s="104"/>
      <c r="FI50" s="104"/>
      <c r="FJ50" s="104">
        <f t="shared" si="11"/>
        <v>1</v>
      </c>
      <c r="FK50" s="108">
        <f t="shared" si="12"/>
        <v>0</v>
      </c>
      <c r="FL50" s="108">
        <f t="shared" si="13"/>
        <v>0</v>
      </c>
      <c r="FM50" s="109"/>
    </row>
    <row r="51" spans="1:169" x14ac:dyDescent="0.25">
      <c r="A51" s="91">
        <v>40327</v>
      </c>
      <c r="B51" s="91" t="s">
        <v>19</v>
      </c>
      <c r="C51" s="91" t="s">
        <v>131</v>
      </c>
      <c r="D51" s="91" t="s">
        <v>476</v>
      </c>
      <c r="E51" s="92">
        <v>5111</v>
      </c>
      <c r="F51" s="93">
        <v>5</v>
      </c>
      <c r="G51" s="94" t="s">
        <v>470</v>
      </c>
      <c r="H51" s="95">
        <v>0</v>
      </c>
      <c r="I51" s="95">
        <v>1</v>
      </c>
      <c r="J51" s="96">
        <v>5</v>
      </c>
      <c r="K51" s="95">
        <v>8</v>
      </c>
      <c r="L51" s="95">
        <v>3</v>
      </c>
      <c r="M51" s="95">
        <v>3</v>
      </c>
      <c r="N51" s="95">
        <v>1</v>
      </c>
      <c r="O51" s="95">
        <v>6</v>
      </c>
      <c r="P51" s="95">
        <v>0</v>
      </c>
      <c r="Q51" s="95">
        <v>0</v>
      </c>
      <c r="R51" s="95">
        <v>23</v>
      </c>
      <c r="S51" s="95">
        <v>74</v>
      </c>
      <c r="T51" s="95">
        <v>49</v>
      </c>
      <c r="U51" s="95">
        <v>0</v>
      </c>
      <c r="V51" s="97">
        <v>0</v>
      </c>
      <c r="W51" s="98">
        <v>0</v>
      </c>
      <c r="X51" s="98">
        <v>0</v>
      </c>
      <c r="Y51" s="98">
        <v>0</v>
      </c>
      <c r="Z51" s="98">
        <v>0</v>
      </c>
      <c r="AA51" s="98">
        <v>0</v>
      </c>
      <c r="AB51" s="99">
        <v>4</v>
      </c>
      <c r="AC51" s="98">
        <v>0</v>
      </c>
      <c r="AD51" s="98">
        <v>0</v>
      </c>
      <c r="AE51" s="98">
        <v>0</v>
      </c>
      <c r="AF51" s="98">
        <v>0</v>
      </c>
      <c r="AG51" s="98">
        <v>5</v>
      </c>
      <c r="AH51" s="98">
        <v>0</v>
      </c>
      <c r="AI51" s="98">
        <v>0</v>
      </c>
      <c r="AJ51" s="98">
        <v>16</v>
      </c>
      <c r="AK51" s="98">
        <v>57</v>
      </c>
      <c r="AL51" s="98">
        <v>36</v>
      </c>
      <c r="AM51" s="100" t="s">
        <v>441</v>
      </c>
      <c r="AN51" s="101">
        <v>3</v>
      </c>
      <c r="AO51" s="101">
        <v>0</v>
      </c>
      <c r="AP51" s="101">
        <v>1</v>
      </c>
      <c r="AQ51" s="101">
        <v>0</v>
      </c>
      <c r="AR51" s="101">
        <v>1</v>
      </c>
      <c r="AS51" s="101">
        <v>2</v>
      </c>
      <c r="AT51" s="101">
        <v>0</v>
      </c>
      <c r="AU51" s="101">
        <v>0</v>
      </c>
      <c r="AV51" s="102">
        <v>1</v>
      </c>
      <c r="AW51" s="100" t="s">
        <v>364</v>
      </c>
      <c r="AX51" s="101">
        <v>4</v>
      </c>
      <c r="AY51" s="101">
        <v>0</v>
      </c>
      <c r="AZ51" s="101">
        <v>1</v>
      </c>
      <c r="BA51" s="101">
        <v>0</v>
      </c>
      <c r="BB51" s="101">
        <v>0</v>
      </c>
      <c r="BC51" s="101">
        <v>0</v>
      </c>
      <c r="BD51" s="101">
        <v>0</v>
      </c>
      <c r="BE51" s="101">
        <v>0</v>
      </c>
      <c r="BF51" s="102">
        <v>1</v>
      </c>
      <c r="BG51" s="100" t="s">
        <v>446</v>
      </c>
      <c r="BH51" s="101">
        <v>4</v>
      </c>
      <c r="BI51" s="101">
        <v>0</v>
      </c>
      <c r="BJ51" s="101">
        <v>0</v>
      </c>
      <c r="BK51" s="101">
        <v>0</v>
      </c>
      <c r="BL51" s="101">
        <v>0</v>
      </c>
      <c r="BM51" s="101">
        <v>2</v>
      </c>
      <c r="BN51" s="101">
        <v>0</v>
      </c>
      <c r="BO51" s="101">
        <v>0</v>
      </c>
      <c r="BP51" s="102">
        <v>0</v>
      </c>
      <c r="BQ51" s="100" t="s">
        <v>366</v>
      </c>
      <c r="BR51" s="101">
        <v>3</v>
      </c>
      <c r="BS51" s="101">
        <v>0</v>
      </c>
      <c r="BT51" s="101">
        <v>0</v>
      </c>
      <c r="BU51" s="101">
        <v>0</v>
      </c>
      <c r="BV51" s="101">
        <v>1</v>
      </c>
      <c r="BW51" s="101">
        <v>0</v>
      </c>
      <c r="BX51" s="101">
        <v>0</v>
      </c>
      <c r="BY51" s="101">
        <v>0</v>
      </c>
      <c r="BZ51" s="102">
        <v>0</v>
      </c>
      <c r="CA51" s="100" t="s">
        <v>473</v>
      </c>
      <c r="CB51" s="101">
        <v>4</v>
      </c>
      <c r="CC51" s="101">
        <v>0</v>
      </c>
      <c r="CD51" s="101">
        <v>1</v>
      </c>
      <c r="CE51" s="101">
        <v>0</v>
      </c>
      <c r="CF51" s="101">
        <v>0</v>
      </c>
      <c r="CG51" s="101">
        <v>2</v>
      </c>
      <c r="CH51" s="101">
        <v>0</v>
      </c>
      <c r="CI51" s="101">
        <v>0</v>
      </c>
      <c r="CJ51" s="102">
        <v>1</v>
      </c>
      <c r="CK51" s="100" t="s">
        <v>443</v>
      </c>
      <c r="CL51" s="101">
        <v>4</v>
      </c>
      <c r="CM51" s="101">
        <v>0</v>
      </c>
      <c r="CN51" s="101">
        <v>1</v>
      </c>
      <c r="CO51" s="101">
        <v>0</v>
      </c>
      <c r="CP51" s="101">
        <v>0</v>
      </c>
      <c r="CQ51" s="101">
        <v>2</v>
      </c>
      <c r="CR51" s="101">
        <v>0</v>
      </c>
      <c r="CS51" s="101">
        <v>0</v>
      </c>
      <c r="CT51" s="102">
        <v>1</v>
      </c>
      <c r="CU51" s="100" t="s">
        <v>448</v>
      </c>
      <c r="CV51" s="101">
        <v>4</v>
      </c>
      <c r="CW51" s="101">
        <v>0</v>
      </c>
      <c r="CX51" s="101">
        <v>0</v>
      </c>
      <c r="CY51" s="101">
        <v>0</v>
      </c>
      <c r="CZ51" s="101">
        <v>0</v>
      </c>
      <c r="DA51" s="101">
        <v>1</v>
      </c>
      <c r="DB51" s="101">
        <v>0</v>
      </c>
      <c r="DC51" s="101">
        <v>0</v>
      </c>
      <c r="DD51" s="102">
        <v>0</v>
      </c>
      <c r="DE51" s="100" t="s">
        <v>444</v>
      </c>
      <c r="DF51" s="101">
        <v>3</v>
      </c>
      <c r="DG51" s="101">
        <v>0</v>
      </c>
      <c r="DH51" s="101">
        <v>1</v>
      </c>
      <c r="DI51" s="101">
        <v>0</v>
      </c>
      <c r="DJ51" s="101">
        <v>0</v>
      </c>
      <c r="DK51" s="101">
        <v>0</v>
      </c>
      <c r="DL51" s="101">
        <v>0</v>
      </c>
      <c r="DM51" s="101">
        <v>0</v>
      </c>
      <c r="DN51" s="102">
        <v>1</v>
      </c>
      <c r="DO51" s="100" t="s">
        <v>365</v>
      </c>
      <c r="DP51" s="101">
        <v>3</v>
      </c>
      <c r="DQ51" s="101">
        <v>0</v>
      </c>
      <c r="DR51" s="101">
        <v>1</v>
      </c>
      <c r="DS51" s="101">
        <v>0</v>
      </c>
      <c r="DT51" s="101">
        <v>0</v>
      </c>
      <c r="DU51" s="101">
        <v>0</v>
      </c>
      <c r="DV51" s="101">
        <v>0</v>
      </c>
      <c r="DW51" s="101">
        <v>0</v>
      </c>
      <c r="DX51" s="102">
        <v>1</v>
      </c>
      <c r="DY51" s="103">
        <v>1</v>
      </c>
      <c r="DZ51" s="104">
        <v>0</v>
      </c>
      <c r="EA51" s="104">
        <v>0</v>
      </c>
      <c r="EB51" s="105">
        <v>8</v>
      </c>
      <c r="EC51" s="104">
        <v>0</v>
      </c>
      <c r="ED51" s="106">
        <v>0</v>
      </c>
      <c r="EE51" s="107">
        <v>0</v>
      </c>
      <c r="EF51" s="104">
        <v>0</v>
      </c>
      <c r="EG51" s="104">
        <v>0</v>
      </c>
      <c r="EH51" s="104">
        <v>0</v>
      </c>
      <c r="EI51" s="104">
        <v>0</v>
      </c>
      <c r="EJ51" s="104">
        <v>0</v>
      </c>
      <c r="EK51" s="104">
        <v>0</v>
      </c>
      <c r="EL51" s="104">
        <v>0</v>
      </c>
      <c r="EM51" s="104">
        <v>0</v>
      </c>
      <c r="EN51" s="104"/>
      <c r="EO51" s="104"/>
      <c r="EP51" s="104"/>
      <c r="EQ51" s="104"/>
      <c r="ER51" s="104"/>
      <c r="ES51" s="104"/>
      <c r="ET51" s="106">
        <f t="shared" si="10"/>
        <v>0</v>
      </c>
      <c r="EU51" s="104">
        <v>1</v>
      </c>
      <c r="EV51" s="104">
        <v>2</v>
      </c>
      <c r="EW51" s="104">
        <v>0</v>
      </c>
      <c r="EX51" s="104">
        <v>0</v>
      </c>
      <c r="EY51" s="104">
        <v>0</v>
      </c>
      <c r="EZ51" s="104">
        <v>0</v>
      </c>
      <c r="FA51" s="104">
        <v>0</v>
      </c>
      <c r="FB51" s="104">
        <v>0</v>
      </c>
      <c r="FC51" s="104">
        <v>0</v>
      </c>
      <c r="FD51" s="104"/>
      <c r="FE51" s="104"/>
      <c r="FF51" s="104"/>
      <c r="FG51" s="104"/>
      <c r="FH51" s="104"/>
      <c r="FI51" s="104"/>
      <c r="FJ51" s="104">
        <f t="shared" si="11"/>
        <v>3</v>
      </c>
      <c r="FK51" s="108">
        <f t="shared" si="12"/>
        <v>0</v>
      </c>
      <c r="FL51" s="108">
        <f t="shared" si="13"/>
        <v>0</v>
      </c>
      <c r="FM51" s="109" t="s">
        <v>478</v>
      </c>
    </row>
    <row r="52" spans="1:169" x14ac:dyDescent="0.25">
      <c r="A52" s="91">
        <v>40329</v>
      </c>
      <c r="B52" s="91" t="s">
        <v>133</v>
      </c>
      <c r="C52" s="91" t="s">
        <v>129</v>
      </c>
      <c r="D52" s="91" t="s">
        <v>376</v>
      </c>
      <c r="E52" s="92">
        <v>2656</v>
      </c>
      <c r="F52" s="93">
        <v>1</v>
      </c>
      <c r="G52" s="94" t="s">
        <v>424</v>
      </c>
      <c r="H52" s="95">
        <v>0</v>
      </c>
      <c r="I52" s="95">
        <v>0</v>
      </c>
      <c r="J52" s="96">
        <f>2+2/3</f>
        <v>2.6666666666666665</v>
      </c>
      <c r="K52" s="95">
        <v>1</v>
      </c>
      <c r="L52" s="95">
        <v>0</v>
      </c>
      <c r="M52" s="95">
        <v>0</v>
      </c>
      <c r="N52" s="95">
        <v>2</v>
      </c>
      <c r="O52" s="95">
        <v>4</v>
      </c>
      <c r="P52" s="95">
        <v>0</v>
      </c>
      <c r="Q52" s="95">
        <v>0</v>
      </c>
      <c r="R52" s="95">
        <v>10</v>
      </c>
      <c r="S52" s="95">
        <v>37</v>
      </c>
      <c r="T52" s="95">
        <v>21</v>
      </c>
      <c r="U52" s="95">
        <v>1</v>
      </c>
      <c r="V52" s="97">
        <v>0</v>
      </c>
      <c r="W52" s="98">
        <v>1</v>
      </c>
      <c r="X52" s="98">
        <v>0</v>
      </c>
      <c r="Y52" s="98">
        <v>1</v>
      </c>
      <c r="Z52" s="98">
        <v>0</v>
      </c>
      <c r="AA52" s="98">
        <v>0</v>
      </c>
      <c r="AB52" s="99">
        <f>6+1/3</f>
        <v>6.333333333333333</v>
      </c>
      <c r="AC52" s="98">
        <v>6</v>
      </c>
      <c r="AD52" s="98">
        <v>4</v>
      </c>
      <c r="AE52" s="98">
        <v>1</v>
      </c>
      <c r="AF52" s="98">
        <v>2</v>
      </c>
      <c r="AG52" s="98">
        <v>4</v>
      </c>
      <c r="AH52" s="98">
        <v>0</v>
      </c>
      <c r="AI52" s="98">
        <v>1</v>
      </c>
      <c r="AJ52" s="98">
        <v>30</v>
      </c>
      <c r="AK52" s="98">
        <v>103</v>
      </c>
      <c r="AL52" s="98">
        <v>65</v>
      </c>
      <c r="AM52" s="100" t="s">
        <v>441</v>
      </c>
      <c r="AN52" s="101">
        <v>5</v>
      </c>
      <c r="AO52" s="101">
        <v>2</v>
      </c>
      <c r="AP52" s="101">
        <v>2</v>
      </c>
      <c r="AQ52" s="101">
        <v>1</v>
      </c>
      <c r="AR52" s="101">
        <v>0</v>
      </c>
      <c r="AS52" s="101">
        <v>2</v>
      </c>
      <c r="AT52" s="101">
        <v>0</v>
      </c>
      <c r="AU52" s="101">
        <v>0</v>
      </c>
      <c r="AV52" s="102">
        <v>4</v>
      </c>
      <c r="AW52" s="100" t="s">
        <v>364</v>
      </c>
      <c r="AX52" s="101">
        <v>5</v>
      </c>
      <c r="AY52" s="101">
        <v>1</v>
      </c>
      <c r="AZ52" s="101">
        <v>1</v>
      </c>
      <c r="BA52" s="101">
        <v>0</v>
      </c>
      <c r="BB52" s="101">
        <v>0</v>
      </c>
      <c r="BC52" s="101">
        <v>1</v>
      </c>
      <c r="BD52" s="101">
        <v>0</v>
      </c>
      <c r="BE52" s="101">
        <v>0</v>
      </c>
      <c r="BF52" s="102">
        <v>1</v>
      </c>
      <c r="BG52" s="100" t="s">
        <v>446</v>
      </c>
      <c r="BH52" s="101">
        <v>3</v>
      </c>
      <c r="BI52" s="101">
        <v>2</v>
      </c>
      <c r="BJ52" s="101">
        <v>1</v>
      </c>
      <c r="BK52" s="101">
        <v>1</v>
      </c>
      <c r="BL52" s="101">
        <v>2</v>
      </c>
      <c r="BM52" s="101">
        <v>1</v>
      </c>
      <c r="BN52" s="101">
        <v>0</v>
      </c>
      <c r="BO52" s="101">
        <v>0</v>
      </c>
      <c r="BP52" s="102">
        <v>1</v>
      </c>
      <c r="BQ52" s="100" t="s">
        <v>366</v>
      </c>
      <c r="BR52" s="101">
        <v>3</v>
      </c>
      <c r="BS52" s="101">
        <v>0</v>
      </c>
      <c r="BT52" s="101">
        <v>0</v>
      </c>
      <c r="BU52" s="101">
        <v>1</v>
      </c>
      <c r="BV52" s="101">
        <v>0</v>
      </c>
      <c r="BW52" s="101">
        <v>3</v>
      </c>
      <c r="BX52" s="101">
        <v>0</v>
      </c>
      <c r="BY52" s="101">
        <v>1</v>
      </c>
      <c r="BZ52" s="102">
        <v>0</v>
      </c>
      <c r="CA52" s="100" t="s">
        <v>443</v>
      </c>
      <c r="CB52" s="101">
        <v>4</v>
      </c>
      <c r="CC52" s="101">
        <v>2</v>
      </c>
      <c r="CD52" s="101">
        <v>2</v>
      </c>
      <c r="CE52" s="101">
        <v>5</v>
      </c>
      <c r="CF52" s="101">
        <v>0</v>
      </c>
      <c r="CG52" s="101">
        <v>0</v>
      </c>
      <c r="CH52" s="101">
        <v>0</v>
      </c>
      <c r="CI52" s="101">
        <v>0</v>
      </c>
      <c r="CJ52" s="102">
        <v>8</v>
      </c>
      <c r="CK52" s="100" t="s">
        <v>444</v>
      </c>
      <c r="CL52" s="101">
        <v>4</v>
      </c>
      <c r="CM52" s="101">
        <v>0</v>
      </c>
      <c r="CN52" s="101">
        <v>0</v>
      </c>
      <c r="CO52" s="101">
        <v>0</v>
      </c>
      <c r="CP52" s="101">
        <v>0</v>
      </c>
      <c r="CQ52" s="101">
        <v>2</v>
      </c>
      <c r="CR52" s="101">
        <v>0</v>
      </c>
      <c r="CS52" s="101">
        <v>0</v>
      </c>
      <c r="CT52" s="102">
        <v>0</v>
      </c>
      <c r="CU52" s="100" t="s">
        <v>448</v>
      </c>
      <c r="CV52" s="101">
        <v>4</v>
      </c>
      <c r="CW52" s="101">
        <v>1</v>
      </c>
      <c r="CX52" s="101">
        <v>1</v>
      </c>
      <c r="CY52" s="101">
        <v>0</v>
      </c>
      <c r="CZ52" s="101">
        <v>0</v>
      </c>
      <c r="DA52" s="101">
        <v>0</v>
      </c>
      <c r="DB52" s="101">
        <v>0</v>
      </c>
      <c r="DC52" s="101">
        <v>0</v>
      </c>
      <c r="DD52" s="102">
        <v>2</v>
      </c>
      <c r="DE52" s="100" t="s">
        <v>449</v>
      </c>
      <c r="DF52" s="101">
        <v>3</v>
      </c>
      <c r="DG52" s="101">
        <v>0</v>
      </c>
      <c r="DH52" s="101">
        <v>1</v>
      </c>
      <c r="DI52" s="101">
        <v>0</v>
      </c>
      <c r="DJ52" s="101">
        <v>1</v>
      </c>
      <c r="DK52" s="101">
        <v>1</v>
      </c>
      <c r="DL52" s="101">
        <v>0</v>
      </c>
      <c r="DM52" s="101">
        <v>0</v>
      </c>
      <c r="DN52" s="102">
        <v>1</v>
      </c>
      <c r="DO52" s="100" t="s">
        <v>365</v>
      </c>
      <c r="DP52" s="101">
        <v>3</v>
      </c>
      <c r="DQ52" s="101">
        <v>0</v>
      </c>
      <c r="DR52" s="101">
        <v>0</v>
      </c>
      <c r="DS52" s="101">
        <v>0</v>
      </c>
      <c r="DT52" s="101">
        <v>1</v>
      </c>
      <c r="DU52" s="101">
        <v>0</v>
      </c>
      <c r="DV52" s="101">
        <v>0</v>
      </c>
      <c r="DW52" s="101">
        <v>0</v>
      </c>
      <c r="DX52" s="102">
        <v>0</v>
      </c>
      <c r="DY52" s="103">
        <v>6</v>
      </c>
      <c r="DZ52" s="104">
        <v>1</v>
      </c>
      <c r="EA52" s="104">
        <v>0</v>
      </c>
      <c r="EB52" s="105">
        <v>3</v>
      </c>
      <c r="EC52" s="104">
        <v>0</v>
      </c>
      <c r="ED52" s="106">
        <v>0</v>
      </c>
      <c r="EE52" s="107">
        <v>3</v>
      </c>
      <c r="EF52" s="104">
        <v>1</v>
      </c>
      <c r="EG52" s="104">
        <v>0</v>
      </c>
      <c r="EH52" s="104">
        <v>0</v>
      </c>
      <c r="EI52" s="104">
        <v>1</v>
      </c>
      <c r="EJ52" s="104">
        <v>0</v>
      </c>
      <c r="EK52" s="104">
        <v>3</v>
      </c>
      <c r="EL52" s="104">
        <v>0</v>
      </c>
      <c r="EM52" s="104">
        <v>0</v>
      </c>
      <c r="EN52" s="104"/>
      <c r="EO52" s="104"/>
      <c r="EP52" s="104"/>
      <c r="EQ52" s="104"/>
      <c r="ER52" s="104"/>
      <c r="ES52" s="104"/>
      <c r="ET52" s="106">
        <f t="shared" si="10"/>
        <v>8</v>
      </c>
      <c r="EU52" s="104">
        <v>0</v>
      </c>
      <c r="EV52" s="104">
        <v>0</v>
      </c>
      <c r="EW52" s="104">
        <v>0</v>
      </c>
      <c r="EX52" s="104">
        <v>0</v>
      </c>
      <c r="EY52" s="104">
        <v>0</v>
      </c>
      <c r="EZ52" s="104">
        <v>2</v>
      </c>
      <c r="FA52" s="104">
        <v>0</v>
      </c>
      <c r="FB52" s="104">
        <v>0</v>
      </c>
      <c r="FC52" s="104">
        <v>2</v>
      </c>
      <c r="FD52" s="104"/>
      <c r="FE52" s="104"/>
      <c r="FF52" s="104"/>
      <c r="FG52" s="104"/>
      <c r="FH52" s="104"/>
      <c r="FI52" s="104"/>
      <c r="FJ52" s="104">
        <f t="shared" si="11"/>
        <v>4</v>
      </c>
      <c r="FK52" s="108">
        <f t="shared" si="12"/>
        <v>0</v>
      </c>
      <c r="FL52" s="108">
        <f t="shared" si="13"/>
        <v>0</v>
      </c>
      <c r="FM52" s="109"/>
    </row>
    <row r="53" spans="1:169" x14ac:dyDescent="0.25">
      <c r="A53" s="91">
        <v>40330</v>
      </c>
      <c r="B53" s="91" t="s">
        <v>133</v>
      </c>
      <c r="C53" s="91" t="s">
        <v>131</v>
      </c>
      <c r="D53" s="91" t="s">
        <v>376</v>
      </c>
      <c r="E53" s="92">
        <v>1666</v>
      </c>
      <c r="F53" s="93">
        <v>2</v>
      </c>
      <c r="G53" s="94" t="s">
        <v>438</v>
      </c>
      <c r="H53" s="95">
        <v>0</v>
      </c>
      <c r="I53" s="95">
        <v>1</v>
      </c>
      <c r="J53" s="96">
        <v>5</v>
      </c>
      <c r="K53" s="95">
        <v>10</v>
      </c>
      <c r="L53" s="95">
        <v>4</v>
      </c>
      <c r="M53" s="95">
        <v>4</v>
      </c>
      <c r="N53" s="95">
        <v>1</v>
      </c>
      <c r="O53" s="95">
        <v>8</v>
      </c>
      <c r="P53" s="95">
        <v>0</v>
      </c>
      <c r="Q53" s="95">
        <v>0</v>
      </c>
      <c r="R53" s="95">
        <v>25</v>
      </c>
      <c r="S53" s="95">
        <v>91</v>
      </c>
      <c r="T53" s="95">
        <v>63</v>
      </c>
      <c r="U53" s="95">
        <v>0</v>
      </c>
      <c r="V53" s="97">
        <v>0</v>
      </c>
      <c r="W53" s="98">
        <v>0</v>
      </c>
      <c r="X53" s="98">
        <v>0</v>
      </c>
      <c r="Y53" s="98">
        <v>0</v>
      </c>
      <c r="Z53" s="98">
        <v>0</v>
      </c>
      <c r="AA53" s="98">
        <v>0</v>
      </c>
      <c r="AB53" s="99">
        <v>3</v>
      </c>
      <c r="AC53" s="98">
        <v>1</v>
      </c>
      <c r="AD53" s="98">
        <v>1</v>
      </c>
      <c r="AE53" s="98">
        <v>0</v>
      </c>
      <c r="AF53" s="98">
        <v>0</v>
      </c>
      <c r="AG53" s="98">
        <v>3</v>
      </c>
      <c r="AH53" s="98">
        <v>0</v>
      </c>
      <c r="AI53" s="98">
        <v>0</v>
      </c>
      <c r="AJ53" s="98">
        <v>11</v>
      </c>
      <c r="AK53" s="98">
        <v>43</v>
      </c>
      <c r="AL53" s="98">
        <v>27</v>
      </c>
      <c r="AM53" s="100" t="s">
        <v>441</v>
      </c>
      <c r="AN53" s="101">
        <v>4</v>
      </c>
      <c r="AO53" s="101">
        <v>0</v>
      </c>
      <c r="AP53" s="101">
        <v>0</v>
      </c>
      <c r="AQ53" s="101">
        <v>0</v>
      </c>
      <c r="AR53" s="101">
        <v>1</v>
      </c>
      <c r="AS53" s="101">
        <v>1</v>
      </c>
      <c r="AT53" s="101">
        <v>0</v>
      </c>
      <c r="AU53" s="101">
        <v>0</v>
      </c>
      <c r="AV53" s="102">
        <v>0</v>
      </c>
      <c r="AW53" s="100" t="s">
        <v>364</v>
      </c>
      <c r="AX53" s="101">
        <v>5</v>
      </c>
      <c r="AY53" s="101">
        <v>1</v>
      </c>
      <c r="AZ53" s="101">
        <v>2</v>
      </c>
      <c r="BA53" s="101">
        <v>1</v>
      </c>
      <c r="BB53" s="101">
        <v>0</v>
      </c>
      <c r="BC53" s="101">
        <v>1</v>
      </c>
      <c r="BD53" s="101">
        <v>0</v>
      </c>
      <c r="BE53" s="101">
        <v>0</v>
      </c>
      <c r="BF53" s="102">
        <v>2</v>
      </c>
      <c r="BG53" s="100" t="s">
        <v>446</v>
      </c>
      <c r="BH53" s="101">
        <v>4</v>
      </c>
      <c r="BI53" s="101">
        <v>0</v>
      </c>
      <c r="BJ53" s="101">
        <v>1</v>
      </c>
      <c r="BK53" s="101">
        <v>1</v>
      </c>
      <c r="BL53" s="101">
        <v>1</v>
      </c>
      <c r="BM53" s="101">
        <v>1</v>
      </c>
      <c r="BN53" s="101">
        <v>0</v>
      </c>
      <c r="BO53" s="101">
        <v>0</v>
      </c>
      <c r="BP53" s="102">
        <v>2</v>
      </c>
      <c r="BQ53" s="100" t="s">
        <v>473</v>
      </c>
      <c r="BR53" s="101">
        <v>4</v>
      </c>
      <c r="BS53" s="101">
        <v>0</v>
      </c>
      <c r="BT53" s="101">
        <v>0</v>
      </c>
      <c r="BU53" s="101">
        <v>0</v>
      </c>
      <c r="BV53" s="101">
        <v>0</v>
      </c>
      <c r="BW53" s="101">
        <v>3</v>
      </c>
      <c r="BX53" s="101">
        <v>0</v>
      </c>
      <c r="BY53" s="101">
        <v>0</v>
      </c>
      <c r="BZ53" s="102">
        <v>0</v>
      </c>
      <c r="CA53" s="100" t="s">
        <v>443</v>
      </c>
      <c r="CB53" s="101">
        <v>3</v>
      </c>
      <c r="CC53" s="101">
        <v>0</v>
      </c>
      <c r="CD53" s="101">
        <v>0</v>
      </c>
      <c r="CE53" s="101">
        <v>0</v>
      </c>
      <c r="CF53" s="101">
        <v>1</v>
      </c>
      <c r="CG53" s="101">
        <v>1</v>
      </c>
      <c r="CH53" s="101">
        <v>0</v>
      </c>
      <c r="CI53" s="101">
        <v>0</v>
      </c>
      <c r="CJ53" s="102">
        <v>0</v>
      </c>
      <c r="CK53" s="100" t="s">
        <v>366</v>
      </c>
      <c r="CL53" s="101">
        <v>2</v>
      </c>
      <c r="CM53" s="101">
        <v>0</v>
      </c>
      <c r="CN53" s="101">
        <v>0</v>
      </c>
      <c r="CO53" s="101">
        <v>0</v>
      </c>
      <c r="CP53" s="101">
        <v>2</v>
      </c>
      <c r="CQ53" s="101">
        <v>1</v>
      </c>
      <c r="CR53" s="101">
        <v>0</v>
      </c>
      <c r="CS53" s="101">
        <v>0</v>
      </c>
      <c r="CT53" s="102">
        <v>0</v>
      </c>
      <c r="CU53" s="100" t="s">
        <v>448</v>
      </c>
      <c r="CV53" s="101">
        <v>4</v>
      </c>
      <c r="CW53" s="101">
        <v>0</v>
      </c>
      <c r="CX53" s="101">
        <v>0</v>
      </c>
      <c r="CY53" s="101">
        <v>0</v>
      </c>
      <c r="CZ53" s="101">
        <v>0</v>
      </c>
      <c r="DA53" s="101">
        <v>1</v>
      </c>
      <c r="DB53" s="101">
        <v>0</v>
      </c>
      <c r="DC53" s="101">
        <v>0</v>
      </c>
      <c r="DD53" s="102">
        <v>0</v>
      </c>
      <c r="DE53" s="100" t="s">
        <v>444</v>
      </c>
      <c r="DF53" s="101">
        <v>4</v>
      </c>
      <c r="DG53" s="101">
        <v>0</v>
      </c>
      <c r="DH53" s="101">
        <v>2</v>
      </c>
      <c r="DI53" s="101">
        <v>0</v>
      </c>
      <c r="DJ53" s="101">
        <v>0</v>
      </c>
      <c r="DK53" s="101">
        <v>0</v>
      </c>
      <c r="DL53" s="101">
        <v>0</v>
      </c>
      <c r="DM53" s="101">
        <v>0</v>
      </c>
      <c r="DN53" s="102">
        <v>2</v>
      </c>
      <c r="DO53" s="100" t="s">
        <v>365</v>
      </c>
      <c r="DP53" s="101">
        <v>4</v>
      </c>
      <c r="DQ53" s="101">
        <v>1</v>
      </c>
      <c r="DR53" s="101">
        <v>2</v>
      </c>
      <c r="DS53" s="101">
        <v>0</v>
      </c>
      <c r="DT53" s="101">
        <v>0</v>
      </c>
      <c r="DU53" s="101">
        <v>0</v>
      </c>
      <c r="DV53" s="101">
        <v>0</v>
      </c>
      <c r="DW53" s="101">
        <v>0</v>
      </c>
      <c r="DX53" s="102">
        <v>3</v>
      </c>
      <c r="DY53" s="103">
        <v>0</v>
      </c>
      <c r="DZ53" s="104">
        <v>0</v>
      </c>
      <c r="EA53" s="104">
        <v>0</v>
      </c>
      <c r="EB53" s="105">
        <v>9</v>
      </c>
      <c r="EC53" s="104">
        <v>0</v>
      </c>
      <c r="ED53" s="106">
        <v>1</v>
      </c>
      <c r="EE53" s="107">
        <v>0</v>
      </c>
      <c r="EF53" s="104">
        <v>0</v>
      </c>
      <c r="EG53" s="104">
        <v>0</v>
      </c>
      <c r="EH53" s="104">
        <v>0</v>
      </c>
      <c r="EI53" s="104">
        <v>0</v>
      </c>
      <c r="EJ53" s="104">
        <v>0</v>
      </c>
      <c r="EK53" s="104">
        <v>2</v>
      </c>
      <c r="EL53" s="104">
        <v>0</v>
      </c>
      <c r="EM53" s="104">
        <v>0</v>
      </c>
      <c r="EN53" s="104"/>
      <c r="EO53" s="104"/>
      <c r="EP53" s="104"/>
      <c r="EQ53" s="104"/>
      <c r="ER53" s="104"/>
      <c r="ES53" s="104"/>
      <c r="ET53" s="106">
        <f t="shared" si="10"/>
        <v>2</v>
      </c>
      <c r="EU53" s="104">
        <v>0</v>
      </c>
      <c r="EV53" s="104">
        <v>0</v>
      </c>
      <c r="EW53" s="104">
        <v>0</v>
      </c>
      <c r="EX53" s="104">
        <v>4</v>
      </c>
      <c r="EY53" s="104">
        <v>0</v>
      </c>
      <c r="EZ53" s="104">
        <v>1</v>
      </c>
      <c r="FA53" s="104">
        <v>0</v>
      </c>
      <c r="FB53" s="104">
        <v>0</v>
      </c>
      <c r="FC53" s="104"/>
      <c r="FD53" s="104"/>
      <c r="FE53" s="104"/>
      <c r="FF53" s="104"/>
      <c r="FG53" s="104"/>
      <c r="FH53" s="104"/>
      <c r="FI53" s="104"/>
      <c r="FJ53" s="104">
        <f t="shared" si="11"/>
        <v>5</v>
      </c>
      <c r="FK53" s="108">
        <f t="shared" si="12"/>
        <v>0</v>
      </c>
      <c r="FL53" s="108">
        <f t="shared" si="13"/>
        <v>0</v>
      </c>
      <c r="FM53" s="109"/>
    </row>
    <row r="54" spans="1:169" x14ac:dyDescent="0.25">
      <c r="A54" s="91">
        <v>40331</v>
      </c>
      <c r="B54" s="91" t="s">
        <v>133</v>
      </c>
      <c r="C54" s="91" t="s">
        <v>129</v>
      </c>
      <c r="D54" s="91" t="s">
        <v>376</v>
      </c>
      <c r="E54" s="92">
        <v>2040</v>
      </c>
      <c r="F54" s="93">
        <v>3</v>
      </c>
      <c r="G54" s="94" t="s">
        <v>368</v>
      </c>
      <c r="H54" s="95">
        <v>1</v>
      </c>
      <c r="I54" s="95">
        <v>0</v>
      </c>
      <c r="J54" s="96">
        <v>8</v>
      </c>
      <c r="K54" s="95">
        <v>2</v>
      </c>
      <c r="L54" s="95">
        <v>0</v>
      </c>
      <c r="M54" s="95">
        <v>0</v>
      </c>
      <c r="N54" s="95">
        <v>3</v>
      </c>
      <c r="O54" s="95">
        <v>3</v>
      </c>
      <c r="P54" s="95">
        <v>0</v>
      </c>
      <c r="Q54" s="95">
        <v>0</v>
      </c>
      <c r="R54" s="95">
        <v>29</v>
      </c>
      <c r="S54" s="95">
        <v>95</v>
      </c>
      <c r="T54" s="95">
        <v>62</v>
      </c>
      <c r="U54" s="95">
        <v>0</v>
      </c>
      <c r="V54" s="97">
        <v>0</v>
      </c>
      <c r="W54" s="98">
        <v>0</v>
      </c>
      <c r="X54" s="98">
        <v>0</v>
      </c>
      <c r="Y54" s="98">
        <v>0</v>
      </c>
      <c r="Z54" s="98">
        <v>0</v>
      </c>
      <c r="AA54" s="98">
        <v>0</v>
      </c>
      <c r="AB54" s="99">
        <v>1</v>
      </c>
      <c r="AC54" s="98">
        <v>0</v>
      </c>
      <c r="AD54" s="98">
        <v>0</v>
      </c>
      <c r="AE54" s="98">
        <v>0</v>
      </c>
      <c r="AF54" s="98">
        <v>0</v>
      </c>
      <c r="AG54" s="98">
        <v>0</v>
      </c>
      <c r="AH54" s="98">
        <v>0</v>
      </c>
      <c r="AI54" s="98">
        <v>0</v>
      </c>
      <c r="AJ54" s="98">
        <v>3</v>
      </c>
      <c r="AK54" s="98">
        <v>7</v>
      </c>
      <c r="AL54" s="98">
        <v>4</v>
      </c>
      <c r="AM54" s="100" t="s">
        <v>441</v>
      </c>
      <c r="AN54" s="101">
        <v>5</v>
      </c>
      <c r="AO54" s="101">
        <v>0</v>
      </c>
      <c r="AP54" s="101">
        <v>1</v>
      </c>
      <c r="AQ54" s="101">
        <v>0</v>
      </c>
      <c r="AR54" s="101">
        <v>0</v>
      </c>
      <c r="AS54" s="101">
        <v>2</v>
      </c>
      <c r="AT54" s="101">
        <v>0</v>
      </c>
      <c r="AU54" s="101">
        <v>0</v>
      </c>
      <c r="AV54" s="102">
        <v>1</v>
      </c>
      <c r="AW54" s="100" t="s">
        <v>364</v>
      </c>
      <c r="AX54" s="101">
        <v>5</v>
      </c>
      <c r="AY54" s="101">
        <v>2</v>
      </c>
      <c r="AZ54" s="101">
        <v>3</v>
      </c>
      <c r="BA54" s="101">
        <v>2</v>
      </c>
      <c r="BB54" s="101">
        <v>0</v>
      </c>
      <c r="BC54" s="101">
        <v>1</v>
      </c>
      <c r="BD54" s="101">
        <v>0</v>
      </c>
      <c r="BE54" s="101">
        <v>0</v>
      </c>
      <c r="BF54" s="102">
        <v>6</v>
      </c>
      <c r="BG54" s="100" t="s">
        <v>446</v>
      </c>
      <c r="BH54" s="101">
        <v>5</v>
      </c>
      <c r="BI54" s="101">
        <v>1</v>
      </c>
      <c r="BJ54" s="101">
        <v>2</v>
      </c>
      <c r="BK54" s="101">
        <v>0</v>
      </c>
      <c r="BL54" s="101">
        <v>0</v>
      </c>
      <c r="BM54" s="101">
        <v>0</v>
      </c>
      <c r="BN54" s="101">
        <v>0</v>
      </c>
      <c r="BO54" s="101">
        <v>0</v>
      </c>
      <c r="BP54" s="102">
        <v>2</v>
      </c>
      <c r="BQ54" s="100" t="s">
        <v>366</v>
      </c>
      <c r="BR54" s="101">
        <v>5</v>
      </c>
      <c r="BS54" s="101">
        <v>0</v>
      </c>
      <c r="BT54" s="101">
        <v>0</v>
      </c>
      <c r="BU54" s="101">
        <v>0</v>
      </c>
      <c r="BV54" s="101">
        <v>0</v>
      </c>
      <c r="BW54" s="101">
        <v>2</v>
      </c>
      <c r="BX54" s="101">
        <v>0</v>
      </c>
      <c r="BY54" s="101">
        <v>0</v>
      </c>
      <c r="BZ54" s="102">
        <v>0</v>
      </c>
      <c r="CA54" s="100" t="s">
        <v>402</v>
      </c>
      <c r="CB54" s="101">
        <v>3</v>
      </c>
      <c r="CC54" s="101">
        <v>1</v>
      </c>
      <c r="CD54" s="101">
        <v>1</v>
      </c>
      <c r="CE54" s="101">
        <v>1</v>
      </c>
      <c r="CF54" s="101">
        <v>1</v>
      </c>
      <c r="CG54" s="101">
        <v>1</v>
      </c>
      <c r="CH54" s="101">
        <v>0</v>
      </c>
      <c r="CI54" s="101">
        <v>1</v>
      </c>
      <c r="CJ54" s="102">
        <v>1</v>
      </c>
      <c r="CK54" s="100" t="s">
        <v>443</v>
      </c>
      <c r="CL54" s="101">
        <v>5</v>
      </c>
      <c r="CM54" s="101">
        <v>1</v>
      </c>
      <c r="CN54" s="101">
        <v>2</v>
      </c>
      <c r="CO54" s="101">
        <v>0</v>
      </c>
      <c r="CP54" s="101">
        <v>0</v>
      </c>
      <c r="CQ54" s="101">
        <v>2</v>
      </c>
      <c r="CR54" s="101">
        <v>0</v>
      </c>
      <c r="CS54" s="101">
        <v>0</v>
      </c>
      <c r="CT54" s="102">
        <v>3</v>
      </c>
      <c r="CU54" s="100" t="s">
        <v>473</v>
      </c>
      <c r="CV54" s="101">
        <v>3</v>
      </c>
      <c r="CW54" s="101">
        <v>0</v>
      </c>
      <c r="CX54" s="101">
        <v>1</v>
      </c>
      <c r="CY54" s="101">
        <v>0</v>
      </c>
      <c r="CZ54" s="101">
        <v>0</v>
      </c>
      <c r="DA54" s="101">
        <v>1</v>
      </c>
      <c r="DB54" s="101">
        <v>1</v>
      </c>
      <c r="DC54" s="101">
        <v>0</v>
      </c>
      <c r="DD54" s="102">
        <v>1</v>
      </c>
      <c r="DE54" s="100" t="s">
        <v>444</v>
      </c>
      <c r="DF54" s="101">
        <v>4</v>
      </c>
      <c r="DG54" s="101">
        <v>0</v>
      </c>
      <c r="DH54" s="101">
        <v>2</v>
      </c>
      <c r="DI54" s="101">
        <v>2</v>
      </c>
      <c r="DJ54" s="101">
        <v>0</v>
      </c>
      <c r="DK54" s="101">
        <v>1</v>
      </c>
      <c r="DL54" s="101">
        <v>0</v>
      </c>
      <c r="DM54" s="101">
        <v>0</v>
      </c>
      <c r="DN54" s="102">
        <v>4</v>
      </c>
      <c r="DO54" s="100" t="s">
        <v>335</v>
      </c>
      <c r="DP54" s="101">
        <v>4</v>
      </c>
      <c r="DQ54" s="101">
        <v>1</v>
      </c>
      <c r="DR54" s="101">
        <v>1</v>
      </c>
      <c r="DS54" s="101">
        <v>0</v>
      </c>
      <c r="DT54" s="101">
        <v>0</v>
      </c>
      <c r="DU54" s="101">
        <v>1</v>
      </c>
      <c r="DV54" s="101">
        <v>0</v>
      </c>
      <c r="DW54" s="101">
        <v>0</v>
      </c>
      <c r="DX54" s="102">
        <v>1</v>
      </c>
      <c r="DY54" s="103">
        <v>8</v>
      </c>
      <c r="DZ54" s="104">
        <v>0</v>
      </c>
      <c r="EA54" s="104">
        <v>0</v>
      </c>
      <c r="EB54" s="105">
        <v>1</v>
      </c>
      <c r="EC54" s="104">
        <v>0</v>
      </c>
      <c r="ED54" s="106">
        <v>0</v>
      </c>
      <c r="EE54" s="107">
        <v>0</v>
      </c>
      <c r="EF54" s="104">
        <v>0</v>
      </c>
      <c r="EG54" s="104">
        <v>1</v>
      </c>
      <c r="EH54" s="104">
        <v>2</v>
      </c>
      <c r="EI54" s="104">
        <v>2</v>
      </c>
      <c r="EJ54" s="104">
        <v>0</v>
      </c>
      <c r="EK54" s="104">
        <v>1</v>
      </c>
      <c r="EL54" s="104">
        <v>0</v>
      </c>
      <c r="EM54" s="104">
        <v>0</v>
      </c>
      <c r="EN54" s="104"/>
      <c r="EO54" s="104"/>
      <c r="EP54" s="104"/>
      <c r="EQ54" s="104"/>
      <c r="ER54" s="104"/>
      <c r="ES54" s="104"/>
      <c r="ET54" s="106">
        <f t="shared" si="10"/>
        <v>6</v>
      </c>
      <c r="EU54" s="104">
        <v>0</v>
      </c>
      <c r="EV54" s="104">
        <v>0</v>
      </c>
      <c r="EW54" s="104">
        <v>0</v>
      </c>
      <c r="EX54" s="104">
        <v>0</v>
      </c>
      <c r="EY54" s="104">
        <v>0</v>
      </c>
      <c r="EZ54" s="104">
        <v>0</v>
      </c>
      <c r="FA54" s="104">
        <v>0</v>
      </c>
      <c r="FB54" s="104">
        <v>0</v>
      </c>
      <c r="FC54" s="104">
        <v>0</v>
      </c>
      <c r="FD54" s="104"/>
      <c r="FE54" s="104"/>
      <c r="FF54" s="104"/>
      <c r="FG54" s="104"/>
      <c r="FH54" s="104"/>
      <c r="FI54" s="104"/>
      <c r="FJ54" s="104">
        <f t="shared" si="11"/>
        <v>0</v>
      </c>
      <c r="FK54" s="108">
        <f t="shared" si="12"/>
        <v>0</v>
      </c>
      <c r="FL54" s="108">
        <f t="shared" si="13"/>
        <v>0</v>
      </c>
      <c r="FM54" s="109"/>
    </row>
    <row r="55" spans="1:169" x14ac:dyDescent="0.25">
      <c r="A55" s="91">
        <v>40332</v>
      </c>
      <c r="B55" s="91" t="s">
        <v>133</v>
      </c>
      <c r="C55" s="91" t="s">
        <v>129</v>
      </c>
      <c r="D55" s="91" t="s">
        <v>376</v>
      </c>
      <c r="E55" s="92">
        <v>2762</v>
      </c>
      <c r="F55" s="93">
        <v>4</v>
      </c>
      <c r="G55" s="94" t="s">
        <v>439</v>
      </c>
      <c r="H55" s="95">
        <v>0</v>
      </c>
      <c r="I55" s="95">
        <v>0</v>
      </c>
      <c r="J55" s="96">
        <v>6</v>
      </c>
      <c r="K55" s="95">
        <v>3</v>
      </c>
      <c r="L55" s="95">
        <v>0</v>
      </c>
      <c r="M55" s="95">
        <v>0</v>
      </c>
      <c r="N55" s="95">
        <v>2</v>
      </c>
      <c r="O55" s="95">
        <v>4</v>
      </c>
      <c r="P55" s="95">
        <v>0</v>
      </c>
      <c r="Q55" s="95">
        <v>0</v>
      </c>
      <c r="R55" s="95">
        <v>21</v>
      </c>
      <c r="S55" s="95">
        <v>68</v>
      </c>
      <c r="T55" s="95">
        <v>44</v>
      </c>
      <c r="U55" s="95">
        <v>0</v>
      </c>
      <c r="V55" s="97">
        <v>0</v>
      </c>
      <c r="W55" s="98">
        <v>1</v>
      </c>
      <c r="X55" s="98">
        <v>0</v>
      </c>
      <c r="Y55" s="98">
        <v>0</v>
      </c>
      <c r="Z55" s="98">
        <v>1</v>
      </c>
      <c r="AA55" s="98">
        <v>0</v>
      </c>
      <c r="AB55" s="99">
        <v>4</v>
      </c>
      <c r="AC55" s="98">
        <v>2</v>
      </c>
      <c r="AD55" s="98">
        <v>0</v>
      </c>
      <c r="AE55" s="98">
        <v>0</v>
      </c>
      <c r="AF55" s="98">
        <v>0</v>
      </c>
      <c r="AG55" s="98">
        <v>5</v>
      </c>
      <c r="AH55" s="98">
        <v>0</v>
      </c>
      <c r="AI55" s="98">
        <v>0</v>
      </c>
      <c r="AJ55" s="98">
        <v>13</v>
      </c>
      <c r="AK55" s="98">
        <v>43</v>
      </c>
      <c r="AL55" s="98">
        <v>31</v>
      </c>
      <c r="AM55" s="100" t="s">
        <v>402</v>
      </c>
      <c r="AN55" s="101">
        <v>5</v>
      </c>
      <c r="AO55" s="101">
        <v>0</v>
      </c>
      <c r="AP55" s="101">
        <v>0</v>
      </c>
      <c r="AQ55" s="101">
        <v>1</v>
      </c>
      <c r="AR55" s="101">
        <v>0</v>
      </c>
      <c r="AS55" s="101">
        <v>1</v>
      </c>
      <c r="AT55" s="101">
        <v>0</v>
      </c>
      <c r="AU55" s="101">
        <v>0</v>
      </c>
      <c r="AV55" s="102">
        <v>0</v>
      </c>
      <c r="AW55" s="100" t="s">
        <v>364</v>
      </c>
      <c r="AX55" s="101">
        <v>4</v>
      </c>
      <c r="AY55" s="101">
        <v>0</v>
      </c>
      <c r="AZ55" s="101">
        <v>1</v>
      </c>
      <c r="BA55" s="101">
        <v>0</v>
      </c>
      <c r="BB55" s="101">
        <v>1</v>
      </c>
      <c r="BC55" s="101">
        <v>1</v>
      </c>
      <c r="BD55" s="101">
        <v>0</v>
      </c>
      <c r="BE55" s="101">
        <v>0</v>
      </c>
      <c r="BF55" s="102">
        <v>1</v>
      </c>
      <c r="BG55" s="100" t="s">
        <v>446</v>
      </c>
      <c r="BH55" s="101">
        <v>5</v>
      </c>
      <c r="BI55" s="101">
        <v>0</v>
      </c>
      <c r="BJ55" s="101">
        <v>1</v>
      </c>
      <c r="BK55" s="101">
        <v>0</v>
      </c>
      <c r="BL55" s="101">
        <v>0</v>
      </c>
      <c r="BM55" s="101">
        <v>2</v>
      </c>
      <c r="BN55" s="101">
        <v>0</v>
      </c>
      <c r="BO55" s="101">
        <v>0</v>
      </c>
      <c r="BP55" s="102">
        <v>1</v>
      </c>
      <c r="BQ55" s="100" t="s">
        <v>443</v>
      </c>
      <c r="BR55" s="101">
        <v>4</v>
      </c>
      <c r="BS55" s="101">
        <v>0</v>
      </c>
      <c r="BT55" s="101">
        <v>1</v>
      </c>
      <c r="BU55" s="101">
        <v>0</v>
      </c>
      <c r="BV55" s="101">
        <v>0</v>
      </c>
      <c r="BW55" s="101">
        <v>1</v>
      </c>
      <c r="BX55" s="101">
        <v>0</v>
      </c>
      <c r="BY55" s="101">
        <v>0</v>
      </c>
      <c r="BZ55" s="102">
        <v>2</v>
      </c>
      <c r="CA55" s="100" t="s">
        <v>473</v>
      </c>
      <c r="CB55" s="101">
        <v>4</v>
      </c>
      <c r="CC55" s="101">
        <v>0</v>
      </c>
      <c r="CD55" s="101">
        <v>0</v>
      </c>
      <c r="CE55" s="101">
        <v>0</v>
      </c>
      <c r="CF55" s="101">
        <v>0</v>
      </c>
      <c r="CG55" s="101">
        <v>2</v>
      </c>
      <c r="CH55" s="101">
        <v>0</v>
      </c>
      <c r="CI55" s="101">
        <v>0</v>
      </c>
      <c r="CJ55" s="102">
        <v>0</v>
      </c>
      <c r="CK55" s="100" t="s">
        <v>366</v>
      </c>
      <c r="CL55" s="101">
        <v>3</v>
      </c>
      <c r="CM55" s="101">
        <v>1</v>
      </c>
      <c r="CN55" s="101">
        <v>1</v>
      </c>
      <c r="CO55" s="101">
        <v>0</v>
      </c>
      <c r="CP55" s="101">
        <v>1</v>
      </c>
      <c r="CQ55" s="101">
        <v>2</v>
      </c>
      <c r="CR55" s="101">
        <v>0</v>
      </c>
      <c r="CS55" s="101">
        <v>0</v>
      </c>
      <c r="CT55" s="102">
        <v>1</v>
      </c>
      <c r="CU55" s="100" t="s">
        <v>448</v>
      </c>
      <c r="CV55" s="101">
        <v>3</v>
      </c>
      <c r="CW55" s="101">
        <v>1</v>
      </c>
      <c r="CX55" s="101">
        <v>1</v>
      </c>
      <c r="CY55" s="101">
        <v>0</v>
      </c>
      <c r="CZ55" s="101">
        <v>1</v>
      </c>
      <c r="DA55" s="101">
        <v>0</v>
      </c>
      <c r="DB55" s="101">
        <v>0</v>
      </c>
      <c r="DC55" s="101">
        <v>0</v>
      </c>
      <c r="DD55" s="102">
        <v>1</v>
      </c>
      <c r="DE55" s="100" t="s">
        <v>444</v>
      </c>
      <c r="DF55" s="101">
        <v>3</v>
      </c>
      <c r="DG55" s="101">
        <v>0</v>
      </c>
      <c r="DH55" s="101">
        <v>0</v>
      </c>
      <c r="DI55" s="101">
        <v>0</v>
      </c>
      <c r="DJ55" s="101">
        <v>0</v>
      </c>
      <c r="DK55" s="101">
        <v>2</v>
      </c>
      <c r="DL55" s="101">
        <v>0</v>
      </c>
      <c r="DM55" s="101">
        <v>0</v>
      </c>
      <c r="DN55" s="102">
        <v>0</v>
      </c>
      <c r="DO55" s="100" t="s">
        <v>365</v>
      </c>
      <c r="DP55" s="101">
        <v>3</v>
      </c>
      <c r="DQ55" s="101">
        <v>1</v>
      </c>
      <c r="DR55" s="101">
        <v>1</v>
      </c>
      <c r="DS55" s="101">
        <v>0</v>
      </c>
      <c r="DT55" s="101">
        <v>1</v>
      </c>
      <c r="DU55" s="101">
        <v>1</v>
      </c>
      <c r="DV55" s="101">
        <v>0</v>
      </c>
      <c r="DW55" s="101">
        <v>0</v>
      </c>
      <c r="DX55" s="102">
        <v>1</v>
      </c>
      <c r="DY55" s="103">
        <v>8</v>
      </c>
      <c r="DZ55" s="104">
        <v>0</v>
      </c>
      <c r="EA55" s="104">
        <v>0</v>
      </c>
      <c r="EB55" s="105">
        <v>2</v>
      </c>
      <c r="EC55" s="104">
        <v>0</v>
      </c>
      <c r="ED55" s="106">
        <v>0</v>
      </c>
      <c r="EE55" s="107">
        <v>0</v>
      </c>
      <c r="EF55" s="104">
        <v>0</v>
      </c>
      <c r="EG55" s="104">
        <v>0</v>
      </c>
      <c r="EH55" s="104">
        <v>0</v>
      </c>
      <c r="EI55" s="104">
        <v>0</v>
      </c>
      <c r="EJ55" s="104">
        <v>0</v>
      </c>
      <c r="EK55" s="104">
        <v>0</v>
      </c>
      <c r="EL55" s="104">
        <v>0</v>
      </c>
      <c r="EM55" s="104">
        <v>0</v>
      </c>
      <c r="EN55" s="104">
        <v>3</v>
      </c>
      <c r="EO55" s="104"/>
      <c r="EP55" s="104"/>
      <c r="EQ55" s="104"/>
      <c r="ER55" s="104"/>
      <c r="ES55" s="104"/>
      <c r="ET55" s="106">
        <f t="shared" si="10"/>
        <v>3</v>
      </c>
      <c r="EU55" s="104">
        <v>0</v>
      </c>
      <c r="EV55" s="104">
        <v>0</v>
      </c>
      <c r="EW55" s="104">
        <v>0</v>
      </c>
      <c r="EX55" s="104">
        <v>0</v>
      </c>
      <c r="EY55" s="104">
        <v>0</v>
      </c>
      <c r="EZ55" s="104">
        <v>0</v>
      </c>
      <c r="FA55" s="104">
        <v>0</v>
      </c>
      <c r="FB55" s="104">
        <v>0</v>
      </c>
      <c r="FC55" s="104">
        <v>0</v>
      </c>
      <c r="FD55" s="104">
        <v>0</v>
      </c>
      <c r="FE55" s="104"/>
      <c r="FF55" s="104"/>
      <c r="FG55" s="104"/>
      <c r="FH55" s="104"/>
      <c r="FI55" s="104"/>
      <c r="FJ55" s="104">
        <f t="shared" si="11"/>
        <v>0</v>
      </c>
      <c r="FK55" s="108">
        <f t="shared" si="12"/>
        <v>0</v>
      </c>
      <c r="FL55" s="108">
        <f t="shared" si="13"/>
        <v>0</v>
      </c>
      <c r="FM55" s="109"/>
    </row>
    <row r="56" spans="1:169" x14ac:dyDescent="0.25">
      <c r="A56" s="53">
        <v>40333</v>
      </c>
      <c r="B56" s="53" t="s">
        <v>133</v>
      </c>
      <c r="C56" s="53" t="s">
        <v>129</v>
      </c>
      <c r="D56" s="53" t="s">
        <v>376</v>
      </c>
      <c r="E56" s="54">
        <v>3243</v>
      </c>
      <c r="F56" s="58">
        <v>5</v>
      </c>
      <c r="G56" s="59" t="s">
        <v>470</v>
      </c>
      <c r="H56" s="6">
        <v>1</v>
      </c>
      <c r="I56" s="6">
        <v>0</v>
      </c>
      <c r="J56" s="60">
        <v>5</v>
      </c>
      <c r="K56" s="6">
        <v>4</v>
      </c>
      <c r="L56" s="6">
        <v>1</v>
      </c>
      <c r="M56" s="6">
        <v>1</v>
      </c>
      <c r="N56" s="6">
        <v>1</v>
      </c>
      <c r="O56" s="6">
        <v>6</v>
      </c>
      <c r="P56" s="6">
        <v>0</v>
      </c>
      <c r="Q56" s="6">
        <v>0</v>
      </c>
      <c r="R56" s="6">
        <v>20</v>
      </c>
      <c r="S56" s="6">
        <v>81</v>
      </c>
      <c r="T56" s="6">
        <v>53</v>
      </c>
      <c r="U56" s="6">
        <v>2</v>
      </c>
      <c r="V56" s="61">
        <v>0</v>
      </c>
      <c r="W56" s="62">
        <v>0</v>
      </c>
      <c r="X56" s="62">
        <v>0</v>
      </c>
      <c r="Y56" s="62">
        <v>2</v>
      </c>
      <c r="Z56" s="62">
        <v>1</v>
      </c>
      <c r="AA56" s="62">
        <v>0</v>
      </c>
      <c r="AB56" s="63">
        <v>4</v>
      </c>
      <c r="AC56" s="62">
        <v>4</v>
      </c>
      <c r="AD56" s="62">
        <v>2</v>
      </c>
      <c r="AE56" s="62">
        <v>2</v>
      </c>
      <c r="AF56" s="62">
        <v>0</v>
      </c>
      <c r="AG56" s="62">
        <v>5</v>
      </c>
      <c r="AH56" s="62">
        <v>0</v>
      </c>
      <c r="AI56" s="62">
        <v>0</v>
      </c>
      <c r="AJ56" s="62">
        <v>16</v>
      </c>
      <c r="AK56" s="62">
        <v>62</v>
      </c>
      <c r="AL56" s="62">
        <v>38</v>
      </c>
      <c r="AM56" s="1" t="s">
        <v>441</v>
      </c>
      <c r="AN56" s="78">
        <v>5</v>
      </c>
      <c r="AO56" s="78">
        <v>1</v>
      </c>
      <c r="AP56" s="78">
        <v>2</v>
      </c>
      <c r="AQ56" s="78">
        <v>0</v>
      </c>
      <c r="AR56" s="78">
        <v>0</v>
      </c>
      <c r="AS56" s="78">
        <v>1</v>
      </c>
      <c r="AT56" s="78">
        <v>0</v>
      </c>
      <c r="AU56" s="78">
        <v>0</v>
      </c>
      <c r="AV56" s="76">
        <v>2</v>
      </c>
      <c r="AW56" s="1" t="s">
        <v>364</v>
      </c>
      <c r="AX56" s="78">
        <v>5</v>
      </c>
      <c r="AY56" s="78">
        <v>2</v>
      </c>
      <c r="AZ56" s="78">
        <v>2</v>
      </c>
      <c r="BA56" s="78">
        <v>0</v>
      </c>
      <c r="BB56" s="78">
        <v>0</v>
      </c>
      <c r="BC56" s="78">
        <v>0</v>
      </c>
      <c r="BD56" s="78">
        <v>0</v>
      </c>
      <c r="BE56" s="78">
        <v>0</v>
      </c>
      <c r="BF56" s="76">
        <v>2</v>
      </c>
      <c r="BG56" s="1" t="s">
        <v>446</v>
      </c>
      <c r="BH56" s="78">
        <v>4</v>
      </c>
      <c r="BI56" s="78">
        <v>1</v>
      </c>
      <c r="BJ56" s="78">
        <v>1</v>
      </c>
      <c r="BK56" s="78">
        <v>1</v>
      </c>
      <c r="BL56" s="78">
        <v>1</v>
      </c>
      <c r="BM56" s="78">
        <v>2</v>
      </c>
      <c r="BN56" s="78">
        <v>0</v>
      </c>
      <c r="BO56" s="78">
        <v>0</v>
      </c>
      <c r="BP56" s="76">
        <v>1</v>
      </c>
      <c r="BQ56" s="1" t="s">
        <v>443</v>
      </c>
      <c r="BR56" s="78">
        <v>5</v>
      </c>
      <c r="BS56" s="78">
        <v>1</v>
      </c>
      <c r="BT56" s="78">
        <v>2</v>
      </c>
      <c r="BU56" s="78">
        <v>2</v>
      </c>
      <c r="BV56" s="78">
        <v>0</v>
      </c>
      <c r="BW56" s="78">
        <v>1</v>
      </c>
      <c r="BX56" s="78">
        <v>0</v>
      </c>
      <c r="BY56" s="78">
        <v>0</v>
      </c>
      <c r="BZ56" s="76">
        <v>2</v>
      </c>
      <c r="CA56" s="1" t="s">
        <v>402</v>
      </c>
      <c r="CB56" s="78">
        <v>4</v>
      </c>
      <c r="CC56" s="78">
        <v>1</v>
      </c>
      <c r="CD56" s="78">
        <v>1</v>
      </c>
      <c r="CE56" s="78">
        <v>1</v>
      </c>
      <c r="CF56" s="78">
        <v>0</v>
      </c>
      <c r="CG56" s="78">
        <v>0</v>
      </c>
      <c r="CH56" s="78">
        <v>0</v>
      </c>
      <c r="CI56" s="78">
        <v>0</v>
      </c>
      <c r="CJ56" s="76">
        <v>1</v>
      </c>
      <c r="CK56" s="1" t="s">
        <v>473</v>
      </c>
      <c r="CL56" s="78">
        <v>3</v>
      </c>
      <c r="CM56" s="78">
        <v>0</v>
      </c>
      <c r="CN56" s="78">
        <v>0</v>
      </c>
      <c r="CO56" s="78">
        <v>0</v>
      </c>
      <c r="CP56" s="78">
        <v>1</v>
      </c>
      <c r="CQ56" s="78">
        <v>1</v>
      </c>
      <c r="CR56" s="78">
        <v>0</v>
      </c>
      <c r="CS56" s="78">
        <v>0</v>
      </c>
      <c r="CT56" s="76">
        <v>0</v>
      </c>
      <c r="CU56" s="1" t="s">
        <v>444</v>
      </c>
      <c r="CV56" s="78">
        <v>4</v>
      </c>
      <c r="CW56" s="78">
        <v>0</v>
      </c>
      <c r="CX56" s="78">
        <v>0</v>
      </c>
      <c r="CY56" s="78">
        <v>0</v>
      </c>
      <c r="CZ56" s="78">
        <v>0</v>
      </c>
      <c r="DA56" s="78">
        <v>2</v>
      </c>
      <c r="DB56" s="78">
        <v>0</v>
      </c>
      <c r="DC56" s="78">
        <v>0</v>
      </c>
      <c r="DD56" s="76">
        <v>0</v>
      </c>
      <c r="DE56" s="1" t="s">
        <v>448</v>
      </c>
      <c r="DF56" s="78">
        <v>3</v>
      </c>
      <c r="DG56" s="78">
        <v>0</v>
      </c>
      <c r="DH56" s="78">
        <v>1</v>
      </c>
      <c r="DI56" s="78">
        <v>2</v>
      </c>
      <c r="DJ56" s="78">
        <v>1</v>
      </c>
      <c r="DK56" s="78">
        <v>0</v>
      </c>
      <c r="DL56" s="78">
        <v>0</v>
      </c>
      <c r="DM56" s="78">
        <v>0</v>
      </c>
      <c r="DN56" s="76">
        <v>1</v>
      </c>
      <c r="DO56" s="1" t="s">
        <v>365</v>
      </c>
      <c r="DP56" s="78">
        <v>4</v>
      </c>
      <c r="DQ56" s="78">
        <v>0</v>
      </c>
      <c r="DR56" s="78">
        <v>1</v>
      </c>
      <c r="DS56" s="78">
        <v>0</v>
      </c>
      <c r="DT56" s="78">
        <v>0</v>
      </c>
      <c r="DU56" s="78">
        <v>1</v>
      </c>
      <c r="DV56" s="78">
        <v>0</v>
      </c>
      <c r="DW56" s="78">
        <v>0</v>
      </c>
      <c r="DX56" s="76">
        <v>1</v>
      </c>
      <c r="DY56" s="77">
        <v>0</v>
      </c>
      <c r="DZ56" s="43">
        <v>0</v>
      </c>
      <c r="EA56" s="43">
        <v>0</v>
      </c>
      <c r="EB56" s="45">
        <v>9</v>
      </c>
      <c r="EC56" s="43">
        <v>1</v>
      </c>
      <c r="ED56" s="44">
        <v>0</v>
      </c>
      <c r="EE56" s="71">
        <v>0</v>
      </c>
      <c r="EF56" s="43">
        <v>0</v>
      </c>
      <c r="EG56" s="43">
        <v>0</v>
      </c>
      <c r="EH56" s="43">
        <v>5</v>
      </c>
      <c r="EI56" s="43">
        <v>0</v>
      </c>
      <c r="EJ56" s="43">
        <v>0</v>
      </c>
      <c r="EK56" s="43">
        <v>1</v>
      </c>
      <c r="EL56" s="43">
        <v>0</v>
      </c>
      <c r="EM56" s="43">
        <v>0</v>
      </c>
      <c r="EN56" s="43"/>
      <c r="EO56" s="43"/>
      <c r="EP56" s="43"/>
      <c r="EQ56" s="43"/>
      <c r="ER56" s="43"/>
      <c r="ES56" s="43"/>
      <c r="ET56" s="44">
        <f t="shared" si="10"/>
        <v>6</v>
      </c>
      <c r="EU56" s="43">
        <v>0</v>
      </c>
      <c r="EV56" s="43">
        <v>0</v>
      </c>
      <c r="EW56" s="43">
        <v>1</v>
      </c>
      <c r="EX56" s="43">
        <v>0</v>
      </c>
      <c r="EY56" s="43">
        <v>0</v>
      </c>
      <c r="EZ56" s="43">
        <v>0</v>
      </c>
      <c r="FA56" s="43">
        <v>0</v>
      </c>
      <c r="FB56" s="43">
        <v>2</v>
      </c>
      <c r="FC56" s="43">
        <v>0</v>
      </c>
      <c r="FD56" s="43"/>
      <c r="FE56" s="43"/>
      <c r="FF56" s="43"/>
      <c r="FG56" s="43"/>
      <c r="FH56" s="43"/>
      <c r="FI56" s="43"/>
      <c r="FJ56" s="43">
        <f t="shared" si="11"/>
        <v>3</v>
      </c>
      <c r="FK56" s="73">
        <f t="shared" ref="FK56:FK91" si="14">((SUM(L56,AD56))-(FJ56))</f>
        <v>0</v>
      </c>
      <c r="FL56" s="73">
        <f t="shared" ref="FL56:FL91" si="15">((SUM(AO56,AY56,BI56,BS56,CC56,CM56,CW56,DG56,DQ56))-(ET56))</f>
        <v>0</v>
      </c>
      <c r="FM56" s="38"/>
    </row>
    <row r="57" spans="1:169" x14ac:dyDescent="0.25">
      <c r="A57" s="53">
        <v>40334</v>
      </c>
      <c r="B57" s="53" t="s">
        <v>19</v>
      </c>
      <c r="C57" s="53" t="s">
        <v>131</v>
      </c>
      <c r="D57" s="53" t="s">
        <v>451</v>
      </c>
      <c r="E57" s="54">
        <v>5901</v>
      </c>
      <c r="F57" s="58">
        <v>1</v>
      </c>
      <c r="G57" s="59" t="s">
        <v>424</v>
      </c>
      <c r="H57" s="6">
        <v>0</v>
      </c>
      <c r="I57" s="6">
        <v>1</v>
      </c>
      <c r="J57" s="60">
        <v>6</v>
      </c>
      <c r="K57" s="6">
        <v>3</v>
      </c>
      <c r="L57" s="6">
        <v>1</v>
      </c>
      <c r="M57" s="6">
        <v>0</v>
      </c>
      <c r="N57" s="6">
        <v>5</v>
      </c>
      <c r="O57" s="6">
        <v>9</v>
      </c>
      <c r="P57" s="6">
        <v>0</v>
      </c>
      <c r="Q57" s="6">
        <v>0</v>
      </c>
      <c r="R57" s="6">
        <v>27</v>
      </c>
      <c r="S57" s="6">
        <v>96</v>
      </c>
      <c r="T57" s="6">
        <v>55</v>
      </c>
      <c r="U57" s="6">
        <v>0</v>
      </c>
      <c r="V57" s="61">
        <v>0</v>
      </c>
      <c r="W57" s="62">
        <v>0</v>
      </c>
      <c r="X57" s="62">
        <v>0</v>
      </c>
      <c r="Y57" s="62">
        <v>0</v>
      </c>
      <c r="Z57" s="62">
        <v>0</v>
      </c>
      <c r="AA57" s="62">
        <v>0</v>
      </c>
      <c r="AB57" s="63">
        <v>3</v>
      </c>
      <c r="AC57" s="62">
        <v>4</v>
      </c>
      <c r="AD57" s="62">
        <v>2</v>
      </c>
      <c r="AE57" s="62">
        <v>2</v>
      </c>
      <c r="AF57" s="62">
        <v>0</v>
      </c>
      <c r="AG57" s="62">
        <v>2</v>
      </c>
      <c r="AH57" s="62">
        <v>1</v>
      </c>
      <c r="AI57" s="62">
        <v>0</v>
      </c>
      <c r="AJ57" s="62">
        <v>12</v>
      </c>
      <c r="AK57" s="62">
        <v>45</v>
      </c>
      <c r="AL57" s="62">
        <v>29</v>
      </c>
      <c r="AM57" s="1" t="s">
        <v>441</v>
      </c>
      <c r="AN57" s="78">
        <v>3</v>
      </c>
      <c r="AO57" s="78">
        <v>0</v>
      </c>
      <c r="AP57" s="78">
        <v>0</v>
      </c>
      <c r="AQ57" s="78">
        <v>0</v>
      </c>
      <c r="AR57" s="78">
        <v>1</v>
      </c>
      <c r="AS57" s="78">
        <v>0</v>
      </c>
      <c r="AT57" s="78">
        <v>0</v>
      </c>
      <c r="AU57" s="78">
        <v>0</v>
      </c>
      <c r="AV57" s="76">
        <v>0</v>
      </c>
      <c r="AW57" s="1" t="s">
        <v>364</v>
      </c>
      <c r="AX57" s="78">
        <v>4</v>
      </c>
      <c r="AY57" s="78">
        <v>0</v>
      </c>
      <c r="AZ57" s="78">
        <v>0</v>
      </c>
      <c r="BA57" s="78">
        <v>0</v>
      </c>
      <c r="BB57" s="78">
        <v>0</v>
      </c>
      <c r="BC57" s="78">
        <v>0</v>
      </c>
      <c r="BD57" s="78">
        <v>0</v>
      </c>
      <c r="BE57" s="78">
        <v>0</v>
      </c>
      <c r="BF57" s="76">
        <v>0</v>
      </c>
      <c r="BG57" s="1" t="s">
        <v>402</v>
      </c>
      <c r="BH57" s="78">
        <v>4</v>
      </c>
      <c r="BI57" s="78">
        <v>0</v>
      </c>
      <c r="BJ57" s="78">
        <v>1</v>
      </c>
      <c r="BK57" s="78">
        <v>0</v>
      </c>
      <c r="BL57" s="78">
        <v>0</v>
      </c>
      <c r="BM57" s="78">
        <v>0</v>
      </c>
      <c r="BN57" s="78">
        <v>0</v>
      </c>
      <c r="BO57" s="78">
        <v>0</v>
      </c>
      <c r="BP57" s="76">
        <v>1</v>
      </c>
      <c r="BQ57" s="1" t="s">
        <v>443</v>
      </c>
      <c r="BR57" s="78">
        <v>3</v>
      </c>
      <c r="BS57" s="78">
        <v>0</v>
      </c>
      <c r="BT57" s="78">
        <v>1</v>
      </c>
      <c r="BU57" s="78">
        <v>0</v>
      </c>
      <c r="BV57" s="78">
        <v>1</v>
      </c>
      <c r="BW57" s="78">
        <v>1</v>
      </c>
      <c r="BX57" s="78">
        <v>0</v>
      </c>
      <c r="BY57" s="78">
        <v>0</v>
      </c>
      <c r="BZ57" s="76">
        <v>1</v>
      </c>
      <c r="CA57" s="1" t="s">
        <v>473</v>
      </c>
      <c r="CB57" s="78">
        <v>4</v>
      </c>
      <c r="CC57" s="78">
        <v>0</v>
      </c>
      <c r="CD57" s="78">
        <v>0</v>
      </c>
      <c r="CE57" s="78">
        <v>0</v>
      </c>
      <c r="CF57" s="78">
        <v>0</v>
      </c>
      <c r="CG57" s="78">
        <v>2</v>
      </c>
      <c r="CH57" s="78">
        <v>0</v>
      </c>
      <c r="CI57" s="78">
        <v>0</v>
      </c>
      <c r="CJ57" s="76">
        <v>0</v>
      </c>
      <c r="CK57" s="1" t="s">
        <v>366</v>
      </c>
      <c r="CL57" s="78">
        <v>3</v>
      </c>
      <c r="CM57" s="78">
        <v>0</v>
      </c>
      <c r="CN57" s="78">
        <v>2</v>
      </c>
      <c r="CO57" s="78">
        <v>0</v>
      </c>
      <c r="CP57" s="78">
        <v>1</v>
      </c>
      <c r="CQ57" s="78">
        <v>1</v>
      </c>
      <c r="CR57" s="78">
        <v>0</v>
      </c>
      <c r="CS57" s="78">
        <v>0</v>
      </c>
      <c r="CT57" s="76">
        <v>3</v>
      </c>
      <c r="CU57" s="1" t="s">
        <v>448</v>
      </c>
      <c r="CV57" s="78">
        <v>4</v>
      </c>
      <c r="CW57" s="78">
        <v>0</v>
      </c>
      <c r="CX57" s="78">
        <v>1</v>
      </c>
      <c r="CY57" s="78">
        <v>0</v>
      </c>
      <c r="CZ57" s="78">
        <v>0</v>
      </c>
      <c r="DA57" s="78">
        <v>0</v>
      </c>
      <c r="DB57" s="78">
        <v>0</v>
      </c>
      <c r="DC57" s="78">
        <v>0</v>
      </c>
      <c r="DD57" s="76">
        <v>1</v>
      </c>
      <c r="DE57" s="1" t="s">
        <v>449</v>
      </c>
      <c r="DF57" s="78">
        <v>3</v>
      </c>
      <c r="DG57" s="78">
        <v>0</v>
      </c>
      <c r="DH57" s="78">
        <v>0</v>
      </c>
      <c r="DI57" s="78">
        <v>0</v>
      </c>
      <c r="DJ57" s="78">
        <v>0</v>
      </c>
      <c r="DK57" s="78">
        <v>0</v>
      </c>
      <c r="DL57" s="78">
        <v>0</v>
      </c>
      <c r="DM57" s="78">
        <v>0</v>
      </c>
      <c r="DN57" s="76">
        <v>0</v>
      </c>
      <c r="DO57" s="1" t="s">
        <v>365</v>
      </c>
      <c r="DP57" s="78">
        <v>3</v>
      </c>
      <c r="DQ57" s="78">
        <v>0</v>
      </c>
      <c r="DR57" s="78">
        <v>0</v>
      </c>
      <c r="DS57" s="78">
        <v>0</v>
      </c>
      <c r="DT57" s="78">
        <v>0</v>
      </c>
      <c r="DU57" s="78">
        <v>0</v>
      </c>
      <c r="DV57" s="78">
        <v>0</v>
      </c>
      <c r="DW57" s="78">
        <v>0</v>
      </c>
      <c r="DX57" s="76">
        <v>0</v>
      </c>
      <c r="DY57" s="77">
        <v>0</v>
      </c>
      <c r="DZ57" s="43">
        <v>0</v>
      </c>
      <c r="EA57" s="43">
        <v>0</v>
      </c>
      <c r="EB57" s="45">
        <v>9</v>
      </c>
      <c r="EC57" s="43">
        <v>0</v>
      </c>
      <c r="ED57" s="44">
        <v>0</v>
      </c>
      <c r="EE57" s="71">
        <v>0</v>
      </c>
      <c r="EF57" s="43">
        <v>0</v>
      </c>
      <c r="EG57" s="43">
        <v>0</v>
      </c>
      <c r="EH57" s="43">
        <v>0</v>
      </c>
      <c r="EI57" s="43">
        <v>0</v>
      </c>
      <c r="EJ57" s="43">
        <v>0</v>
      </c>
      <c r="EK57" s="43">
        <v>0</v>
      </c>
      <c r="EL57" s="43">
        <v>0</v>
      </c>
      <c r="EM57" s="43">
        <v>0</v>
      </c>
      <c r="EN57" s="43"/>
      <c r="EO57" s="43"/>
      <c r="EP57" s="43"/>
      <c r="EQ57" s="43"/>
      <c r="ER57" s="43"/>
      <c r="ES57" s="43"/>
      <c r="ET57" s="44">
        <f t="shared" si="10"/>
        <v>0</v>
      </c>
      <c r="EU57" s="43">
        <v>0</v>
      </c>
      <c r="EV57" s="43">
        <v>0</v>
      </c>
      <c r="EW57" s="43">
        <v>1</v>
      </c>
      <c r="EX57" s="43">
        <v>0</v>
      </c>
      <c r="EY57" s="43">
        <v>0</v>
      </c>
      <c r="EZ57" s="43">
        <v>0</v>
      </c>
      <c r="FA57" s="43">
        <v>1</v>
      </c>
      <c r="FB57" s="43">
        <v>1</v>
      </c>
      <c r="FC57" s="43">
        <v>0</v>
      </c>
      <c r="FD57" s="43"/>
      <c r="FE57" s="43"/>
      <c r="FF57" s="43"/>
      <c r="FG57" s="43"/>
      <c r="FH57" s="43"/>
      <c r="FI57" s="43"/>
      <c r="FJ57" s="43">
        <f t="shared" si="11"/>
        <v>3</v>
      </c>
      <c r="FK57" s="73">
        <f t="shared" si="14"/>
        <v>0</v>
      </c>
      <c r="FL57" s="73">
        <f t="shared" si="15"/>
        <v>0</v>
      </c>
      <c r="FM57" s="38"/>
    </row>
    <row r="58" spans="1:169" x14ac:dyDescent="0.25">
      <c r="A58" s="53">
        <v>40335</v>
      </c>
      <c r="B58" s="53" t="s">
        <v>19</v>
      </c>
      <c r="C58" s="53" t="s">
        <v>129</v>
      </c>
      <c r="D58" s="53" t="s">
        <v>451</v>
      </c>
      <c r="E58" s="54">
        <v>1993</v>
      </c>
      <c r="F58" s="58">
        <v>2</v>
      </c>
      <c r="G58" s="59" t="s">
        <v>438</v>
      </c>
      <c r="H58" s="6">
        <v>1</v>
      </c>
      <c r="I58" s="6">
        <v>0</v>
      </c>
      <c r="J58" s="60">
        <v>6</v>
      </c>
      <c r="K58" s="6">
        <v>7</v>
      </c>
      <c r="L58" s="6">
        <v>2</v>
      </c>
      <c r="M58" s="6">
        <v>2</v>
      </c>
      <c r="N58" s="6">
        <v>2</v>
      </c>
      <c r="O58" s="6">
        <v>4</v>
      </c>
      <c r="P58" s="6">
        <v>0</v>
      </c>
      <c r="Q58" s="6">
        <v>0</v>
      </c>
      <c r="R58" s="6">
        <v>24</v>
      </c>
      <c r="S58" s="6">
        <v>88</v>
      </c>
      <c r="T58" s="6">
        <v>57</v>
      </c>
      <c r="U58" s="6">
        <v>0</v>
      </c>
      <c r="V58" s="61">
        <v>0</v>
      </c>
      <c r="W58" s="62">
        <v>0</v>
      </c>
      <c r="X58" s="62">
        <v>0</v>
      </c>
      <c r="Y58" s="62">
        <v>1</v>
      </c>
      <c r="Z58" s="62">
        <v>1</v>
      </c>
      <c r="AA58" s="62">
        <v>0</v>
      </c>
      <c r="AB58" s="63">
        <v>3</v>
      </c>
      <c r="AC58" s="62">
        <v>2</v>
      </c>
      <c r="AD58" s="62">
        <v>0</v>
      </c>
      <c r="AE58" s="62">
        <v>0</v>
      </c>
      <c r="AF58" s="62">
        <v>0</v>
      </c>
      <c r="AG58" s="62">
        <v>2</v>
      </c>
      <c r="AH58" s="62">
        <v>0</v>
      </c>
      <c r="AI58" s="62">
        <v>0</v>
      </c>
      <c r="AJ58" s="62">
        <v>10</v>
      </c>
      <c r="AK58" s="62">
        <v>38</v>
      </c>
      <c r="AL58" s="62">
        <v>24</v>
      </c>
      <c r="AM58" s="1" t="s">
        <v>441</v>
      </c>
      <c r="AN58" s="78">
        <v>4</v>
      </c>
      <c r="AO58" s="78">
        <v>0</v>
      </c>
      <c r="AP58" s="78">
        <v>1</v>
      </c>
      <c r="AQ58" s="78">
        <v>0</v>
      </c>
      <c r="AR58" s="78">
        <v>0</v>
      </c>
      <c r="AS58" s="78">
        <v>1</v>
      </c>
      <c r="AT58" s="78">
        <v>0</v>
      </c>
      <c r="AU58" s="78">
        <v>0</v>
      </c>
      <c r="AV58" s="76">
        <v>1</v>
      </c>
      <c r="AW58" s="1" t="s">
        <v>364</v>
      </c>
      <c r="AX58" s="78">
        <v>3</v>
      </c>
      <c r="AY58" s="78">
        <v>0</v>
      </c>
      <c r="AZ58" s="78">
        <v>0</v>
      </c>
      <c r="BA58" s="78">
        <v>0</v>
      </c>
      <c r="BB58" s="78">
        <v>1</v>
      </c>
      <c r="BC58" s="78">
        <v>1</v>
      </c>
      <c r="BD58" s="78">
        <v>0</v>
      </c>
      <c r="BE58" s="78">
        <v>0</v>
      </c>
      <c r="BF58" s="76">
        <v>0</v>
      </c>
      <c r="BG58" s="1" t="s">
        <v>446</v>
      </c>
      <c r="BH58" s="78">
        <v>2</v>
      </c>
      <c r="BI58" s="78">
        <v>1</v>
      </c>
      <c r="BJ58" s="78">
        <v>0</v>
      </c>
      <c r="BK58" s="78">
        <v>0</v>
      </c>
      <c r="BL58" s="78">
        <v>1</v>
      </c>
      <c r="BM58" s="78">
        <v>1</v>
      </c>
      <c r="BN58" s="78">
        <v>1</v>
      </c>
      <c r="BO58" s="78">
        <v>0</v>
      </c>
      <c r="BP58" s="76">
        <v>0</v>
      </c>
      <c r="BQ58" s="1" t="s">
        <v>443</v>
      </c>
      <c r="BR58" s="78">
        <v>3</v>
      </c>
      <c r="BS58" s="78">
        <v>2</v>
      </c>
      <c r="BT58" s="78">
        <v>2</v>
      </c>
      <c r="BU58" s="78">
        <v>1</v>
      </c>
      <c r="BV58" s="78">
        <v>1</v>
      </c>
      <c r="BW58" s="78">
        <v>0</v>
      </c>
      <c r="BX58" s="78">
        <v>0</v>
      </c>
      <c r="BY58" s="78">
        <v>0</v>
      </c>
      <c r="BZ58" s="76">
        <v>5</v>
      </c>
      <c r="CA58" s="1" t="s">
        <v>402</v>
      </c>
      <c r="CB58" s="78">
        <v>3</v>
      </c>
      <c r="CC58" s="78">
        <v>0</v>
      </c>
      <c r="CD58" s="78">
        <v>1</v>
      </c>
      <c r="CE58" s="78">
        <v>1</v>
      </c>
      <c r="CF58" s="78">
        <v>1</v>
      </c>
      <c r="CG58" s="78">
        <v>1</v>
      </c>
      <c r="CH58" s="78">
        <v>0</v>
      </c>
      <c r="CI58" s="78">
        <v>0</v>
      </c>
      <c r="CJ58" s="76">
        <v>1</v>
      </c>
      <c r="CK58" s="1" t="s">
        <v>366</v>
      </c>
      <c r="CL58" s="78">
        <v>3</v>
      </c>
      <c r="CM58" s="78">
        <v>0</v>
      </c>
      <c r="CN58" s="78">
        <v>0</v>
      </c>
      <c r="CO58" s="78">
        <v>1</v>
      </c>
      <c r="CP58" s="78">
        <v>0</v>
      </c>
      <c r="CQ58" s="78">
        <v>1</v>
      </c>
      <c r="CR58" s="78">
        <v>0</v>
      </c>
      <c r="CS58" s="78">
        <v>0</v>
      </c>
      <c r="CT58" s="76">
        <v>0</v>
      </c>
      <c r="CU58" s="1" t="s">
        <v>473</v>
      </c>
      <c r="CV58" s="78">
        <v>3</v>
      </c>
      <c r="CW58" s="78">
        <v>0</v>
      </c>
      <c r="CX58" s="78">
        <v>1</v>
      </c>
      <c r="CY58" s="78">
        <v>0</v>
      </c>
      <c r="CZ58" s="78">
        <v>0</v>
      </c>
      <c r="DA58" s="78">
        <v>2</v>
      </c>
      <c r="DB58" s="78">
        <v>0</v>
      </c>
      <c r="DC58" s="78">
        <v>0</v>
      </c>
      <c r="DD58" s="76">
        <v>1</v>
      </c>
      <c r="DE58" s="1" t="s">
        <v>444</v>
      </c>
      <c r="DF58" s="78">
        <v>3</v>
      </c>
      <c r="DG58" s="78">
        <v>0</v>
      </c>
      <c r="DH58" s="78">
        <v>0</v>
      </c>
      <c r="DI58" s="78">
        <v>0</v>
      </c>
      <c r="DJ58" s="78">
        <v>0</v>
      </c>
      <c r="DK58" s="78">
        <v>2</v>
      </c>
      <c r="DL58" s="78">
        <v>0</v>
      </c>
      <c r="DM58" s="78">
        <v>0</v>
      </c>
      <c r="DN58" s="76">
        <v>0</v>
      </c>
      <c r="DO58" s="1" t="s">
        <v>448</v>
      </c>
      <c r="DP58" s="78">
        <v>3</v>
      </c>
      <c r="DQ58" s="78">
        <v>0</v>
      </c>
      <c r="DR58" s="78">
        <v>0</v>
      </c>
      <c r="DS58" s="78">
        <v>0</v>
      </c>
      <c r="DT58" s="78">
        <v>0</v>
      </c>
      <c r="DU58" s="78">
        <v>0</v>
      </c>
      <c r="DV58" s="78">
        <v>0</v>
      </c>
      <c r="DW58" s="78">
        <v>0</v>
      </c>
      <c r="DX58" s="76">
        <v>0</v>
      </c>
      <c r="DY58" s="77">
        <v>0</v>
      </c>
      <c r="DZ58" s="43">
        <v>0</v>
      </c>
      <c r="EA58" s="43">
        <v>0</v>
      </c>
      <c r="EB58" s="45">
        <v>8</v>
      </c>
      <c r="EC58" s="43">
        <v>0</v>
      </c>
      <c r="ED58" s="44">
        <v>1</v>
      </c>
      <c r="EE58" s="71">
        <v>0</v>
      </c>
      <c r="EF58" s="43">
        <v>1</v>
      </c>
      <c r="EG58" s="43">
        <v>0</v>
      </c>
      <c r="EH58" s="43">
        <v>1</v>
      </c>
      <c r="EI58" s="43">
        <v>0</v>
      </c>
      <c r="EJ58" s="43">
        <v>1</v>
      </c>
      <c r="EK58" s="43">
        <v>0</v>
      </c>
      <c r="EL58" s="43">
        <v>0</v>
      </c>
      <c r="EM58" s="43"/>
      <c r="EN58" s="43"/>
      <c r="EO58" s="43"/>
      <c r="EP58" s="43"/>
      <c r="EQ58" s="43"/>
      <c r="ER58" s="43"/>
      <c r="ES58" s="43"/>
      <c r="ET58" s="44">
        <f t="shared" si="10"/>
        <v>3</v>
      </c>
      <c r="EU58" s="43">
        <v>1</v>
      </c>
      <c r="EV58" s="43">
        <v>1</v>
      </c>
      <c r="EW58" s="43">
        <v>0</v>
      </c>
      <c r="EX58" s="43">
        <v>0</v>
      </c>
      <c r="EY58" s="43">
        <v>0</v>
      </c>
      <c r="EZ58" s="43">
        <v>0</v>
      </c>
      <c r="FA58" s="43">
        <v>0</v>
      </c>
      <c r="FB58" s="43">
        <v>0</v>
      </c>
      <c r="FC58" s="43">
        <v>0</v>
      </c>
      <c r="FD58" s="43"/>
      <c r="FE58" s="43"/>
      <c r="FF58" s="43"/>
      <c r="FG58" s="43"/>
      <c r="FH58" s="43"/>
      <c r="FI58" s="43"/>
      <c r="FJ58" s="43">
        <f t="shared" si="11"/>
        <v>2</v>
      </c>
      <c r="FK58" s="73">
        <f t="shared" si="14"/>
        <v>0</v>
      </c>
      <c r="FL58" s="73">
        <f t="shared" si="15"/>
        <v>0</v>
      </c>
      <c r="FM58" s="38"/>
    </row>
    <row r="59" spans="1:169" x14ac:dyDescent="0.25">
      <c r="A59" s="53">
        <v>40336</v>
      </c>
      <c r="B59" s="53" t="s">
        <v>19</v>
      </c>
      <c r="C59" s="53" t="s">
        <v>129</v>
      </c>
      <c r="D59" s="53" t="s">
        <v>451</v>
      </c>
      <c r="E59" s="54">
        <v>1424</v>
      </c>
      <c r="F59" s="58">
        <v>3</v>
      </c>
      <c r="G59" s="59" t="s">
        <v>368</v>
      </c>
      <c r="H59" s="6">
        <v>1</v>
      </c>
      <c r="I59" s="6">
        <v>0</v>
      </c>
      <c r="J59" s="60">
        <v>7</v>
      </c>
      <c r="K59" s="6">
        <v>3</v>
      </c>
      <c r="L59" s="6">
        <v>0</v>
      </c>
      <c r="M59" s="6">
        <v>0</v>
      </c>
      <c r="N59" s="6">
        <v>2</v>
      </c>
      <c r="O59" s="6">
        <v>5</v>
      </c>
      <c r="P59" s="6">
        <v>0</v>
      </c>
      <c r="Q59" s="6">
        <v>1</v>
      </c>
      <c r="R59" s="6">
        <v>27</v>
      </c>
      <c r="S59" s="6">
        <v>104</v>
      </c>
      <c r="T59" s="6">
        <v>69</v>
      </c>
      <c r="U59" s="6">
        <v>0</v>
      </c>
      <c r="V59" s="61">
        <v>0</v>
      </c>
      <c r="W59" s="62">
        <v>0</v>
      </c>
      <c r="X59" s="62">
        <v>0</v>
      </c>
      <c r="Y59" s="62">
        <v>0</v>
      </c>
      <c r="Z59" s="62">
        <v>0</v>
      </c>
      <c r="AA59" s="62">
        <v>0</v>
      </c>
      <c r="AB59" s="63">
        <v>2</v>
      </c>
      <c r="AC59" s="62">
        <v>4</v>
      </c>
      <c r="AD59" s="62">
        <v>2</v>
      </c>
      <c r="AE59" s="62">
        <v>2</v>
      </c>
      <c r="AF59" s="62">
        <v>0</v>
      </c>
      <c r="AG59" s="62">
        <v>3</v>
      </c>
      <c r="AH59" s="62">
        <v>0</v>
      </c>
      <c r="AI59" s="62">
        <v>0</v>
      </c>
      <c r="AJ59" s="62">
        <v>10</v>
      </c>
      <c r="AK59" s="62">
        <v>36</v>
      </c>
      <c r="AL59" s="62">
        <v>23</v>
      </c>
      <c r="AM59" s="1" t="s">
        <v>441</v>
      </c>
      <c r="AN59" s="78">
        <v>3</v>
      </c>
      <c r="AO59" s="78">
        <v>1</v>
      </c>
      <c r="AP59" s="78">
        <v>1</v>
      </c>
      <c r="AQ59" s="78">
        <v>2</v>
      </c>
      <c r="AR59" s="78">
        <v>2</v>
      </c>
      <c r="AS59" s="78">
        <v>0</v>
      </c>
      <c r="AT59" s="78">
        <v>0</v>
      </c>
      <c r="AU59" s="78">
        <v>0</v>
      </c>
      <c r="AV59" s="76">
        <v>1</v>
      </c>
      <c r="AW59" s="1" t="s">
        <v>402</v>
      </c>
      <c r="AX59" s="78">
        <v>5</v>
      </c>
      <c r="AY59" s="78">
        <v>2</v>
      </c>
      <c r="AZ59" s="78">
        <v>2</v>
      </c>
      <c r="BA59" s="78">
        <v>1</v>
      </c>
      <c r="BB59" s="78">
        <v>0</v>
      </c>
      <c r="BC59" s="78">
        <v>1</v>
      </c>
      <c r="BD59" s="78">
        <v>0</v>
      </c>
      <c r="BE59" s="78">
        <v>0</v>
      </c>
      <c r="BF59" s="76">
        <v>2</v>
      </c>
      <c r="BG59" s="1" t="s">
        <v>446</v>
      </c>
      <c r="BH59" s="78">
        <v>4</v>
      </c>
      <c r="BI59" s="78">
        <v>1</v>
      </c>
      <c r="BJ59" s="78">
        <v>1</v>
      </c>
      <c r="BK59" s="78">
        <v>3</v>
      </c>
      <c r="BL59" s="78">
        <v>1</v>
      </c>
      <c r="BM59" s="78">
        <v>1</v>
      </c>
      <c r="BN59" s="78">
        <v>0</v>
      </c>
      <c r="BO59" s="78">
        <v>0</v>
      </c>
      <c r="BP59" s="76">
        <v>4</v>
      </c>
      <c r="BQ59" s="1" t="s">
        <v>443</v>
      </c>
      <c r="BR59" s="78">
        <v>5</v>
      </c>
      <c r="BS59" s="78">
        <v>0</v>
      </c>
      <c r="BT59" s="78">
        <v>1</v>
      </c>
      <c r="BU59" s="78">
        <v>0</v>
      </c>
      <c r="BV59" s="78">
        <v>0</v>
      </c>
      <c r="BW59" s="78">
        <v>1</v>
      </c>
      <c r="BX59" s="78">
        <v>0</v>
      </c>
      <c r="BY59" s="78">
        <v>0</v>
      </c>
      <c r="BZ59" s="76">
        <v>1</v>
      </c>
      <c r="CA59" s="1" t="s">
        <v>501</v>
      </c>
      <c r="CB59" s="78">
        <v>5</v>
      </c>
      <c r="CC59" s="78">
        <v>1</v>
      </c>
      <c r="CD59" s="78">
        <v>1</v>
      </c>
      <c r="CE59" s="78">
        <v>0</v>
      </c>
      <c r="CF59" s="78">
        <v>0</v>
      </c>
      <c r="CG59" s="78">
        <v>1</v>
      </c>
      <c r="CH59" s="78">
        <v>0</v>
      </c>
      <c r="CI59" s="78">
        <v>0</v>
      </c>
      <c r="CJ59" s="76">
        <v>1</v>
      </c>
      <c r="CK59" s="1" t="s">
        <v>366</v>
      </c>
      <c r="CL59" s="78">
        <v>5</v>
      </c>
      <c r="CM59" s="78">
        <v>1</v>
      </c>
      <c r="CN59" s="78">
        <v>1</v>
      </c>
      <c r="CO59" s="78">
        <v>0</v>
      </c>
      <c r="CP59" s="78">
        <v>0</v>
      </c>
      <c r="CQ59" s="78">
        <v>2</v>
      </c>
      <c r="CR59" s="78">
        <v>0</v>
      </c>
      <c r="CS59" s="78">
        <v>0</v>
      </c>
      <c r="CT59" s="76">
        <v>1</v>
      </c>
      <c r="CU59" s="1" t="s">
        <v>448</v>
      </c>
      <c r="CV59" s="78">
        <v>5</v>
      </c>
      <c r="CW59" s="78">
        <v>2</v>
      </c>
      <c r="CX59" s="78">
        <v>2</v>
      </c>
      <c r="CY59" s="78">
        <v>0</v>
      </c>
      <c r="CZ59" s="78">
        <v>0</v>
      </c>
      <c r="DA59" s="78">
        <v>1</v>
      </c>
      <c r="DB59" s="78">
        <v>0</v>
      </c>
      <c r="DC59" s="78">
        <v>0</v>
      </c>
      <c r="DD59" s="76">
        <v>3</v>
      </c>
      <c r="DE59" s="1" t="s">
        <v>444</v>
      </c>
      <c r="DF59" s="78">
        <v>3</v>
      </c>
      <c r="DG59" s="78">
        <v>2</v>
      </c>
      <c r="DH59" s="78">
        <v>2</v>
      </c>
      <c r="DI59" s="78">
        <v>2</v>
      </c>
      <c r="DJ59" s="78">
        <v>0</v>
      </c>
      <c r="DK59" s="78">
        <v>1</v>
      </c>
      <c r="DL59" s="78">
        <v>0</v>
      </c>
      <c r="DM59" s="78">
        <v>1</v>
      </c>
      <c r="DN59" s="76">
        <v>2</v>
      </c>
      <c r="DO59" s="1" t="s">
        <v>365</v>
      </c>
      <c r="DP59" s="78">
        <v>2</v>
      </c>
      <c r="DQ59" s="78">
        <v>1</v>
      </c>
      <c r="DR59" s="78">
        <v>2</v>
      </c>
      <c r="DS59" s="78">
        <v>1</v>
      </c>
      <c r="DT59" s="78">
        <v>2</v>
      </c>
      <c r="DU59" s="78">
        <v>0</v>
      </c>
      <c r="DV59" s="78">
        <v>0</v>
      </c>
      <c r="DW59" s="78">
        <v>0</v>
      </c>
      <c r="DX59" s="76">
        <v>2</v>
      </c>
      <c r="DY59" s="77">
        <f>5+2/3</f>
        <v>5.666666666666667</v>
      </c>
      <c r="DZ59" s="43">
        <v>2</v>
      </c>
      <c r="EA59" s="43">
        <v>0</v>
      </c>
      <c r="EB59" s="45">
        <f>2+1/3</f>
        <v>2.3333333333333335</v>
      </c>
      <c r="EC59" s="43">
        <v>0</v>
      </c>
      <c r="ED59" s="44">
        <v>0</v>
      </c>
      <c r="EE59" s="71">
        <v>0</v>
      </c>
      <c r="EF59" s="43">
        <v>0</v>
      </c>
      <c r="EG59" s="43">
        <v>3</v>
      </c>
      <c r="EH59" s="43">
        <v>1</v>
      </c>
      <c r="EI59" s="43">
        <v>0</v>
      </c>
      <c r="EJ59" s="43">
        <v>2</v>
      </c>
      <c r="EK59" s="43">
        <v>3</v>
      </c>
      <c r="EL59" s="43">
        <v>2</v>
      </c>
      <c r="EM59" s="43"/>
      <c r="EN59" s="43"/>
      <c r="EO59" s="43"/>
      <c r="EP59" s="43"/>
      <c r="EQ59" s="43"/>
      <c r="ER59" s="43"/>
      <c r="ES59" s="43"/>
      <c r="ET59" s="44">
        <f t="shared" si="10"/>
        <v>11</v>
      </c>
      <c r="EU59" s="43">
        <v>0</v>
      </c>
      <c r="EV59" s="43">
        <v>0</v>
      </c>
      <c r="EW59" s="43">
        <v>0</v>
      </c>
      <c r="EX59" s="43">
        <v>0</v>
      </c>
      <c r="EY59" s="43">
        <v>0</v>
      </c>
      <c r="EZ59" s="43">
        <v>0</v>
      </c>
      <c r="FA59" s="43">
        <v>0</v>
      </c>
      <c r="FB59" s="43">
        <v>1</v>
      </c>
      <c r="FC59" s="43">
        <v>1</v>
      </c>
      <c r="FD59" s="43"/>
      <c r="FE59" s="43"/>
      <c r="FF59" s="43"/>
      <c r="FG59" s="43"/>
      <c r="FH59" s="43"/>
      <c r="FI59" s="43"/>
      <c r="FJ59" s="43">
        <f t="shared" si="11"/>
        <v>2</v>
      </c>
      <c r="FK59" s="73">
        <f t="shared" si="14"/>
        <v>0</v>
      </c>
      <c r="FL59" s="73">
        <f t="shared" si="15"/>
        <v>0</v>
      </c>
      <c r="FM59" s="38"/>
    </row>
    <row r="60" spans="1:169" x14ac:dyDescent="0.25">
      <c r="A60" s="53">
        <v>40337</v>
      </c>
      <c r="B60" s="53" t="s">
        <v>19</v>
      </c>
      <c r="C60" s="53" t="s">
        <v>131</v>
      </c>
      <c r="D60" s="53" t="s">
        <v>451</v>
      </c>
      <c r="E60" s="54">
        <v>1985</v>
      </c>
      <c r="F60" s="58">
        <v>4</v>
      </c>
      <c r="G60" s="59" t="s">
        <v>439</v>
      </c>
      <c r="H60" s="6">
        <v>0</v>
      </c>
      <c r="I60" s="6">
        <v>0</v>
      </c>
      <c r="J60" s="60">
        <f>4+2/3</f>
        <v>4.666666666666667</v>
      </c>
      <c r="K60" s="6">
        <v>0</v>
      </c>
      <c r="L60" s="6">
        <v>1</v>
      </c>
      <c r="M60" s="6">
        <v>0</v>
      </c>
      <c r="N60" s="6">
        <v>4</v>
      </c>
      <c r="O60" s="6">
        <v>5</v>
      </c>
      <c r="P60" s="6">
        <v>0</v>
      </c>
      <c r="Q60" s="6">
        <v>0</v>
      </c>
      <c r="R60" s="6">
        <v>19</v>
      </c>
      <c r="S60" s="6">
        <v>89</v>
      </c>
      <c r="T60" s="6">
        <v>55</v>
      </c>
      <c r="U60" s="6">
        <v>2</v>
      </c>
      <c r="V60" s="61">
        <v>0</v>
      </c>
      <c r="W60" s="62">
        <v>0</v>
      </c>
      <c r="X60" s="62">
        <v>1</v>
      </c>
      <c r="Y60" s="62">
        <v>0</v>
      </c>
      <c r="Z60" s="62">
        <v>0</v>
      </c>
      <c r="AA60" s="62">
        <v>1</v>
      </c>
      <c r="AB60" s="63">
        <f>5+1/3</f>
        <v>5.333333333333333</v>
      </c>
      <c r="AC60" s="62">
        <v>5</v>
      </c>
      <c r="AD60" s="62">
        <v>3</v>
      </c>
      <c r="AE60" s="62">
        <v>3</v>
      </c>
      <c r="AF60" s="62">
        <v>2</v>
      </c>
      <c r="AG60" s="62">
        <v>6</v>
      </c>
      <c r="AH60" s="62">
        <v>0</v>
      </c>
      <c r="AI60" s="62">
        <v>1</v>
      </c>
      <c r="AJ60" s="62">
        <v>24</v>
      </c>
      <c r="AK60" s="62">
        <v>83</v>
      </c>
      <c r="AL60" s="62">
        <v>50</v>
      </c>
      <c r="AM60" s="1" t="s">
        <v>441</v>
      </c>
      <c r="AN60" s="78">
        <v>5</v>
      </c>
      <c r="AO60" s="78">
        <v>0</v>
      </c>
      <c r="AP60" s="78">
        <v>0</v>
      </c>
      <c r="AQ60" s="78">
        <v>0</v>
      </c>
      <c r="AR60" s="78">
        <v>0</v>
      </c>
      <c r="AS60" s="78">
        <v>1</v>
      </c>
      <c r="AT60" s="78">
        <v>0</v>
      </c>
      <c r="AU60" s="78">
        <v>0</v>
      </c>
      <c r="AV60" s="76">
        <v>0</v>
      </c>
      <c r="AW60" s="1" t="s">
        <v>364</v>
      </c>
      <c r="AX60" s="78">
        <v>4</v>
      </c>
      <c r="AY60" s="78">
        <v>0</v>
      </c>
      <c r="AZ60" s="78">
        <v>0</v>
      </c>
      <c r="BA60" s="78">
        <v>0</v>
      </c>
      <c r="BB60" s="78">
        <v>1</v>
      </c>
      <c r="BC60" s="78">
        <v>1</v>
      </c>
      <c r="BD60" s="78">
        <v>0</v>
      </c>
      <c r="BE60" s="78">
        <v>0</v>
      </c>
      <c r="BF60" s="76">
        <v>0</v>
      </c>
      <c r="BG60" s="1" t="s">
        <v>446</v>
      </c>
      <c r="BH60" s="78">
        <v>4</v>
      </c>
      <c r="BI60" s="78">
        <v>0</v>
      </c>
      <c r="BJ60" s="78">
        <v>0</v>
      </c>
      <c r="BK60" s="78">
        <v>0</v>
      </c>
      <c r="BL60" s="78">
        <v>0</v>
      </c>
      <c r="BM60" s="78">
        <v>2</v>
      </c>
      <c r="BN60" s="78">
        <v>0</v>
      </c>
      <c r="BO60" s="78">
        <v>0</v>
      </c>
      <c r="BP60" s="76">
        <v>0</v>
      </c>
      <c r="BQ60" s="1" t="s">
        <v>443</v>
      </c>
      <c r="BR60" s="78">
        <v>4</v>
      </c>
      <c r="BS60" s="78">
        <v>1</v>
      </c>
      <c r="BT60" s="78">
        <v>3</v>
      </c>
      <c r="BU60" s="78">
        <v>0</v>
      </c>
      <c r="BV60" s="78">
        <v>0</v>
      </c>
      <c r="BW60" s="78">
        <v>0</v>
      </c>
      <c r="BX60" s="78">
        <v>0</v>
      </c>
      <c r="BY60" s="78">
        <v>0</v>
      </c>
      <c r="BZ60" s="76">
        <v>4</v>
      </c>
      <c r="CA60" s="1" t="s">
        <v>501</v>
      </c>
      <c r="CB60" s="78">
        <v>4</v>
      </c>
      <c r="CC60" s="78">
        <v>1</v>
      </c>
      <c r="CD60" s="78">
        <v>1</v>
      </c>
      <c r="CE60" s="78">
        <v>1</v>
      </c>
      <c r="CF60" s="78">
        <v>0</v>
      </c>
      <c r="CG60" s="78">
        <v>1</v>
      </c>
      <c r="CH60" s="78">
        <v>0</v>
      </c>
      <c r="CI60" s="78">
        <v>0</v>
      </c>
      <c r="CJ60" s="76">
        <v>2</v>
      </c>
      <c r="CK60" s="1" t="s">
        <v>473</v>
      </c>
      <c r="CL60" s="78">
        <v>4</v>
      </c>
      <c r="CM60" s="78">
        <v>0</v>
      </c>
      <c r="CN60" s="78">
        <v>0</v>
      </c>
      <c r="CO60" s="78">
        <v>0</v>
      </c>
      <c r="CP60" s="78">
        <v>0</v>
      </c>
      <c r="CQ60" s="78">
        <v>0</v>
      </c>
      <c r="CR60" s="78">
        <v>0</v>
      </c>
      <c r="CS60" s="78">
        <v>0</v>
      </c>
      <c r="CT60" s="76">
        <v>0</v>
      </c>
      <c r="CU60" s="1" t="s">
        <v>444</v>
      </c>
      <c r="CV60" s="78">
        <v>4</v>
      </c>
      <c r="CW60" s="78">
        <v>0</v>
      </c>
      <c r="CX60" s="78">
        <v>1</v>
      </c>
      <c r="CY60" s="78">
        <v>0</v>
      </c>
      <c r="CZ60" s="78">
        <v>0</v>
      </c>
      <c r="DA60" s="78">
        <v>0</v>
      </c>
      <c r="DB60" s="78">
        <v>0</v>
      </c>
      <c r="DC60" s="78">
        <v>0</v>
      </c>
      <c r="DD60" s="76">
        <v>1</v>
      </c>
      <c r="DE60" s="1" t="s">
        <v>448</v>
      </c>
      <c r="DF60" s="78">
        <v>4</v>
      </c>
      <c r="DG60" s="78">
        <v>0</v>
      </c>
      <c r="DH60" s="78">
        <v>1</v>
      </c>
      <c r="DI60" s="78">
        <v>1</v>
      </c>
      <c r="DJ60" s="78">
        <v>0</v>
      </c>
      <c r="DK60" s="78">
        <v>2</v>
      </c>
      <c r="DL60" s="78">
        <v>0</v>
      </c>
      <c r="DM60" s="78">
        <v>0</v>
      </c>
      <c r="DN60" s="76">
        <v>1</v>
      </c>
      <c r="DO60" s="1" t="s">
        <v>365</v>
      </c>
      <c r="DP60" s="78">
        <v>4</v>
      </c>
      <c r="DQ60" s="78">
        <v>0</v>
      </c>
      <c r="DR60" s="78">
        <v>1</v>
      </c>
      <c r="DS60" s="78">
        <v>0</v>
      </c>
      <c r="DT60" s="78">
        <v>0</v>
      </c>
      <c r="DU60" s="78">
        <v>1</v>
      </c>
      <c r="DV60" s="78">
        <v>0</v>
      </c>
      <c r="DW60" s="78">
        <v>0</v>
      </c>
      <c r="DX60" s="76">
        <v>3</v>
      </c>
      <c r="DY60" s="77">
        <v>2</v>
      </c>
      <c r="DZ60" s="43">
        <v>0</v>
      </c>
      <c r="EA60" s="43">
        <v>1</v>
      </c>
      <c r="EB60" s="45">
        <v>8</v>
      </c>
      <c r="EC60" s="43">
        <v>0</v>
      </c>
      <c r="ED60" s="44">
        <v>0</v>
      </c>
      <c r="EE60" s="71">
        <v>0</v>
      </c>
      <c r="EF60" s="43">
        <v>2</v>
      </c>
      <c r="EG60" s="43">
        <v>0</v>
      </c>
      <c r="EH60" s="43">
        <v>0</v>
      </c>
      <c r="EI60" s="43">
        <v>0</v>
      </c>
      <c r="EJ60" s="43">
        <v>0</v>
      </c>
      <c r="EK60" s="43">
        <v>0</v>
      </c>
      <c r="EL60" s="43">
        <v>0</v>
      </c>
      <c r="EM60" s="43">
        <v>0</v>
      </c>
      <c r="EN60" s="43">
        <v>0</v>
      </c>
      <c r="EO60" s="43"/>
      <c r="EP60" s="43"/>
      <c r="EQ60" s="43"/>
      <c r="ER60" s="43"/>
      <c r="ES60" s="43"/>
      <c r="ET60" s="44">
        <f t="shared" si="10"/>
        <v>2</v>
      </c>
      <c r="EU60" s="43">
        <v>0</v>
      </c>
      <c r="EV60" s="43">
        <v>0</v>
      </c>
      <c r="EW60" s="43">
        <v>1</v>
      </c>
      <c r="EX60" s="43">
        <v>0</v>
      </c>
      <c r="EY60" s="43">
        <v>0</v>
      </c>
      <c r="EZ60" s="43">
        <v>0</v>
      </c>
      <c r="FA60" s="43">
        <v>0</v>
      </c>
      <c r="FB60" s="43">
        <v>1</v>
      </c>
      <c r="FC60" s="43">
        <v>0</v>
      </c>
      <c r="FD60" s="43">
        <v>2</v>
      </c>
      <c r="FE60" s="43"/>
      <c r="FF60" s="43"/>
      <c r="FG60" s="43"/>
      <c r="FH60" s="43"/>
      <c r="FI60" s="43"/>
      <c r="FJ60" s="43">
        <f t="shared" si="11"/>
        <v>4</v>
      </c>
      <c r="FK60" s="73">
        <f t="shared" si="14"/>
        <v>0</v>
      </c>
      <c r="FL60" s="73">
        <f t="shared" si="15"/>
        <v>0</v>
      </c>
      <c r="FM60" s="38"/>
    </row>
    <row r="61" spans="1:169" x14ac:dyDescent="0.25">
      <c r="A61" s="53">
        <v>40338</v>
      </c>
      <c r="B61" s="53" t="s">
        <v>19</v>
      </c>
      <c r="C61" s="53" t="s">
        <v>129</v>
      </c>
      <c r="D61" s="53" t="s">
        <v>451</v>
      </c>
      <c r="E61" s="54">
        <v>2211</v>
      </c>
      <c r="F61" s="58">
        <v>5</v>
      </c>
      <c r="G61" s="59" t="s">
        <v>470</v>
      </c>
      <c r="H61" s="6">
        <v>1</v>
      </c>
      <c r="I61" s="6">
        <v>0</v>
      </c>
      <c r="J61" s="60">
        <f>6+2/3</f>
        <v>6.666666666666667</v>
      </c>
      <c r="K61" s="6">
        <v>3</v>
      </c>
      <c r="L61" s="6">
        <v>0</v>
      </c>
      <c r="M61" s="6">
        <v>0</v>
      </c>
      <c r="N61" s="6">
        <v>0</v>
      </c>
      <c r="O61" s="6">
        <v>6</v>
      </c>
      <c r="P61" s="6">
        <v>0</v>
      </c>
      <c r="Q61" s="6">
        <v>0</v>
      </c>
      <c r="R61" s="6">
        <v>23</v>
      </c>
      <c r="S61" s="6">
        <v>103</v>
      </c>
      <c r="T61" s="6">
        <v>69</v>
      </c>
      <c r="U61" s="6">
        <v>1</v>
      </c>
      <c r="V61" s="61">
        <v>0</v>
      </c>
      <c r="W61" s="62">
        <v>0</v>
      </c>
      <c r="X61" s="62">
        <v>0</v>
      </c>
      <c r="Y61" s="62">
        <v>0</v>
      </c>
      <c r="Z61" s="62">
        <v>0</v>
      </c>
      <c r="AA61" s="62">
        <v>0</v>
      </c>
      <c r="AB61" s="63">
        <f>2+1/3</f>
        <v>2.3333333333333335</v>
      </c>
      <c r="AC61" s="62">
        <v>0</v>
      </c>
      <c r="AD61" s="62">
        <v>0</v>
      </c>
      <c r="AE61" s="62">
        <v>0</v>
      </c>
      <c r="AF61" s="62">
        <v>0</v>
      </c>
      <c r="AG61" s="62">
        <v>3</v>
      </c>
      <c r="AH61" s="62">
        <v>0</v>
      </c>
      <c r="AI61" s="62">
        <v>0</v>
      </c>
      <c r="AJ61" s="62">
        <v>7</v>
      </c>
      <c r="AK61" s="62">
        <v>30</v>
      </c>
      <c r="AL61" s="62">
        <v>20</v>
      </c>
      <c r="AM61" s="1" t="s">
        <v>441</v>
      </c>
      <c r="AN61" s="78">
        <v>4</v>
      </c>
      <c r="AO61" s="78">
        <v>3</v>
      </c>
      <c r="AP61" s="78">
        <v>3</v>
      </c>
      <c r="AQ61" s="78">
        <v>0</v>
      </c>
      <c r="AR61" s="78">
        <v>0</v>
      </c>
      <c r="AS61" s="78">
        <v>0</v>
      </c>
      <c r="AT61" s="78">
        <v>0</v>
      </c>
      <c r="AU61" s="78">
        <v>0</v>
      </c>
      <c r="AV61" s="76">
        <v>5</v>
      </c>
      <c r="AW61" s="1" t="s">
        <v>364</v>
      </c>
      <c r="AX61" s="78">
        <v>4</v>
      </c>
      <c r="AY61" s="78">
        <v>1</v>
      </c>
      <c r="AZ61" s="78">
        <v>1</v>
      </c>
      <c r="BA61" s="78">
        <v>0</v>
      </c>
      <c r="BB61" s="78">
        <v>0</v>
      </c>
      <c r="BC61" s="78">
        <v>0</v>
      </c>
      <c r="BD61" s="78">
        <v>0</v>
      </c>
      <c r="BE61" s="78">
        <v>0</v>
      </c>
      <c r="BF61" s="76">
        <v>1</v>
      </c>
      <c r="BG61" s="1" t="s">
        <v>402</v>
      </c>
      <c r="BH61" s="78">
        <v>4</v>
      </c>
      <c r="BI61" s="78">
        <v>2</v>
      </c>
      <c r="BJ61" s="78">
        <v>2</v>
      </c>
      <c r="BK61" s="78">
        <v>2</v>
      </c>
      <c r="BL61" s="78">
        <v>0</v>
      </c>
      <c r="BM61" s="78">
        <v>1</v>
      </c>
      <c r="BN61" s="78">
        <v>0</v>
      </c>
      <c r="BO61" s="78">
        <v>0</v>
      </c>
      <c r="BP61" s="76">
        <v>5</v>
      </c>
      <c r="BQ61" s="1" t="s">
        <v>443</v>
      </c>
      <c r="BR61" s="78">
        <v>3</v>
      </c>
      <c r="BS61" s="78">
        <v>0</v>
      </c>
      <c r="BT61" s="78">
        <v>1</v>
      </c>
      <c r="BU61" s="78">
        <v>2</v>
      </c>
      <c r="BV61" s="78">
        <v>1</v>
      </c>
      <c r="BW61" s="78">
        <v>1</v>
      </c>
      <c r="BX61" s="78">
        <v>0</v>
      </c>
      <c r="BY61" s="78">
        <v>0</v>
      </c>
      <c r="BZ61" s="76">
        <v>1</v>
      </c>
      <c r="CA61" s="1" t="s">
        <v>501</v>
      </c>
      <c r="CB61" s="78">
        <v>4</v>
      </c>
      <c r="CC61" s="78">
        <v>0</v>
      </c>
      <c r="CD61" s="78">
        <v>2</v>
      </c>
      <c r="CE61" s="78">
        <v>1</v>
      </c>
      <c r="CF61" s="78">
        <v>0</v>
      </c>
      <c r="CG61" s="78">
        <v>0</v>
      </c>
      <c r="CH61" s="78">
        <v>0</v>
      </c>
      <c r="CI61" s="78">
        <v>0</v>
      </c>
      <c r="CJ61" s="76">
        <v>3</v>
      </c>
      <c r="CK61" s="1" t="s">
        <v>366</v>
      </c>
      <c r="CL61" s="78">
        <v>3</v>
      </c>
      <c r="CM61" s="78">
        <v>0</v>
      </c>
      <c r="CN61" s="78">
        <v>0</v>
      </c>
      <c r="CO61" s="78">
        <v>0</v>
      </c>
      <c r="CP61" s="78">
        <v>0</v>
      </c>
      <c r="CQ61" s="78">
        <v>1</v>
      </c>
      <c r="CR61" s="78">
        <v>0</v>
      </c>
      <c r="CS61" s="78">
        <v>0</v>
      </c>
      <c r="CT61" s="76">
        <v>0</v>
      </c>
      <c r="CU61" s="1" t="s">
        <v>473</v>
      </c>
      <c r="CV61" s="78">
        <v>3</v>
      </c>
      <c r="CW61" s="78">
        <v>0</v>
      </c>
      <c r="CX61" s="78">
        <v>2</v>
      </c>
      <c r="CY61" s="78">
        <v>0</v>
      </c>
      <c r="CZ61" s="78">
        <v>0</v>
      </c>
      <c r="DA61" s="78">
        <v>1</v>
      </c>
      <c r="DB61" s="78">
        <v>0</v>
      </c>
      <c r="DC61" s="78">
        <v>0</v>
      </c>
      <c r="DD61" s="76">
        <v>3</v>
      </c>
      <c r="DE61" s="1" t="s">
        <v>449</v>
      </c>
      <c r="DF61" s="78">
        <v>3</v>
      </c>
      <c r="DG61" s="78">
        <v>0</v>
      </c>
      <c r="DH61" s="78">
        <v>0</v>
      </c>
      <c r="DI61" s="78">
        <v>0</v>
      </c>
      <c r="DJ61" s="78">
        <v>0</v>
      </c>
      <c r="DK61" s="78">
        <v>0</v>
      </c>
      <c r="DL61" s="78">
        <v>0</v>
      </c>
      <c r="DM61" s="78">
        <v>0</v>
      </c>
      <c r="DN61" s="76">
        <v>0</v>
      </c>
      <c r="DO61" s="1" t="s">
        <v>365</v>
      </c>
      <c r="DP61" s="78">
        <v>3</v>
      </c>
      <c r="DQ61" s="78">
        <v>0</v>
      </c>
      <c r="DR61" s="78">
        <v>0</v>
      </c>
      <c r="DS61" s="78">
        <v>0</v>
      </c>
      <c r="DT61" s="78">
        <v>0</v>
      </c>
      <c r="DU61" s="78">
        <v>1</v>
      </c>
      <c r="DV61" s="78">
        <v>0</v>
      </c>
      <c r="DW61" s="78">
        <v>0</v>
      </c>
      <c r="DX61" s="76">
        <v>0</v>
      </c>
      <c r="DY61" s="77">
        <v>0</v>
      </c>
      <c r="DZ61" s="43">
        <v>0</v>
      </c>
      <c r="EA61" s="43">
        <v>0</v>
      </c>
      <c r="EB61" s="45">
        <v>8</v>
      </c>
      <c r="EC61" s="43">
        <v>2</v>
      </c>
      <c r="ED61" s="44">
        <v>0</v>
      </c>
      <c r="EE61" s="71">
        <v>2</v>
      </c>
      <c r="EF61" s="43">
        <v>0</v>
      </c>
      <c r="EG61" s="43">
        <v>2</v>
      </c>
      <c r="EH61" s="43">
        <v>0</v>
      </c>
      <c r="EI61" s="43">
        <v>0</v>
      </c>
      <c r="EJ61" s="43">
        <v>0</v>
      </c>
      <c r="EK61" s="43">
        <v>0</v>
      </c>
      <c r="EL61" s="43">
        <v>2</v>
      </c>
      <c r="EM61" s="43"/>
      <c r="EN61" s="43"/>
      <c r="EO61" s="43"/>
      <c r="EP61" s="43"/>
      <c r="EQ61" s="43"/>
      <c r="ER61" s="43"/>
      <c r="ES61" s="43"/>
      <c r="ET61" s="44">
        <f t="shared" si="10"/>
        <v>6</v>
      </c>
      <c r="EU61" s="43">
        <v>0</v>
      </c>
      <c r="EV61" s="43">
        <v>0</v>
      </c>
      <c r="EW61" s="43">
        <v>0</v>
      </c>
      <c r="EX61" s="43">
        <v>0</v>
      </c>
      <c r="EY61" s="43">
        <v>0</v>
      </c>
      <c r="EZ61" s="43">
        <v>0</v>
      </c>
      <c r="FA61" s="43">
        <v>0</v>
      </c>
      <c r="FB61" s="43">
        <v>0</v>
      </c>
      <c r="FC61" s="43">
        <v>0</v>
      </c>
      <c r="FD61" s="43"/>
      <c r="FE61" s="43"/>
      <c r="FF61" s="43"/>
      <c r="FG61" s="43"/>
      <c r="FH61" s="43"/>
      <c r="FI61" s="43"/>
      <c r="FJ61" s="43">
        <f t="shared" si="11"/>
        <v>0</v>
      </c>
      <c r="FK61" s="73">
        <f t="shared" si="14"/>
        <v>0</v>
      </c>
      <c r="FL61" s="73">
        <f t="shared" si="15"/>
        <v>0</v>
      </c>
      <c r="FM61" s="38"/>
    </row>
    <row r="62" spans="1:169" x14ac:dyDescent="0.25">
      <c r="A62" s="53">
        <v>40339</v>
      </c>
      <c r="B62" s="53" t="s">
        <v>19</v>
      </c>
      <c r="C62" s="53" t="s">
        <v>129</v>
      </c>
      <c r="D62" s="53" t="s">
        <v>471</v>
      </c>
      <c r="E62" s="54">
        <v>4098</v>
      </c>
      <c r="F62" s="58">
        <v>1</v>
      </c>
      <c r="G62" s="59" t="s">
        <v>424</v>
      </c>
      <c r="H62" s="6">
        <v>1</v>
      </c>
      <c r="I62" s="6">
        <v>0</v>
      </c>
      <c r="J62" s="60">
        <f>5+2/3</f>
        <v>5.666666666666667</v>
      </c>
      <c r="K62" s="6">
        <v>9</v>
      </c>
      <c r="L62" s="6">
        <v>4</v>
      </c>
      <c r="M62" s="6">
        <v>3</v>
      </c>
      <c r="N62" s="6">
        <v>1</v>
      </c>
      <c r="O62" s="6">
        <v>4</v>
      </c>
      <c r="P62" s="6">
        <v>0</v>
      </c>
      <c r="Q62" s="6">
        <v>1</v>
      </c>
      <c r="R62" s="6">
        <v>26</v>
      </c>
      <c r="S62" s="6">
        <v>96</v>
      </c>
      <c r="T62" s="6">
        <v>67</v>
      </c>
      <c r="U62" s="6">
        <v>1</v>
      </c>
      <c r="V62" s="61">
        <v>0</v>
      </c>
      <c r="W62" s="62">
        <v>0</v>
      </c>
      <c r="X62" s="62">
        <v>0</v>
      </c>
      <c r="Y62" s="62">
        <v>1</v>
      </c>
      <c r="Z62" s="62">
        <v>0</v>
      </c>
      <c r="AA62" s="62">
        <v>0</v>
      </c>
      <c r="AB62" s="63">
        <f>3+1/3</f>
        <v>3.3333333333333335</v>
      </c>
      <c r="AC62" s="62">
        <v>2</v>
      </c>
      <c r="AD62" s="62">
        <v>1</v>
      </c>
      <c r="AE62" s="62">
        <v>1</v>
      </c>
      <c r="AF62" s="62">
        <v>2</v>
      </c>
      <c r="AG62" s="62">
        <v>2</v>
      </c>
      <c r="AH62" s="62">
        <v>0</v>
      </c>
      <c r="AI62" s="62">
        <v>1</v>
      </c>
      <c r="AJ62" s="62">
        <v>14</v>
      </c>
      <c r="AK62" s="62">
        <v>51</v>
      </c>
      <c r="AL62" s="62">
        <v>28</v>
      </c>
      <c r="AM62" s="1" t="s">
        <v>441</v>
      </c>
      <c r="AN62" s="78">
        <v>6</v>
      </c>
      <c r="AO62" s="78">
        <v>1</v>
      </c>
      <c r="AP62" s="78">
        <v>4</v>
      </c>
      <c r="AQ62" s="78">
        <v>1</v>
      </c>
      <c r="AR62" s="78">
        <v>0</v>
      </c>
      <c r="AS62" s="78">
        <v>1</v>
      </c>
      <c r="AT62" s="78">
        <v>0</v>
      </c>
      <c r="AU62" s="78">
        <v>0</v>
      </c>
      <c r="AV62" s="76">
        <v>4</v>
      </c>
      <c r="AW62" s="1" t="s">
        <v>402</v>
      </c>
      <c r="AX62" s="78">
        <v>5</v>
      </c>
      <c r="AY62" s="78">
        <v>0</v>
      </c>
      <c r="AZ62" s="78">
        <v>0</v>
      </c>
      <c r="BA62" s="78">
        <v>0</v>
      </c>
      <c r="BB62" s="78">
        <v>0</v>
      </c>
      <c r="BC62" s="78">
        <v>0</v>
      </c>
      <c r="BD62" s="78">
        <v>0</v>
      </c>
      <c r="BE62" s="78">
        <v>0</v>
      </c>
      <c r="BF62" s="76">
        <v>0</v>
      </c>
      <c r="BG62" s="1" t="s">
        <v>446</v>
      </c>
      <c r="BH62" s="78">
        <v>4</v>
      </c>
      <c r="BI62" s="78">
        <v>1</v>
      </c>
      <c r="BJ62" s="78">
        <v>2</v>
      </c>
      <c r="BK62" s="78">
        <v>0</v>
      </c>
      <c r="BL62" s="78">
        <v>1</v>
      </c>
      <c r="BM62" s="78">
        <v>2</v>
      </c>
      <c r="BN62" s="78">
        <v>0</v>
      </c>
      <c r="BO62" s="78">
        <v>0</v>
      </c>
      <c r="BP62" s="76">
        <v>2</v>
      </c>
      <c r="BQ62" s="1" t="s">
        <v>443</v>
      </c>
      <c r="BR62" s="78">
        <v>4</v>
      </c>
      <c r="BS62" s="78">
        <v>3</v>
      </c>
      <c r="BT62" s="78">
        <v>2</v>
      </c>
      <c r="BU62" s="78">
        <v>0</v>
      </c>
      <c r="BV62" s="78">
        <v>0</v>
      </c>
      <c r="BW62" s="78">
        <v>1</v>
      </c>
      <c r="BX62" s="78">
        <v>1</v>
      </c>
      <c r="BY62" s="78">
        <v>0</v>
      </c>
      <c r="BZ62" s="76">
        <v>2</v>
      </c>
      <c r="CA62" s="1" t="s">
        <v>501</v>
      </c>
      <c r="CB62" s="78">
        <v>5</v>
      </c>
      <c r="CC62" s="78">
        <v>2</v>
      </c>
      <c r="CD62" s="78">
        <v>3</v>
      </c>
      <c r="CE62" s="78">
        <v>3</v>
      </c>
      <c r="CF62" s="78">
        <v>0</v>
      </c>
      <c r="CG62" s="78">
        <v>0</v>
      </c>
      <c r="CH62" s="78">
        <v>0</v>
      </c>
      <c r="CI62" s="78">
        <v>0</v>
      </c>
      <c r="CJ62" s="76">
        <v>3</v>
      </c>
      <c r="CK62" s="1" t="s">
        <v>473</v>
      </c>
      <c r="CL62" s="78">
        <v>5</v>
      </c>
      <c r="CM62" s="78">
        <v>2</v>
      </c>
      <c r="CN62" s="78">
        <v>3</v>
      </c>
      <c r="CO62" s="78">
        <v>2</v>
      </c>
      <c r="CP62" s="78">
        <v>0</v>
      </c>
      <c r="CQ62" s="78">
        <v>0</v>
      </c>
      <c r="CR62" s="78">
        <v>0</v>
      </c>
      <c r="CS62" s="78">
        <v>0</v>
      </c>
      <c r="CT62" s="76">
        <v>3</v>
      </c>
      <c r="CU62" s="1" t="s">
        <v>444</v>
      </c>
      <c r="CV62" s="78">
        <v>4</v>
      </c>
      <c r="CW62" s="78">
        <v>2</v>
      </c>
      <c r="CX62" s="78">
        <v>3</v>
      </c>
      <c r="CY62" s="78">
        <v>3</v>
      </c>
      <c r="CZ62" s="78">
        <v>1</v>
      </c>
      <c r="DA62" s="78">
        <v>0</v>
      </c>
      <c r="DB62" s="78">
        <v>0</v>
      </c>
      <c r="DC62" s="78">
        <v>0</v>
      </c>
      <c r="DD62" s="76">
        <v>7</v>
      </c>
      <c r="DE62" s="1" t="s">
        <v>448</v>
      </c>
      <c r="DF62" s="78">
        <v>5</v>
      </c>
      <c r="DG62" s="78">
        <v>1</v>
      </c>
      <c r="DH62" s="78">
        <v>3</v>
      </c>
      <c r="DI62" s="78">
        <v>3</v>
      </c>
      <c r="DJ62" s="78">
        <v>0</v>
      </c>
      <c r="DK62" s="78">
        <v>2</v>
      </c>
      <c r="DL62" s="78">
        <v>0</v>
      </c>
      <c r="DM62" s="78">
        <v>0</v>
      </c>
      <c r="DN62" s="76">
        <v>5</v>
      </c>
      <c r="DO62" s="1" t="s">
        <v>365</v>
      </c>
      <c r="DP62" s="78">
        <v>4</v>
      </c>
      <c r="DQ62" s="78">
        <v>1</v>
      </c>
      <c r="DR62" s="78">
        <v>0</v>
      </c>
      <c r="DS62" s="78">
        <v>0</v>
      </c>
      <c r="DT62" s="78">
        <v>1</v>
      </c>
      <c r="DU62" s="78">
        <v>0</v>
      </c>
      <c r="DV62" s="78">
        <v>0</v>
      </c>
      <c r="DW62" s="78">
        <v>0</v>
      </c>
      <c r="DX62" s="76">
        <v>0</v>
      </c>
      <c r="DY62" s="77">
        <f>2+1/3</f>
        <v>2.3333333333333335</v>
      </c>
      <c r="DZ62" s="43">
        <v>0</v>
      </c>
      <c r="EA62" s="43">
        <v>0</v>
      </c>
      <c r="EB62" s="45">
        <f>5+2/3</f>
        <v>5.666666666666667</v>
      </c>
      <c r="EC62" s="43">
        <v>0</v>
      </c>
      <c r="ED62" s="44">
        <v>0</v>
      </c>
      <c r="EE62" s="71">
        <v>0</v>
      </c>
      <c r="EF62" s="43">
        <v>2</v>
      </c>
      <c r="EG62" s="43">
        <v>0</v>
      </c>
      <c r="EH62" s="43">
        <v>2</v>
      </c>
      <c r="EI62" s="43">
        <v>3</v>
      </c>
      <c r="EJ62" s="43">
        <v>2</v>
      </c>
      <c r="EK62" s="43">
        <v>4</v>
      </c>
      <c r="EL62" s="43">
        <v>0</v>
      </c>
      <c r="EM62" s="43"/>
      <c r="EN62" s="43"/>
      <c r="EO62" s="43"/>
      <c r="EP62" s="43"/>
      <c r="EQ62" s="43"/>
      <c r="ER62" s="43"/>
      <c r="ES62" s="43"/>
      <c r="ET62" s="44">
        <f t="shared" si="10"/>
        <v>13</v>
      </c>
      <c r="EU62" s="43">
        <v>0</v>
      </c>
      <c r="EV62" s="43">
        <v>0</v>
      </c>
      <c r="EW62" s="43">
        <v>2</v>
      </c>
      <c r="EX62" s="43">
        <v>2</v>
      </c>
      <c r="EY62" s="43">
        <v>0</v>
      </c>
      <c r="EZ62" s="43">
        <v>0</v>
      </c>
      <c r="FA62" s="43">
        <v>0</v>
      </c>
      <c r="FB62" s="43">
        <v>0</v>
      </c>
      <c r="FC62" s="43">
        <v>1</v>
      </c>
      <c r="FD62" s="43"/>
      <c r="FE62" s="43"/>
      <c r="FF62" s="43"/>
      <c r="FG62" s="43"/>
      <c r="FH62" s="43"/>
      <c r="FI62" s="43"/>
      <c r="FJ62" s="43">
        <f t="shared" si="11"/>
        <v>5</v>
      </c>
      <c r="FK62" s="73">
        <f t="shared" si="14"/>
        <v>0</v>
      </c>
      <c r="FL62" s="73">
        <f t="shared" si="15"/>
        <v>0</v>
      </c>
      <c r="FM62" s="38"/>
    </row>
    <row r="63" spans="1:169" x14ac:dyDescent="0.25">
      <c r="A63" s="53">
        <v>40340</v>
      </c>
      <c r="B63" s="53" t="s">
        <v>19</v>
      </c>
      <c r="C63" s="53" t="s">
        <v>129</v>
      </c>
      <c r="D63" s="53" t="s">
        <v>471</v>
      </c>
      <c r="E63" s="54">
        <v>5993</v>
      </c>
      <c r="F63" s="58">
        <v>2</v>
      </c>
      <c r="G63" s="59" t="s">
        <v>438</v>
      </c>
      <c r="H63" s="6">
        <v>0</v>
      </c>
      <c r="I63" s="6">
        <v>0</v>
      </c>
      <c r="J63" s="60">
        <f>6+2/3</f>
        <v>6.666666666666667</v>
      </c>
      <c r="K63" s="6">
        <v>7</v>
      </c>
      <c r="L63" s="6">
        <v>4</v>
      </c>
      <c r="M63" s="6">
        <v>4</v>
      </c>
      <c r="N63" s="6">
        <v>3</v>
      </c>
      <c r="O63" s="6">
        <v>5</v>
      </c>
      <c r="P63" s="6">
        <v>1</v>
      </c>
      <c r="Q63" s="6">
        <v>0</v>
      </c>
      <c r="R63" s="6">
        <v>29</v>
      </c>
      <c r="S63" s="6">
        <v>99</v>
      </c>
      <c r="T63" s="6">
        <v>65</v>
      </c>
      <c r="U63" s="6">
        <v>1</v>
      </c>
      <c r="V63" s="61">
        <v>0</v>
      </c>
      <c r="W63" s="62">
        <v>1</v>
      </c>
      <c r="X63" s="62">
        <v>0</v>
      </c>
      <c r="Y63" s="62">
        <v>0</v>
      </c>
      <c r="Z63" s="62">
        <v>0</v>
      </c>
      <c r="AA63" s="62">
        <v>0</v>
      </c>
      <c r="AB63" s="63">
        <f>4+1/3</f>
        <v>4.333333333333333</v>
      </c>
      <c r="AC63" s="62">
        <v>4</v>
      </c>
      <c r="AD63" s="62">
        <v>1</v>
      </c>
      <c r="AE63" s="62">
        <v>0</v>
      </c>
      <c r="AF63" s="62">
        <v>4</v>
      </c>
      <c r="AG63" s="62">
        <v>5</v>
      </c>
      <c r="AH63" s="62">
        <v>0</v>
      </c>
      <c r="AI63" s="62">
        <v>0</v>
      </c>
      <c r="AJ63" s="62">
        <v>21</v>
      </c>
      <c r="AK63" s="62">
        <v>86</v>
      </c>
      <c r="AL63" s="62">
        <v>53</v>
      </c>
      <c r="AM63" s="1" t="s">
        <v>441</v>
      </c>
      <c r="AN63" s="78">
        <v>5</v>
      </c>
      <c r="AO63" s="78">
        <v>1</v>
      </c>
      <c r="AP63" s="78">
        <v>1</v>
      </c>
      <c r="AQ63" s="78">
        <v>0</v>
      </c>
      <c r="AR63" s="78">
        <v>1</v>
      </c>
      <c r="AS63" s="78">
        <v>1</v>
      </c>
      <c r="AT63" s="78">
        <v>0</v>
      </c>
      <c r="AU63" s="78">
        <v>0</v>
      </c>
      <c r="AV63" s="76">
        <v>1</v>
      </c>
      <c r="AW63" s="1" t="s">
        <v>402</v>
      </c>
      <c r="AX63" s="78">
        <v>3</v>
      </c>
      <c r="AY63" s="78">
        <v>1</v>
      </c>
      <c r="AZ63" s="78">
        <v>2</v>
      </c>
      <c r="BA63" s="78">
        <v>0</v>
      </c>
      <c r="BB63" s="78">
        <v>3</v>
      </c>
      <c r="BC63" s="78">
        <v>0</v>
      </c>
      <c r="BD63" s="78">
        <v>0</v>
      </c>
      <c r="BE63" s="78">
        <v>0</v>
      </c>
      <c r="BF63" s="76">
        <v>2</v>
      </c>
      <c r="BG63" s="1" t="s">
        <v>446</v>
      </c>
      <c r="BH63" s="78">
        <v>5</v>
      </c>
      <c r="BI63" s="78">
        <v>0</v>
      </c>
      <c r="BJ63" s="78">
        <v>2</v>
      </c>
      <c r="BK63" s="78">
        <v>0</v>
      </c>
      <c r="BL63" s="78">
        <v>1</v>
      </c>
      <c r="BM63" s="78">
        <v>0</v>
      </c>
      <c r="BN63" s="78">
        <v>0</v>
      </c>
      <c r="BO63" s="78">
        <v>0</v>
      </c>
      <c r="BP63" s="76">
        <v>2</v>
      </c>
      <c r="BQ63" s="1" t="s">
        <v>443</v>
      </c>
      <c r="BR63" s="78">
        <v>6</v>
      </c>
      <c r="BS63" s="78">
        <v>0</v>
      </c>
      <c r="BT63" s="78">
        <v>1</v>
      </c>
      <c r="BU63" s="78">
        <v>2</v>
      </c>
      <c r="BV63" s="78">
        <v>0</v>
      </c>
      <c r="BW63" s="78">
        <v>0</v>
      </c>
      <c r="BX63" s="78">
        <v>0</v>
      </c>
      <c r="BY63" s="78">
        <v>0</v>
      </c>
      <c r="BZ63" s="76">
        <v>2</v>
      </c>
      <c r="CA63" s="1" t="s">
        <v>501</v>
      </c>
      <c r="CB63" s="78">
        <v>4</v>
      </c>
      <c r="CC63" s="78">
        <v>1</v>
      </c>
      <c r="CD63" s="78">
        <v>2</v>
      </c>
      <c r="CE63" s="78">
        <v>1</v>
      </c>
      <c r="CF63" s="78">
        <v>2</v>
      </c>
      <c r="CG63" s="78">
        <v>1</v>
      </c>
      <c r="CH63" s="78">
        <v>0</v>
      </c>
      <c r="CI63" s="78">
        <v>0</v>
      </c>
      <c r="CJ63" s="76">
        <v>5</v>
      </c>
      <c r="CK63" s="1" t="s">
        <v>366</v>
      </c>
      <c r="CL63" s="78">
        <v>6</v>
      </c>
      <c r="CM63" s="78">
        <v>0</v>
      </c>
      <c r="CN63" s="78">
        <v>1</v>
      </c>
      <c r="CO63" s="78">
        <v>1</v>
      </c>
      <c r="CP63" s="78">
        <v>0</v>
      </c>
      <c r="CQ63" s="78">
        <v>2</v>
      </c>
      <c r="CR63" s="78">
        <v>0</v>
      </c>
      <c r="CS63" s="78">
        <v>0</v>
      </c>
      <c r="CT63" s="76">
        <v>1</v>
      </c>
      <c r="CU63" s="1" t="s">
        <v>444</v>
      </c>
      <c r="CV63" s="78">
        <v>4</v>
      </c>
      <c r="CW63" s="78">
        <v>1</v>
      </c>
      <c r="CX63" s="78">
        <v>1</v>
      </c>
      <c r="CY63" s="78">
        <v>0</v>
      </c>
      <c r="CZ63" s="78">
        <v>1</v>
      </c>
      <c r="DA63" s="78">
        <v>1</v>
      </c>
      <c r="DB63" s="78">
        <v>0</v>
      </c>
      <c r="DC63" s="78">
        <v>0</v>
      </c>
      <c r="DD63" s="76">
        <v>2</v>
      </c>
      <c r="DE63" s="1" t="s">
        <v>448</v>
      </c>
      <c r="DF63" s="78">
        <v>5</v>
      </c>
      <c r="DG63" s="78">
        <v>2</v>
      </c>
      <c r="DH63" s="78">
        <v>2</v>
      </c>
      <c r="DI63" s="78">
        <v>0</v>
      </c>
      <c r="DJ63" s="78">
        <v>0</v>
      </c>
      <c r="DK63" s="78">
        <v>0</v>
      </c>
      <c r="DL63" s="78">
        <v>0</v>
      </c>
      <c r="DM63" s="78">
        <v>0</v>
      </c>
      <c r="DN63" s="76">
        <v>2</v>
      </c>
      <c r="DO63" s="1" t="s">
        <v>364</v>
      </c>
      <c r="DP63" s="78">
        <v>4</v>
      </c>
      <c r="DQ63" s="78">
        <v>0</v>
      </c>
      <c r="DR63" s="78">
        <v>1</v>
      </c>
      <c r="DS63" s="78">
        <v>2</v>
      </c>
      <c r="DT63" s="78">
        <v>1</v>
      </c>
      <c r="DU63" s="78">
        <v>1</v>
      </c>
      <c r="DV63" s="78">
        <v>0</v>
      </c>
      <c r="DW63" s="78">
        <v>0</v>
      </c>
      <c r="DX63" s="76">
        <v>3</v>
      </c>
      <c r="DY63" s="77">
        <v>5</v>
      </c>
      <c r="DZ63" s="43">
        <v>0</v>
      </c>
      <c r="EA63" s="43">
        <v>0</v>
      </c>
      <c r="EB63" s="45">
        <f>5+1/3</f>
        <v>5.333333333333333</v>
      </c>
      <c r="EC63" s="43">
        <v>0</v>
      </c>
      <c r="ED63" s="44">
        <v>0</v>
      </c>
      <c r="EE63" s="71">
        <v>0</v>
      </c>
      <c r="EF63" s="43">
        <v>0</v>
      </c>
      <c r="EG63" s="43">
        <v>0</v>
      </c>
      <c r="EH63" s="43">
        <v>0</v>
      </c>
      <c r="EI63" s="43">
        <v>2</v>
      </c>
      <c r="EJ63" s="43">
        <v>0</v>
      </c>
      <c r="EK63" s="43">
        <v>0</v>
      </c>
      <c r="EL63" s="43">
        <v>1</v>
      </c>
      <c r="EM63" s="43">
        <v>2</v>
      </c>
      <c r="EN63" s="43">
        <v>0</v>
      </c>
      <c r="EO63" s="43">
        <v>1</v>
      </c>
      <c r="EP63" s="43"/>
      <c r="EQ63" s="43"/>
      <c r="ER63" s="43"/>
      <c r="ES63" s="43"/>
      <c r="ET63" s="44">
        <f t="shared" si="10"/>
        <v>6</v>
      </c>
      <c r="EU63" s="43">
        <v>1</v>
      </c>
      <c r="EV63" s="43">
        <v>1</v>
      </c>
      <c r="EW63" s="43">
        <v>0</v>
      </c>
      <c r="EX63" s="43">
        <v>0</v>
      </c>
      <c r="EY63" s="43">
        <v>0</v>
      </c>
      <c r="EZ63" s="43">
        <v>0</v>
      </c>
      <c r="FA63" s="43">
        <v>2</v>
      </c>
      <c r="FB63" s="43">
        <v>0</v>
      </c>
      <c r="FC63" s="43">
        <v>1</v>
      </c>
      <c r="FD63" s="43">
        <v>0</v>
      </c>
      <c r="FE63" s="43">
        <v>0</v>
      </c>
      <c r="FF63" s="43"/>
      <c r="FG63" s="43"/>
      <c r="FH63" s="43"/>
      <c r="FI63" s="43"/>
      <c r="FJ63" s="43">
        <f t="shared" si="11"/>
        <v>5</v>
      </c>
      <c r="FK63" s="73">
        <f t="shared" si="14"/>
        <v>0</v>
      </c>
      <c r="FL63" s="73">
        <f t="shared" si="15"/>
        <v>0</v>
      </c>
      <c r="FM63" s="38"/>
    </row>
    <row r="64" spans="1:169" x14ac:dyDescent="0.25">
      <c r="A64" s="53">
        <v>40341</v>
      </c>
      <c r="B64" s="53" t="s">
        <v>19</v>
      </c>
      <c r="C64" s="53" t="s">
        <v>129</v>
      </c>
      <c r="D64" s="53" t="s">
        <v>471</v>
      </c>
      <c r="E64" s="54">
        <v>7019</v>
      </c>
      <c r="F64" s="58">
        <v>3</v>
      </c>
      <c r="G64" s="59" t="s">
        <v>368</v>
      </c>
      <c r="H64" s="6">
        <v>0</v>
      </c>
      <c r="I64" s="6">
        <v>0</v>
      </c>
      <c r="J64" s="60">
        <v>6</v>
      </c>
      <c r="K64" s="6">
        <v>5</v>
      </c>
      <c r="L64" s="6">
        <v>2</v>
      </c>
      <c r="M64" s="6">
        <v>2</v>
      </c>
      <c r="N64" s="6">
        <v>1</v>
      </c>
      <c r="O64" s="6">
        <v>4</v>
      </c>
      <c r="P64" s="6">
        <v>0</v>
      </c>
      <c r="Q64" s="6">
        <v>0</v>
      </c>
      <c r="R64" s="6">
        <v>23</v>
      </c>
      <c r="S64" s="6">
        <v>84</v>
      </c>
      <c r="T64" s="6">
        <v>51</v>
      </c>
      <c r="U64" s="6">
        <v>0</v>
      </c>
      <c r="V64" s="61">
        <v>0</v>
      </c>
      <c r="W64" s="62">
        <v>1</v>
      </c>
      <c r="X64" s="62">
        <v>0</v>
      </c>
      <c r="Y64" s="62">
        <v>0</v>
      </c>
      <c r="Z64" s="62">
        <v>0</v>
      </c>
      <c r="AA64" s="62">
        <v>0</v>
      </c>
      <c r="AB64" s="63">
        <v>4</v>
      </c>
      <c r="AC64" s="62">
        <v>2</v>
      </c>
      <c r="AD64" s="62">
        <v>0</v>
      </c>
      <c r="AE64" s="62">
        <v>0</v>
      </c>
      <c r="AF64" s="62">
        <v>0</v>
      </c>
      <c r="AG64" s="62">
        <v>6</v>
      </c>
      <c r="AH64" s="62">
        <v>0</v>
      </c>
      <c r="AI64" s="62">
        <v>0</v>
      </c>
      <c r="AJ64" s="62">
        <v>14</v>
      </c>
      <c r="AK64" s="62">
        <v>48</v>
      </c>
      <c r="AL64" s="62">
        <v>32</v>
      </c>
      <c r="AM64" s="1" t="s">
        <v>441</v>
      </c>
      <c r="AN64" s="78">
        <v>4</v>
      </c>
      <c r="AO64" s="78">
        <v>1</v>
      </c>
      <c r="AP64" s="78">
        <v>2</v>
      </c>
      <c r="AQ64" s="78">
        <v>0</v>
      </c>
      <c r="AR64" s="78">
        <v>0</v>
      </c>
      <c r="AS64" s="78">
        <v>0</v>
      </c>
      <c r="AT64" s="78">
        <v>0</v>
      </c>
      <c r="AU64" s="78">
        <v>0</v>
      </c>
      <c r="AV64" s="76">
        <v>3</v>
      </c>
      <c r="AW64" s="1" t="s">
        <v>402</v>
      </c>
      <c r="AX64" s="78">
        <v>2</v>
      </c>
      <c r="AY64" s="78">
        <v>0</v>
      </c>
      <c r="AZ64" s="78">
        <v>1</v>
      </c>
      <c r="BA64" s="78">
        <v>1</v>
      </c>
      <c r="BB64" s="78">
        <v>2</v>
      </c>
      <c r="BC64" s="78">
        <v>0</v>
      </c>
      <c r="BD64" s="78">
        <v>0</v>
      </c>
      <c r="BE64" s="78">
        <v>1</v>
      </c>
      <c r="BF64" s="76">
        <v>1</v>
      </c>
      <c r="BG64" s="1" t="s">
        <v>446</v>
      </c>
      <c r="BH64" s="78">
        <v>5</v>
      </c>
      <c r="BI64" s="78">
        <v>0</v>
      </c>
      <c r="BJ64" s="78">
        <v>1</v>
      </c>
      <c r="BK64" s="78">
        <v>0</v>
      </c>
      <c r="BL64" s="78">
        <v>0</v>
      </c>
      <c r="BM64" s="78">
        <v>0</v>
      </c>
      <c r="BN64" s="78">
        <v>0</v>
      </c>
      <c r="BO64" s="78">
        <v>0</v>
      </c>
      <c r="BP64" s="76">
        <v>1</v>
      </c>
      <c r="BQ64" s="1" t="s">
        <v>443</v>
      </c>
      <c r="BR64" s="78">
        <v>4</v>
      </c>
      <c r="BS64" s="78">
        <v>0</v>
      </c>
      <c r="BT64" s="78">
        <v>1</v>
      </c>
      <c r="BU64" s="78">
        <v>2</v>
      </c>
      <c r="BV64" s="78">
        <v>0</v>
      </c>
      <c r="BW64" s="78">
        <v>1</v>
      </c>
      <c r="BX64" s="78">
        <v>0</v>
      </c>
      <c r="BY64" s="78">
        <v>1</v>
      </c>
      <c r="BZ64" s="76">
        <v>2</v>
      </c>
      <c r="CA64" s="1" t="s">
        <v>501</v>
      </c>
      <c r="CB64" s="78">
        <v>4</v>
      </c>
      <c r="CC64" s="78">
        <v>0</v>
      </c>
      <c r="CD64" s="78">
        <v>1</v>
      </c>
      <c r="CE64" s="78">
        <v>0</v>
      </c>
      <c r="CF64" s="78">
        <v>0</v>
      </c>
      <c r="CG64" s="78">
        <v>0</v>
      </c>
      <c r="CH64" s="78">
        <v>0</v>
      </c>
      <c r="CI64" s="78">
        <v>0</v>
      </c>
      <c r="CJ64" s="76">
        <v>1</v>
      </c>
      <c r="CK64" s="1" t="s">
        <v>473</v>
      </c>
      <c r="CL64" s="78">
        <v>3</v>
      </c>
      <c r="CM64" s="78">
        <v>0</v>
      </c>
      <c r="CN64" s="78">
        <v>1</v>
      </c>
      <c r="CO64" s="78">
        <v>0</v>
      </c>
      <c r="CP64" s="78">
        <v>1</v>
      </c>
      <c r="CQ64" s="78">
        <v>1</v>
      </c>
      <c r="CR64" s="78">
        <v>0</v>
      </c>
      <c r="CS64" s="78">
        <v>0</v>
      </c>
      <c r="CT64" s="76">
        <v>1</v>
      </c>
      <c r="CU64" s="1" t="s">
        <v>444</v>
      </c>
      <c r="CV64" s="78">
        <v>3</v>
      </c>
      <c r="CW64" s="78">
        <v>0</v>
      </c>
      <c r="CX64" s="78">
        <v>0</v>
      </c>
      <c r="CY64" s="78">
        <v>0</v>
      </c>
      <c r="CZ64" s="78">
        <v>0</v>
      </c>
      <c r="DA64" s="78">
        <v>1</v>
      </c>
      <c r="DB64" s="78">
        <v>1</v>
      </c>
      <c r="DC64" s="78">
        <v>0</v>
      </c>
      <c r="DD64" s="76">
        <v>0</v>
      </c>
      <c r="DE64" s="1" t="s">
        <v>448</v>
      </c>
      <c r="DF64" s="78">
        <v>4</v>
      </c>
      <c r="DG64" s="78">
        <v>1</v>
      </c>
      <c r="DH64" s="78">
        <v>1</v>
      </c>
      <c r="DI64" s="78">
        <v>0</v>
      </c>
      <c r="DJ64" s="78">
        <v>0</v>
      </c>
      <c r="DK64" s="78">
        <v>0</v>
      </c>
      <c r="DL64" s="78">
        <v>0</v>
      </c>
      <c r="DM64" s="78">
        <v>0</v>
      </c>
      <c r="DN64" s="76">
        <v>1</v>
      </c>
      <c r="DO64" s="1" t="s">
        <v>365</v>
      </c>
      <c r="DP64" s="78">
        <v>2</v>
      </c>
      <c r="DQ64" s="78">
        <v>1</v>
      </c>
      <c r="DR64" s="78">
        <v>1</v>
      </c>
      <c r="DS64" s="78">
        <v>0</v>
      </c>
      <c r="DT64" s="78">
        <v>1</v>
      </c>
      <c r="DU64" s="78">
        <v>0</v>
      </c>
      <c r="DV64" s="78">
        <v>0</v>
      </c>
      <c r="DW64" s="78">
        <v>0</v>
      </c>
      <c r="DX64" s="76">
        <v>1</v>
      </c>
      <c r="DY64" s="77">
        <v>0</v>
      </c>
      <c r="DZ64" s="43">
        <v>0</v>
      </c>
      <c r="EA64" s="43">
        <v>0</v>
      </c>
      <c r="EB64" s="45">
        <f>9+2/3</f>
        <v>9.6666666666666661</v>
      </c>
      <c r="EC64" s="43">
        <v>0</v>
      </c>
      <c r="ED64" s="44">
        <v>0</v>
      </c>
      <c r="EE64" s="71">
        <v>1</v>
      </c>
      <c r="EF64" s="43">
        <v>0</v>
      </c>
      <c r="EG64" s="43">
        <v>0</v>
      </c>
      <c r="EH64" s="43">
        <v>0</v>
      </c>
      <c r="EI64" s="43">
        <v>0</v>
      </c>
      <c r="EJ64" s="43">
        <v>0</v>
      </c>
      <c r="EK64" s="43">
        <v>0</v>
      </c>
      <c r="EL64" s="43">
        <v>1</v>
      </c>
      <c r="EM64" s="43">
        <v>0</v>
      </c>
      <c r="EN64" s="43">
        <v>1</v>
      </c>
      <c r="EO64" s="43"/>
      <c r="EP64" s="43"/>
      <c r="EQ64" s="43"/>
      <c r="ER64" s="43"/>
      <c r="ES64" s="43"/>
      <c r="ET64" s="44">
        <f t="shared" si="10"/>
        <v>3</v>
      </c>
      <c r="EU64" s="43">
        <v>0</v>
      </c>
      <c r="EV64" s="43">
        <v>0</v>
      </c>
      <c r="EW64" s="43">
        <v>0</v>
      </c>
      <c r="EX64" s="43">
        <v>0</v>
      </c>
      <c r="EY64" s="43">
        <v>0</v>
      </c>
      <c r="EZ64" s="43">
        <v>2</v>
      </c>
      <c r="FA64" s="43">
        <v>0</v>
      </c>
      <c r="FB64" s="43">
        <v>0</v>
      </c>
      <c r="FC64" s="43">
        <v>0</v>
      </c>
      <c r="FD64" s="43">
        <v>0</v>
      </c>
      <c r="FE64" s="43"/>
      <c r="FF64" s="43"/>
      <c r="FG64" s="43"/>
      <c r="FH64" s="43"/>
      <c r="FI64" s="43"/>
      <c r="FJ64" s="43">
        <f t="shared" si="11"/>
        <v>2</v>
      </c>
      <c r="FK64" s="73">
        <f t="shared" si="14"/>
        <v>0</v>
      </c>
      <c r="FL64" s="73">
        <f t="shared" si="15"/>
        <v>0</v>
      </c>
      <c r="FM64" s="38"/>
    </row>
    <row r="65" spans="1:169" x14ac:dyDescent="0.25">
      <c r="A65" s="53">
        <v>40342</v>
      </c>
      <c r="B65" s="53" t="s">
        <v>19</v>
      </c>
      <c r="C65" s="53" t="s">
        <v>129</v>
      </c>
      <c r="D65" s="53" t="s">
        <v>471</v>
      </c>
      <c r="E65" s="54">
        <v>1895</v>
      </c>
      <c r="F65" s="58">
        <v>4</v>
      </c>
      <c r="G65" s="59" t="s">
        <v>439</v>
      </c>
      <c r="H65" s="6">
        <v>1</v>
      </c>
      <c r="I65" s="6">
        <v>0</v>
      </c>
      <c r="J65" s="60">
        <v>6</v>
      </c>
      <c r="K65" s="6">
        <v>5</v>
      </c>
      <c r="L65" s="6">
        <v>1</v>
      </c>
      <c r="M65" s="6">
        <v>1</v>
      </c>
      <c r="N65" s="6">
        <v>1</v>
      </c>
      <c r="O65" s="6">
        <v>5</v>
      </c>
      <c r="P65" s="6">
        <v>0</v>
      </c>
      <c r="Q65" s="6">
        <v>0</v>
      </c>
      <c r="R65" s="6">
        <v>22</v>
      </c>
      <c r="S65" s="6">
        <v>74</v>
      </c>
      <c r="T65" s="6">
        <v>45</v>
      </c>
      <c r="U65" s="6">
        <v>0</v>
      </c>
      <c r="V65" s="61">
        <v>0</v>
      </c>
      <c r="W65" s="62">
        <v>0</v>
      </c>
      <c r="X65" s="62">
        <v>0</v>
      </c>
      <c r="Y65" s="62">
        <v>0</v>
      </c>
      <c r="Z65" s="62">
        <v>1</v>
      </c>
      <c r="AA65" s="62">
        <v>0</v>
      </c>
      <c r="AB65" s="63">
        <v>3</v>
      </c>
      <c r="AC65" s="62">
        <v>1</v>
      </c>
      <c r="AD65" s="62">
        <v>1</v>
      </c>
      <c r="AE65" s="62">
        <v>1</v>
      </c>
      <c r="AF65" s="62">
        <v>1</v>
      </c>
      <c r="AG65" s="62">
        <v>4</v>
      </c>
      <c r="AH65" s="62">
        <v>1</v>
      </c>
      <c r="AI65" s="62">
        <v>0</v>
      </c>
      <c r="AJ65" s="62">
        <v>11</v>
      </c>
      <c r="AK65" s="62">
        <v>46</v>
      </c>
      <c r="AL65" s="62">
        <v>30</v>
      </c>
      <c r="AM65" s="1" t="s">
        <v>441</v>
      </c>
      <c r="AN65" s="78">
        <v>4</v>
      </c>
      <c r="AO65" s="78">
        <v>0</v>
      </c>
      <c r="AP65" s="78">
        <v>1</v>
      </c>
      <c r="AQ65" s="78">
        <v>0</v>
      </c>
      <c r="AR65" s="78">
        <v>0</v>
      </c>
      <c r="AS65" s="78">
        <v>2</v>
      </c>
      <c r="AT65" s="78">
        <v>0</v>
      </c>
      <c r="AU65" s="78">
        <v>0</v>
      </c>
      <c r="AV65" s="76">
        <v>1</v>
      </c>
      <c r="AW65" s="1" t="s">
        <v>364</v>
      </c>
      <c r="AX65" s="78">
        <v>3</v>
      </c>
      <c r="AY65" s="78">
        <v>0</v>
      </c>
      <c r="AZ65" s="78">
        <v>0</v>
      </c>
      <c r="BA65" s="78">
        <v>0</v>
      </c>
      <c r="BB65" s="78">
        <v>0</v>
      </c>
      <c r="BC65" s="78">
        <v>2</v>
      </c>
      <c r="BD65" s="78">
        <v>0</v>
      </c>
      <c r="BE65" s="78">
        <v>0</v>
      </c>
      <c r="BF65" s="76">
        <v>0</v>
      </c>
      <c r="BG65" s="1" t="s">
        <v>402</v>
      </c>
      <c r="BH65" s="78">
        <v>3</v>
      </c>
      <c r="BI65" s="78">
        <v>0</v>
      </c>
      <c r="BJ65" s="78">
        <v>0</v>
      </c>
      <c r="BK65" s="78">
        <v>0</v>
      </c>
      <c r="BL65" s="78">
        <v>0</v>
      </c>
      <c r="BM65" s="78">
        <v>0</v>
      </c>
      <c r="BN65" s="78">
        <v>0</v>
      </c>
      <c r="BO65" s="78">
        <v>0</v>
      </c>
      <c r="BP65" s="76">
        <v>0</v>
      </c>
      <c r="BQ65" s="1" t="s">
        <v>443</v>
      </c>
      <c r="BR65" s="78">
        <v>3</v>
      </c>
      <c r="BS65" s="78">
        <v>0</v>
      </c>
      <c r="BT65" s="78">
        <v>0</v>
      </c>
      <c r="BU65" s="78">
        <v>0</v>
      </c>
      <c r="BV65" s="78">
        <v>0</v>
      </c>
      <c r="BW65" s="78">
        <v>1</v>
      </c>
      <c r="BX65" s="78">
        <v>0</v>
      </c>
      <c r="BY65" s="78">
        <v>0</v>
      </c>
      <c r="BZ65" s="76">
        <v>0</v>
      </c>
      <c r="CA65" s="1" t="s">
        <v>501</v>
      </c>
      <c r="CB65" s="78">
        <v>2</v>
      </c>
      <c r="CC65" s="78">
        <v>1</v>
      </c>
      <c r="CD65" s="78">
        <v>1</v>
      </c>
      <c r="CE65" s="78">
        <v>0</v>
      </c>
      <c r="CF65" s="78">
        <v>1</v>
      </c>
      <c r="CG65" s="78">
        <v>0</v>
      </c>
      <c r="CH65" s="78">
        <v>0</v>
      </c>
      <c r="CI65" s="78">
        <v>0</v>
      </c>
      <c r="CJ65" s="76">
        <v>1</v>
      </c>
      <c r="CK65" s="1" t="s">
        <v>473</v>
      </c>
      <c r="CL65" s="78">
        <v>3</v>
      </c>
      <c r="CM65" s="78">
        <v>1</v>
      </c>
      <c r="CN65" s="78">
        <v>1</v>
      </c>
      <c r="CO65" s="78">
        <v>2</v>
      </c>
      <c r="CP65" s="78">
        <v>0</v>
      </c>
      <c r="CQ65" s="78">
        <v>0</v>
      </c>
      <c r="CR65" s="78">
        <v>0</v>
      </c>
      <c r="CS65" s="78">
        <v>0</v>
      </c>
      <c r="CT65" s="76">
        <v>4</v>
      </c>
      <c r="CU65" s="1" t="s">
        <v>448</v>
      </c>
      <c r="CV65" s="78">
        <v>3</v>
      </c>
      <c r="CW65" s="78">
        <v>0</v>
      </c>
      <c r="CX65" s="78">
        <v>0</v>
      </c>
      <c r="CY65" s="78">
        <v>0</v>
      </c>
      <c r="CZ65" s="78">
        <v>0</v>
      </c>
      <c r="DA65" s="78">
        <v>0</v>
      </c>
      <c r="DB65" s="78">
        <v>0</v>
      </c>
      <c r="DC65" s="78">
        <v>0</v>
      </c>
      <c r="DD65" s="76">
        <v>0</v>
      </c>
      <c r="DE65" s="1" t="s">
        <v>449</v>
      </c>
      <c r="DF65" s="78">
        <v>3</v>
      </c>
      <c r="DG65" s="78">
        <v>0</v>
      </c>
      <c r="DH65" s="78">
        <v>0</v>
      </c>
      <c r="DI65" s="78">
        <v>0</v>
      </c>
      <c r="DJ65" s="78">
        <v>0</v>
      </c>
      <c r="DK65" s="78">
        <v>1</v>
      </c>
      <c r="DL65" s="78">
        <v>0</v>
      </c>
      <c r="DM65" s="78">
        <v>0</v>
      </c>
      <c r="DN65" s="76">
        <v>0</v>
      </c>
      <c r="DO65" s="1" t="s">
        <v>365</v>
      </c>
      <c r="DP65" s="78">
        <v>3</v>
      </c>
      <c r="DQ65" s="78">
        <v>1</v>
      </c>
      <c r="DR65" s="78">
        <v>1</v>
      </c>
      <c r="DS65" s="78">
        <v>1</v>
      </c>
      <c r="DT65" s="78">
        <v>0</v>
      </c>
      <c r="DU65" s="78">
        <v>1</v>
      </c>
      <c r="DV65" s="78">
        <v>0</v>
      </c>
      <c r="DW65" s="78">
        <v>0</v>
      </c>
      <c r="DX65" s="76">
        <v>4</v>
      </c>
      <c r="DY65" s="77">
        <v>0</v>
      </c>
      <c r="DZ65" s="43">
        <v>0</v>
      </c>
      <c r="EA65" s="43">
        <v>0</v>
      </c>
      <c r="EB65" s="45">
        <v>8</v>
      </c>
      <c r="EC65" s="43">
        <v>0</v>
      </c>
      <c r="ED65" s="44">
        <v>0</v>
      </c>
      <c r="EE65" s="71">
        <v>0</v>
      </c>
      <c r="EF65" s="43">
        <v>0</v>
      </c>
      <c r="EG65" s="43">
        <v>1</v>
      </c>
      <c r="EH65" s="43">
        <v>2</v>
      </c>
      <c r="EI65" s="43">
        <v>0</v>
      </c>
      <c r="EJ65" s="43">
        <v>0</v>
      </c>
      <c r="EK65" s="43">
        <v>0</v>
      </c>
      <c r="EL65" s="43">
        <v>0</v>
      </c>
      <c r="EM65" s="43"/>
      <c r="EN65" s="43"/>
      <c r="EO65" s="43"/>
      <c r="EP65" s="43"/>
      <c r="EQ65" s="43"/>
      <c r="ER65" s="43"/>
      <c r="ES65" s="43"/>
      <c r="ET65" s="44">
        <f t="shared" si="10"/>
        <v>3</v>
      </c>
      <c r="EU65" s="43">
        <v>0</v>
      </c>
      <c r="EV65" s="43">
        <v>0</v>
      </c>
      <c r="EW65" s="43">
        <v>0</v>
      </c>
      <c r="EX65" s="43">
        <v>0</v>
      </c>
      <c r="EY65" s="43">
        <v>1</v>
      </c>
      <c r="EZ65" s="43">
        <v>0</v>
      </c>
      <c r="FA65" s="43">
        <v>0</v>
      </c>
      <c r="FB65" s="43">
        <v>0</v>
      </c>
      <c r="FC65" s="43">
        <v>1</v>
      </c>
      <c r="FD65" s="43"/>
      <c r="FE65" s="43"/>
      <c r="FF65" s="43"/>
      <c r="FG65" s="43"/>
      <c r="FH65" s="43"/>
      <c r="FI65" s="43"/>
      <c r="FJ65" s="43">
        <f t="shared" si="11"/>
        <v>2</v>
      </c>
      <c r="FK65" s="73">
        <f t="shared" si="14"/>
        <v>0</v>
      </c>
      <c r="FL65" s="73">
        <f t="shared" si="15"/>
        <v>0</v>
      </c>
      <c r="FM65" s="38"/>
    </row>
    <row r="66" spans="1:169" x14ac:dyDescent="0.25">
      <c r="A66" s="53">
        <v>40343</v>
      </c>
      <c r="B66" s="53" t="s">
        <v>19</v>
      </c>
      <c r="C66" s="53" t="s">
        <v>131</v>
      </c>
      <c r="D66" s="53" t="s">
        <v>471</v>
      </c>
      <c r="E66" s="54">
        <v>2119</v>
      </c>
      <c r="F66" s="58">
        <v>5</v>
      </c>
      <c r="G66" s="59" t="s">
        <v>470</v>
      </c>
      <c r="H66" s="6">
        <v>0</v>
      </c>
      <c r="I66" s="6">
        <v>1</v>
      </c>
      <c r="J66" s="60">
        <v>7</v>
      </c>
      <c r="K66" s="6">
        <v>7</v>
      </c>
      <c r="L66" s="6">
        <v>3</v>
      </c>
      <c r="M66" s="6">
        <v>2</v>
      </c>
      <c r="N66" s="6">
        <v>2</v>
      </c>
      <c r="O66" s="6">
        <v>4</v>
      </c>
      <c r="P66" s="6">
        <v>1</v>
      </c>
      <c r="Q66" s="6">
        <v>0</v>
      </c>
      <c r="R66" s="6">
        <v>30</v>
      </c>
      <c r="S66" s="6">
        <v>94</v>
      </c>
      <c r="T66" s="6">
        <v>62</v>
      </c>
      <c r="U66" s="6">
        <v>0</v>
      </c>
      <c r="V66" s="61">
        <v>0</v>
      </c>
      <c r="W66" s="62">
        <v>0</v>
      </c>
      <c r="X66" s="62">
        <v>0</v>
      </c>
      <c r="Y66" s="62">
        <v>0</v>
      </c>
      <c r="Z66" s="62">
        <v>0</v>
      </c>
      <c r="AA66" s="62">
        <v>0</v>
      </c>
      <c r="AB66" s="63">
        <v>2</v>
      </c>
      <c r="AC66" s="62">
        <v>3</v>
      </c>
      <c r="AD66" s="62">
        <v>1</v>
      </c>
      <c r="AE66" s="62">
        <v>1</v>
      </c>
      <c r="AF66" s="62">
        <v>0</v>
      </c>
      <c r="AG66" s="62">
        <v>2</v>
      </c>
      <c r="AH66" s="62">
        <v>1</v>
      </c>
      <c r="AI66" s="62">
        <v>0</v>
      </c>
      <c r="AJ66" s="62">
        <v>9</v>
      </c>
      <c r="AK66" s="62">
        <v>26</v>
      </c>
      <c r="AL66" s="62">
        <v>18</v>
      </c>
      <c r="AM66" s="1" t="s">
        <v>441</v>
      </c>
      <c r="AN66" s="78">
        <v>4</v>
      </c>
      <c r="AO66" s="78">
        <v>0</v>
      </c>
      <c r="AP66" s="78">
        <v>2</v>
      </c>
      <c r="AQ66" s="78">
        <v>0</v>
      </c>
      <c r="AR66" s="78">
        <v>0</v>
      </c>
      <c r="AS66" s="78">
        <v>0</v>
      </c>
      <c r="AT66" s="78">
        <v>0</v>
      </c>
      <c r="AU66" s="78">
        <v>0</v>
      </c>
      <c r="AV66" s="76">
        <v>3</v>
      </c>
      <c r="AW66" s="1" t="s">
        <v>402</v>
      </c>
      <c r="AX66" s="78">
        <v>3</v>
      </c>
      <c r="AY66" s="78">
        <v>0</v>
      </c>
      <c r="AZ66" s="78">
        <v>1</v>
      </c>
      <c r="BA66" s="78">
        <v>0</v>
      </c>
      <c r="BB66" s="78">
        <v>1</v>
      </c>
      <c r="BC66" s="78">
        <v>0</v>
      </c>
      <c r="BD66" s="78">
        <v>0</v>
      </c>
      <c r="BE66" s="78">
        <v>0</v>
      </c>
      <c r="BF66" s="76">
        <v>1</v>
      </c>
      <c r="BG66" s="1" t="s">
        <v>446</v>
      </c>
      <c r="BH66" s="78">
        <v>3</v>
      </c>
      <c r="BI66" s="78">
        <v>0</v>
      </c>
      <c r="BJ66" s="78">
        <v>0</v>
      </c>
      <c r="BK66" s="78">
        <v>0</v>
      </c>
      <c r="BL66" s="78">
        <v>1</v>
      </c>
      <c r="BM66" s="78">
        <v>0</v>
      </c>
      <c r="BN66" s="78">
        <v>0</v>
      </c>
      <c r="BO66" s="78">
        <v>0</v>
      </c>
      <c r="BP66" s="76">
        <v>0</v>
      </c>
      <c r="BQ66" s="1" t="s">
        <v>443</v>
      </c>
      <c r="BR66" s="78">
        <v>4</v>
      </c>
      <c r="BS66" s="78">
        <v>1</v>
      </c>
      <c r="BT66" s="78">
        <v>2</v>
      </c>
      <c r="BU66" s="78">
        <v>0</v>
      </c>
      <c r="BV66" s="78">
        <v>0</v>
      </c>
      <c r="BW66" s="78">
        <v>1</v>
      </c>
      <c r="BX66" s="78">
        <v>0</v>
      </c>
      <c r="BY66" s="78">
        <v>0</v>
      </c>
      <c r="BZ66" s="76">
        <v>2</v>
      </c>
      <c r="CA66" s="1" t="s">
        <v>473</v>
      </c>
      <c r="CB66" s="78">
        <v>4</v>
      </c>
      <c r="CC66" s="78">
        <v>0</v>
      </c>
      <c r="CD66" s="78">
        <v>0</v>
      </c>
      <c r="CE66" s="78">
        <v>0</v>
      </c>
      <c r="CF66" s="78">
        <v>0</v>
      </c>
      <c r="CG66" s="78">
        <v>3</v>
      </c>
      <c r="CH66" s="78">
        <v>0</v>
      </c>
      <c r="CI66" s="78">
        <v>0</v>
      </c>
      <c r="CJ66" s="76">
        <v>0</v>
      </c>
      <c r="CK66" s="1" t="s">
        <v>366</v>
      </c>
      <c r="CL66" s="78">
        <v>4</v>
      </c>
      <c r="CM66" s="78">
        <v>1</v>
      </c>
      <c r="CN66" s="78">
        <v>1</v>
      </c>
      <c r="CO66" s="78">
        <v>2</v>
      </c>
      <c r="CP66" s="78">
        <v>0</v>
      </c>
      <c r="CQ66" s="78">
        <v>2</v>
      </c>
      <c r="CR66" s="78">
        <v>0</v>
      </c>
      <c r="CS66" s="78">
        <v>0</v>
      </c>
      <c r="CT66" s="76">
        <v>4</v>
      </c>
      <c r="CU66" s="1" t="s">
        <v>448</v>
      </c>
      <c r="CV66" s="78">
        <v>4</v>
      </c>
      <c r="CW66" s="78">
        <v>0</v>
      </c>
      <c r="CX66" s="78">
        <v>1</v>
      </c>
      <c r="CY66" s="78">
        <v>0</v>
      </c>
      <c r="CZ66" s="78">
        <v>0</v>
      </c>
      <c r="DA66" s="78">
        <v>1</v>
      </c>
      <c r="DB66" s="78">
        <v>0</v>
      </c>
      <c r="DC66" s="78">
        <v>0</v>
      </c>
      <c r="DD66" s="76">
        <v>1</v>
      </c>
      <c r="DE66" s="1" t="s">
        <v>444</v>
      </c>
      <c r="DF66" s="78">
        <v>4</v>
      </c>
      <c r="DG66" s="78">
        <v>0</v>
      </c>
      <c r="DH66" s="78">
        <v>1</v>
      </c>
      <c r="DI66" s="78">
        <v>0</v>
      </c>
      <c r="DJ66" s="78">
        <v>0</v>
      </c>
      <c r="DK66" s="78">
        <v>0</v>
      </c>
      <c r="DL66" s="78">
        <v>0</v>
      </c>
      <c r="DM66" s="78">
        <v>0</v>
      </c>
      <c r="DN66" s="76">
        <v>1</v>
      </c>
      <c r="DO66" s="1" t="s">
        <v>365</v>
      </c>
      <c r="DP66" s="78">
        <v>4</v>
      </c>
      <c r="DQ66" s="78">
        <v>0</v>
      </c>
      <c r="DR66" s="78">
        <v>0</v>
      </c>
      <c r="DS66" s="78">
        <v>0</v>
      </c>
      <c r="DT66" s="78">
        <v>0</v>
      </c>
      <c r="DU66" s="78">
        <v>1</v>
      </c>
      <c r="DV66" s="78">
        <v>0</v>
      </c>
      <c r="DW66" s="78">
        <v>0</v>
      </c>
      <c r="DX66" s="76">
        <v>0</v>
      </c>
      <c r="DY66" s="77">
        <v>0</v>
      </c>
      <c r="DZ66" s="43">
        <v>0</v>
      </c>
      <c r="EA66" s="43">
        <v>0</v>
      </c>
      <c r="EB66" s="45">
        <v>9</v>
      </c>
      <c r="EC66" s="43">
        <v>2</v>
      </c>
      <c r="ED66" s="44">
        <v>0</v>
      </c>
      <c r="EE66" s="71">
        <v>0</v>
      </c>
      <c r="EF66" s="43">
        <v>0</v>
      </c>
      <c r="EG66" s="43">
        <v>0</v>
      </c>
      <c r="EH66" s="43">
        <v>0</v>
      </c>
      <c r="EI66" s="43">
        <v>0</v>
      </c>
      <c r="EJ66" s="43">
        <v>2</v>
      </c>
      <c r="EK66" s="43">
        <v>0</v>
      </c>
      <c r="EL66" s="43">
        <v>0</v>
      </c>
      <c r="EM66" s="43">
        <v>0</v>
      </c>
      <c r="EN66" s="43"/>
      <c r="EO66" s="43"/>
      <c r="EP66" s="43"/>
      <c r="EQ66" s="43"/>
      <c r="ER66" s="43"/>
      <c r="ES66" s="43"/>
      <c r="ET66" s="44">
        <f t="shared" si="10"/>
        <v>2</v>
      </c>
      <c r="EU66" s="43">
        <v>1</v>
      </c>
      <c r="EV66" s="43">
        <v>0</v>
      </c>
      <c r="EW66" s="43">
        <v>1</v>
      </c>
      <c r="EX66" s="43">
        <v>0</v>
      </c>
      <c r="EY66" s="43">
        <v>0</v>
      </c>
      <c r="EZ66" s="43">
        <v>0</v>
      </c>
      <c r="FA66" s="43">
        <v>1</v>
      </c>
      <c r="FB66" s="43">
        <v>0</v>
      </c>
      <c r="FC66" s="43">
        <v>1</v>
      </c>
      <c r="FD66" s="43"/>
      <c r="FE66" s="43"/>
      <c r="FF66" s="43"/>
      <c r="FG66" s="43"/>
      <c r="FH66" s="43"/>
      <c r="FI66" s="43"/>
      <c r="FJ66" s="43">
        <f t="shared" si="11"/>
        <v>4</v>
      </c>
      <c r="FK66" s="73">
        <f t="shared" si="14"/>
        <v>0</v>
      </c>
      <c r="FL66" s="73">
        <f t="shared" si="15"/>
        <v>0</v>
      </c>
      <c r="FM66" s="38"/>
    </row>
    <row r="67" spans="1:169" x14ac:dyDescent="0.25">
      <c r="A67" s="53">
        <v>40345</v>
      </c>
      <c r="B67" s="53" t="s">
        <v>133</v>
      </c>
      <c r="C67" s="53" t="s">
        <v>129</v>
      </c>
      <c r="D67" s="53" t="s">
        <v>452</v>
      </c>
      <c r="E67" s="54">
        <v>724</v>
      </c>
      <c r="F67" s="58">
        <v>1</v>
      </c>
      <c r="G67" s="59" t="s">
        <v>424</v>
      </c>
      <c r="H67" s="6">
        <v>1</v>
      </c>
      <c r="I67" s="6">
        <v>0</v>
      </c>
      <c r="J67" s="60">
        <v>5</v>
      </c>
      <c r="K67" s="6">
        <v>3</v>
      </c>
      <c r="L67" s="6">
        <v>1</v>
      </c>
      <c r="M67" s="6">
        <v>1</v>
      </c>
      <c r="N67" s="6">
        <v>2</v>
      </c>
      <c r="O67" s="6">
        <v>7</v>
      </c>
      <c r="P67" s="6">
        <v>0</v>
      </c>
      <c r="Q67" s="6">
        <v>0</v>
      </c>
      <c r="R67" s="6">
        <v>21</v>
      </c>
      <c r="S67" s="6">
        <v>84</v>
      </c>
      <c r="T67" s="6">
        <v>50</v>
      </c>
      <c r="U67" s="6">
        <v>0</v>
      </c>
      <c r="V67" s="61">
        <v>0</v>
      </c>
      <c r="W67" s="62">
        <v>0</v>
      </c>
      <c r="X67" s="62">
        <v>0</v>
      </c>
      <c r="Y67" s="62">
        <v>0</v>
      </c>
      <c r="Z67" s="62">
        <v>0</v>
      </c>
      <c r="AA67" s="62">
        <v>0</v>
      </c>
      <c r="AB67" s="63">
        <v>4</v>
      </c>
      <c r="AC67" s="62">
        <v>5</v>
      </c>
      <c r="AD67" s="62">
        <v>3</v>
      </c>
      <c r="AE67" s="62">
        <v>3</v>
      </c>
      <c r="AF67" s="62">
        <v>2</v>
      </c>
      <c r="AG67" s="62">
        <v>4</v>
      </c>
      <c r="AH67" s="62">
        <v>1</v>
      </c>
      <c r="AI67" s="62">
        <v>0</v>
      </c>
      <c r="AJ67" s="62">
        <v>19</v>
      </c>
      <c r="AK67" s="62">
        <v>64</v>
      </c>
      <c r="AL67" s="62">
        <v>40</v>
      </c>
      <c r="AM67" s="1" t="s">
        <v>441</v>
      </c>
      <c r="AN67" s="78">
        <v>4</v>
      </c>
      <c r="AO67" s="78">
        <v>1</v>
      </c>
      <c r="AP67" s="78">
        <v>0</v>
      </c>
      <c r="AQ67" s="78">
        <v>0</v>
      </c>
      <c r="AR67" s="78">
        <v>2</v>
      </c>
      <c r="AS67" s="78">
        <v>1</v>
      </c>
      <c r="AT67" s="78">
        <v>0</v>
      </c>
      <c r="AU67" s="78">
        <v>0</v>
      </c>
      <c r="AV67" s="76">
        <v>0</v>
      </c>
      <c r="AW67" s="1" t="s">
        <v>402</v>
      </c>
      <c r="AX67" s="78">
        <v>5</v>
      </c>
      <c r="AY67" s="78">
        <v>1</v>
      </c>
      <c r="AZ67" s="78">
        <v>1</v>
      </c>
      <c r="BA67" s="78">
        <v>1</v>
      </c>
      <c r="BB67" s="78">
        <v>1</v>
      </c>
      <c r="BC67" s="78">
        <v>1</v>
      </c>
      <c r="BD67" s="78">
        <v>0</v>
      </c>
      <c r="BE67" s="78">
        <v>0</v>
      </c>
      <c r="BF67" s="76">
        <v>1</v>
      </c>
      <c r="BG67" s="1" t="s">
        <v>446</v>
      </c>
      <c r="BH67" s="78">
        <v>5</v>
      </c>
      <c r="BI67" s="78">
        <v>2</v>
      </c>
      <c r="BJ67" s="78">
        <v>2</v>
      </c>
      <c r="BK67" s="78">
        <v>2</v>
      </c>
      <c r="BL67" s="78">
        <v>1</v>
      </c>
      <c r="BM67" s="78">
        <v>3</v>
      </c>
      <c r="BN67" s="78">
        <v>0</v>
      </c>
      <c r="BO67" s="78">
        <v>0</v>
      </c>
      <c r="BP67" s="76">
        <v>3</v>
      </c>
      <c r="BQ67" s="1" t="s">
        <v>443</v>
      </c>
      <c r="BR67" s="78">
        <v>3</v>
      </c>
      <c r="BS67" s="78">
        <v>2</v>
      </c>
      <c r="BT67" s="78">
        <v>2</v>
      </c>
      <c r="BU67" s="78">
        <v>1</v>
      </c>
      <c r="BV67" s="78">
        <v>2</v>
      </c>
      <c r="BW67" s="78">
        <v>1</v>
      </c>
      <c r="BX67" s="78">
        <v>0</v>
      </c>
      <c r="BY67" s="78">
        <v>0</v>
      </c>
      <c r="BZ67" s="76">
        <v>3</v>
      </c>
      <c r="CA67" s="1" t="s">
        <v>501</v>
      </c>
      <c r="CB67" s="78">
        <v>5</v>
      </c>
      <c r="CC67" s="78">
        <v>1</v>
      </c>
      <c r="CD67" s="78">
        <v>2</v>
      </c>
      <c r="CE67" s="78">
        <v>1</v>
      </c>
      <c r="CF67" s="78">
        <v>0</v>
      </c>
      <c r="CG67" s="78">
        <v>1</v>
      </c>
      <c r="CH67" s="78">
        <v>0</v>
      </c>
      <c r="CI67" s="78">
        <v>0</v>
      </c>
      <c r="CJ67" s="76">
        <v>3</v>
      </c>
      <c r="CK67" s="1" t="s">
        <v>366</v>
      </c>
      <c r="CL67" s="78">
        <v>5</v>
      </c>
      <c r="CM67" s="78">
        <v>0</v>
      </c>
      <c r="CN67" s="78">
        <v>1</v>
      </c>
      <c r="CO67" s="78">
        <v>1</v>
      </c>
      <c r="CP67" s="78">
        <v>0</v>
      </c>
      <c r="CQ67" s="78">
        <v>2</v>
      </c>
      <c r="CR67" s="78">
        <v>0</v>
      </c>
      <c r="CS67" s="78">
        <v>0</v>
      </c>
      <c r="CT67" s="76">
        <v>1</v>
      </c>
      <c r="CU67" s="1" t="s">
        <v>448</v>
      </c>
      <c r="CV67" s="78">
        <v>4</v>
      </c>
      <c r="CW67" s="78">
        <v>0</v>
      </c>
      <c r="CX67" s="78">
        <v>0</v>
      </c>
      <c r="CY67" s="78">
        <v>1</v>
      </c>
      <c r="CZ67" s="78">
        <v>0</v>
      </c>
      <c r="DA67" s="78">
        <v>2</v>
      </c>
      <c r="DB67" s="78">
        <v>0</v>
      </c>
      <c r="DC67" s="78">
        <v>1</v>
      </c>
      <c r="DD67" s="76">
        <v>0</v>
      </c>
      <c r="DE67" s="1" t="s">
        <v>444</v>
      </c>
      <c r="DF67" s="78">
        <v>4</v>
      </c>
      <c r="DG67" s="78">
        <v>1</v>
      </c>
      <c r="DH67" s="78">
        <v>3</v>
      </c>
      <c r="DI67" s="78">
        <v>1</v>
      </c>
      <c r="DJ67" s="78">
        <v>1</v>
      </c>
      <c r="DK67" s="78">
        <v>1</v>
      </c>
      <c r="DL67" s="78">
        <v>0</v>
      </c>
      <c r="DM67" s="78">
        <v>0</v>
      </c>
      <c r="DN67" s="76">
        <v>3</v>
      </c>
      <c r="DO67" s="1" t="s">
        <v>364</v>
      </c>
      <c r="DP67" s="78">
        <v>5</v>
      </c>
      <c r="DQ67" s="78">
        <v>1</v>
      </c>
      <c r="DR67" s="78">
        <v>2</v>
      </c>
      <c r="DS67" s="78">
        <v>1</v>
      </c>
      <c r="DT67" s="78">
        <v>0</v>
      </c>
      <c r="DU67" s="78">
        <v>0</v>
      </c>
      <c r="DV67" s="78">
        <v>0</v>
      </c>
      <c r="DW67" s="78">
        <v>0</v>
      </c>
      <c r="DX67" s="76">
        <v>2</v>
      </c>
      <c r="DY67" s="77">
        <v>1</v>
      </c>
      <c r="DZ67" s="43">
        <v>0</v>
      </c>
      <c r="EA67" s="43">
        <v>0</v>
      </c>
      <c r="EB67" s="45">
        <v>8</v>
      </c>
      <c r="EC67" s="43">
        <v>3</v>
      </c>
      <c r="ED67" s="44">
        <v>0</v>
      </c>
      <c r="EE67" s="71">
        <v>2</v>
      </c>
      <c r="EF67" s="43">
        <v>0</v>
      </c>
      <c r="EG67" s="43">
        <v>0</v>
      </c>
      <c r="EH67" s="43">
        <v>6</v>
      </c>
      <c r="EI67" s="43">
        <v>0</v>
      </c>
      <c r="EJ67" s="43">
        <v>1</v>
      </c>
      <c r="EK67" s="43">
        <v>0</v>
      </c>
      <c r="EL67" s="43">
        <v>0</v>
      </c>
      <c r="EM67" s="43">
        <v>0</v>
      </c>
      <c r="EN67" s="43"/>
      <c r="EO67" s="43"/>
      <c r="EP67" s="43"/>
      <c r="EQ67" s="43"/>
      <c r="ER67" s="43"/>
      <c r="ES67" s="43"/>
      <c r="ET67" s="44">
        <f t="shared" si="10"/>
        <v>9</v>
      </c>
      <c r="EU67" s="43">
        <v>0</v>
      </c>
      <c r="EV67" s="43">
        <v>1</v>
      </c>
      <c r="EW67" s="43">
        <v>0</v>
      </c>
      <c r="EX67" s="43">
        <v>0</v>
      </c>
      <c r="EY67" s="43">
        <v>0</v>
      </c>
      <c r="EZ67" s="43">
        <v>0</v>
      </c>
      <c r="FA67" s="43">
        <v>0</v>
      </c>
      <c r="FB67" s="43">
        <v>3</v>
      </c>
      <c r="FC67" s="43">
        <v>0</v>
      </c>
      <c r="FD67" s="43"/>
      <c r="FE67" s="43"/>
      <c r="FF67" s="43"/>
      <c r="FG67" s="43"/>
      <c r="FH67" s="43"/>
      <c r="FI67" s="43"/>
      <c r="FJ67" s="43">
        <f t="shared" si="11"/>
        <v>4</v>
      </c>
      <c r="FK67" s="73">
        <f t="shared" si="14"/>
        <v>0</v>
      </c>
      <c r="FL67" s="73">
        <f t="shared" si="15"/>
        <v>0</v>
      </c>
      <c r="FM67" s="38"/>
    </row>
    <row r="68" spans="1:169" x14ac:dyDescent="0.25">
      <c r="A68" s="53">
        <v>40346</v>
      </c>
      <c r="B68" s="53" t="s">
        <v>133</v>
      </c>
      <c r="C68" s="53" t="s">
        <v>131</v>
      </c>
      <c r="D68" s="53" t="s">
        <v>452</v>
      </c>
      <c r="E68" s="54">
        <v>1636</v>
      </c>
      <c r="F68" s="58">
        <v>2</v>
      </c>
      <c r="G68" s="59" t="s">
        <v>438</v>
      </c>
      <c r="H68" s="6">
        <v>0</v>
      </c>
      <c r="I68" s="6">
        <v>1</v>
      </c>
      <c r="J68" s="60">
        <f>3+2/3</f>
        <v>3.6666666666666665</v>
      </c>
      <c r="K68" s="6">
        <v>8</v>
      </c>
      <c r="L68" s="6">
        <v>7</v>
      </c>
      <c r="M68" s="6">
        <v>4</v>
      </c>
      <c r="N68" s="6">
        <v>0</v>
      </c>
      <c r="O68" s="6">
        <v>3</v>
      </c>
      <c r="P68" s="6">
        <v>1</v>
      </c>
      <c r="Q68" s="6">
        <v>0</v>
      </c>
      <c r="R68" s="6">
        <v>21</v>
      </c>
      <c r="S68" s="6">
        <v>85</v>
      </c>
      <c r="T68" s="6">
        <v>58</v>
      </c>
      <c r="U68" s="6">
        <v>2</v>
      </c>
      <c r="V68" s="61">
        <v>2</v>
      </c>
      <c r="W68" s="62">
        <v>0</v>
      </c>
      <c r="X68" s="62">
        <v>0</v>
      </c>
      <c r="Y68" s="62">
        <v>0</v>
      </c>
      <c r="Z68" s="62">
        <v>0</v>
      </c>
      <c r="AA68" s="62">
        <v>0</v>
      </c>
      <c r="AB68" s="63">
        <f>4+1/3</f>
        <v>4.333333333333333</v>
      </c>
      <c r="AC68" s="62">
        <v>7</v>
      </c>
      <c r="AD68" s="62">
        <v>6</v>
      </c>
      <c r="AE68" s="62">
        <v>6</v>
      </c>
      <c r="AF68" s="62">
        <v>2</v>
      </c>
      <c r="AG68" s="62">
        <v>4</v>
      </c>
      <c r="AH68" s="62">
        <v>2</v>
      </c>
      <c r="AI68" s="62">
        <v>0</v>
      </c>
      <c r="AJ68" s="62">
        <v>22</v>
      </c>
      <c r="AK68" s="62">
        <v>79</v>
      </c>
      <c r="AL68" s="62">
        <v>48</v>
      </c>
      <c r="AM68" s="1" t="s">
        <v>441</v>
      </c>
      <c r="AN68" s="78">
        <v>5</v>
      </c>
      <c r="AO68" s="78">
        <v>0</v>
      </c>
      <c r="AP68" s="78">
        <v>0</v>
      </c>
      <c r="AQ68" s="78">
        <v>0</v>
      </c>
      <c r="AR68" s="78">
        <v>0</v>
      </c>
      <c r="AS68" s="78">
        <v>2</v>
      </c>
      <c r="AT68" s="78">
        <v>0</v>
      </c>
      <c r="AU68" s="78">
        <v>0</v>
      </c>
      <c r="AV68" s="76">
        <v>0</v>
      </c>
      <c r="AW68" s="1" t="s">
        <v>402</v>
      </c>
      <c r="AX68" s="78">
        <v>3</v>
      </c>
      <c r="AY68" s="78">
        <v>0</v>
      </c>
      <c r="AZ68" s="78">
        <v>0</v>
      </c>
      <c r="BA68" s="78">
        <v>0</v>
      </c>
      <c r="BB68" s="78">
        <v>1</v>
      </c>
      <c r="BC68" s="78">
        <v>2</v>
      </c>
      <c r="BD68" s="78">
        <v>0</v>
      </c>
      <c r="BE68" s="78">
        <v>0</v>
      </c>
      <c r="BF68" s="76">
        <v>0</v>
      </c>
      <c r="BG68" s="1" t="s">
        <v>446</v>
      </c>
      <c r="BH68" s="78">
        <v>4</v>
      </c>
      <c r="BI68" s="78">
        <v>0</v>
      </c>
      <c r="BJ68" s="78">
        <v>0</v>
      </c>
      <c r="BK68" s="78">
        <v>0</v>
      </c>
      <c r="BL68" s="78">
        <v>0</v>
      </c>
      <c r="BM68" s="78">
        <v>1</v>
      </c>
      <c r="BN68" s="78">
        <v>0</v>
      </c>
      <c r="BO68" s="78">
        <v>0</v>
      </c>
      <c r="BP68" s="76">
        <v>0</v>
      </c>
      <c r="BQ68" s="1" t="s">
        <v>443</v>
      </c>
      <c r="BR68" s="78">
        <v>2</v>
      </c>
      <c r="BS68" s="78">
        <v>1</v>
      </c>
      <c r="BT68" s="78">
        <v>0</v>
      </c>
      <c r="BU68" s="78">
        <v>0</v>
      </c>
      <c r="BV68" s="78">
        <v>2</v>
      </c>
      <c r="BW68" s="78">
        <v>0</v>
      </c>
      <c r="BX68" s="78">
        <v>0</v>
      </c>
      <c r="BY68" s="78">
        <v>0</v>
      </c>
      <c r="BZ68" s="76">
        <v>0</v>
      </c>
      <c r="CA68" s="1" t="s">
        <v>501</v>
      </c>
      <c r="CB68" s="78">
        <v>4</v>
      </c>
      <c r="CC68" s="78">
        <v>0</v>
      </c>
      <c r="CD68" s="78">
        <v>1</v>
      </c>
      <c r="CE68" s="78">
        <v>0</v>
      </c>
      <c r="CF68" s="78">
        <v>0</v>
      </c>
      <c r="CG68" s="78">
        <v>2</v>
      </c>
      <c r="CH68" s="78">
        <v>0</v>
      </c>
      <c r="CI68" s="78">
        <v>0</v>
      </c>
      <c r="CJ68" s="76">
        <v>1</v>
      </c>
      <c r="CK68" s="1" t="s">
        <v>473</v>
      </c>
      <c r="CL68" s="78">
        <v>4</v>
      </c>
      <c r="CM68" s="78">
        <v>0</v>
      </c>
      <c r="CN68" s="78">
        <v>0</v>
      </c>
      <c r="CO68" s="78">
        <v>0</v>
      </c>
      <c r="CP68" s="78">
        <v>0</v>
      </c>
      <c r="CQ68" s="78">
        <v>2</v>
      </c>
      <c r="CR68" s="78">
        <v>0</v>
      </c>
      <c r="CS68" s="78">
        <v>0</v>
      </c>
      <c r="CT68" s="76">
        <v>0</v>
      </c>
      <c r="CU68" s="1" t="s">
        <v>444</v>
      </c>
      <c r="CV68" s="78">
        <v>4</v>
      </c>
      <c r="CW68" s="78">
        <v>0</v>
      </c>
      <c r="CX68" s="78">
        <v>0</v>
      </c>
      <c r="CY68" s="78">
        <v>0</v>
      </c>
      <c r="CZ68" s="78">
        <v>0</v>
      </c>
      <c r="DA68" s="78">
        <v>2</v>
      </c>
      <c r="DB68" s="78">
        <v>0</v>
      </c>
      <c r="DC68" s="78">
        <v>0</v>
      </c>
      <c r="DD68" s="76">
        <v>0</v>
      </c>
      <c r="DE68" s="1" t="s">
        <v>448</v>
      </c>
      <c r="DF68" s="78">
        <v>2</v>
      </c>
      <c r="DG68" s="78">
        <v>2</v>
      </c>
      <c r="DH68" s="78">
        <v>0</v>
      </c>
      <c r="DI68" s="78">
        <v>0</v>
      </c>
      <c r="DJ68" s="78">
        <v>2</v>
      </c>
      <c r="DK68" s="78">
        <v>1</v>
      </c>
      <c r="DL68" s="78">
        <v>0</v>
      </c>
      <c r="DM68" s="78">
        <v>0</v>
      </c>
      <c r="DN68" s="76">
        <v>0</v>
      </c>
      <c r="DO68" s="1" t="s">
        <v>364</v>
      </c>
      <c r="DP68" s="78">
        <v>3</v>
      </c>
      <c r="DQ68" s="78">
        <v>1</v>
      </c>
      <c r="DR68" s="78">
        <v>2</v>
      </c>
      <c r="DS68" s="78">
        <v>1</v>
      </c>
      <c r="DT68" s="78">
        <v>1</v>
      </c>
      <c r="DU68" s="78">
        <v>0</v>
      </c>
      <c r="DV68" s="78">
        <v>0</v>
      </c>
      <c r="DW68" s="78">
        <v>0</v>
      </c>
      <c r="DX68" s="76">
        <v>4</v>
      </c>
      <c r="DY68" s="77">
        <f>1+2/3</f>
        <v>1.6666666666666665</v>
      </c>
      <c r="DZ68" s="43">
        <v>0</v>
      </c>
      <c r="EA68" s="43">
        <v>0</v>
      </c>
      <c r="EB68" s="45">
        <f>7+1/3</f>
        <v>7.333333333333333</v>
      </c>
      <c r="EC68" s="43">
        <v>0</v>
      </c>
      <c r="ED68" s="44">
        <v>0</v>
      </c>
      <c r="EE68" s="71">
        <v>0</v>
      </c>
      <c r="EF68" s="43">
        <v>0</v>
      </c>
      <c r="EG68" s="43">
        <v>1</v>
      </c>
      <c r="EH68" s="43">
        <v>0</v>
      </c>
      <c r="EI68" s="43">
        <v>1</v>
      </c>
      <c r="EJ68" s="43">
        <v>1</v>
      </c>
      <c r="EK68" s="43">
        <v>1</v>
      </c>
      <c r="EL68" s="43">
        <v>0</v>
      </c>
      <c r="EM68" s="43">
        <v>0</v>
      </c>
      <c r="EN68" s="43"/>
      <c r="EO68" s="43"/>
      <c r="EP68" s="43"/>
      <c r="EQ68" s="43"/>
      <c r="ER68" s="43"/>
      <c r="ES68" s="43"/>
      <c r="ET68" s="44">
        <f t="shared" ref="ET68:ET99" si="16">SUM(EE68:ES68)</f>
        <v>4</v>
      </c>
      <c r="EU68" s="43">
        <v>1</v>
      </c>
      <c r="EV68" s="43">
        <v>2</v>
      </c>
      <c r="EW68" s="43">
        <v>0</v>
      </c>
      <c r="EX68" s="43">
        <v>4</v>
      </c>
      <c r="EY68" s="43">
        <v>0</v>
      </c>
      <c r="EZ68" s="43">
        <v>0</v>
      </c>
      <c r="FA68" s="43">
        <v>4</v>
      </c>
      <c r="FB68" s="43">
        <v>2</v>
      </c>
      <c r="FC68" s="43"/>
      <c r="FD68" s="43"/>
      <c r="FE68" s="43"/>
      <c r="FF68" s="43"/>
      <c r="FG68" s="43"/>
      <c r="FH68" s="43"/>
      <c r="FI68" s="43"/>
      <c r="FJ68" s="43">
        <f t="shared" ref="FJ68:FJ99" si="17">SUM(EU68:FI68)</f>
        <v>13</v>
      </c>
      <c r="FK68" s="73">
        <f t="shared" si="14"/>
        <v>0</v>
      </c>
      <c r="FL68" s="73">
        <f t="shared" si="15"/>
        <v>0</v>
      </c>
      <c r="FM68" s="38"/>
    </row>
    <row r="69" spans="1:169" x14ac:dyDescent="0.25">
      <c r="A69" s="53">
        <v>40347</v>
      </c>
      <c r="B69" s="53" t="s">
        <v>133</v>
      </c>
      <c r="C69" s="53" t="s">
        <v>131</v>
      </c>
      <c r="D69" s="53" t="s">
        <v>452</v>
      </c>
      <c r="E69" s="54">
        <v>1967</v>
      </c>
      <c r="F69" s="58">
        <v>3</v>
      </c>
      <c r="G69" s="59" t="s">
        <v>368</v>
      </c>
      <c r="H69" s="6">
        <v>0</v>
      </c>
      <c r="I69" s="6">
        <v>1</v>
      </c>
      <c r="J69" s="60">
        <f>2+2/3</f>
        <v>2.6666666666666665</v>
      </c>
      <c r="K69" s="6">
        <v>3</v>
      </c>
      <c r="L69" s="6">
        <v>7</v>
      </c>
      <c r="M69" s="6">
        <v>6</v>
      </c>
      <c r="N69" s="6">
        <v>4</v>
      </c>
      <c r="O69" s="6">
        <v>1</v>
      </c>
      <c r="P69" s="6">
        <v>2</v>
      </c>
      <c r="Q69" s="6">
        <v>2</v>
      </c>
      <c r="R69" s="6">
        <v>17</v>
      </c>
      <c r="S69" s="6">
        <v>75</v>
      </c>
      <c r="T69" s="6">
        <v>38</v>
      </c>
      <c r="U69" s="6">
        <v>1</v>
      </c>
      <c r="V69" s="61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3">
        <f>5+1/3</f>
        <v>5.333333333333333</v>
      </c>
      <c r="AC69" s="62">
        <v>6</v>
      </c>
      <c r="AD69" s="62">
        <v>2</v>
      </c>
      <c r="AE69" s="62">
        <v>0</v>
      </c>
      <c r="AF69" s="62">
        <v>2</v>
      </c>
      <c r="AG69" s="62">
        <v>5</v>
      </c>
      <c r="AH69" s="62">
        <v>0</v>
      </c>
      <c r="AI69" s="62">
        <v>0</v>
      </c>
      <c r="AJ69" s="62">
        <v>25</v>
      </c>
      <c r="AK69" s="62">
        <v>98</v>
      </c>
      <c r="AL69" s="62">
        <v>57</v>
      </c>
      <c r="AM69" s="1" t="s">
        <v>441</v>
      </c>
      <c r="AN69" s="78">
        <v>5</v>
      </c>
      <c r="AO69" s="78">
        <v>1</v>
      </c>
      <c r="AP69" s="78">
        <v>2</v>
      </c>
      <c r="AQ69" s="78">
        <v>1</v>
      </c>
      <c r="AR69" s="78">
        <v>0</v>
      </c>
      <c r="AS69" s="78">
        <v>1</v>
      </c>
      <c r="AT69" s="78">
        <v>0</v>
      </c>
      <c r="AU69" s="78">
        <v>0</v>
      </c>
      <c r="AV69" s="76">
        <v>2</v>
      </c>
      <c r="AW69" s="1" t="s">
        <v>402</v>
      </c>
      <c r="AX69" s="78">
        <v>3</v>
      </c>
      <c r="AY69" s="78">
        <v>1</v>
      </c>
      <c r="AZ69" s="78">
        <v>1</v>
      </c>
      <c r="BA69" s="78">
        <v>0</v>
      </c>
      <c r="BB69" s="78">
        <v>2</v>
      </c>
      <c r="BC69" s="78">
        <v>1</v>
      </c>
      <c r="BD69" s="78">
        <v>0</v>
      </c>
      <c r="BE69" s="78">
        <v>0</v>
      </c>
      <c r="BF69" s="76">
        <v>1</v>
      </c>
      <c r="BG69" s="1" t="s">
        <v>501</v>
      </c>
      <c r="BH69" s="78">
        <v>5</v>
      </c>
      <c r="BI69" s="78">
        <v>0</v>
      </c>
      <c r="BJ69" s="78">
        <v>2</v>
      </c>
      <c r="BK69" s="78">
        <v>1</v>
      </c>
      <c r="BL69" s="78">
        <v>0</v>
      </c>
      <c r="BM69" s="78">
        <v>2</v>
      </c>
      <c r="BN69" s="78">
        <v>0</v>
      </c>
      <c r="BO69" s="78">
        <v>0</v>
      </c>
      <c r="BP69" s="76">
        <v>2</v>
      </c>
      <c r="BQ69" s="1" t="s">
        <v>443</v>
      </c>
      <c r="BR69" s="78">
        <v>5</v>
      </c>
      <c r="BS69" s="78">
        <v>0</v>
      </c>
      <c r="BT69" s="78">
        <v>1</v>
      </c>
      <c r="BU69" s="78">
        <v>1</v>
      </c>
      <c r="BV69" s="78">
        <v>0</v>
      </c>
      <c r="BW69" s="78">
        <v>1</v>
      </c>
      <c r="BX69" s="78">
        <v>0</v>
      </c>
      <c r="BY69" s="78">
        <v>0</v>
      </c>
      <c r="BZ69" s="76">
        <v>2</v>
      </c>
      <c r="CA69" s="1" t="s">
        <v>473</v>
      </c>
      <c r="CB69" s="78">
        <v>5</v>
      </c>
      <c r="CC69" s="78">
        <v>0</v>
      </c>
      <c r="CD69" s="78">
        <v>1</v>
      </c>
      <c r="CE69" s="78">
        <v>1</v>
      </c>
      <c r="CF69" s="78">
        <v>0</v>
      </c>
      <c r="CG69" s="78">
        <v>2</v>
      </c>
      <c r="CH69" s="78">
        <v>0</v>
      </c>
      <c r="CI69" s="78">
        <v>0</v>
      </c>
      <c r="CJ69" s="76">
        <v>1</v>
      </c>
      <c r="CK69" s="1" t="s">
        <v>444</v>
      </c>
      <c r="CL69" s="78">
        <v>3</v>
      </c>
      <c r="CM69" s="78">
        <v>2</v>
      </c>
      <c r="CN69" s="78">
        <v>1</v>
      </c>
      <c r="CO69" s="78">
        <v>0</v>
      </c>
      <c r="CP69" s="78">
        <v>0</v>
      </c>
      <c r="CQ69" s="78">
        <v>1</v>
      </c>
      <c r="CR69" s="78">
        <v>1</v>
      </c>
      <c r="CS69" s="78">
        <v>0</v>
      </c>
      <c r="CT69" s="76">
        <v>1</v>
      </c>
      <c r="CU69" s="1" t="s">
        <v>448</v>
      </c>
      <c r="CV69" s="78">
        <v>4</v>
      </c>
      <c r="CW69" s="78">
        <v>0</v>
      </c>
      <c r="CX69" s="78">
        <v>0</v>
      </c>
      <c r="CY69" s="78">
        <v>0</v>
      </c>
      <c r="CZ69" s="78">
        <v>0</v>
      </c>
      <c r="DA69" s="78">
        <v>1</v>
      </c>
      <c r="DB69" s="78">
        <v>0</v>
      </c>
      <c r="DC69" s="78">
        <v>0</v>
      </c>
      <c r="DD69" s="76">
        <v>0</v>
      </c>
      <c r="DE69" s="1" t="s">
        <v>449</v>
      </c>
      <c r="DF69" s="78">
        <v>3</v>
      </c>
      <c r="DG69" s="78">
        <v>1</v>
      </c>
      <c r="DH69" s="78">
        <v>1</v>
      </c>
      <c r="DI69" s="78">
        <v>0</v>
      </c>
      <c r="DJ69" s="78">
        <v>1</v>
      </c>
      <c r="DK69" s="78">
        <v>1</v>
      </c>
      <c r="DL69" s="78">
        <v>0</v>
      </c>
      <c r="DM69" s="78">
        <v>0</v>
      </c>
      <c r="DN69" s="76">
        <v>1</v>
      </c>
      <c r="DO69" s="1" t="s">
        <v>365</v>
      </c>
      <c r="DP69" s="78">
        <v>4</v>
      </c>
      <c r="DQ69" s="78">
        <v>1</v>
      </c>
      <c r="DR69" s="78">
        <v>0</v>
      </c>
      <c r="DS69" s="78">
        <v>0</v>
      </c>
      <c r="DT69" s="78">
        <v>0</v>
      </c>
      <c r="DU69" s="78">
        <v>1</v>
      </c>
      <c r="DV69" s="78">
        <v>0</v>
      </c>
      <c r="DW69" s="78">
        <v>0</v>
      </c>
      <c r="DX69" s="76">
        <v>0</v>
      </c>
      <c r="DY69" s="77">
        <f>0+2/3</f>
        <v>0.66666666666666663</v>
      </c>
      <c r="DZ69" s="43">
        <v>0</v>
      </c>
      <c r="EA69" s="43">
        <v>0</v>
      </c>
      <c r="EB69" s="45">
        <f>8+1/3</f>
        <v>8.3333333333333339</v>
      </c>
      <c r="EC69" s="43">
        <v>0</v>
      </c>
      <c r="ED69" s="44">
        <v>0</v>
      </c>
      <c r="EE69" s="71">
        <v>0</v>
      </c>
      <c r="EF69" s="43">
        <v>0</v>
      </c>
      <c r="EG69" s="43">
        <v>0</v>
      </c>
      <c r="EH69" s="43">
        <v>1</v>
      </c>
      <c r="EI69" s="43">
        <v>0</v>
      </c>
      <c r="EJ69" s="43">
        <v>0</v>
      </c>
      <c r="EK69" s="43">
        <v>4</v>
      </c>
      <c r="EL69" s="43">
        <v>1</v>
      </c>
      <c r="EM69" s="43">
        <v>0</v>
      </c>
      <c r="EN69" s="43"/>
      <c r="EO69" s="43"/>
      <c r="EP69" s="43"/>
      <c r="EQ69" s="43"/>
      <c r="ER69" s="43"/>
      <c r="ES69" s="43"/>
      <c r="ET69" s="44">
        <f t="shared" si="16"/>
        <v>6</v>
      </c>
      <c r="EU69" s="43">
        <v>0</v>
      </c>
      <c r="EV69" s="43">
        <v>2</v>
      </c>
      <c r="EW69" s="43">
        <v>5</v>
      </c>
      <c r="EX69" s="43">
        <v>0</v>
      </c>
      <c r="EY69" s="43">
        <v>0</v>
      </c>
      <c r="EZ69" s="43">
        <v>2</v>
      </c>
      <c r="FA69" s="43">
        <v>0</v>
      </c>
      <c r="FB69" s="43">
        <v>0</v>
      </c>
      <c r="FC69" s="43"/>
      <c r="FD69" s="43"/>
      <c r="FE69" s="43"/>
      <c r="FF69" s="43"/>
      <c r="FG69" s="43"/>
      <c r="FH69" s="43"/>
      <c r="FI69" s="43"/>
      <c r="FJ69" s="43">
        <f t="shared" si="17"/>
        <v>9</v>
      </c>
      <c r="FK69" s="73">
        <f t="shared" si="14"/>
        <v>0</v>
      </c>
      <c r="FL69" s="73">
        <f t="shared" si="15"/>
        <v>0</v>
      </c>
      <c r="FM69" s="38"/>
    </row>
    <row r="70" spans="1:169" x14ac:dyDescent="0.25">
      <c r="A70" s="53">
        <v>40348</v>
      </c>
      <c r="B70" s="53" t="s">
        <v>133</v>
      </c>
      <c r="C70" s="53" t="s">
        <v>131</v>
      </c>
      <c r="D70" s="53" t="s">
        <v>452</v>
      </c>
      <c r="E70" s="54">
        <v>1703</v>
      </c>
      <c r="F70" s="58">
        <v>4</v>
      </c>
      <c r="G70" s="59" t="s">
        <v>439</v>
      </c>
      <c r="H70" s="6">
        <v>0</v>
      </c>
      <c r="I70" s="6">
        <v>1</v>
      </c>
      <c r="J70" s="60">
        <f>3+1/3</f>
        <v>3.3333333333333335</v>
      </c>
      <c r="K70" s="6">
        <v>8</v>
      </c>
      <c r="L70" s="6">
        <v>7</v>
      </c>
      <c r="M70" s="6">
        <v>5</v>
      </c>
      <c r="N70" s="6">
        <v>1</v>
      </c>
      <c r="O70" s="6">
        <v>2</v>
      </c>
      <c r="P70" s="6">
        <v>0</v>
      </c>
      <c r="Q70" s="6">
        <v>0</v>
      </c>
      <c r="R70" s="6">
        <v>21</v>
      </c>
      <c r="S70" s="6">
        <v>85</v>
      </c>
      <c r="T70" s="6">
        <v>57</v>
      </c>
      <c r="U70" s="6">
        <v>1</v>
      </c>
      <c r="V70" s="61">
        <v>1</v>
      </c>
      <c r="W70" s="62">
        <v>0</v>
      </c>
      <c r="X70" s="62">
        <v>0</v>
      </c>
      <c r="Y70" s="62">
        <v>0</v>
      </c>
      <c r="Z70" s="62">
        <v>0</v>
      </c>
      <c r="AA70" s="62">
        <v>0</v>
      </c>
      <c r="AB70" s="63">
        <f>4+2/3</f>
        <v>4.666666666666667</v>
      </c>
      <c r="AC70" s="62">
        <v>12</v>
      </c>
      <c r="AD70" s="62">
        <v>8</v>
      </c>
      <c r="AE70" s="62">
        <v>8</v>
      </c>
      <c r="AF70" s="62">
        <v>4</v>
      </c>
      <c r="AG70" s="62">
        <v>4</v>
      </c>
      <c r="AH70" s="62">
        <v>1</v>
      </c>
      <c r="AI70" s="62">
        <v>0</v>
      </c>
      <c r="AJ70" s="62">
        <v>29</v>
      </c>
      <c r="AK70" s="62">
        <v>104</v>
      </c>
      <c r="AL70" s="62">
        <v>62</v>
      </c>
      <c r="AM70" s="1" t="s">
        <v>441</v>
      </c>
      <c r="AN70" s="78">
        <v>3</v>
      </c>
      <c r="AO70" s="78">
        <v>3</v>
      </c>
      <c r="AP70" s="78">
        <v>2</v>
      </c>
      <c r="AQ70" s="78">
        <v>2</v>
      </c>
      <c r="AR70" s="78">
        <v>1</v>
      </c>
      <c r="AS70" s="78">
        <v>0</v>
      </c>
      <c r="AT70" s="78">
        <v>1</v>
      </c>
      <c r="AU70" s="78">
        <v>0</v>
      </c>
      <c r="AV70" s="76">
        <v>5</v>
      </c>
      <c r="AW70" s="1" t="s">
        <v>402</v>
      </c>
      <c r="AX70" s="78">
        <v>5</v>
      </c>
      <c r="AY70" s="78">
        <v>1</v>
      </c>
      <c r="AZ70" s="78">
        <v>1</v>
      </c>
      <c r="BA70" s="78">
        <v>0</v>
      </c>
      <c r="BB70" s="78">
        <v>0</v>
      </c>
      <c r="BC70" s="78">
        <v>0</v>
      </c>
      <c r="BD70" s="78">
        <v>0</v>
      </c>
      <c r="BE70" s="78">
        <v>0</v>
      </c>
      <c r="BF70" s="76">
        <v>1</v>
      </c>
      <c r="BG70" s="1" t="s">
        <v>501</v>
      </c>
      <c r="BH70" s="78">
        <v>5</v>
      </c>
      <c r="BI70" s="78">
        <v>0</v>
      </c>
      <c r="BJ70" s="78">
        <v>0</v>
      </c>
      <c r="BK70" s="78">
        <v>0</v>
      </c>
      <c r="BL70" s="78">
        <v>0</v>
      </c>
      <c r="BM70" s="78">
        <v>1</v>
      </c>
      <c r="BN70" s="78">
        <v>0</v>
      </c>
      <c r="BO70" s="78">
        <v>0</v>
      </c>
      <c r="BP70" s="76">
        <v>0</v>
      </c>
      <c r="BQ70" s="1" t="s">
        <v>443</v>
      </c>
      <c r="BR70" s="78">
        <v>3</v>
      </c>
      <c r="BS70" s="78">
        <v>1</v>
      </c>
      <c r="BT70" s="78">
        <v>1</v>
      </c>
      <c r="BU70" s="78">
        <v>1</v>
      </c>
      <c r="BV70" s="78">
        <v>2</v>
      </c>
      <c r="BW70" s="78">
        <v>0</v>
      </c>
      <c r="BX70" s="78">
        <v>0</v>
      </c>
      <c r="BY70" s="78">
        <v>0</v>
      </c>
      <c r="BZ70" s="76">
        <v>1</v>
      </c>
      <c r="CA70" s="1" t="s">
        <v>473</v>
      </c>
      <c r="CB70" s="78">
        <v>4</v>
      </c>
      <c r="CC70" s="78">
        <v>1</v>
      </c>
      <c r="CD70" s="78">
        <v>1</v>
      </c>
      <c r="CE70" s="78">
        <v>2</v>
      </c>
      <c r="CF70" s="78">
        <v>1</v>
      </c>
      <c r="CG70" s="78">
        <v>0</v>
      </c>
      <c r="CH70" s="78">
        <v>0</v>
      </c>
      <c r="CI70" s="78">
        <v>0</v>
      </c>
      <c r="CJ70" s="76">
        <v>1</v>
      </c>
      <c r="CK70" s="1" t="s">
        <v>444</v>
      </c>
      <c r="CL70" s="78">
        <v>4</v>
      </c>
      <c r="CM70" s="78">
        <v>0</v>
      </c>
      <c r="CN70" s="78">
        <v>2</v>
      </c>
      <c r="CO70" s="78">
        <v>0</v>
      </c>
      <c r="CP70" s="78">
        <v>1</v>
      </c>
      <c r="CQ70" s="78">
        <v>1</v>
      </c>
      <c r="CR70" s="78">
        <v>0</v>
      </c>
      <c r="CS70" s="78">
        <v>0</v>
      </c>
      <c r="CT70" s="76">
        <v>2</v>
      </c>
      <c r="CU70" s="1" t="s">
        <v>448</v>
      </c>
      <c r="CV70" s="78">
        <v>5</v>
      </c>
      <c r="CW70" s="78">
        <v>0</v>
      </c>
      <c r="CX70" s="78">
        <v>2</v>
      </c>
      <c r="CY70" s="78">
        <v>2</v>
      </c>
      <c r="CZ70" s="78">
        <v>0</v>
      </c>
      <c r="DA70" s="78">
        <v>1</v>
      </c>
      <c r="DB70" s="78">
        <v>0</v>
      </c>
      <c r="DC70" s="78">
        <v>0</v>
      </c>
      <c r="DD70" s="76">
        <v>2</v>
      </c>
      <c r="DE70" s="1" t="s">
        <v>449</v>
      </c>
      <c r="DF70" s="78">
        <v>4</v>
      </c>
      <c r="DG70" s="78">
        <v>0</v>
      </c>
      <c r="DH70" s="78">
        <v>0</v>
      </c>
      <c r="DI70" s="78">
        <v>0</v>
      </c>
      <c r="DJ70" s="78">
        <v>1</v>
      </c>
      <c r="DK70" s="78">
        <v>2</v>
      </c>
      <c r="DL70" s="78">
        <v>0</v>
      </c>
      <c r="DM70" s="78">
        <v>0</v>
      </c>
      <c r="DN70" s="76">
        <v>0</v>
      </c>
      <c r="DO70" s="1" t="s">
        <v>365</v>
      </c>
      <c r="DP70" s="78">
        <v>4</v>
      </c>
      <c r="DQ70" s="78">
        <v>2</v>
      </c>
      <c r="DR70" s="78">
        <v>2</v>
      </c>
      <c r="DS70" s="78">
        <v>0</v>
      </c>
      <c r="DT70" s="78">
        <v>0</v>
      </c>
      <c r="DU70" s="78">
        <v>1</v>
      </c>
      <c r="DV70" s="78">
        <v>0</v>
      </c>
      <c r="DW70" s="78">
        <v>0</v>
      </c>
      <c r="DX70" s="76">
        <v>2</v>
      </c>
      <c r="DY70" s="77">
        <v>0</v>
      </c>
      <c r="DZ70" s="43">
        <v>0</v>
      </c>
      <c r="EA70" s="43">
        <v>0</v>
      </c>
      <c r="EB70" s="45">
        <v>9</v>
      </c>
      <c r="EC70" s="43">
        <v>0</v>
      </c>
      <c r="ED70" s="44">
        <v>0</v>
      </c>
      <c r="EE70" s="71">
        <v>0</v>
      </c>
      <c r="EF70" s="43">
        <v>0</v>
      </c>
      <c r="EG70" s="43">
        <v>0</v>
      </c>
      <c r="EH70" s="43">
        <v>0</v>
      </c>
      <c r="EI70" s="43">
        <v>0</v>
      </c>
      <c r="EJ70" s="43">
        <v>1</v>
      </c>
      <c r="EK70" s="43">
        <v>2</v>
      </c>
      <c r="EL70" s="43">
        <v>1</v>
      </c>
      <c r="EM70" s="43">
        <v>4</v>
      </c>
      <c r="EN70" s="43"/>
      <c r="EO70" s="43"/>
      <c r="EP70" s="43"/>
      <c r="EQ70" s="43"/>
      <c r="ER70" s="43"/>
      <c r="ES70" s="43"/>
      <c r="ET70" s="44">
        <f t="shared" si="16"/>
        <v>8</v>
      </c>
      <c r="EU70" s="43">
        <v>2</v>
      </c>
      <c r="EV70" s="43">
        <v>1</v>
      </c>
      <c r="EW70" s="43">
        <v>0</v>
      </c>
      <c r="EX70" s="43">
        <v>11</v>
      </c>
      <c r="EY70" s="43">
        <v>0</v>
      </c>
      <c r="EZ70" s="43">
        <v>0</v>
      </c>
      <c r="FA70" s="43">
        <v>0</v>
      </c>
      <c r="FB70" s="43">
        <v>1</v>
      </c>
      <c r="FC70" s="43"/>
      <c r="FD70" s="43"/>
      <c r="FE70" s="43"/>
      <c r="FF70" s="43"/>
      <c r="FG70" s="43"/>
      <c r="FH70" s="43"/>
      <c r="FI70" s="43"/>
      <c r="FJ70" s="43">
        <f t="shared" si="17"/>
        <v>15</v>
      </c>
      <c r="FK70" s="73">
        <f t="shared" si="14"/>
        <v>0</v>
      </c>
      <c r="FL70" s="73">
        <f t="shared" si="15"/>
        <v>0</v>
      </c>
      <c r="FM70" s="38"/>
    </row>
    <row r="71" spans="1:169" x14ac:dyDescent="0.25">
      <c r="A71" s="53">
        <v>40349</v>
      </c>
      <c r="B71" s="53" t="s">
        <v>133</v>
      </c>
      <c r="C71" s="53" t="s">
        <v>131</v>
      </c>
      <c r="D71" s="53" t="s">
        <v>452</v>
      </c>
      <c r="E71" s="54">
        <v>630</v>
      </c>
      <c r="F71" s="58">
        <v>5</v>
      </c>
      <c r="G71" s="59" t="s">
        <v>470</v>
      </c>
      <c r="H71" s="6">
        <v>0</v>
      </c>
      <c r="I71" s="6">
        <v>0</v>
      </c>
      <c r="J71" s="60">
        <f>4+2/3</f>
        <v>4.666666666666667</v>
      </c>
      <c r="K71" s="6">
        <v>6</v>
      </c>
      <c r="L71" s="6">
        <v>2</v>
      </c>
      <c r="M71" s="6">
        <v>0</v>
      </c>
      <c r="N71" s="6">
        <v>2</v>
      </c>
      <c r="O71" s="6">
        <v>4</v>
      </c>
      <c r="P71" s="6">
        <v>0</v>
      </c>
      <c r="Q71" s="6">
        <v>0</v>
      </c>
      <c r="R71" s="6">
        <v>22</v>
      </c>
      <c r="S71" s="6">
        <v>92</v>
      </c>
      <c r="T71" s="6">
        <v>57</v>
      </c>
      <c r="U71" s="6">
        <v>2</v>
      </c>
      <c r="V71" s="61">
        <v>0</v>
      </c>
      <c r="W71" s="62">
        <v>0</v>
      </c>
      <c r="X71" s="62">
        <v>1</v>
      </c>
      <c r="Y71" s="62">
        <v>0</v>
      </c>
      <c r="Z71" s="62">
        <v>0</v>
      </c>
      <c r="AA71" s="62">
        <v>0</v>
      </c>
      <c r="AB71" s="63">
        <f>3+1/3</f>
        <v>3.3333333333333335</v>
      </c>
      <c r="AC71" s="62">
        <v>4</v>
      </c>
      <c r="AD71" s="62">
        <v>2</v>
      </c>
      <c r="AE71" s="62">
        <v>1</v>
      </c>
      <c r="AF71" s="62">
        <v>3</v>
      </c>
      <c r="AG71" s="62">
        <v>3</v>
      </c>
      <c r="AH71" s="62">
        <v>0</v>
      </c>
      <c r="AI71" s="62">
        <v>0</v>
      </c>
      <c r="AJ71" s="62">
        <v>14</v>
      </c>
      <c r="AK71" s="62">
        <v>57</v>
      </c>
      <c r="AL71" s="62">
        <v>34</v>
      </c>
      <c r="AM71" s="1" t="s">
        <v>441</v>
      </c>
      <c r="AN71" s="78">
        <v>5</v>
      </c>
      <c r="AO71" s="78">
        <v>0</v>
      </c>
      <c r="AP71" s="78">
        <v>2</v>
      </c>
      <c r="AQ71" s="78">
        <v>1</v>
      </c>
      <c r="AR71" s="78">
        <v>0</v>
      </c>
      <c r="AS71" s="78">
        <v>0</v>
      </c>
      <c r="AT71" s="78">
        <v>0</v>
      </c>
      <c r="AU71" s="78">
        <v>0</v>
      </c>
      <c r="AV71" s="76">
        <v>2</v>
      </c>
      <c r="AW71" s="1" t="s">
        <v>402</v>
      </c>
      <c r="AX71" s="78">
        <v>5</v>
      </c>
      <c r="AY71" s="78">
        <v>0</v>
      </c>
      <c r="AZ71" s="78">
        <v>1</v>
      </c>
      <c r="BA71" s="78">
        <v>0</v>
      </c>
      <c r="BB71" s="78">
        <v>0</v>
      </c>
      <c r="BC71" s="78">
        <v>0</v>
      </c>
      <c r="BD71" s="78">
        <v>0</v>
      </c>
      <c r="BE71" s="78">
        <v>0</v>
      </c>
      <c r="BF71" s="76">
        <v>1</v>
      </c>
      <c r="BG71" s="1" t="s">
        <v>446</v>
      </c>
      <c r="BH71" s="78">
        <v>4</v>
      </c>
      <c r="BI71" s="78">
        <v>0</v>
      </c>
      <c r="BJ71" s="78">
        <v>0</v>
      </c>
      <c r="BK71" s="78">
        <v>0</v>
      </c>
      <c r="BL71" s="78">
        <v>1</v>
      </c>
      <c r="BM71" s="78">
        <v>2</v>
      </c>
      <c r="BN71" s="78">
        <v>0</v>
      </c>
      <c r="BO71" s="78">
        <v>0</v>
      </c>
      <c r="BP71" s="76">
        <v>0</v>
      </c>
      <c r="BQ71" s="1" t="s">
        <v>443</v>
      </c>
      <c r="BR71" s="78">
        <v>3</v>
      </c>
      <c r="BS71" s="78">
        <v>0</v>
      </c>
      <c r="BT71" s="78">
        <v>0</v>
      </c>
      <c r="BU71" s="78">
        <v>0</v>
      </c>
      <c r="BV71" s="78">
        <v>2</v>
      </c>
      <c r="BW71" s="78">
        <v>1</v>
      </c>
      <c r="BX71" s="78">
        <v>0</v>
      </c>
      <c r="BY71" s="78">
        <v>0</v>
      </c>
      <c r="BZ71" s="76">
        <v>0</v>
      </c>
      <c r="CA71" s="1" t="s">
        <v>501</v>
      </c>
      <c r="CB71" s="78">
        <v>4</v>
      </c>
      <c r="CC71" s="78">
        <v>0</v>
      </c>
      <c r="CD71" s="78">
        <v>0</v>
      </c>
      <c r="CE71" s="78">
        <v>0</v>
      </c>
      <c r="CF71" s="78">
        <v>0</v>
      </c>
      <c r="CG71" s="78">
        <v>0</v>
      </c>
      <c r="CH71" s="78">
        <v>0</v>
      </c>
      <c r="CI71" s="78">
        <v>0</v>
      </c>
      <c r="CJ71" s="76">
        <v>0</v>
      </c>
      <c r="CK71" s="1" t="s">
        <v>366</v>
      </c>
      <c r="CL71" s="78">
        <v>4</v>
      </c>
      <c r="CM71" s="78">
        <v>1</v>
      </c>
      <c r="CN71" s="78">
        <v>1</v>
      </c>
      <c r="CO71" s="78">
        <v>1</v>
      </c>
      <c r="CP71" s="78">
        <v>0</v>
      </c>
      <c r="CQ71" s="78">
        <v>2</v>
      </c>
      <c r="CR71" s="78">
        <v>0</v>
      </c>
      <c r="CS71" s="78">
        <v>0</v>
      </c>
      <c r="CT71" s="76">
        <v>4</v>
      </c>
      <c r="CU71" s="1" t="s">
        <v>448</v>
      </c>
      <c r="CV71" s="78">
        <v>3</v>
      </c>
      <c r="CW71" s="78">
        <v>1</v>
      </c>
      <c r="CX71" s="78">
        <v>2</v>
      </c>
      <c r="CY71" s="78">
        <v>0</v>
      </c>
      <c r="CZ71" s="78">
        <v>0</v>
      </c>
      <c r="DA71" s="78">
        <v>0</v>
      </c>
      <c r="DB71" s="78">
        <v>1</v>
      </c>
      <c r="DC71" s="78">
        <v>0</v>
      </c>
      <c r="DD71" s="76">
        <v>3</v>
      </c>
      <c r="DE71" s="1" t="s">
        <v>444</v>
      </c>
      <c r="DF71" s="78">
        <v>4</v>
      </c>
      <c r="DG71" s="78">
        <v>1</v>
      </c>
      <c r="DH71" s="78">
        <v>3</v>
      </c>
      <c r="DI71" s="78">
        <v>1</v>
      </c>
      <c r="DJ71" s="78">
        <v>0</v>
      </c>
      <c r="DK71" s="78">
        <v>0</v>
      </c>
      <c r="DL71" s="78">
        <v>0</v>
      </c>
      <c r="DM71" s="78">
        <v>0</v>
      </c>
      <c r="DN71" s="76">
        <v>5</v>
      </c>
      <c r="DO71" s="1" t="s">
        <v>365</v>
      </c>
      <c r="DP71" s="78">
        <v>3</v>
      </c>
      <c r="DQ71" s="78">
        <v>0</v>
      </c>
      <c r="DR71" s="78">
        <v>0</v>
      </c>
      <c r="DS71" s="78">
        <v>0</v>
      </c>
      <c r="DT71" s="78">
        <v>0</v>
      </c>
      <c r="DU71" s="78">
        <v>1</v>
      </c>
      <c r="DV71" s="78">
        <v>0</v>
      </c>
      <c r="DW71" s="78">
        <v>0</v>
      </c>
      <c r="DX71" s="76">
        <v>0</v>
      </c>
      <c r="DY71" s="77">
        <f>6+2/3</f>
        <v>6.666666666666667</v>
      </c>
      <c r="DZ71" s="43">
        <v>0</v>
      </c>
      <c r="EA71" s="43">
        <v>0</v>
      </c>
      <c r="EB71" s="45">
        <f>2+1/3</f>
        <v>2.3333333333333335</v>
      </c>
      <c r="EC71" s="43">
        <v>0</v>
      </c>
      <c r="ED71" s="44">
        <v>0</v>
      </c>
      <c r="EE71" s="71">
        <v>0</v>
      </c>
      <c r="EF71" s="43">
        <v>0</v>
      </c>
      <c r="EG71" s="43">
        <v>0</v>
      </c>
      <c r="EH71" s="43">
        <v>0</v>
      </c>
      <c r="EI71" s="43">
        <v>2</v>
      </c>
      <c r="EJ71" s="43">
        <v>1</v>
      </c>
      <c r="EK71" s="43">
        <v>0</v>
      </c>
      <c r="EL71" s="43">
        <v>0</v>
      </c>
      <c r="EM71" s="43">
        <v>0</v>
      </c>
      <c r="EN71" s="43"/>
      <c r="EO71" s="43"/>
      <c r="EP71" s="43"/>
      <c r="EQ71" s="43"/>
      <c r="ER71" s="43"/>
      <c r="ES71" s="43"/>
      <c r="ET71" s="44">
        <f t="shared" si="16"/>
        <v>3</v>
      </c>
      <c r="EU71" s="43">
        <v>0</v>
      </c>
      <c r="EV71" s="43">
        <v>0</v>
      </c>
      <c r="EW71" s="43">
        <v>0</v>
      </c>
      <c r="EX71" s="43">
        <v>0</v>
      </c>
      <c r="EY71" s="43">
        <v>2</v>
      </c>
      <c r="EZ71" s="43">
        <v>1</v>
      </c>
      <c r="FA71" s="43">
        <v>1</v>
      </c>
      <c r="FB71" s="43">
        <v>0</v>
      </c>
      <c r="FC71" s="43"/>
      <c r="FD71" s="43"/>
      <c r="FE71" s="43"/>
      <c r="FF71" s="43"/>
      <c r="FG71" s="43"/>
      <c r="FH71" s="43"/>
      <c r="FI71" s="43"/>
      <c r="FJ71" s="43">
        <f t="shared" si="17"/>
        <v>4</v>
      </c>
      <c r="FK71" s="73">
        <f t="shared" si="14"/>
        <v>0</v>
      </c>
      <c r="FL71" s="73">
        <f t="shared" si="15"/>
        <v>0</v>
      </c>
      <c r="FM71" s="38"/>
    </row>
    <row r="72" spans="1:169" x14ac:dyDescent="0.25">
      <c r="A72" s="53">
        <v>40351</v>
      </c>
      <c r="B72" s="53" t="s">
        <v>19</v>
      </c>
      <c r="C72" s="53" t="s">
        <v>129</v>
      </c>
      <c r="D72" s="53" t="s">
        <v>380</v>
      </c>
      <c r="E72" s="54">
        <v>2319</v>
      </c>
      <c r="F72" s="58">
        <v>1</v>
      </c>
      <c r="G72" s="59" t="s">
        <v>424</v>
      </c>
      <c r="H72" s="6">
        <v>0</v>
      </c>
      <c r="I72" s="6">
        <v>0</v>
      </c>
      <c r="J72" s="60">
        <v>5</v>
      </c>
      <c r="K72" s="6">
        <v>3</v>
      </c>
      <c r="L72" s="6">
        <v>2</v>
      </c>
      <c r="M72" s="6">
        <v>2</v>
      </c>
      <c r="N72" s="6">
        <v>6</v>
      </c>
      <c r="O72" s="6">
        <v>3</v>
      </c>
      <c r="P72" s="6">
        <v>0</v>
      </c>
      <c r="Q72" s="6">
        <v>0</v>
      </c>
      <c r="R72" s="6">
        <v>24</v>
      </c>
      <c r="S72" s="6">
        <v>91</v>
      </c>
      <c r="T72" s="6">
        <v>49</v>
      </c>
      <c r="U72" s="6">
        <v>1</v>
      </c>
      <c r="V72" s="61">
        <v>0</v>
      </c>
      <c r="W72" s="62">
        <v>1</v>
      </c>
      <c r="X72" s="62">
        <v>0</v>
      </c>
      <c r="Y72" s="62">
        <v>1</v>
      </c>
      <c r="Z72" s="62">
        <v>1</v>
      </c>
      <c r="AA72" s="62">
        <v>0</v>
      </c>
      <c r="AB72" s="63">
        <v>4</v>
      </c>
      <c r="AC72" s="62">
        <v>1</v>
      </c>
      <c r="AD72" s="62">
        <v>1</v>
      </c>
      <c r="AE72" s="62">
        <v>1</v>
      </c>
      <c r="AF72" s="62">
        <v>1</v>
      </c>
      <c r="AG72" s="62">
        <v>5</v>
      </c>
      <c r="AH72" s="62">
        <v>1</v>
      </c>
      <c r="AI72" s="62">
        <v>0</v>
      </c>
      <c r="AJ72" s="62">
        <v>13</v>
      </c>
      <c r="AK72" s="62">
        <v>54</v>
      </c>
      <c r="AL72" s="62">
        <v>32</v>
      </c>
      <c r="AM72" s="1" t="s">
        <v>441</v>
      </c>
      <c r="AN72" s="78">
        <v>4</v>
      </c>
      <c r="AO72" s="78">
        <v>1</v>
      </c>
      <c r="AP72" s="78">
        <v>2</v>
      </c>
      <c r="AQ72" s="78">
        <v>1</v>
      </c>
      <c r="AR72" s="78">
        <v>0</v>
      </c>
      <c r="AS72" s="78">
        <v>0</v>
      </c>
      <c r="AT72" s="78">
        <v>0</v>
      </c>
      <c r="AU72" s="78">
        <v>0</v>
      </c>
      <c r="AV72" s="76">
        <v>5</v>
      </c>
      <c r="AW72" s="1" t="s">
        <v>402</v>
      </c>
      <c r="AX72" s="78">
        <v>3</v>
      </c>
      <c r="AY72" s="78">
        <v>1</v>
      </c>
      <c r="AZ72" s="78">
        <v>0</v>
      </c>
      <c r="BA72" s="78">
        <v>0</v>
      </c>
      <c r="BB72" s="78">
        <v>1</v>
      </c>
      <c r="BC72" s="78">
        <v>0</v>
      </c>
      <c r="BD72" s="78">
        <v>0</v>
      </c>
      <c r="BE72" s="78">
        <v>0</v>
      </c>
      <c r="BF72" s="76">
        <v>0</v>
      </c>
      <c r="BG72" s="1" t="s">
        <v>446</v>
      </c>
      <c r="BH72" s="78">
        <v>4</v>
      </c>
      <c r="BI72" s="78">
        <v>1</v>
      </c>
      <c r="BJ72" s="78">
        <v>1</v>
      </c>
      <c r="BK72" s="78">
        <v>1</v>
      </c>
      <c r="BL72" s="78">
        <v>0</v>
      </c>
      <c r="BM72" s="78">
        <v>0</v>
      </c>
      <c r="BN72" s="78">
        <v>0</v>
      </c>
      <c r="BO72" s="78">
        <v>0</v>
      </c>
      <c r="BP72" s="76">
        <v>3</v>
      </c>
      <c r="BQ72" s="1" t="s">
        <v>443</v>
      </c>
      <c r="BR72" s="78">
        <v>3</v>
      </c>
      <c r="BS72" s="78">
        <v>0</v>
      </c>
      <c r="BT72" s="78">
        <v>1</v>
      </c>
      <c r="BU72" s="78">
        <v>1</v>
      </c>
      <c r="BV72" s="78">
        <v>0</v>
      </c>
      <c r="BW72" s="78">
        <v>1</v>
      </c>
      <c r="BX72" s="78">
        <v>0</v>
      </c>
      <c r="BY72" s="78">
        <v>1</v>
      </c>
      <c r="BZ72" s="76">
        <v>1</v>
      </c>
      <c r="CA72" s="1" t="s">
        <v>501</v>
      </c>
      <c r="CB72" s="78">
        <v>4</v>
      </c>
      <c r="CC72" s="78">
        <v>1</v>
      </c>
      <c r="CD72" s="78">
        <v>1</v>
      </c>
      <c r="CE72" s="78">
        <v>1</v>
      </c>
      <c r="CF72" s="78">
        <v>0</v>
      </c>
      <c r="CG72" s="78">
        <v>2</v>
      </c>
      <c r="CH72" s="78">
        <v>0</v>
      </c>
      <c r="CI72" s="78">
        <v>0</v>
      </c>
      <c r="CJ72" s="76">
        <v>4</v>
      </c>
      <c r="CK72" s="1" t="s">
        <v>473</v>
      </c>
      <c r="CL72" s="78">
        <v>3</v>
      </c>
      <c r="CM72" s="78">
        <v>0</v>
      </c>
      <c r="CN72" s="78">
        <v>1</v>
      </c>
      <c r="CO72" s="78">
        <v>0</v>
      </c>
      <c r="CP72" s="78">
        <v>1</v>
      </c>
      <c r="CQ72" s="78">
        <v>2</v>
      </c>
      <c r="CR72" s="78">
        <v>0</v>
      </c>
      <c r="CS72" s="78">
        <v>0</v>
      </c>
      <c r="CT72" s="76">
        <v>1</v>
      </c>
      <c r="CU72" s="1" t="s">
        <v>444</v>
      </c>
      <c r="CV72" s="78">
        <v>3</v>
      </c>
      <c r="CW72" s="78">
        <v>0</v>
      </c>
      <c r="CX72" s="78">
        <v>2</v>
      </c>
      <c r="CY72" s="78">
        <v>0</v>
      </c>
      <c r="CZ72" s="78">
        <v>1</v>
      </c>
      <c r="DA72" s="78">
        <v>0</v>
      </c>
      <c r="DB72" s="78">
        <v>0</v>
      </c>
      <c r="DC72" s="78">
        <v>0</v>
      </c>
      <c r="DD72" s="76">
        <v>3</v>
      </c>
      <c r="DE72" s="1" t="s">
        <v>448</v>
      </c>
      <c r="DF72" s="78">
        <v>4</v>
      </c>
      <c r="DG72" s="78">
        <v>0</v>
      </c>
      <c r="DH72" s="78">
        <v>1</v>
      </c>
      <c r="DI72" s="78">
        <v>0</v>
      </c>
      <c r="DJ72" s="78">
        <v>0</v>
      </c>
      <c r="DK72" s="78">
        <v>1</v>
      </c>
      <c r="DL72" s="78">
        <v>0</v>
      </c>
      <c r="DM72" s="78">
        <v>0</v>
      </c>
      <c r="DN72" s="76">
        <v>1</v>
      </c>
      <c r="DO72" s="1" t="s">
        <v>365</v>
      </c>
      <c r="DP72" s="78">
        <v>4</v>
      </c>
      <c r="DQ72" s="78">
        <v>0</v>
      </c>
      <c r="DR72" s="78">
        <v>0</v>
      </c>
      <c r="DS72" s="78">
        <v>0</v>
      </c>
      <c r="DT72" s="78">
        <v>0</v>
      </c>
      <c r="DU72" s="78">
        <v>1</v>
      </c>
      <c r="DV72" s="78">
        <v>0</v>
      </c>
      <c r="DW72" s="78">
        <v>0</v>
      </c>
      <c r="DX72" s="76">
        <v>0</v>
      </c>
      <c r="DY72" s="77">
        <f>1+2/3</f>
        <v>1.6666666666666665</v>
      </c>
      <c r="DZ72" s="43">
        <v>1</v>
      </c>
      <c r="EA72" s="43">
        <v>0</v>
      </c>
      <c r="EB72" s="45">
        <f>6+1/3</f>
        <v>6.333333333333333</v>
      </c>
      <c r="EC72" s="43">
        <v>1</v>
      </c>
      <c r="ED72" s="44">
        <v>0</v>
      </c>
      <c r="EE72" s="71">
        <v>2</v>
      </c>
      <c r="EF72" s="43">
        <v>0</v>
      </c>
      <c r="EG72" s="43">
        <v>0</v>
      </c>
      <c r="EH72" s="43">
        <v>0</v>
      </c>
      <c r="EI72" s="43">
        <v>0</v>
      </c>
      <c r="EJ72" s="43">
        <v>1</v>
      </c>
      <c r="EK72" s="43">
        <v>1</v>
      </c>
      <c r="EL72" s="43">
        <v>0</v>
      </c>
      <c r="EM72" s="43"/>
      <c r="EN72" s="43"/>
      <c r="EO72" s="43"/>
      <c r="EP72" s="43"/>
      <c r="EQ72" s="43"/>
      <c r="ER72" s="43"/>
      <c r="ES72" s="43"/>
      <c r="ET72" s="44">
        <f t="shared" si="16"/>
        <v>4</v>
      </c>
      <c r="EU72" s="43">
        <v>2</v>
      </c>
      <c r="EV72" s="43">
        <v>0</v>
      </c>
      <c r="EW72" s="43">
        <v>0</v>
      </c>
      <c r="EX72" s="43">
        <v>0</v>
      </c>
      <c r="EY72" s="43">
        <v>0</v>
      </c>
      <c r="EZ72" s="43">
        <v>0</v>
      </c>
      <c r="FA72" s="43">
        <v>0</v>
      </c>
      <c r="FB72" s="43">
        <v>1</v>
      </c>
      <c r="FC72" s="43">
        <v>0</v>
      </c>
      <c r="FD72" s="43"/>
      <c r="FE72" s="43"/>
      <c r="FF72" s="43"/>
      <c r="FG72" s="43"/>
      <c r="FH72" s="43"/>
      <c r="FI72" s="43"/>
      <c r="FJ72" s="43">
        <f t="shared" si="17"/>
        <v>3</v>
      </c>
      <c r="FK72" s="73">
        <f t="shared" si="14"/>
        <v>0</v>
      </c>
      <c r="FL72" s="73">
        <f t="shared" si="15"/>
        <v>0</v>
      </c>
      <c r="FM72" s="38"/>
    </row>
    <row r="73" spans="1:169" x14ac:dyDescent="0.25">
      <c r="A73" s="53">
        <v>40352</v>
      </c>
      <c r="B73" s="53" t="s">
        <v>19</v>
      </c>
      <c r="C73" s="53" t="s">
        <v>131</v>
      </c>
      <c r="D73" s="53" t="s">
        <v>380</v>
      </c>
      <c r="E73" s="54">
        <v>2998</v>
      </c>
      <c r="F73" s="58">
        <v>2</v>
      </c>
      <c r="G73" s="59" t="s">
        <v>438</v>
      </c>
      <c r="H73" s="6">
        <v>0</v>
      </c>
      <c r="I73" s="6">
        <v>1</v>
      </c>
      <c r="J73" s="60">
        <v>4</v>
      </c>
      <c r="K73" s="6">
        <v>7</v>
      </c>
      <c r="L73" s="6">
        <v>5</v>
      </c>
      <c r="M73" s="6">
        <v>5</v>
      </c>
      <c r="N73" s="6">
        <v>6</v>
      </c>
      <c r="O73" s="6">
        <v>1</v>
      </c>
      <c r="P73" s="6">
        <v>0</v>
      </c>
      <c r="Q73" s="6">
        <v>0</v>
      </c>
      <c r="R73" s="6">
        <v>24</v>
      </c>
      <c r="S73" s="6">
        <v>45</v>
      </c>
      <c r="T73" s="6">
        <v>21</v>
      </c>
      <c r="U73" s="6">
        <v>2</v>
      </c>
      <c r="V73" s="61">
        <v>2</v>
      </c>
      <c r="W73" s="62">
        <v>0</v>
      </c>
      <c r="X73" s="62">
        <v>0</v>
      </c>
      <c r="Y73" s="62">
        <v>0</v>
      </c>
      <c r="Z73" s="62">
        <v>0</v>
      </c>
      <c r="AA73" s="62">
        <v>0</v>
      </c>
      <c r="AB73" s="63">
        <v>5</v>
      </c>
      <c r="AC73" s="62">
        <v>6</v>
      </c>
      <c r="AD73" s="62">
        <v>6</v>
      </c>
      <c r="AE73" s="62">
        <v>6</v>
      </c>
      <c r="AF73" s="62">
        <v>4</v>
      </c>
      <c r="AG73" s="62">
        <v>2</v>
      </c>
      <c r="AH73" s="62">
        <v>0</v>
      </c>
      <c r="AI73" s="62">
        <v>1</v>
      </c>
      <c r="AJ73" s="62">
        <v>26</v>
      </c>
      <c r="AK73" s="62">
        <v>45</v>
      </c>
      <c r="AL73" s="62">
        <v>28</v>
      </c>
      <c r="AM73" s="1" t="s">
        <v>441</v>
      </c>
      <c r="AN73" s="78">
        <v>4</v>
      </c>
      <c r="AO73" s="78">
        <v>0</v>
      </c>
      <c r="AP73" s="78">
        <v>0</v>
      </c>
      <c r="AQ73" s="78">
        <v>1</v>
      </c>
      <c r="AR73" s="78">
        <v>1</v>
      </c>
      <c r="AS73" s="78">
        <v>0</v>
      </c>
      <c r="AT73" s="78">
        <v>0</v>
      </c>
      <c r="AU73" s="78">
        <v>0</v>
      </c>
      <c r="AV73" s="76">
        <v>0</v>
      </c>
      <c r="AW73" s="1" t="s">
        <v>364</v>
      </c>
      <c r="AX73" s="78">
        <v>5</v>
      </c>
      <c r="AY73" s="78">
        <v>1</v>
      </c>
      <c r="AZ73" s="78">
        <v>1</v>
      </c>
      <c r="BA73" s="78">
        <v>0</v>
      </c>
      <c r="BB73" s="78">
        <v>0</v>
      </c>
      <c r="BC73" s="78">
        <v>1</v>
      </c>
      <c r="BD73" s="78">
        <v>0</v>
      </c>
      <c r="BE73" s="78">
        <v>0</v>
      </c>
      <c r="BF73" s="76">
        <v>1</v>
      </c>
      <c r="BG73" s="1" t="s">
        <v>446</v>
      </c>
      <c r="BH73" s="78">
        <v>5</v>
      </c>
      <c r="BI73" s="78">
        <v>1</v>
      </c>
      <c r="BJ73" s="78">
        <v>2</v>
      </c>
      <c r="BK73" s="78">
        <v>3</v>
      </c>
      <c r="BL73" s="78">
        <v>0</v>
      </c>
      <c r="BM73" s="78">
        <v>1</v>
      </c>
      <c r="BN73" s="78">
        <v>0</v>
      </c>
      <c r="BO73" s="78">
        <v>0</v>
      </c>
      <c r="BP73" s="76">
        <v>5</v>
      </c>
      <c r="BQ73" s="1" t="s">
        <v>443</v>
      </c>
      <c r="BR73" s="78">
        <v>4</v>
      </c>
      <c r="BS73" s="78">
        <v>1</v>
      </c>
      <c r="BT73" s="78">
        <v>0</v>
      </c>
      <c r="BU73" s="78">
        <v>0</v>
      </c>
      <c r="BV73" s="78">
        <v>1</v>
      </c>
      <c r="BW73" s="78">
        <v>2</v>
      </c>
      <c r="BX73" s="78">
        <v>0</v>
      </c>
      <c r="BY73" s="78">
        <v>0</v>
      </c>
      <c r="BZ73" s="76">
        <v>0</v>
      </c>
      <c r="CA73" s="1" t="s">
        <v>501</v>
      </c>
      <c r="CB73" s="78">
        <v>3</v>
      </c>
      <c r="CC73" s="78">
        <v>0</v>
      </c>
      <c r="CD73" s="78">
        <v>1</v>
      </c>
      <c r="CE73" s="78">
        <v>0</v>
      </c>
      <c r="CF73" s="78">
        <v>1</v>
      </c>
      <c r="CG73" s="78">
        <v>0</v>
      </c>
      <c r="CH73" s="78">
        <v>0</v>
      </c>
      <c r="CI73" s="78">
        <v>0</v>
      </c>
      <c r="CJ73" s="76">
        <v>3</v>
      </c>
      <c r="CK73" s="1" t="s">
        <v>444</v>
      </c>
      <c r="CL73" s="78">
        <v>3</v>
      </c>
      <c r="CM73" s="78">
        <v>0</v>
      </c>
      <c r="CN73" s="78">
        <v>1</v>
      </c>
      <c r="CO73" s="78">
        <v>1</v>
      </c>
      <c r="CP73" s="78">
        <v>1</v>
      </c>
      <c r="CQ73" s="78">
        <v>0</v>
      </c>
      <c r="CR73" s="78">
        <v>0</v>
      </c>
      <c r="CS73" s="78">
        <v>0</v>
      </c>
      <c r="CT73" s="76">
        <v>3</v>
      </c>
      <c r="CU73" s="1" t="s">
        <v>366</v>
      </c>
      <c r="CV73" s="78">
        <v>4</v>
      </c>
      <c r="CW73" s="78">
        <v>1</v>
      </c>
      <c r="CX73" s="78">
        <v>1</v>
      </c>
      <c r="CY73" s="78">
        <v>1</v>
      </c>
      <c r="CZ73" s="78">
        <v>0</v>
      </c>
      <c r="DA73" s="78">
        <v>1</v>
      </c>
      <c r="DB73" s="78">
        <v>0</v>
      </c>
      <c r="DC73" s="78">
        <v>0</v>
      </c>
      <c r="DD73" s="76">
        <v>4</v>
      </c>
      <c r="DE73" s="1" t="s">
        <v>448</v>
      </c>
      <c r="DF73" s="78">
        <v>4</v>
      </c>
      <c r="DG73" s="78">
        <v>1</v>
      </c>
      <c r="DH73" s="78">
        <v>1</v>
      </c>
      <c r="DI73" s="78">
        <v>0</v>
      </c>
      <c r="DJ73" s="78">
        <v>0</v>
      </c>
      <c r="DK73" s="78">
        <v>0</v>
      </c>
      <c r="DL73" s="78">
        <v>0</v>
      </c>
      <c r="DM73" s="78">
        <v>0</v>
      </c>
      <c r="DN73" s="76">
        <v>1</v>
      </c>
      <c r="DO73" s="1" t="s">
        <v>365</v>
      </c>
      <c r="DP73" s="78">
        <v>3</v>
      </c>
      <c r="DQ73" s="78">
        <v>1</v>
      </c>
      <c r="DR73" s="78">
        <v>1</v>
      </c>
      <c r="DS73" s="78">
        <v>0</v>
      </c>
      <c r="DT73" s="78">
        <v>1</v>
      </c>
      <c r="DU73" s="78">
        <v>0</v>
      </c>
      <c r="DV73" s="78">
        <v>0</v>
      </c>
      <c r="DW73" s="78">
        <v>0</v>
      </c>
      <c r="DX73" s="76">
        <v>1</v>
      </c>
      <c r="DY73" s="77">
        <f>5+2/3</f>
        <v>5.666666666666667</v>
      </c>
      <c r="DZ73" s="43">
        <v>2</v>
      </c>
      <c r="EA73" s="43">
        <v>0</v>
      </c>
      <c r="EB73" s="45">
        <f>3+1/3</f>
        <v>3.3333333333333335</v>
      </c>
      <c r="EC73" s="43">
        <v>0</v>
      </c>
      <c r="ED73" s="44">
        <v>0</v>
      </c>
      <c r="EE73" s="71">
        <v>0</v>
      </c>
      <c r="EF73" s="43">
        <v>0</v>
      </c>
      <c r="EG73" s="43">
        <v>4</v>
      </c>
      <c r="EH73" s="43">
        <v>0</v>
      </c>
      <c r="EI73" s="43">
        <v>0</v>
      </c>
      <c r="EJ73" s="43">
        <v>0</v>
      </c>
      <c r="EK73" s="43">
        <v>0</v>
      </c>
      <c r="EL73" s="43">
        <v>0</v>
      </c>
      <c r="EM73" s="43">
        <v>2</v>
      </c>
      <c r="EN73" s="43"/>
      <c r="EO73" s="43"/>
      <c r="EP73" s="43"/>
      <c r="EQ73" s="43"/>
      <c r="ER73" s="43"/>
      <c r="ES73" s="43"/>
      <c r="ET73" s="44">
        <f t="shared" si="16"/>
        <v>6</v>
      </c>
      <c r="EU73" s="43">
        <v>0</v>
      </c>
      <c r="EV73" s="43">
        <v>0</v>
      </c>
      <c r="EW73" s="43">
        <v>2</v>
      </c>
      <c r="EX73" s="43">
        <v>1</v>
      </c>
      <c r="EY73" s="43">
        <v>3</v>
      </c>
      <c r="EZ73" s="43">
        <v>0</v>
      </c>
      <c r="FA73" s="43">
        <v>0</v>
      </c>
      <c r="FB73" s="43">
        <v>5</v>
      </c>
      <c r="FC73" s="43">
        <v>0</v>
      </c>
      <c r="FD73" s="43"/>
      <c r="FE73" s="43"/>
      <c r="FF73" s="43"/>
      <c r="FG73" s="43"/>
      <c r="FH73" s="43"/>
      <c r="FI73" s="43"/>
      <c r="FJ73" s="43">
        <f t="shared" si="17"/>
        <v>11</v>
      </c>
      <c r="FK73" s="73">
        <f t="shared" si="14"/>
        <v>0</v>
      </c>
      <c r="FL73" s="73">
        <f t="shared" si="15"/>
        <v>0</v>
      </c>
      <c r="FM73" s="38"/>
    </row>
    <row r="74" spans="1:169" x14ac:dyDescent="0.25">
      <c r="A74" s="53">
        <v>40353</v>
      </c>
      <c r="B74" s="53" t="s">
        <v>19</v>
      </c>
      <c r="C74" s="53" t="s">
        <v>131</v>
      </c>
      <c r="D74" s="53" t="s">
        <v>380</v>
      </c>
      <c r="E74" s="54">
        <v>3419</v>
      </c>
      <c r="F74" s="58">
        <v>3</v>
      </c>
      <c r="G74" s="59" t="s">
        <v>368</v>
      </c>
      <c r="H74" s="6">
        <v>0</v>
      </c>
      <c r="I74" s="6">
        <v>1</v>
      </c>
      <c r="J74" s="60">
        <v>5</v>
      </c>
      <c r="K74" s="6">
        <v>5</v>
      </c>
      <c r="L74" s="6">
        <v>6</v>
      </c>
      <c r="M74" s="6">
        <v>3</v>
      </c>
      <c r="N74" s="6">
        <v>3</v>
      </c>
      <c r="O74" s="6">
        <v>4</v>
      </c>
      <c r="P74" s="6">
        <v>1</v>
      </c>
      <c r="Q74" s="6">
        <v>0</v>
      </c>
      <c r="R74" s="6">
        <v>24</v>
      </c>
      <c r="S74" s="6">
        <v>97</v>
      </c>
      <c r="T74" s="6">
        <v>60</v>
      </c>
      <c r="U74" s="6">
        <v>0</v>
      </c>
      <c r="V74" s="61">
        <v>0</v>
      </c>
      <c r="W74" s="62">
        <v>0</v>
      </c>
      <c r="X74" s="62">
        <v>0</v>
      </c>
      <c r="Y74" s="62">
        <v>0</v>
      </c>
      <c r="Z74" s="62">
        <v>0</v>
      </c>
      <c r="AA74" s="62">
        <v>0</v>
      </c>
      <c r="AB74" s="63">
        <v>4</v>
      </c>
      <c r="AC74" s="62">
        <v>6</v>
      </c>
      <c r="AD74" s="62">
        <v>5</v>
      </c>
      <c r="AE74" s="62">
        <v>5</v>
      </c>
      <c r="AF74" s="62">
        <v>3</v>
      </c>
      <c r="AG74" s="62">
        <v>3</v>
      </c>
      <c r="AH74" s="62">
        <v>1</v>
      </c>
      <c r="AI74" s="62">
        <v>0</v>
      </c>
      <c r="AJ74" s="62">
        <v>23</v>
      </c>
      <c r="AK74" s="62">
        <v>95</v>
      </c>
      <c r="AL74" s="62">
        <v>58</v>
      </c>
      <c r="AM74" s="1" t="s">
        <v>441</v>
      </c>
      <c r="AN74" s="78">
        <v>4</v>
      </c>
      <c r="AO74" s="78">
        <v>0</v>
      </c>
      <c r="AP74" s="78">
        <v>0</v>
      </c>
      <c r="AQ74" s="78">
        <v>0</v>
      </c>
      <c r="AR74" s="78">
        <v>0</v>
      </c>
      <c r="AS74" s="78">
        <v>1</v>
      </c>
      <c r="AT74" s="78">
        <v>0</v>
      </c>
      <c r="AU74" s="78">
        <v>0</v>
      </c>
      <c r="AV74" s="76">
        <v>0</v>
      </c>
      <c r="AW74" s="1" t="s">
        <v>402</v>
      </c>
      <c r="AX74" s="78">
        <v>3</v>
      </c>
      <c r="AY74" s="78">
        <v>0</v>
      </c>
      <c r="AZ74" s="78">
        <v>0</v>
      </c>
      <c r="BA74" s="78">
        <v>0</v>
      </c>
      <c r="BB74" s="78">
        <v>1</v>
      </c>
      <c r="BC74" s="78">
        <v>1</v>
      </c>
      <c r="BD74" s="78">
        <v>0</v>
      </c>
      <c r="BE74" s="78">
        <v>0</v>
      </c>
      <c r="BF74" s="76">
        <v>0</v>
      </c>
      <c r="BG74" s="1" t="s">
        <v>446</v>
      </c>
      <c r="BH74" s="78">
        <v>3</v>
      </c>
      <c r="BI74" s="78">
        <v>0</v>
      </c>
      <c r="BJ74" s="78">
        <v>0</v>
      </c>
      <c r="BK74" s="78">
        <v>0</v>
      </c>
      <c r="BL74" s="78">
        <v>1</v>
      </c>
      <c r="BM74" s="78">
        <v>1</v>
      </c>
      <c r="BN74" s="78">
        <v>0</v>
      </c>
      <c r="BO74" s="78">
        <v>0</v>
      </c>
      <c r="BP74" s="76">
        <v>0</v>
      </c>
      <c r="BQ74" s="1" t="s">
        <v>501</v>
      </c>
      <c r="BR74" s="78">
        <v>4</v>
      </c>
      <c r="BS74" s="78">
        <v>0</v>
      </c>
      <c r="BT74" s="78">
        <v>1</v>
      </c>
      <c r="BU74" s="78">
        <v>0</v>
      </c>
      <c r="BV74" s="78">
        <v>0</v>
      </c>
      <c r="BW74" s="78">
        <v>0</v>
      </c>
      <c r="BX74" s="78">
        <v>0</v>
      </c>
      <c r="BY74" s="78">
        <v>0</v>
      </c>
      <c r="BZ74" s="76">
        <v>1</v>
      </c>
      <c r="CA74" s="1" t="s">
        <v>444</v>
      </c>
      <c r="CB74" s="78">
        <v>2</v>
      </c>
      <c r="CC74" s="78">
        <v>0</v>
      </c>
      <c r="CD74" s="78">
        <v>1</v>
      </c>
      <c r="CE74" s="78">
        <v>0</v>
      </c>
      <c r="CF74" s="78">
        <v>2</v>
      </c>
      <c r="CG74" s="78">
        <v>0</v>
      </c>
      <c r="CH74" s="78">
        <v>0</v>
      </c>
      <c r="CI74" s="78">
        <v>0</v>
      </c>
      <c r="CJ74" s="76">
        <v>1</v>
      </c>
      <c r="CK74" s="1" t="s">
        <v>473</v>
      </c>
      <c r="CL74" s="78">
        <v>4</v>
      </c>
      <c r="CM74" s="78">
        <v>0</v>
      </c>
      <c r="CN74" s="78">
        <v>0</v>
      </c>
      <c r="CO74" s="78">
        <v>0</v>
      </c>
      <c r="CP74" s="78">
        <v>0</v>
      </c>
      <c r="CQ74" s="78">
        <v>0</v>
      </c>
      <c r="CR74" s="78">
        <v>0</v>
      </c>
      <c r="CS74" s="78">
        <v>0</v>
      </c>
      <c r="CT74" s="76">
        <v>0</v>
      </c>
      <c r="CU74" s="1" t="s">
        <v>366</v>
      </c>
      <c r="CV74" s="78">
        <v>4</v>
      </c>
      <c r="CW74" s="78">
        <v>1</v>
      </c>
      <c r="CX74" s="78">
        <v>1</v>
      </c>
      <c r="CY74" s="78">
        <v>1</v>
      </c>
      <c r="CZ74" s="78">
        <v>0</v>
      </c>
      <c r="DA74" s="78">
        <v>2</v>
      </c>
      <c r="DB74" s="78">
        <v>0</v>
      </c>
      <c r="DC74" s="78">
        <v>0</v>
      </c>
      <c r="DD74" s="76">
        <v>4</v>
      </c>
      <c r="DE74" s="1" t="s">
        <v>448</v>
      </c>
      <c r="DF74" s="78">
        <v>4</v>
      </c>
      <c r="DG74" s="78">
        <v>0</v>
      </c>
      <c r="DH74" s="78">
        <v>0</v>
      </c>
      <c r="DI74" s="78">
        <v>0</v>
      </c>
      <c r="DJ74" s="78">
        <v>0</v>
      </c>
      <c r="DK74" s="78">
        <v>3</v>
      </c>
      <c r="DL74" s="78">
        <v>0</v>
      </c>
      <c r="DM74" s="78">
        <v>0</v>
      </c>
      <c r="DN74" s="76">
        <v>0</v>
      </c>
      <c r="DO74" s="1" t="s">
        <v>364</v>
      </c>
      <c r="DP74" s="78">
        <v>3</v>
      </c>
      <c r="DQ74" s="78">
        <v>0</v>
      </c>
      <c r="DR74" s="78">
        <v>1</v>
      </c>
      <c r="DS74" s="78">
        <v>0</v>
      </c>
      <c r="DT74" s="78">
        <v>0</v>
      </c>
      <c r="DU74" s="78">
        <v>0</v>
      </c>
      <c r="DV74" s="78">
        <v>0</v>
      </c>
      <c r="DW74" s="78">
        <v>0</v>
      </c>
      <c r="DX74" s="76">
        <v>1</v>
      </c>
      <c r="DY74" s="77">
        <v>1</v>
      </c>
      <c r="DZ74" s="43">
        <v>0</v>
      </c>
      <c r="EA74" s="43">
        <v>0</v>
      </c>
      <c r="EB74" s="45">
        <v>8</v>
      </c>
      <c r="EC74" s="43">
        <v>1</v>
      </c>
      <c r="ED74" s="44">
        <v>0</v>
      </c>
      <c r="EE74" s="71">
        <v>0</v>
      </c>
      <c r="EF74" s="43">
        <v>1</v>
      </c>
      <c r="EG74" s="43">
        <v>0</v>
      </c>
      <c r="EH74" s="43">
        <v>0</v>
      </c>
      <c r="EI74" s="43">
        <v>0</v>
      </c>
      <c r="EJ74" s="43">
        <v>0</v>
      </c>
      <c r="EK74" s="43">
        <v>0</v>
      </c>
      <c r="EL74" s="43">
        <v>0</v>
      </c>
      <c r="EM74" s="43">
        <v>0</v>
      </c>
      <c r="EN74" s="43"/>
      <c r="EO74" s="43"/>
      <c r="EP74" s="43"/>
      <c r="EQ74" s="43"/>
      <c r="ER74" s="43"/>
      <c r="ES74" s="43"/>
      <c r="ET74" s="44">
        <f t="shared" si="16"/>
        <v>1</v>
      </c>
      <c r="EU74" s="43">
        <v>0</v>
      </c>
      <c r="EV74" s="43">
        <v>1</v>
      </c>
      <c r="EW74" s="43">
        <v>5</v>
      </c>
      <c r="EX74" s="43">
        <v>0</v>
      </c>
      <c r="EY74" s="43">
        <v>0</v>
      </c>
      <c r="EZ74" s="43">
        <v>0</v>
      </c>
      <c r="FA74" s="43">
        <v>2</v>
      </c>
      <c r="FB74" s="43">
        <v>0</v>
      </c>
      <c r="FC74" s="43">
        <v>3</v>
      </c>
      <c r="FD74" s="43"/>
      <c r="FE74" s="43"/>
      <c r="FF74" s="43"/>
      <c r="FG74" s="43"/>
      <c r="FH74" s="43"/>
      <c r="FI74" s="43"/>
      <c r="FJ74" s="43">
        <f t="shared" si="17"/>
        <v>11</v>
      </c>
      <c r="FK74" s="73">
        <f t="shared" si="14"/>
        <v>0</v>
      </c>
      <c r="FL74" s="73">
        <f t="shared" si="15"/>
        <v>0</v>
      </c>
      <c r="FM74" s="38"/>
    </row>
    <row r="75" spans="1:169" x14ac:dyDescent="0.25">
      <c r="A75" s="53">
        <v>40354</v>
      </c>
      <c r="B75" s="53" t="s">
        <v>19</v>
      </c>
      <c r="C75" s="53" t="s">
        <v>129</v>
      </c>
      <c r="D75" s="53" t="s">
        <v>380</v>
      </c>
      <c r="E75" s="54">
        <v>4219</v>
      </c>
      <c r="F75" s="58">
        <v>4</v>
      </c>
      <c r="G75" s="59" t="s">
        <v>439</v>
      </c>
      <c r="H75" s="6">
        <v>0</v>
      </c>
      <c r="I75" s="6">
        <v>0</v>
      </c>
      <c r="J75" s="60">
        <v>4</v>
      </c>
      <c r="K75" s="6">
        <v>3</v>
      </c>
      <c r="L75" s="6">
        <v>0</v>
      </c>
      <c r="M75" s="6">
        <v>0</v>
      </c>
      <c r="N75" s="6">
        <v>2</v>
      </c>
      <c r="O75" s="6">
        <v>10</v>
      </c>
      <c r="P75" s="6">
        <v>0</v>
      </c>
      <c r="Q75" s="6">
        <v>0</v>
      </c>
      <c r="R75" s="6">
        <v>17</v>
      </c>
      <c r="S75" s="6">
        <v>81</v>
      </c>
      <c r="T75" s="6">
        <v>54</v>
      </c>
      <c r="U75" s="6">
        <v>0</v>
      </c>
      <c r="V75" s="61">
        <v>0</v>
      </c>
      <c r="W75" s="62">
        <v>1</v>
      </c>
      <c r="X75" s="62">
        <v>0</v>
      </c>
      <c r="Y75" s="62">
        <v>0</v>
      </c>
      <c r="Z75" s="62">
        <v>0</v>
      </c>
      <c r="AA75" s="62">
        <v>1</v>
      </c>
      <c r="AB75" s="63">
        <v>5</v>
      </c>
      <c r="AC75" s="62">
        <v>5</v>
      </c>
      <c r="AD75" s="62">
        <v>4</v>
      </c>
      <c r="AE75" s="62">
        <v>3</v>
      </c>
      <c r="AF75" s="62">
        <v>0</v>
      </c>
      <c r="AG75" s="62">
        <v>6</v>
      </c>
      <c r="AH75" s="62">
        <v>1</v>
      </c>
      <c r="AI75" s="62">
        <v>0</v>
      </c>
      <c r="AJ75" s="62">
        <v>22</v>
      </c>
      <c r="AK75" s="62">
        <v>76</v>
      </c>
      <c r="AL75" s="62">
        <v>55</v>
      </c>
      <c r="AM75" s="1" t="s">
        <v>441</v>
      </c>
      <c r="AN75" s="78">
        <v>4</v>
      </c>
      <c r="AO75" s="78">
        <v>2</v>
      </c>
      <c r="AP75" s="78">
        <v>3</v>
      </c>
      <c r="AQ75" s="78">
        <v>1</v>
      </c>
      <c r="AR75" s="78">
        <v>1</v>
      </c>
      <c r="AS75" s="78">
        <v>1</v>
      </c>
      <c r="AT75" s="78">
        <v>0</v>
      </c>
      <c r="AU75" s="78">
        <v>0</v>
      </c>
      <c r="AV75" s="76">
        <v>5</v>
      </c>
      <c r="AW75" s="1" t="s">
        <v>402</v>
      </c>
      <c r="AX75" s="78">
        <v>3</v>
      </c>
      <c r="AY75" s="78">
        <v>2</v>
      </c>
      <c r="AZ75" s="78">
        <v>3</v>
      </c>
      <c r="BA75" s="78">
        <v>1</v>
      </c>
      <c r="BB75" s="78">
        <v>2</v>
      </c>
      <c r="BC75" s="78">
        <v>0</v>
      </c>
      <c r="BD75" s="78">
        <v>0</v>
      </c>
      <c r="BE75" s="78">
        <v>0</v>
      </c>
      <c r="BF75" s="76">
        <v>3</v>
      </c>
      <c r="BG75" s="1" t="s">
        <v>446</v>
      </c>
      <c r="BH75" s="78">
        <v>4</v>
      </c>
      <c r="BI75" s="78">
        <v>0</v>
      </c>
      <c r="BJ75" s="78">
        <v>1</v>
      </c>
      <c r="BK75" s="78">
        <v>2</v>
      </c>
      <c r="BL75" s="78">
        <v>1</v>
      </c>
      <c r="BM75" s="78">
        <v>0</v>
      </c>
      <c r="BN75" s="78">
        <v>0</v>
      </c>
      <c r="BO75" s="78">
        <v>0</v>
      </c>
      <c r="BP75" s="76">
        <v>2</v>
      </c>
      <c r="BQ75" s="1" t="s">
        <v>443</v>
      </c>
      <c r="BR75" s="78">
        <v>4</v>
      </c>
      <c r="BS75" s="78">
        <v>0</v>
      </c>
      <c r="BT75" s="78">
        <v>2</v>
      </c>
      <c r="BU75" s="78">
        <v>2</v>
      </c>
      <c r="BV75" s="78">
        <v>0</v>
      </c>
      <c r="BW75" s="78">
        <v>0</v>
      </c>
      <c r="BX75" s="78">
        <v>0</v>
      </c>
      <c r="BY75" s="78">
        <v>0</v>
      </c>
      <c r="BZ75" s="76">
        <v>2</v>
      </c>
      <c r="CA75" s="1" t="s">
        <v>501</v>
      </c>
      <c r="CB75" s="78">
        <v>4</v>
      </c>
      <c r="CC75" s="78">
        <v>0</v>
      </c>
      <c r="CD75" s="78">
        <v>0</v>
      </c>
      <c r="CE75" s="78">
        <v>0</v>
      </c>
      <c r="CF75" s="78">
        <v>0</v>
      </c>
      <c r="CG75" s="78">
        <v>1</v>
      </c>
      <c r="CH75" s="78">
        <v>0</v>
      </c>
      <c r="CI75" s="78">
        <v>0</v>
      </c>
      <c r="CJ75" s="76">
        <v>0</v>
      </c>
      <c r="CK75" s="1" t="s">
        <v>444</v>
      </c>
      <c r="CL75" s="78">
        <v>4</v>
      </c>
      <c r="CM75" s="78">
        <v>0</v>
      </c>
      <c r="CN75" s="78">
        <v>1</v>
      </c>
      <c r="CO75" s="78">
        <v>0</v>
      </c>
      <c r="CP75" s="78">
        <v>0</v>
      </c>
      <c r="CQ75" s="78">
        <v>0</v>
      </c>
      <c r="CR75" s="78">
        <v>0</v>
      </c>
      <c r="CS75" s="78">
        <v>0</v>
      </c>
      <c r="CT75" s="76">
        <v>1</v>
      </c>
      <c r="CU75" s="1" t="s">
        <v>473</v>
      </c>
      <c r="CV75" s="78">
        <v>4</v>
      </c>
      <c r="CW75" s="78">
        <v>1</v>
      </c>
      <c r="CX75" s="78">
        <v>0</v>
      </c>
      <c r="CY75" s="78">
        <v>0</v>
      </c>
      <c r="CZ75" s="78">
        <v>0</v>
      </c>
      <c r="DA75" s="78">
        <v>2</v>
      </c>
      <c r="DB75" s="78">
        <v>0</v>
      </c>
      <c r="DC75" s="78">
        <v>0</v>
      </c>
      <c r="DD75" s="76">
        <v>0</v>
      </c>
      <c r="DE75" s="1" t="s">
        <v>448</v>
      </c>
      <c r="DF75" s="78">
        <v>3</v>
      </c>
      <c r="DG75" s="78">
        <v>0</v>
      </c>
      <c r="DH75" s="78">
        <v>1</v>
      </c>
      <c r="DI75" s="78">
        <v>0</v>
      </c>
      <c r="DJ75" s="78">
        <v>1</v>
      </c>
      <c r="DK75" s="78">
        <v>1</v>
      </c>
      <c r="DL75" s="78">
        <v>0</v>
      </c>
      <c r="DM75" s="78">
        <v>0</v>
      </c>
      <c r="DN75" s="76">
        <v>1</v>
      </c>
      <c r="DO75" s="1" t="s">
        <v>365</v>
      </c>
      <c r="DP75" s="78">
        <v>4</v>
      </c>
      <c r="DQ75" s="78">
        <v>1</v>
      </c>
      <c r="DR75" s="78">
        <v>1</v>
      </c>
      <c r="DS75" s="78">
        <v>0</v>
      </c>
      <c r="DT75" s="78">
        <v>0</v>
      </c>
      <c r="DU75" s="78">
        <v>2</v>
      </c>
      <c r="DV75" s="78">
        <v>0</v>
      </c>
      <c r="DW75" s="78">
        <v>0</v>
      </c>
      <c r="DX75" s="76">
        <v>1</v>
      </c>
      <c r="DY75" s="77">
        <v>1</v>
      </c>
      <c r="DZ75" s="43">
        <v>0</v>
      </c>
      <c r="EA75" s="43">
        <v>0</v>
      </c>
      <c r="EB75" s="45">
        <v>7</v>
      </c>
      <c r="EC75" s="43">
        <v>1</v>
      </c>
      <c r="ED75" s="44">
        <v>1</v>
      </c>
      <c r="EE75" s="71">
        <v>1</v>
      </c>
      <c r="EF75" s="43">
        <v>0</v>
      </c>
      <c r="EG75" s="43">
        <v>0</v>
      </c>
      <c r="EH75" s="43">
        <v>0</v>
      </c>
      <c r="EI75" s="43">
        <v>1</v>
      </c>
      <c r="EJ75" s="43">
        <v>0</v>
      </c>
      <c r="EK75" s="43">
        <v>2</v>
      </c>
      <c r="EL75" s="43">
        <v>2</v>
      </c>
      <c r="EM75" s="43"/>
      <c r="EN75" s="43"/>
      <c r="EO75" s="43"/>
      <c r="EP75" s="43"/>
      <c r="EQ75" s="43"/>
      <c r="ER75" s="43"/>
      <c r="ES75" s="43"/>
      <c r="ET75" s="44">
        <f t="shared" si="16"/>
        <v>6</v>
      </c>
      <c r="EU75" s="43">
        <v>0</v>
      </c>
      <c r="EV75" s="43">
        <v>0</v>
      </c>
      <c r="EW75" s="43">
        <v>0</v>
      </c>
      <c r="EX75" s="43">
        <v>0</v>
      </c>
      <c r="EY75" s="43">
        <v>0</v>
      </c>
      <c r="EZ75" s="43">
        <v>1</v>
      </c>
      <c r="FA75" s="43">
        <v>0</v>
      </c>
      <c r="FB75" s="43">
        <v>3</v>
      </c>
      <c r="FC75" s="43">
        <v>0</v>
      </c>
      <c r="FD75" s="43"/>
      <c r="FE75" s="43"/>
      <c r="FF75" s="43"/>
      <c r="FG75" s="43"/>
      <c r="FH75" s="43"/>
      <c r="FI75" s="43"/>
      <c r="FJ75" s="43">
        <f t="shared" si="17"/>
        <v>4</v>
      </c>
      <c r="FK75" s="73">
        <f t="shared" si="14"/>
        <v>0</v>
      </c>
      <c r="FL75" s="73">
        <f t="shared" si="15"/>
        <v>0</v>
      </c>
      <c r="FM75" s="38"/>
    </row>
    <row r="76" spans="1:169" x14ac:dyDescent="0.25">
      <c r="A76" s="53">
        <v>40355</v>
      </c>
      <c r="B76" s="53" t="s">
        <v>19</v>
      </c>
      <c r="C76" s="53" t="s">
        <v>129</v>
      </c>
      <c r="D76" s="53" t="s">
        <v>380</v>
      </c>
      <c r="E76" s="54">
        <v>5985</v>
      </c>
      <c r="F76" s="58">
        <v>5</v>
      </c>
      <c r="G76" s="59" t="s">
        <v>470</v>
      </c>
      <c r="H76" s="6">
        <v>1</v>
      </c>
      <c r="I76" s="6">
        <v>0</v>
      </c>
      <c r="J76" s="60">
        <v>6</v>
      </c>
      <c r="K76" s="6">
        <v>4</v>
      </c>
      <c r="L76" s="6">
        <v>3</v>
      </c>
      <c r="M76" s="6">
        <v>3</v>
      </c>
      <c r="N76" s="6">
        <v>3</v>
      </c>
      <c r="O76" s="6">
        <v>6</v>
      </c>
      <c r="P76" s="6">
        <v>1</v>
      </c>
      <c r="Q76" s="6">
        <v>0</v>
      </c>
      <c r="R76" s="6">
        <v>24</v>
      </c>
      <c r="S76" s="6">
        <v>98</v>
      </c>
      <c r="T76" s="6">
        <v>63</v>
      </c>
      <c r="U76" s="6">
        <v>2</v>
      </c>
      <c r="V76" s="61">
        <v>0</v>
      </c>
      <c r="W76" s="62">
        <v>0</v>
      </c>
      <c r="X76" s="62">
        <v>0</v>
      </c>
      <c r="Y76" s="62">
        <v>1</v>
      </c>
      <c r="Z76" s="62">
        <v>1</v>
      </c>
      <c r="AA76" s="62">
        <v>0</v>
      </c>
      <c r="AB76" s="63">
        <v>3</v>
      </c>
      <c r="AC76" s="62">
        <v>0</v>
      </c>
      <c r="AD76" s="62">
        <v>0</v>
      </c>
      <c r="AE76" s="62">
        <v>0</v>
      </c>
      <c r="AF76" s="62">
        <v>1</v>
      </c>
      <c r="AG76" s="62">
        <v>2</v>
      </c>
      <c r="AH76" s="62">
        <v>0</v>
      </c>
      <c r="AI76" s="62">
        <v>0</v>
      </c>
      <c r="AJ76" s="62">
        <v>9</v>
      </c>
      <c r="AK76" s="62">
        <v>36</v>
      </c>
      <c r="AL76" s="62">
        <v>19</v>
      </c>
      <c r="AM76" s="1" t="s">
        <v>441</v>
      </c>
      <c r="AN76" s="78">
        <v>4</v>
      </c>
      <c r="AO76" s="78">
        <v>0</v>
      </c>
      <c r="AP76" s="78">
        <v>1</v>
      </c>
      <c r="AQ76" s="78">
        <v>0</v>
      </c>
      <c r="AR76" s="78">
        <v>1</v>
      </c>
      <c r="AS76" s="78">
        <v>1</v>
      </c>
      <c r="AT76" s="78">
        <v>0</v>
      </c>
      <c r="AU76" s="78">
        <v>0</v>
      </c>
      <c r="AV76" s="76">
        <v>1</v>
      </c>
      <c r="AW76" s="1" t="s">
        <v>402</v>
      </c>
      <c r="AX76" s="78">
        <v>5</v>
      </c>
      <c r="AY76" s="78">
        <v>1</v>
      </c>
      <c r="AZ76" s="78">
        <v>1</v>
      </c>
      <c r="BA76" s="78">
        <v>0</v>
      </c>
      <c r="BB76" s="78">
        <v>0</v>
      </c>
      <c r="BC76" s="78">
        <v>0</v>
      </c>
      <c r="BD76" s="78">
        <v>0</v>
      </c>
      <c r="BE76" s="78">
        <v>0</v>
      </c>
      <c r="BF76" s="76">
        <v>1</v>
      </c>
      <c r="BG76" s="1" t="s">
        <v>444</v>
      </c>
      <c r="BH76" s="78">
        <v>4</v>
      </c>
      <c r="BI76" s="78">
        <v>1</v>
      </c>
      <c r="BJ76" s="78">
        <v>1</v>
      </c>
      <c r="BK76" s="78">
        <v>0</v>
      </c>
      <c r="BL76" s="78">
        <v>1</v>
      </c>
      <c r="BM76" s="78">
        <v>2</v>
      </c>
      <c r="BN76" s="78">
        <v>0</v>
      </c>
      <c r="BO76" s="78">
        <v>0</v>
      </c>
      <c r="BP76" s="76">
        <v>1</v>
      </c>
      <c r="BQ76" s="1" t="s">
        <v>443</v>
      </c>
      <c r="BR76" s="78">
        <v>4</v>
      </c>
      <c r="BS76" s="78">
        <v>1</v>
      </c>
      <c r="BT76" s="78">
        <v>2</v>
      </c>
      <c r="BU76" s="78">
        <v>1</v>
      </c>
      <c r="BV76" s="78">
        <v>1</v>
      </c>
      <c r="BW76" s="78">
        <v>1</v>
      </c>
      <c r="BX76" s="78">
        <v>0</v>
      </c>
      <c r="BY76" s="78">
        <v>0</v>
      </c>
      <c r="BZ76" s="76">
        <v>2</v>
      </c>
      <c r="CA76" s="1" t="s">
        <v>501</v>
      </c>
      <c r="CB76" s="78">
        <v>5</v>
      </c>
      <c r="CC76" s="78">
        <v>1</v>
      </c>
      <c r="CD76" s="78">
        <v>1</v>
      </c>
      <c r="CE76" s="78">
        <v>3</v>
      </c>
      <c r="CF76" s="78">
        <v>0</v>
      </c>
      <c r="CG76" s="78">
        <v>2</v>
      </c>
      <c r="CH76" s="78">
        <v>0</v>
      </c>
      <c r="CI76" s="78">
        <v>0</v>
      </c>
      <c r="CJ76" s="76">
        <v>4</v>
      </c>
      <c r="CK76" s="1" t="s">
        <v>473</v>
      </c>
      <c r="CL76" s="78">
        <v>4</v>
      </c>
      <c r="CM76" s="78">
        <v>1</v>
      </c>
      <c r="CN76" s="78">
        <v>1</v>
      </c>
      <c r="CO76" s="78">
        <v>0</v>
      </c>
      <c r="CP76" s="78">
        <v>0</v>
      </c>
      <c r="CQ76" s="78">
        <v>1</v>
      </c>
      <c r="CR76" s="78">
        <v>0</v>
      </c>
      <c r="CS76" s="78">
        <v>0</v>
      </c>
      <c r="CT76" s="76">
        <v>2</v>
      </c>
      <c r="CU76" s="1" t="s">
        <v>448</v>
      </c>
      <c r="CV76" s="78">
        <v>2</v>
      </c>
      <c r="CW76" s="78">
        <v>0</v>
      </c>
      <c r="CX76" s="78">
        <v>1</v>
      </c>
      <c r="CY76" s="78">
        <v>1</v>
      </c>
      <c r="CZ76" s="78">
        <v>2</v>
      </c>
      <c r="DA76" s="78">
        <v>0</v>
      </c>
      <c r="DB76" s="78">
        <v>0</v>
      </c>
      <c r="DC76" s="78">
        <v>0</v>
      </c>
      <c r="DD76" s="76">
        <v>1</v>
      </c>
      <c r="DE76" s="1" t="s">
        <v>449</v>
      </c>
      <c r="DF76" s="78">
        <v>2</v>
      </c>
      <c r="DG76" s="78">
        <v>0</v>
      </c>
      <c r="DH76" s="78">
        <v>0</v>
      </c>
      <c r="DI76" s="78">
        <v>0</v>
      </c>
      <c r="DJ76" s="78">
        <v>2</v>
      </c>
      <c r="DK76" s="78">
        <v>0</v>
      </c>
      <c r="DL76" s="78">
        <v>0</v>
      </c>
      <c r="DM76" s="78">
        <v>0</v>
      </c>
      <c r="DN76" s="76">
        <v>0</v>
      </c>
      <c r="DO76" s="1" t="s">
        <v>365</v>
      </c>
      <c r="DP76" s="78">
        <v>3</v>
      </c>
      <c r="DQ76" s="78">
        <v>0</v>
      </c>
      <c r="DR76" s="78">
        <v>0</v>
      </c>
      <c r="DS76" s="78">
        <v>0</v>
      </c>
      <c r="DT76" s="78">
        <v>1</v>
      </c>
      <c r="DU76" s="78">
        <v>1</v>
      </c>
      <c r="DV76" s="78">
        <v>0</v>
      </c>
      <c r="DW76" s="78">
        <v>0</v>
      </c>
      <c r="DX76" s="76">
        <v>0</v>
      </c>
      <c r="DY76" s="77">
        <f>4+1/3</f>
        <v>4.333333333333333</v>
      </c>
      <c r="DZ76" s="43">
        <v>0</v>
      </c>
      <c r="EA76" s="43">
        <v>0</v>
      </c>
      <c r="EB76" s="45">
        <f>3+2/3</f>
        <v>3.6666666666666665</v>
      </c>
      <c r="EC76" s="43">
        <v>0</v>
      </c>
      <c r="ED76" s="44">
        <v>0</v>
      </c>
      <c r="EE76" s="71">
        <v>0</v>
      </c>
      <c r="EF76" s="43">
        <v>0</v>
      </c>
      <c r="EG76" s="43">
        <v>3</v>
      </c>
      <c r="EH76" s="43">
        <v>0</v>
      </c>
      <c r="EI76" s="43">
        <v>1</v>
      </c>
      <c r="EJ76" s="43">
        <v>1</v>
      </c>
      <c r="EK76" s="43">
        <v>0</v>
      </c>
      <c r="EL76" s="43">
        <v>0</v>
      </c>
      <c r="EM76" s="43"/>
      <c r="EN76" s="43"/>
      <c r="EO76" s="43"/>
      <c r="EP76" s="43"/>
      <c r="EQ76" s="43"/>
      <c r="ER76" s="43"/>
      <c r="ES76" s="43"/>
      <c r="ET76" s="44">
        <f t="shared" si="16"/>
        <v>5</v>
      </c>
      <c r="EU76" s="43">
        <v>3</v>
      </c>
      <c r="EV76" s="43">
        <v>0</v>
      </c>
      <c r="EW76" s="43">
        <v>0</v>
      </c>
      <c r="EX76" s="43">
        <v>0</v>
      </c>
      <c r="EY76" s="43">
        <v>0</v>
      </c>
      <c r="EZ76" s="43">
        <v>0</v>
      </c>
      <c r="FA76" s="43">
        <v>0</v>
      </c>
      <c r="FB76" s="43">
        <v>0</v>
      </c>
      <c r="FC76" s="43">
        <v>0</v>
      </c>
      <c r="FD76" s="43"/>
      <c r="FE76" s="43"/>
      <c r="FF76" s="43"/>
      <c r="FG76" s="43"/>
      <c r="FH76" s="43"/>
      <c r="FI76" s="43"/>
      <c r="FJ76" s="43">
        <f t="shared" si="17"/>
        <v>3</v>
      </c>
      <c r="FK76" s="73">
        <f t="shared" si="14"/>
        <v>0</v>
      </c>
      <c r="FL76" s="73">
        <f t="shared" si="15"/>
        <v>0</v>
      </c>
      <c r="FM76" s="38"/>
    </row>
    <row r="77" spans="1:169" x14ac:dyDescent="0.25">
      <c r="A77" s="53">
        <v>40356</v>
      </c>
      <c r="B77" s="53" t="s">
        <v>19</v>
      </c>
      <c r="C77" s="53" t="s">
        <v>129</v>
      </c>
      <c r="D77" s="53" t="s">
        <v>380</v>
      </c>
      <c r="E77" s="54">
        <v>1996</v>
      </c>
      <c r="F77" s="58">
        <v>1</v>
      </c>
      <c r="G77" s="59" t="s">
        <v>424</v>
      </c>
      <c r="H77" s="6">
        <v>0</v>
      </c>
      <c r="I77" s="6">
        <v>0</v>
      </c>
      <c r="J77" s="60">
        <v>4</v>
      </c>
      <c r="K77" s="6">
        <v>4</v>
      </c>
      <c r="L77" s="6">
        <v>2</v>
      </c>
      <c r="M77" s="6">
        <v>2</v>
      </c>
      <c r="N77" s="6">
        <v>3</v>
      </c>
      <c r="O77" s="6">
        <v>6</v>
      </c>
      <c r="P77" s="6">
        <v>1</v>
      </c>
      <c r="Q77" s="6">
        <v>0</v>
      </c>
      <c r="R77" s="6">
        <v>19</v>
      </c>
      <c r="S77" s="6">
        <v>89</v>
      </c>
      <c r="T77" s="6">
        <v>52</v>
      </c>
      <c r="U77" s="6">
        <v>0</v>
      </c>
      <c r="V77" s="61">
        <v>0</v>
      </c>
      <c r="W77" s="62">
        <v>1</v>
      </c>
      <c r="X77" s="62">
        <v>0</v>
      </c>
      <c r="Y77" s="62">
        <v>1</v>
      </c>
      <c r="Z77" s="62">
        <v>0</v>
      </c>
      <c r="AA77" s="62">
        <v>0</v>
      </c>
      <c r="AB77" s="63">
        <v>5</v>
      </c>
      <c r="AC77" s="62">
        <v>3</v>
      </c>
      <c r="AD77" s="62">
        <v>0</v>
      </c>
      <c r="AE77" s="62">
        <v>0</v>
      </c>
      <c r="AF77" s="62">
        <v>1</v>
      </c>
      <c r="AG77" s="62">
        <v>4</v>
      </c>
      <c r="AH77" s="62">
        <v>0</v>
      </c>
      <c r="AI77" s="62">
        <v>0</v>
      </c>
      <c r="AJ77" s="62">
        <v>18</v>
      </c>
      <c r="AK77" s="62">
        <v>70</v>
      </c>
      <c r="AL77" s="62">
        <v>45</v>
      </c>
      <c r="AM77" s="1" t="s">
        <v>441</v>
      </c>
      <c r="AN77" s="78">
        <v>3</v>
      </c>
      <c r="AO77" s="78">
        <v>1</v>
      </c>
      <c r="AP77" s="78">
        <v>1</v>
      </c>
      <c r="AQ77" s="78">
        <v>0</v>
      </c>
      <c r="AR77" s="78">
        <v>1</v>
      </c>
      <c r="AS77" s="78">
        <v>0</v>
      </c>
      <c r="AT77" s="78">
        <v>1</v>
      </c>
      <c r="AU77" s="78">
        <v>0</v>
      </c>
      <c r="AV77" s="76">
        <v>1</v>
      </c>
      <c r="AW77" s="1" t="s">
        <v>402</v>
      </c>
      <c r="AX77" s="78">
        <v>4</v>
      </c>
      <c r="AY77" s="78">
        <v>0</v>
      </c>
      <c r="AZ77" s="78">
        <v>1</v>
      </c>
      <c r="BA77" s="78">
        <v>0</v>
      </c>
      <c r="BB77" s="78">
        <v>1</v>
      </c>
      <c r="BC77" s="78">
        <v>1</v>
      </c>
      <c r="BD77" s="78">
        <v>0</v>
      </c>
      <c r="BE77" s="78">
        <v>0</v>
      </c>
      <c r="BF77" s="76">
        <v>1</v>
      </c>
      <c r="BG77" s="1" t="s">
        <v>446</v>
      </c>
      <c r="BH77" s="78">
        <v>3</v>
      </c>
      <c r="BI77" s="78">
        <v>0</v>
      </c>
      <c r="BJ77" s="78">
        <v>2</v>
      </c>
      <c r="BK77" s="78">
        <v>1</v>
      </c>
      <c r="BL77" s="78">
        <v>0</v>
      </c>
      <c r="BM77" s="78">
        <v>0</v>
      </c>
      <c r="BN77" s="78">
        <v>1</v>
      </c>
      <c r="BO77" s="78">
        <v>0</v>
      </c>
      <c r="BP77" s="76">
        <v>3</v>
      </c>
      <c r="BQ77" s="1" t="s">
        <v>443</v>
      </c>
      <c r="BR77" s="78">
        <v>4</v>
      </c>
      <c r="BS77" s="78">
        <v>1</v>
      </c>
      <c r="BT77" s="78">
        <v>2</v>
      </c>
      <c r="BU77" s="78">
        <v>1</v>
      </c>
      <c r="BV77" s="78">
        <v>1</v>
      </c>
      <c r="BW77" s="78">
        <v>0</v>
      </c>
      <c r="BX77" s="78">
        <v>0</v>
      </c>
      <c r="BY77" s="78">
        <v>0</v>
      </c>
      <c r="BZ77" s="76">
        <v>2</v>
      </c>
      <c r="CA77" s="1" t="s">
        <v>501</v>
      </c>
      <c r="CB77" s="78">
        <v>4</v>
      </c>
      <c r="CC77" s="78">
        <v>1</v>
      </c>
      <c r="CD77" s="78">
        <v>2</v>
      </c>
      <c r="CE77" s="78">
        <v>0</v>
      </c>
      <c r="CF77" s="78">
        <v>0</v>
      </c>
      <c r="CG77" s="78">
        <v>0</v>
      </c>
      <c r="CH77" s="78">
        <v>0</v>
      </c>
      <c r="CI77" s="78">
        <v>0</v>
      </c>
      <c r="CJ77" s="76">
        <v>2</v>
      </c>
      <c r="CK77" s="1" t="s">
        <v>444</v>
      </c>
      <c r="CL77" s="78">
        <v>4</v>
      </c>
      <c r="CM77" s="78">
        <v>1</v>
      </c>
      <c r="CN77" s="78">
        <v>0</v>
      </c>
      <c r="CO77" s="78">
        <v>0</v>
      </c>
      <c r="CP77" s="78">
        <v>0</v>
      </c>
      <c r="CQ77" s="78">
        <v>0</v>
      </c>
      <c r="CR77" s="78">
        <v>0</v>
      </c>
      <c r="CS77" s="78">
        <v>0</v>
      </c>
      <c r="CT77" s="76">
        <v>0</v>
      </c>
      <c r="CU77" s="1" t="s">
        <v>473</v>
      </c>
      <c r="CV77" s="78">
        <v>4</v>
      </c>
      <c r="CW77" s="78">
        <v>1</v>
      </c>
      <c r="CX77" s="78">
        <v>1</v>
      </c>
      <c r="CY77" s="78">
        <v>2</v>
      </c>
      <c r="CZ77" s="78">
        <v>0</v>
      </c>
      <c r="DA77" s="78">
        <v>0</v>
      </c>
      <c r="DB77" s="78">
        <v>0</v>
      </c>
      <c r="DC77" s="78">
        <v>0</v>
      </c>
      <c r="DD77" s="76">
        <v>2</v>
      </c>
      <c r="DE77" s="1" t="s">
        <v>448</v>
      </c>
      <c r="DF77" s="78">
        <v>4</v>
      </c>
      <c r="DG77" s="78">
        <v>0</v>
      </c>
      <c r="DH77" s="78">
        <v>1</v>
      </c>
      <c r="DI77" s="78">
        <v>0</v>
      </c>
      <c r="DJ77" s="78">
        <v>0</v>
      </c>
      <c r="DK77" s="78">
        <v>1</v>
      </c>
      <c r="DL77" s="78">
        <v>0</v>
      </c>
      <c r="DM77" s="78">
        <v>0</v>
      </c>
      <c r="DN77" s="76">
        <v>1</v>
      </c>
      <c r="DO77" s="1" t="s">
        <v>365</v>
      </c>
      <c r="DP77" s="78">
        <v>4</v>
      </c>
      <c r="DQ77" s="78">
        <v>1</v>
      </c>
      <c r="DR77" s="78">
        <v>2</v>
      </c>
      <c r="DS77" s="78">
        <v>1</v>
      </c>
      <c r="DT77" s="78">
        <v>0</v>
      </c>
      <c r="DU77" s="78">
        <v>0</v>
      </c>
      <c r="DV77" s="78">
        <v>0</v>
      </c>
      <c r="DW77" s="78">
        <v>0</v>
      </c>
      <c r="DX77" s="76">
        <v>2</v>
      </c>
      <c r="DY77" s="77">
        <f>0+1/3</f>
        <v>0.33333333333333331</v>
      </c>
      <c r="DZ77" s="43">
        <v>0</v>
      </c>
      <c r="EA77" s="43">
        <v>0</v>
      </c>
      <c r="EB77" s="45">
        <f>7+2/3</f>
        <v>7.666666666666667</v>
      </c>
      <c r="EC77" s="43">
        <v>2</v>
      </c>
      <c r="ED77" s="44">
        <v>0</v>
      </c>
      <c r="EE77" s="71">
        <v>1</v>
      </c>
      <c r="EF77" s="43">
        <v>0</v>
      </c>
      <c r="EG77" s="43">
        <v>0</v>
      </c>
      <c r="EH77" s="43">
        <v>0</v>
      </c>
      <c r="EI77" s="43">
        <v>0</v>
      </c>
      <c r="EJ77" s="43">
        <v>4</v>
      </c>
      <c r="EK77" s="43">
        <v>0</v>
      </c>
      <c r="EL77" s="43">
        <v>1</v>
      </c>
      <c r="EM77" s="43"/>
      <c r="EN77" s="43"/>
      <c r="EO77" s="43"/>
      <c r="EP77" s="43"/>
      <c r="EQ77" s="43"/>
      <c r="ER77" s="43"/>
      <c r="ES77" s="43"/>
      <c r="ET77" s="44">
        <f t="shared" si="16"/>
        <v>6</v>
      </c>
      <c r="EU77" s="43">
        <v>1</v>
      </c>
      <c r="EV77" s="43">
        <v>0</v>
      </c>
      <c r="EW77" s="43">
        <v>0</v>
      </c>
      <c r="EX77" s="43">
        <v>1</v>
      </c>
      <c r="EY77" s="43">
        <v>0</v>
      </c>
      <c r="EZ77" s="43">
        <v>0</v>
      </c>
      <c r="FA77" s="43">
        <v>0</v>
      </c>
      <c r="FB77" s="43">
        <v>0</v>
      </c>
      <c r="FC77" s="43">
        <v>0</v>
      </c>
      <c r="FD77" s="43"/>
      <c r="FE77" s="43"/>
      <c r="FF77" s="43"/>
      <c r="FG77" s="43"/>
      <c r="FH77" s="43"/>
      <c r="FI77" s="43"/>
      <c r="FJ77" s="43">
        <f t="shared" si="17"/>
        <v>2</v>
      </c>
      <c r="FK77" s="73">
        <f t="shared" si="14"/>
        <v>0</v>
      </c>
      <c r="FL77" s="73">
        <f t="shared" si="15"/>
        <v>0</v>
      </c>
      <c r="FM77" s="38"/>
    </row>
    <row r="78" spans="1:169" x14ac:dyDescent="0.25">
      <c r="A78" s="53">
        <v>40357</v>
      </c>
      <c r="B78" s="53" t="s">
        <v>133</v>
      </c>
      <c r="C78" s="53" t="s">
        <v>131</v>
      </c>
      <c r="D78" s="53" t="s">
        <v>370</v>
      </c>
      <c r="E78" s="54">
        <v>1956</v>
      </c>
      <c r="F78" s="58">
        <v>2</v>
      </c>
      <c r="G78" s="59" t="s">
        <v>438</v>
      </c>
      <c r="H78" s="6">
        <v>0</v>
      </c>
      <c r="I78" s="6">
        <v>0</v>
      </c>
      <c r="J78" s="60">
        <f>4+2/3</f>
        <v>4.666666666666667</v>
      </c>
      <c r="K78" s="6">
        <v>6</v>
      </c>
      <c r="L78" s="6">
        <v>4</v>
      </c>
      <c r="M78" s="6">
        <v>3</v>
      </c>
      <c r="N78" s="6">
        <v>2</v>
      </c>
      <c r="O78" s="6">
        <v>5</v>
      </c>
      <c r="P78" s="6">
        <v>1</v>
      </c>
      <c r="Q78" s="6">
        <v>0</v>
      </c>
      <c r="R78" s="6">
        <v>23</v>
      </c>
      <c r="S78" s="6">
        <v>96</v>
      </c>
      <c r="T78" s="6">
        <v>59</v>
      </c>
      <c r="U78" s="6">
        <v>2</v>
      </c>
      <c r="V78" s="61">
        <v>0</v>
      </c>
      <c r="W78" s="62">
        <v>0</v>
      </c>
      <c r="X78" s="62">
        <v>1</v>
      </c>
      <c r="Y78" s="62">
        <v>0</v>
      </c>
      <c r="Z78" s="62">
        <v>0</v>
      </c>
      <c r="AA78" s="62">
        <v>0</v>
      </c>
      <c r="AB78" s="63">
        <f>3+2/3</f>
        <v>3.6666666666666665</v>
      </c>
      <c r="AC78" s="62">
        <v>4</v>
      </c>
      <c r="AD78" s="62">
        <v>2</v>
      </c>
      <c r="AE78" s="62">
        <v>2</v>
      </c>
      <c r="AF78" s="62">
        <v>2</v>
      </c>
      <c r="AG78" s="62">
        <v>5</v>
      </c>
      <c r="AH78" s="62">
        <v>0</v>
      </c>
      <c r="AI78" s="62">
        <v>1</v>
      </c>
      <c r="AJ78" s="62">
        <v>17</v>
      </c>
      <c r="AK78" s="62">
        <v>73</v>
      </c>
      <c r="AL78" s="62">
        <v>47</v>
      </c>
      <c r="AM78" s="1" t="s">
        <v>441</v>
      </c>
      <c r="AN78" s="78">
        <v>5</v>
      </c>
      <c r="AO78" s="78">
        <v>0</v>
      </c>
      <c r="AP78" s="78">
        <v>0</v>
      </c>
      <c r="AQ78" s="78">
        <v>0</v>
      </c>
      <c r="AR78" s="78">
        <v>0</v>
      </c>
      <c r="AS78" s="78">
        <v>2</v>
      </c>
      <c r="AT78" s="78">
        <v>0</v>
      </c>
      <c r="AU78" s="78">
        <v>0</v>
      </c>
      <c r="AV78" s="76">
        <v>0</v>
      </c>
      <c r="AW78" s="1" t="s">
        <v>402</v>
      </c>
      <c r="AX78" s="78">
        <v>3</v>
      </c>
      <c r="AY78" s="78">
        <v>1</v>
      </c>
      <c r="AZ78" s="78">
        <v>2</v>
      </c>
      <c r="BA78" s="78">
        <v>0</v>
      </c>
      <c r="BB78" s="78">
        <v>2</v>
      </c>
      <c r="BC78" s="78">
        <v>0</v>
      </c>
      <c r="BD78" s="78">
        <v>0</v>
      </c>
      <c r="BE78" s="78">
        <v>0</v>
      </c>
      <c r="BF78" s="76">
        <v>2</v>
      </c>
      <c r="BG78" s="1" t="s">
        <v>446</v>
      </c>
      <c r="BH78" s="78">
        <v>5</v>
      </c>
      <c r="BI78" s="78">
        <v>1</v>
      </c>
      <c r="BJ78" s="78">
        <v>1</v>
      </c>
      <c r="BK78" s="78">
        <v>1</v>
      </c>
      <c r="BL78" s="78">
        <v>0</v>
      </c>
      <c r="BM78" s="78">
        <v>1</v>
      </c>
      <c r="BN78" s="78">
        <v>0</v>
      </c>
      <c r="BO78" s="78">
        <v>0</v>
      </c>
      <c r="BP78" s="76">
        <v>2</v>
      </c>
      <c r="BQ78" s="1" t="s">
        <v>443</v>
      </c>
      <c r="BR78" s="78">
        <v>4</v>
      </c>
      <c r="BS78" s="78">
        <v>0</v>
      </c>
      <c r="BT78" s="78">
        <v>1</v>
      </c>
      <c r="BU78" s="78">
        <v>1</v>
      </c>
      <c r="BV78" s="78">
        <v>0</v>
      </c>
      <c r="BW78" s="78">
        <v>0</v>
      </c>
      <c r="BX78" s="78">
        <v>0</v>
      </c>
      <c r="BY78" s="78">
        <v>0</v>
      </c>
      <c r="BZ78" s="76">
        <v>1</v>
      </c>
      <c r="CA78" s="1" t="s">
        <v>444</v>
      </c>
      <c r="CB78" s="78">
        <v>3</v>
      </c>
      <c r="CC78" s="78">
        <v>0</v>
      </c>
      <c r="CD78" s="78">
        <v>0</v>
      </c>
      <c r="CE78" s="78">
        <v>0</v>
      </c>
      <c r="CF78" s="78">
        <v>0</v>
      </c>
      <c r="CG78" s="78">
        <v>1</v>
      </c>
      <c r="CH78" s="78">
        <v>0</v>
      </c>
      <c r="CI78" s="78">
        <v>0</v>
      </c>
      <c r="CJ78" s="76">
        <v>0</v>
      </c>
      <c r="CK78" s="1" t="s">
        <v>496</v>
      </c>
      <c r="CL78" s="78">
        <v>4</v>
      </c>
      <c r="CM78" s="78">
        <v>1</v>
      </c>
      <c r="CN78" s="78">
        <v>2</v>
      </c>
      <c r="CO78" s="78">
        <v>0</v>
      </c>
      <c r="CP78" s="78">
        <v>0</v>
      </c>
      <c r="CQ78" s="78">
        <v>0</v>
      </c>
      <c r="CR78" s="78">
        <v>0</v>
      </c>
      <c r="CS78" s="78">
        <v>0</v>
      </c>
      <c r="CT78" s="76">
        <v>2</v>
      </c>
      <c r="CU78" s="1" t="s">
        <v>473</v>
      </c>
      <c r="CV78" s="78">
        <v>4</v>
      </c>
      <c r="CW78" s="78">
        <v>0</v>
      </c>
      <c r="CX78" s="78">
        <v>1</v>
      </c>
      <c r="CY78" s="78">
        <v>0</v>
      </c>
      <c r="CZ78" s="78">
        <v>0</v>
      </c>
      <c r="DA78" s="78">
        <v>3</v>
      </c>
      <c r="DB78" s="78">
        <v>0</v>
      </c>
      <c r="DC78" s="78">
        <v>0</v>
      </c>
      <c r="DD78" s="76">
        <v>1</v>
      </c>
      <c r="DE78" s="1" t="s">
        <v>448</v>
      </c>
      <c r="DF78" s="78">
        <v>3</v>
      </c>
      <c r="DG78" s="78">
        <v>2</v>
      </c>
      <c r="DH78" s="78">
        <v>2</v>
      </c>
      <c r="DI78" s="78">
        <v>1</v>
      </c>
      <c r="DJ78" s="78">
        <v>0</v>
      </c>
      <c r="DK78" s="78">
        <v>0</v>
      </c>
      <c r="DL78" s="78">
        <v>1</v>
      </c>
      <c r="DM78" s="78">
        <v>0</v>
      </c>
      <c r="DN78" s="76">
        <v>5</v>
      </c>
      <c r="DO78" s="1" t="s">
        <v>365</v>
      </c>
      <c r="DP78" s="78">
        <v>4</v>
      </c>
      <c r="DQ78" s="78">
        <v>0</v>
      </c>
      <c r="DR78" s="78">
        <v>1</v>
      </c>
      <c r="DS78" s="78">
        <v>1</v>
      </c>
      <c r="DT78" s="78">
        <v>0</v>
      </c>
      <c r="DU78" s="78">
        <v>0</v>
      </c>
      <c r="DV78" s="78">
        <v>0</v>
      </c>
      <c r="DW78" s="78">
        <v>0</v>
      </c>
      <c r="DX78" s="76">
        <v>1</v>
      </c>
      <c r="DY78" s="77">
        <v>7</v>
      </c>
      <c r="DZ78" s="43">
        <v>0</v>
      </c>
      <c r="EA78" s="43">
        <v>1</v>
      </c>
      <c r="EB78" s="45">
        <v>2</v>
      </c>
      <c r="EC78" s="43">
        <v>0</v>
      </c>
      <c r="ED78" s="44">
        <v>0</v>
      </c>
      <c r="EE78" s="71">
        <v>0</v>
      </c>
      <c r="EF78" s="43">
        <v>2</v>
      </c>
      <c r="EG78" s="43">
        <v>0</v>
      </c>
      <c r="EH78" s="43">
        <v>0</v>
      </c>
      <c r="EI78" s="43">
        <v>2</v>
      </c>
      <c r="EJ78" s="43">
        <v>0</v>
      </c>
      <c r="EK78" s="43">
        <v>0</v>
      </c>
      <c r="EL78" s="43">
        <v>0</v>
      </c>
      <c r="EM78" s="43">
        <v>1</v>
      </c>
      <c r="EN78" s="43"/>
      <c r="EO78" s="43"/>
      <c r="EP78" s="43"/>
      <c r="EQ78" s="43"/>
      <c r="ER78" s="43"/>
      <c r="ES78" s="43"/>
      <c r="ET78" s="44">
        <f t="shared" si="16"/>
        <v>5</v>
      </c>
      <c r="EU78" s="43">
        <v>0</v>
      </c>
      <c r="EV78" s="43">
        <v>0</v>
      </c>
      <c r="EW78" s="43">
        <v>0</v>
      </c>
      <c r="EX78" s="43">
        <v>0</v>
      </c>
      <c r="EY78" s="43">
        <v>4</v>
      </c>
      <c r="EZ78" s="43">
        <v>0</v>
      </c>
      <c r="FA78" s="43">
        <v>0</v>
      </c>
      <c r="FB78" s="43">
        <v>0</v>
      </c>
      <c r="FC78" s="43">
        <v>2</v>
      </c>
      <c r="FD78" s="43"/>
      <c r="FE78" s="43"/>
      <c r="FF78" s="43"/>
      <c r="FG78" s="43"/>
      <c r="FH78" s="43"/>
      <c r="FI78" s="43"/>
      <c r="FJ78" s="43">
        <f t="shared" si="17"/>
        <v>6</v>
      </c>
      <c r="FK78" s="73">
        <f t="shared" si="14"/>
        <v>0</v>
      </c>
      <c r="FL78" s="73">
        <f t="shared" si="15"/>
        <v>0</v>
      </c>
      <c r="FM78" s="38"/>
    </row>
    <row r="79" spans="1:169" x14ac:dyDescent="0.25">
      <c r="A79" s="91">
        <v>40358</v>
      </c>
      <c r="B79" s="91" t="s">
        <v>133</v>
      </c>
      <c r="C79" s="91" t="s">
        <v>131</v>
      </c>
      <c r="D79" s="91" t="s">
        <v>370</v>
      </c>
      <c r="E79" s="92">
        <v>2173</v>
      </c>
      <c r="F79" s="93">
        <v>3</v>
      </c>
      <c r="G79" s="94" t="s">
        <v>368</v>
      </c>
      <c r="H79" s="95">
        <v>0</v>
      </c>
      <c r="I79" s="95">
        <v>0</v>
      </c>
      <c r="J79" s="96">
        <v>6</v>
      </c>
      <c r="K79" s="95">
        <v>2</v>
      </c>
      <c r="L79" s="95">
        <v>1</v>
      </c>
      <c r="M79" s="95">
        <v>1</v>
      </c>
      <c r="N79" s="95">
        <v>1</v>
      </c>
      <c r="O79" s="95">
        <v>5</v>
      </c>
      <c r="P79" s="95">
        <v>0</v>
      </c>
      <c r="Q79" s="95">
        <v>0</v>
      </c>
      <c r="R79" s="95">
        <v>21</v>
      </c>
      <c r="S79" s="95">
        <v>95</v>
      </c>
      <c r="T79" s="95">
        <v>58</v>
      </c>
      <c r="U79" s="95">
        <v>0</v>
      </c>
      <c r="V79" s="97">
        <v>0</v>
      </c>
      <c r="W79" s="98">
        <v>0</v>
      </c>
      <c r="X79" s="98">
        <v>1</v>
      </c>
      <c r="Y79" s="98">
        <v>0</v>
      </c>
      <c r="Z79" s="98">
        <v>0</v>
      </c>
      <c r="AA79" s="98">
        <v>0</v>
      </c>
      <c r="AB79" s="99">
        <v>2</v>
      </c>
      <c r="AC79" s="98">
        <v>2</v>
      </c>
      <c r="AD79" s="98">
        <v>1</v>
      </c>
      <c r="AE79" s="98">
        <v>1</v>
      </c>
      <c r="AF79" s="98">
        <v>0</v>
      </c>
      <c r="AG79" s="98">
        <v>0</v>
      </c>
      <c r="AH79" s="98">
        <v>1</v>
      </c>
      <c r="AI79" s="98">
        <v>0</v>
      </c>
      <c r="AJ79" s="98">
        <v>8</v>
      </c>
      <c r="AK79" s="98">
        <v>29</v>
      </c>
      <c r="AL79" s="98">
        <v>18</v>
      </c>
      <c r="AM79" s="100" t="s">
        <v>441</v>
      </c>
      <c r="AN79" s="101">
        <v>3</v>
      </c>
      <c r="AO79" s="101">
        <v>0</v>
      </c>
      <c r="AP79" s="101">
        <v>0</v>
      </c>
      <c r="AQ79" s="101">
        <v>0</v>
      </c>
      <c r="AR79" s="101">
        <v>1</v>
      </c>
      <c r="AS79" s="101">
        <v>1</v>
      </c>
      <c r="AT79" s="101">
        <v>0</v>
      </c>
      <c r="AU79" s="101">
        <v>0</v>
      </c>
      <c r="AV79" s="102">
        <v>0</v>
      </c>
      <c r="AW79" s="100" t="s">
        <v>364</v>
      </c>
      <c r="AX79" s="101">
        <v>4</v>
      </c>
      <c r="AY79" s="101">
        <v>0</v>
      </c>
      <c r="AZ79" s="101">
        <v>0</v>
      </c>
      <c r="BA79" s="101">
        <v>0</v>
      </c>
      <c r="BB79" s="101">
        <v>0</v>
      </c>
      <c r="BC79" s="101">
        <v>2</v>
      </c>
      <c r="BD79" s="101">
        <v>0</v>
      </c>
      <c r="BE79" s="101">
        <v>0</v>
      </c>
      <c r="BF79" s="102">
        <v>0</v>
      </c>
      <c r="BG79" s="100" t="s">
        <v>444</v>
      </c>
      <c r="BH79" s="101">
        <v>4</v>
      </c>
      <c r="BI79" s="101">
        <v>0</v>
      </c>
      <c r="BJ79" s="101">
        <v>1</v>
      </c>
      <c r="BK79" s="101">
        <v>0</v>
      </c>
      <c r="BL79" s="101">
        <v>0</v>
      </c>
      <c r="BM79" s="101">
        <v>2</v>
      </c>
      <c r="BN79" s="101">
        <v>0</v>
      </c>
      <c r="BO79" s="101">
        <v>0</v>
      </c>
      <c r="BP79" s="102">
        <v>2</v>
      </c>
      <c r="BQ79" s="100" t="s">
        <v>443</v>
      </c>
      <c r="BR79" s="101">
        <v>1</v>
      </c>
      <c r="BS79" s="101">
        <v>0</v>
      </c>
      <c r="BT79" s="101">
        <v>0</v>
      </c>
      <c r="BU79" s="101">
        <v>0</v>
      </c>
      <c r="BV79" s="101">
        <v>3</v>
      </c>
      <c r="BW79" s="101">
        <v>0</v>
      </c>
      <c r="BX79" s="101">
        <v>0</v>
      </c>
      <c r="BY79" s="101">
        <v>0</v>
      </c>
      <c r="BZ79" s="102">
        <v>0</v>
      </c>
      <c r="CA79" s="100" t="s">
        <v>501</v>
      </c>
      <c r="CB79" s="101">
        <v>4</v>
      </c>
      <c r="CC79" s="101">
        <v>0</v>
      </c>
      <c r="CD79" s="101">
        <v>0</v>
      </c>
      <c r="CE79" s="101">
        <v>0</v>
      </c>
      <c r="CF79" s="101">
        <v>0</v>
      </c>
      <c r="CG79" s="101">
        <v>1</v>
      </c>
      <c r="CH79" s="101">
        <v>0</v>
      </c>
      <c r="CI79" s="101">
        <v>0</v>
      </c>
      <c r="CJ79" s="102">
        <v>0</v>
      </c>
      <c r="CK79" s="100" t="s">
        <v>496</v>
      </c>
      <c r="CL79" s="101">
        <v>4</v>
      </c>
      <c r="CM79" s="101">
        <v>1</v>
      </c>
      <c r="CN79" s="101">
        <v>2</v>
      </c>
      <c r="CO79" s="101">
        <v>0</v>
      </c>
      <c r="CP79" s="101">
        <v>0</v>
      </c>
      <c r="CQ79" s="101">
        <v>0</v>
      </c>
      <c r="CR79" s="101">
        <v>0</v>
      </c>
      <c r="CS79" s="101">
        <v>0</v>
      </c>
      <c r="CT79" s="102">
        <v>3</v>
      </c>
      <c r="CU79" s="100" t="s">
        <v>448</v>
      </c>
      <c r="CV79" s="101">
        <v>2</v>
      </c>
      <c r="CW79" s="101">
        <v>0</v>
      </c>
      <c r="CX79" s="101">
        <v>0</v>
      </c>
      <c r="CY79" s="101">
        <v>0</v>
      </c>
      <c r="CZ79" s="101">
        <v>2</v>
      </c>
      <c r="DA79" s="101">
        <v>1</v>
      </c>
      <c r="DB79" s="101">
        <v>0</v>
      </c>
      <c r="DC79" s="101">
        <v>0</v>
      </c>
      <c r="DD79" s="102">
        <v>0</v>
      </c>
      <c r="DE79" s="100" t="s">
        <v>449</v>
      </c>
      <c r="DF79" s="101">
        <v>3</v>
      </c>
      <c r="DG79" s="101">
        <v>0</v>
      </c>
      <c r="DH79" s="101">
        <v>1</v>
      </c>
      <c r="DI79" s="101">
        <v>0</v>
      </c>
      <c r="DJ79" s="101">
        <v>0</v>
      </c>
      <c r="DK79" s="101">
        <v>1</v>
      </c>
      <c r="DL79" s="101">
        <v>0</v>
      </c>
      <c r="DM79" s="101">
        <v>0</v>
      </c>
      <c r="DN79" s="102">
        <v>1</v>
      </c>
      <c r="DO79" s="100" t="s">
        <v>365</v>
      </c>
      <c r="DP79" s="101">
        <v>4</v>
      </c>
      <c r="DQ79" s="101">
        <v>0</v>
      </c>
      <c r="DR79" s="101">
        <v>1</v>
      </c>
      <c r="DS79" s="101">
        <v>1</v>
      </c>
      <c r="DT79" s="101">
        <v>0</v>
      </c>
      <c r="DU79" s="101">
        <v>0</v>
      </c>
      <c r="DV79" s="101">
        <v>0</v>
      </c>
      <c r="DW79" s="101">
        <v>0</v>
      </c>
      <c r="DX79" s="102">
        <v>1</v>
      </c>
      <c r="DY79" s="103">
        <v>7</v>
      </c>
      <c r="DZ79" s="104">
        <v>1</v>
      </c>
      <c r="EA79" s="104">
        <v>0</v>
      </c>
      <c r="EB79" s="105">
        <v>2</v>
      </c>
      <c r="EC79" s="104">
        <v>0</v>
      </c>
      <c r="ED79" s="106">
        <v>0</v>
      </c>
      <c r="EE79" s="107">
        <v>0</v>
      </c>
      <c r="EF79" s="104">
        <v>0</v>
      </c>
      <c r="EG79" s="104">
        <v>0</v>
      </c>
      <c r="EH79" s="104">
        <v>0</v>
      </c>
      <c r="EI79" s="104">
        <v>0</v>
      </c>
      <c r="EJ79" s="104">
        <v>0</v>
      </c>
      <c r="EK79" s="104">
        <v>1</v>
      </c>
      <c r="EL79" s="104">
        <v>0</v>
      </c>
      <c r="EM79" s="104">
        <v>0</v>
      </c>
      <c r="EN79" s="104"/>
      <c r="EO79" s="104"/>
      <c r="EP79" s="104"/>
      <c r="EQ79" s="104"/>
      <c r="ER79" s="104"/>
      <c r="ES79" s="104"/>
      <c r="ET79" s="106">
        <f t="shared" si="16"/>
        <v>1</v>
      </c>
      <c r="EU79" s="104">
        <v>0</v>
      </c>
      <c r="EV79" s="104">
        <v>0</v>
      </c>
      <c r="EW79" s="104">
        <v>0</v>
      </c>
      <c r="EX79" s="104">
        <v>0</v>
      </c>
      <c r="EY79" s="104">
        <v>0</v>
      </c>
      <c r="EZ79" s="104">
        <v>1</v>
      </c>
      <c r="FA79" s="104">
        <v>0</v>
      </c>
      <c r="FB79" s="104">
        <v>1</v>
      </c>
      <c r="FC79" s="104"/>
      <c r="FD79" s="104"/>
      <c r="FE79" s="104"/>
      <c r="FF79" s="104"/>
      <c r="FG79" s="104"/>
      <c r="FH79" s="104"/>
      <c r="FI79" s="104"/>
      <c r="FJ79" s="104">
        <f t="shared" si="17"/>
        <v>2</v>
      </c>
      <c r="FK79" s="108">
        <f t="shared" si="14"/>
        <v>0</v>
      </c>
      <c r="FL79" s="108">
        <f t="shared" si="15"/>
        <v>0</v>
      </c>
      <c r="FM79" s="109" t="s">
        <v>524</v>
      </c>
    </row>
    <row r="80" spans="1:169" x14ac:dyDescent="0.25">
      <c r="A80" s="91">
        <v>40360</v>
      </c>
      <c r="B80" s="91" t="s">
        <v>133</v>
      </c>
      <c r="C80" s="91" t="s">
        <v>129</v>
      </c>
      <c r="D80" s="91" t="s">
        <v>370</v>
      </c>
      <c r="E80" s="92"/>
      <c r="F80" s="93">
        <v>4</v>
      </c>
      <c r="G80" s="94" t="s">
        <v>439</v>
      </c>
      <c r="H80" s="95">
        <v>0</v>
      </c>
      <c r="I80" s="95">
        <v>0</v>
      </c>
      <c r="J80" s="96">
        <v>5</v>
      </c>
      <c r="K80" s="95">
        <v>3</v>
      </c>
      <c r="L80" s="95">
        <v>0</v>
      </c>
      <c r="M80" s="95">
        <v>0</v>
      </c>
      <c r="N80" s="95">
        <v>3</v>
      </c>
      <c r="O80" s="95">
        <v>8</v>
      </c>
      <c r="P80" s="95">
        <v>0</v>
      </c>
      <c r="Q80" s="95">
        <v>0</v>
      </c>
      <c r="R80" s="95">
        <v>20</v>
      </c>
      <c r="S80" s="95">
        <v>84</v>
      </c>
      <c r="T80" s="95">
        <v>53</v>
      </c>
      <c r="U80" s="95">
        <v>0</v>
      </c>
      <c r="V80" s="97">
        <v>0</v>
      </c>
      <c r="W80" s="98">
        <v>1</v>
      </c>
      <c r="X80" s="98">
        <v>0</v>
      </c>
      <c r="Y80" s="98">
        <v>0</v>
      </c>
      <c r="Z80" s="98">
        <v>1</v>
      </c>
      <c r="AA80" s="98">
        <v>0</v>
      </c>
      <c r="AB80" s="99">
        <v>2</v>
      </c>
      <c r="AC80" s="98">
        <v>1</v>
      </c>
      <c r="AD80" s="98">
        <v>0</v>
      </c>
      <c r="AE80" s="98">
        <v>0</v>
      </c>
      <c r="AF80" s="98">
        <v>0</v>
      </c>
      <c r="AG80" s="98">
        <v>1</v>
      </c>
      <c r="AH80" s="98">
        <v>0</v>
      </c>
      <c r="AI80" s="98">
        <v>0</v>
      </c>
      <c r="AJ80" s="98">
        <v>7</v>
      </c>
      <c r="AK80" s="98">
        <v>18</v>
      </c>
      <c r="AL80" s="98">
        <v>13</v>
      </c>
      <c r="AM80" s="100" t="s">
        <v>402</v>
      </c>
      <c r="AN80" s="101">
        <v>3</v>
      </c>
      <c r="AO80" s="101">
        <v>0</v>
      </c>
      <c r="AP80" s="101">
        <v>0</v>
      </c>
      <c r="AQ80" s="101">
        <v>0</v>
      </c>
      <c r="AR80" s="101">
        <v>0</v>
      </c>
      <c r="AS80" s="101">
        <v>1</v>
      </c>
      <c r="AT80" s="101">
        <v>0</v>
      </c>
      <c r="AU80" s="101">
        <v>0</v>
      </c>
      <c r="AV80" s="102">
        <v>0</v>
      </c>
      <c r="AW80" s="100" t="s">
        <v>364</v>
      </c>
      <c r="AX80" s="101">
        <v>3</v>
      </c>
      <c r="AY80" s="101">
        <v>0</v>
      </c>
      <c r="AZ80" s="101">
        <v>0</v>
      </c>
      <c r="BA80" s="101">
        <v>0</v>
      </c>
      <c r="BB80" s="101">
        <v>0</v>
      </c>
      <c r="BC80" s="101">
        <v>1</v>
      </c>
      <c r="BD80" s="101">
        <v>0</v>
      </c>
      <c r="BE80" s="101">
        <v>0</v>
      </c>
      <c r="BF80" s="102">
        <v>0</v>
      </c>
      <c r="BG80" s="100" t="s">
        <v>446</v>
      </c>
      <c r="BH80" s="101">
        <v>3</v>
      </c>
      <c r="BI80" s="101">
        <v>0</v>
      </c>
      <c r="BJ80" s="101">
        <v>0</v>
      </c>
      <c r="BK80" s="101">
        <v>0</v>
      </c>
      <c r="BL80" s="101">
        <v>0</v>
      </c>
      <c r="BM80" s="101">
        <v>1</v>
      </c>
      <c r="BN80" s="101">
        <v>0</v>
      </c>
      <c r="BO80" s="101">
        <v>0</v>
      </c>
      <c r="BP80" s="102">
        <v>0</v>
      </c>
      <c r="BQ80" s="100" t="s">
        <v>443</v>
      </c>
      <c r="BR80" s="101">
        <v>3</v>
      </c>
      <c r="BS80" s="101">
        <v>1</v>
      </c>
      <c r="BT80" s="101">
        <v>1</v>
      </c>
      <c r="BU80" s="101">
        <v>1</v>
      </c>
      <c r="BV80" s="101">
        <v>0</v>
      </c>
      <c r="BW80" s="101">
        <v>0</v>
      </c>
      <c r="BX80" s="101">
        <v>0</v>
      </c>
      <c r="BY80" s="101">
        <v>0</v>
      </c>
      <c r="BZ80" s="102">
        <v>4</v>
      </c>
      <c r="CA80" s="100" t="s">
        <v>501</v>
      </c>
      <c r="CB80" s="101">
        <v>2</v>
      </c>
      <c r="CC80" s="101">
        <v>0</v>
      </c>
      <c r="CD80" s="101">
        <v>0</v>
      </c>
      <c r="CE80" s="101">
        <v>0</v>
      </c>
      <c r="CF80" s="101">
        <v>1</v>
      </c>
      <c r="CG80" s="101">
        <v>2</v>
      </c>
      <c r="CH80" s="101">
        <v>0</v>
      </c>
      <c r="CI80" s="101">
        <v>0</v>
      </c>
      <c r="CJ80" s="102">
        <v>0</v>
      </c>
      <c r="CK80" s="100" t="s">
        <v>496</v>
      </c>
      <c r="CL80" s="101">
        <v>3</v>
      </c>
      <c r="CM80" s="101">
        <v>0</v>
      </c>
      <c r="CN80" s="101">
        <v>0</v>
      </c>
      <c r="CO80" s="101">
        <v>0</v>
      </c>
      <c r="CP80" s="101">
        <v>0</v>
      </c>
      <c r="CQ80" s="101">
        <v>2</v>
      </c>
      <c r="CR80" s="101">
        <v>0</v>
      </c>
      <c r="CS80" s="101">
        <v>0</v>
      </c>
      <c r="CT80" s="102">
        <v>0</v>
      </c>
      <c r="CU80" s="100" t="s">
        <v>473</v>
      </c>
      <c r="CV80" s="101">
        <v>2</v>
      </c>
      <c r="CW80" s="101">
        <v>0</v>
      </c>
      <c r="CX80" s="101">
        <v>0</v>
      </c>
      <c r="CY80" s="101">
        <v>0</v>
      </c>
      <c r="CZ80" s="101">
        <v>0</v>
      </c>
      <c r="DA80" s="101">
        <v>1</v>
      </c>
      <c r="DB80" s="101">
        <v>0</v>
      </c>
      <c r="DC80" s="101">
        <v>0</v>
      </c>
      <c r="DD80" s="102">
        <v>0</v>
      </c>
      <c r="DE80" s="100" t="s">
        <v>448</v>
      </c>
      <c r="DF80" s="101">
        <v>2</v>
      </c>
      <c r="DG80" s="101">
        <v>0</v>
      </c>
      <c r="DH80" s="101">
        <v>1</v>
      </c>
      <c r="DI80" s="101">
        <v>0</v>
      </c>
      <c r="DJ80" s="101">
        <v>0</v>
      </c>
      <c r="DK80" s="101">
        <v>0</v>
      </c>
      <c r="DL80" s="101">
        <v>0</v>
      </c>
      <c r="DM80" s="101">
        <v>0</v>
      </c>
      <c r="DN80" s="102">
        <v>1</v>
      </c>
      <c r="DO80" s="100" t="s">
        <v>365</v>
      </c>
      <c r="DP80" s="101">
        <v>2</v>
      </c>
      <c r="DQ80" s="101">
        <v>0</v>
      </c>
      <c r="DR80" s="101">
        <v>0</v>
      </c>
      <c r="DS80" s="101">
        <v>0</v>
      </c>
      <c r="DT80" s="101">
        <v>0</v>
      </c>
      <c r="DU80" s="101">
        <v>2</v>
      </c>
      <c r="DV80" s="101">
        <v>0</v>
      </c>
      <c r="DW80" s="101">
        <v>0</v>
      </c>
      <c r="DX80" s="102">
        <v>0</v>
      </c>
      <c r="DY80" s="103">
        <v>0</v>
      </c>
      <c r="DZ80" s="104">
        <v>0</v>
      </c>
      <c r="EA80" s="104">
        <v>0</v>
      </c>
      <c r="EB80" s="105">
        <v>7</v>
      </c>
      <c r="EC80" s="104">
        <v>0</v>
      </c>
      <c r="ED80" s="106">
        <v>0</v>
      </c>
      <c r="EE80" s="107">
        <v>0</v>
      </c>
      <c r="EF80" s="104">
        <v>0</v>
      </c>
      <c r="EG80" s="104">
        <v>0</v>
      </c>
      <c r="EH80" s="104">
        <v>0</v>
      </c>
      <c r="EI80" s="104">
        <v>0</v>
      </c>
      <c r="EJ80" s="104">
        <v>0</v>
      </c>
      <c r="EK80" s="104">
        <v>1</v>
      </c>
      <c r="EL80" s="104"/>
      <c r="EM80" s="104"/>
      <c r="EN80" s="104"/>
      <c r="EO80" s="104"/>
      <c r="EP80" s="104"/>
      <c r="EQ80" s="104"/>
      <c r="ER80" s="104"/>
      <c r="ES80" s="104"/>
      <c r="ET80" s="106">
        <f t="shared" si="16"/>
        <v>1</v>
      </c>
      <c r="EU80" s="104">
        <v>0</v>
      </c>
      <c r="EV80" s="104">
        <v>0</v>
      </c>
      <c r="EW80" s="104">
        <v>0</v>
      </c>
      <c r="EX80" s="104">
        <v>0</v>
      </c>
      <c r="EY80" s="104">
        <v>0</v>
      </c>
      <c r="EZ80" s="104">
        <v>0</v>
      </c>
      <c r="FA80" s="104">
        <v>0</v>
      </c>
      <c r="FB80" s="104"/>
      <c r="FC80" s="104"/>
      <c r="FD80" s="104"/>
      <c r="FE80" s="104"/>
      <c r="FF80" s="104"/>
      <c r="FG80" s="104"/>
      <c r="FH80" s="104"/>
      <c r="FI80" s="104"/>
      <c r="FJ80" s="104">
        <f t="shared" si="17"/>
        <v>0</v>
      </c>
      <c r="FK80" s="108">
        <f t="shared" si="14"/>
        <v>0</v>
      </c>
      <c r="FL80" s="108">
        <f t="shared" si="15"/>
        <v>0</v>
      </c>
      <c r="FM80" s="109" t="s">
        <v>475</v>
      </c>
    </row>
    <row r="81" spans="1:169" x14ac:dyDescent="0.25">
      <c r="A81" s="91">
        <v>40360</v>
      </c>
      <c r="B81" s="91" t="s">
        <v>133</v>
      </c>
      <c r="C81" s="91" t="s">
        <v>129</v>
      </c>
      <c r="D81" s="91" t="s">
        <v>370</v>
      </c>
      <c r="E81" s="92">
        <v>2285</v>
      </c>
      <c r="F81" s="93">
        <v>5</v>
      </c>
      <c r="G81" s="94" t="s">
        <v>470</v>
      </c>
      <c r="H81" s="95">
        <v>0</v>
      </c>
      <c r="I81" s="95">
        <v>0</v>
      </c>
      <c r="J81" s="96">
        <f>5+1/3</f>
        <v>5.333333333333333</v>
      </c>
      <c r="K81" s="95">
        <v>2</v>
      </c>
      <c r="L81" s="95">
        <v>0</v>
      </c>
      <c r="M81" s="95">
        <v>0</v>
      </c>
      <c r="N81" s="95">
        <v>3</v>
      </c>
      <c r="O81" s="95">
        <v>5</v>
      </c>
      <c r="P81" s="95">
        <v>0</v>
      </c>
      <c r="Q81" s="95">
        <v>1</v>
      </c>
      <c r="R81" s="95">
        <v>20</v>
      </c>
      <c r="S81" s="95">
        <v>93</v>
      </c>
      <c r="T81" s="95">
        <v>55</v>
      </c>
      <c r="U81" s="95">
        <v>1</v>
      </c>
      <c r="V81" s="97">
        <v>0</v>
      </c>
      <c r="W81" s="98">
        <v>1</v>
      </c>
      <c r="X81" s="98">
        <v>0</v>
      </c>
      <c r="Y81" s="98">
        <v>0</v>
      </c>
      <c r="Z81" s="98">
        <v>1</v>
      </c>
      <c r="AA81" s="98">
        <v>0</v>
      </c>
      <c r="AB81" s="99">
        <f>1+2/3</f>
        <v>1.6666666666666665</v>
      </c>
      <c r="AC81" s="98">
        <v>1</v>
      </c>
      <c r="AD81" s="98">
        <v>0</v>
      </c>
      <c r="AE81" s="98">
        <v>0</v>
      </c>
      <c r="AF81" s="98">
        <v>1</v>
      </c>
      <c r="AG81" s="98">
        <v>2</v>
      </c>
      <c r="AH81" s="98">
        <v>0</v>
      </c>
      <c r="AI81" s="98">
        <v>0</v>
      </c>
      <c r="AJ81" s="98">
        <v>7</v>
      </c>
      <c r="AK81" s="98">
        <v>34</v>
      </c>
      <c r="AL81" s="98">
        <v>18</v>
      </c>
      <c r="AM81" s="100" t="s">
        <v>441</v>
      </c>
      <c r="AN81" s="101">
        <v>3</v>
      </c>
      <c r="AO81" s="101">
        <v>0</v>
      </c>
      <c r="AP81" s="101">
        <v>0</v>
      </c>
      <c r="AQ81" s="101">
        <v>0</v>
      </c>
      <c r="AR81" s="101">
        <v>1</v>
      </c>
      <c r="AS81" s="101">
        <v>1</v>
      </c>
      <c r="AT81" s="101">
        <v>0</v>
      </c>
      <c r="AU81" s="101">
        <v>0</v>
      </c>
      <c r="AV81" s="102">
        <v>0</v>
      </c>
      <c r="AW81" s="100" t="s">
        <v>402</v>
      </c>
      <c r="AX81" s="101">
        <v>4</v>
      </c>
      <c r="AY81" s="101">
        <v>0</v>
      </c>
      <c r="AZ81" s="101">
        <v>1</v>
      </c>
      <c r="BA81" s="101">
        <v>0</v>
      </c>
      <c r="BB81" s="101">
        <v>0</v>
      </c>
      <c r="BC81" s="101">
        <v>0</v>
      </c>
      <c r="BD81" s="101">
        <v>0</v>
      </c>
      <c r="BE81" s="101">
        <v>0</v>
      </c>
      <c r="BF81" s="102">
        <v>1</v>
      </c>
      <c r="BG81" s="100" t="s">
        <v>443</v>
      </c>
      <c r="BH81" s="101">
        <v>2</v>
      </c>
      <c r="BI81" s="101">
        <v>0</v>
      </c>
      <c r="BJ81" s="101">
        <v>0</v>
      </c>
      <c r="BK81" s="101">
        <v>0</v>
      </c>
      <c r="BL81" s="101">
        <v>1</v>
      </c>
      <c r="BM81" s="101">
        <v>0</v>
      </c>
      <c r="BN81" s="101">
        <v>0</v>
      </c>
      <c r="BO81" s="101">
        <v>0</v>
      </c>
      <c r="BP81" s="102">
        <v>0</v>
      </c>
      <c r="BQ81" s="100" t="s">
        <v>501</v>
      </c>
      <c r="BR81" s="101">
        <v>3</v>
      </c>
      <c r="BS81" s="101">
        <v>0</v>
      </c>
      <c r="BT81" s="101">
        <v>0</v>
      </c>
      <c r="BU81" s="101">
        <v>0</v>
      </c>
      <c r="BV81" s="101">
        <v>0</v>
      </c>
      <c r="BW81" s="101">
        <v>0</v>
      </c>
      <c r="BX81" s="101">
        <v>0</v>
      </c>
      <c r="BY81" s="101">
        <v>0</v>
      </c>
      <c r="BZ81" s="102">
        <v>0</v>
      </c>
      <c r="CA81" s="100" t="s">
        <v>444</v>
      </c>
      <c r="CB81" s="101">
        <v>2</v>
      </c>
      <c r="CC81" s="101">
        <v>0</v>
      </c>
      <c r="CD81" s="101">
        <v>0</v>
      </c>
      <c r="CE81" s="101">
        <v>0</v>
      </c>
      <c r="CF81" s="101">
        <v>0</v>
      </c>
      <c r="CG81" s="101">
        <v>0</v>
      </c>
      <c r="CH81" s="101">
        <v>1</v>
      </c>
      <c r="CI81" s="101">
        <v>0</v>
      </c>
      <c r="CJ81" s="102">
        <v>0</v>
      </c>
      <c r="CK81" s="100" t="s">
        <v>496</v>
      </c>
      <c r="CL81" s="101">
        <v>3</v>
      </c>
      <c r="CM81" s="101">
        <v>1</v>
      </c>
      <c r="CN81" s="101">
        <v>2</v>
      </c>
      <c r="CO81" s="101">
        <v>0</v>
      </c>
      <c r="CP81" s="101">
        <v>0</v>
      </c>
      <c r="CQ81" s="101">
        <v>0</v>
      </c>
      <c r="CR81" s="101">
        <v>0</v>
      </c>
      <c r="CS81" s="101">
        <v>0</v>
      </c>
      <c r="CT81" s="102">
        <v>2</v>
      </c>
      <c r="CU81" s="100" t="s">
        <v>473</v>
      </c>
      <c r="CV81" s="101">
        <v>3</v>
      </c>
      <c r="CW81" s="101">
        <v>0</v>
      </c>
      <c r="CX81" s="101">
        <v>0</v>
      </c>
      <c r="CY81" s="101">
        <v>0</v>
      </c>
      <c r="CZ81" s="101">
        <v>0</v>
      </c>
      <c r="DA81" s="101">
        <v>1</v>
      </c>
      <c r="DB81" s="101">
        <v>0</v>
      </c>
      <c r="DC81" s="101">
        <v>0</v>
      </c>
      <c r="DD81" s="102">
        <v>0</v>
      </c>
      <c r="DE81" s="100" t="s">
        <v>365</v>
      </c>
      <c r="DF81" s="101">
        <v>3</v>
      </c>
      <c r="DG81" s="101">
        <v>1</v>
      </c>
      <c r="DH81" s="101">
        <v>1</v>
      </c>
      <c r="DI81" s="101">
        <v>0</v>
      </c>
      <c r="DJ81" s="101">
        <v>0</v>
      </c>
      <c r="DK81" s="101">
        <v>0</v>
      </c>
      <c r="DL81" s="101">
        <v>0</v>
      </c>
      <c r="DM81" s="101">
        <v>0</v>
      </c>
      <c r="DN81" s="102">
        <v>1</v>
      </c>
      <c r="DO81" s="100" t="s">
        <v>449</v>
      </c>
      <c r="DP81" s="101">
        <v>2</v>
      </c>
      <c r="DQ81" s="101">
        <v>0</v>
      </c>
      <c r="DR81" s="101">
        <v>0</v>
      </c>
      <c r="DS81" s="101">
        <v>1</v>
      </c>
      <c r="DT81" s="101">
        <v>0</v>
      </c>
      <c r="DU81" s="101">
        <v>1</v>
      </c>
      <c r="DV81" s="101">
        <v>0</v>
      </c>
      <c r="DW81" s="101">
        <v>0</v>
      </c>
      <c r="DX81" s="102">
        <v>0</v>
      </c>
      <c r="DY81" s="103">
        <v>1</v>
      </c>
      <c r="DZ81" s="104">
        <v>0</v>
      </c>
      <c r="EA81" s="104">
        <v>0</v>
      </c>
      <c r="EB81" s="105">
        <v>6</v>
      </c>
      <c r="EC81" s="104">
        <v>0</v>
      </c>
      <c r="ED81" s="106">
        <v>0</v>
      </c>
      <c r="EE81" s="107">
        <v>0</v>
      </c>
      <c r="EF81" s="104">
        <v>0</v>
      </c>
      <c r="EG81" s="104">
        <v>0</v>
      </c>
      <c r="EH81" s="104">
        <v>0</v>
      </c>
      <c r="EI81" s="104">
        <v>0</v>
      </c>
      <c r="EJ81" s="104">
        <v>0</v>
      </c>
      <c r="EK81" s="104">
        <v>2</v>
      </c>
      <c r="EL81" s="104"/>
      <c r="EM81" s="104"/>
      <c r="EN81" s="104"/>
      <c r="EO81" s="104"/>
      <c r="EP81" s="104"/>
      <c r="EQ81" s="104"/>
      <c r="ER81" s="104"/>
      <c r="ES81" s="104"/>
      <c r="ET81" s="106">
        <f t="shared" si="16"/>
        <v>2</v>
      </c>
      <c r="EU81" s="104">
        <v>0</v>
      </c>
      <c r="EV81" s="104">
        <v>0</v>
      </c>
      <c r="EW81" s="104">
        <v>0</v>
      </c>
      <c r="EX81" s="104">
        <v>0</v>
      </c>
      <c r="EY81" s="104">
        <v>0</v>
      </c>
      <c r="EZ81" s="104">
        <v>0</v>
      </c>
      <c r="FA81" s="104">
        <v>0</v>
      </c>
      <c r="FB81" s="104"/>
      <c r="FC81" s="104"/>
      <c r="FD81" s="104"/>
      <c r="FE81" s="104"/>
      <c r="FF81" s="104"/>
      <c r="FG81" s="104"/>
      <c r="FH81" s="104"/>
      <c r="FI81" s="104"/>
      <c r="FJ81" s="104">
        <f t="shared" si="17"/>
        <v>0</v>
      </c>
      <c r="FK81" s="108">
        <f t="shared" si="14"/>
        <v>0</v>
      </c>
      <c r="FL81" s="108">
        <f t="shared" si="15"/>
        <v>0</v>
      </c>
      <c r="FM81" s="109" t="s">
        <v>378</v>
      </c>
    </row>
    <row r="82" spans="1:169" x14ac:dyDescent="0.25">
      <c r="A82" s="91">
        <v>40361</v>
      </c>
      <c r="B82" s="91" t="s">
        <v>133</v>
      </c>
      <c r="C82" s="91" t="s">
        <v>129</v>
      </c>
      <c r="D82" s="91" t="s">
        <v>370</v>
      </c>
      <c r="E82" s="92">
        <v>4754</v>
      </c>
      <c r="F82" s="93">
        <v>1</v>
      </c>
      <c r="G82" s="94" t="s">
        <v>424</v>
      </c>
      <c r="H82" s="95">
        <v>1</v>
      </c>
      <c r="I82" s="95">
        <v>0</v>
      </c>
      <c r="J82" s="96">
        <f>6+1/3</f>
        <v>6.333333333333333</v>
      </c>
      <c r="K82" s="95">
        <v>2</v>
      </c>
      <c r="L82" s="95">
        <v>0</v>
      </c>
      <c r="M82" s="95">
        <v>0</v>
      </c>
      <c r="N82" s="95">
        <v>3</v>
      </c>
      <c r="O82" s="95">
        <v>5</v>
      </c>
      <c r="P82" s="95">
        <v>0</v>
      </c>
      <c r="Q82" s="95">
        <v>0</v>
      </c>
      <c r="R82" s="95">
        <v>23</v>
      </c>
      <c r="S82" s="95">
        <v>94</v>
      </c>
      <c r="T82" s="95">
        <v>56</v>
      </c>
      <c r="U82" s="95">
        <v>0</v>
      </c>
      <c r="V82" s="97">
        <v>0</v>
      </c>
      <c r="W82" s="98">
        <v>0</v>
      </c>
      <c r="X82" s="98">
        <v>0</v>
      </c>
      <c r="Y82" s="98">
        <v>2</v>
      </c>
      <c r="Z82" s="98">
        <v>1</v>
      </c>
      <c r="AA82" s="98">
        <v>0</v>
      </c>
      <c r="AB82" s="99">
        <f>2+2/3</f>
        <v>2.6666666666666665</v>
      </c>
      <c r="AC82" s="98">
        <v>1</v>
      </c>
      <c r="AD82" s="98">
        <v>0</v>
      </c>
      <c r="AE82" s="98">
        <v>0</v>
      </c>
      <c r="AF82" s="98">
        <v>1</v>
      </c>
      <c r="AG82" s="98">
        <v>1</v>
      </c>
      <c r="AH82" s="98">
        <v>0</v>
      </c>
      <c r="AI82" s="98">
        <v>0</v>
      </c>
      <c r="AJ82" s="98">
        <v>9</v>
      </c>
      <c r="AK82" s="98">
        <v>29</v>
      </c>
      <c r="AL82" s="98">
        <v>20</v>
      </c>
      <c r="AM82" s="100" t="s">
        <v>441</v>
      </c>
      <c r="AN82" s="101">
        <v>3</v>
      </c>
      <c r="AO82" s="101">
        <v>0</v>
      </c>
      <c r="AP82" s="101">
        <v>0</v>
      </c>
      <c r="AQ82" s="101">
        <v>0</v>
      </c>
      <c r="AR82" s="101">
        <v>1</v>
      </c>
      <c r="AS82" s="101">
        <v>2</v>
      </c>
      <c r="AT82" s="101">
        <v>0</v>
      </c>
      <c r="AU82" s="101">
        <v>0</v>
      </c>
      <c r="AV82" s="102">
        <v>0</v>
      </c>
      <c r="AW82" s="100" t="s">
        <v>402</v>
      </c>
      <c r="AX82" s="101">
        <v>4</v>
      </c>
      <c r="AY82" s="101">
        <v>0</v>
      </c>
      <c r="AZ82" s="101">
        <v>0</v>
      </c>
      <c r="BA82" s="101">
        <v>0</v>
      </c>
      <c r="BB82" s="101">
        <v>0</v>
      </c>
      <c r="BC82" s="101">
        <v>3</v>
      </c>
      <c r="BD82" s="101">
        <v>0</v>
      </c>
      <c r="BE82" s="101">
        <v>0</v>
      </c>
      <c r="BF82" s="102">
        <v>0</v>
      </c>
      <c r="BG82" s="100" t="s">
        <v>443</v>
      </c>
      <c r="BH82" s="101">
        <v>4</v>
      </c>
      <c r="BI82" s="101">
        <v>1</v>
      </c>
      <c r="BJ82" s="101">
        <v>1</v>
      </c>
      <c r="BK82" s="101">
        <v>1</v>
      </c>
      <c r="BL82" s="101">
        <v>0</v>
      </c>
      <c r="BM82" s="101">
        <v>1</v>
      </c>
      <c r="BN82" s="101">
        <v>0</v>
      </c>
      <c r="BO82" s="101">
        <v>0</v>
      </c>
      <c r="BP82" s="102">
        <v>4</v>
      </c>
      <c r="BQ82" s="100" t="s">
        <v>496</v>
      </c>
      <c r="BR82" s="101">
        <v>4</v>
      </c>
      <c r="BS82" s="101">
        <v>0</v>
      </c>
      <c r="BT82" s="101">
        <v>0</v>
      </c>
      <c r="BU82" s="101">
        <v>0</v>
      </c>
      <c r="BV82" s="101">
        <v>0</v>
      </c>
      <c r="BW82" s="101">
        <v>1</v>
      </c>
      <c r="BX82" s="101">
        <v>0</v>
      </c>
      <c r="BY82" s="101">
        <v>0</v>
      </c>
      <c r="BZ82" s="102">
        <v>0</v>
      </c>
      <c r="CA82" s="100" t="s">
        <v>501</v>
      </c>
      <c r="CB82" s="101">
        <v>4</v>
      </c>
      <c r="CC82" s="101">
        <v>0</v>
      </c>
      <c r="CD82" s="101">
        <v>0</v>
      </c>
      <c r="CE82" s="101">
        <v>0</v>
      </c>
      <c r="CF82" s="101">
        <v>0</v>
      </c>
      <c r="CG82" s="101">
        <v>0</v>
      </c>
      <c r="CH82" s="101">
        <v>0</v>
      </c>
      <c r="CI82" s="101">
        <v>0</v>
      </c>
      <c r="CJ82" s="102">
        <v>0</v>
      </c>
      <c r="CK82" s="100" t="s">
        <v>444</v>
      </c>
      <c r="CL82" s="101">
        <v>3</v>
      </c>
      <c r="CM82" s="101">
        <v>1</v>
      </c>
      <c r="CN82" s="101">
        <v>2</v>
      </c>
      <c r="CO82" s="101">
        <v>0</v>
      </c>
      <c r="CP82" s="101">
        <v>1</v>
      </c>
      <c r="CQ82" s="101">
        <v>0</v>
      </c>
      <c r="CR82" s="101">
        <v>0</v>
      </c>
      <c r="CS82" s="101">
        <v>0</v>
      </c>
      <c r="CT82" s="102">
        <v>2</v>
      </c>
      <c r="CU82" s="100" t="s">
        <v>448</v>
      </c>
      <c r="CV82" s="101">
        <v>4</v>
      </c>
      <c r="CW82" s="101">
        <v>0</v>
      </c>
      <c r="CX82" s="101">
        <v>0</v>
      </c>
      <c r="CY82" s="101">
        <v>0</v>
      </c>
      <c r="CZ82" s="101">
        <v>0</v>
      </c>
      <c r="DA82" s="101">
        <v>1</v>
      </c>
      <c r="DB82" s="101">
        <v>0</v>
      </c>
      <c r="DC82" s="101">
        <v>0</v>
      </c>
      <c r="DD82" s="102">
        <v>0</v>
      </c>
      <c r="DE82" s="100" t="s">
        <v>365</v>
      </c>
      <c r="DF82" s="101">
        <v>3</v>
      </c>
      <c r="DG82" s="101">
        <v>0</v>
      </c>
      <c r="DH82" s="101">
        <v>3</v>
      </c>
      <c r="DI82" s="101">
        <v>0</v>
      </c>
      <c r="DJ82" s="101">
        <v>0</v>
      </c>
      <c r="DK82" s="101">
        <v>0</v>
      </c>
      <c r="DL82" s="101">
        <v>0</v>
      </c>
      <c r="DM82" s="101">
        <v>0</v>
      </c>
      <c r="DN82" s="102">
        <v>3</v>
      </c>
      <c r="DO82" s="100" t="s">
        <v>449</v>
      </c>
      <c r="DP82" s="101">
        <v>3</v>
      </c>
      <c r="DQ82" s="101">
        <v>0</v>
      </c>
      <c r="DR82" s="101">
        <v>2</v>
      </c>
      <c r="DS82" s="101">
        <v>1</v>
      </c>
      <c r="DT82" s="101">
        <v>0</v>
      </c>
      <c r="DU82" s="101">
        <v>1</v>
      </c>
      <c r="DV82" s="101">
        <v>0</v>
      </c>
      <c r="DW82" s="101">
        <v>0</v>
      </c>
      <c r="DX82" s="102">
        <v>2</v>
      </c>
      <c r="DY82" s="103">
        <v>5</v>
      </c>
      <c r="DZ82" s="104">
        <v>0</v>
      </c>
      <c r="EA82" s="104">
        <v>1</v>
      </c>
      <c r="EB82" s="105">
        <v>4</v>
      </c>
      <c r="EC82" s="104">
        <v>0</v>
      </c>
      <c r="ED82" s="106">
        <v>1</v>
      </c>
      <c r="EE82" s="107">
        <v>1</v>
      </c>
      <c r="EF82" s="104">
        <v>1</v>
      </c>
      <c r="EG82" s="104">
        <v>0</v>
      </c>
      <c r="EH82" s="104">
        <v>0</v>
      </c>
      <c r="EI82" s="104">
        <v>0</v>
      </c>
      <c r="EJ82" s="104">
        <v>0</v>
      </c>
      <c r="EK82" s="104">
        <v>0</v>
      </c>
      <c r="EL82" s="104">
        <v>0</v>
      </c>
      <c r="EM82" s="104">
        <v>0</v>
      </c>
      <c r="EN82" s="104"/>
      <c r="EO82" s="104"/>
      <c r="EP82" s="104"/>
      <c r="EQ82" s="104"/>
      <c r="ER82" s="104"/>
      <c r="ES82" s="104"/>
      <c r="ET82" s="106">
        <f t="shared" si="16"/>
        <v>2</v>
      </c>
      <c r="EU82" s="104">
        <v>0</v>
      </c>
      <c r="EV82" s="104">
        <v>0</v>
      </c>
      <c r="EW82" s="104">
        <v>0</v>
      </c>
      <c r="EX82" s="104">
        <v>0</v>
      </c>
      <c r="EY82" s="104">
        <v>0</v>
      </c>
      <c r="EZ82" s="104">
        <v>0</v>
      </c>
      <c r="FA82" s="104">
        <v>0</v>
      </c>
      <c r="FB82" s="104">
        <v>0</v>
      </c>
      <c r="FC82" s="104">
        <v>0</v>
      </c>
      <c r="FD82" s="104"/>
      <c r="FE82" s="104"/>
      <c r="FF82" s="104"/>
      <c r="FG82" s="104"/>
      <c r="FH82" s="104"/>
      <c r="FI82" s="104"/>
      <c r="FJ82" s="104">
        <f t="shared" si="17"/>
        <v>0</v>
      </c>
      <c r="FK82" s="108">
        <f t="shared" si="14"/>
        <v>0</v>
      </c>
      <c r="FL82" s="108">
        <f t="shared" si="15"/>
        <v>0</v>
      </c>
      <c r="FM82" s="109"/>
    </row>
    <row r="83" spans="1:169" x14ac:dyDescent="0.25">
      <c r="A83" s="91">
        <v>40362</v>
      </c>
      <c r="B83" s="91" t="s">
        <v>133</v>
      </c>
      <c r="C83" s="91" t="s">
        <v>131</v>
      </c>
      <c r="D83" s="91" t="s">
        <v>370</v>
      </c>
      <c r="E83" s="92">
        <v>5991</v>
      </c>
      <c r="F83" s="93">
        <v>2</v>
      </c>
      <c r="G83" s="94" t="s">
        <v>438</v>
      </c>
      <c r="H83" s="95">
        <v>0</v>
      </c>
      <c r="I83" s="95">
        <v>1</v>
      </c>
      <c r="J83" s="96">
        <v>7</v>
      </c>
      <c r="K83" s="95">
        <v>5</v>
      </c>
      <c r="L83" s="95">
        <v>3</v>
      </c>
      <c r="M83" s="95">
        <v>3</v>
      </c>
      <c r="N83" s="95">
        <v>3</v>
      </c>
      <c r="O83" s="95">
        <v>4</v>
      </c>
      <c r="P83" s="95">
        <v>1</v>
      </c>
      <c r="Q83" s="95">
        <v>1</v>
      </c>
      <c r="R83" s="95">
        <v>27</v>
      </c>
      <c r="S83" s="95">
        <v>100</v>
      </c>
      <c r="T83" s="95">
        <v>55</v>
      </c>
      <c r="U83" s="95">
        <v>0</v>
      </c>
      <c r="V83" s="97">
        <v>0</v>
      </c>
      <c r="W83" s="98">
        <v>0</v>
      </c>
      <c r="X83" s="98">
        <v>0</v>
      </c>
      <c r="Y83" s="98">
        <v>0</v>
      </c>
      <c r="Z83" s="98">
        <v>0</v>
      </c>
      <c r="AA83" s="98">
        <v>0</v>
      </c>
      <c r="AB83" s="99">
        <v>1</v>
      </c>
      <c r="AC83" s="98">
        <v>1</v>
      </c>
      <c r="AD83" s="98">
        <v>1</v>
      </c>
      <c r="AE83" s="98">
        <v>1</v>
      </c>
      <c r="AF83" s="98">
        <v>2</v>
      </c>
      <c r="AG83" s="98">
        <v>0</v>
      </c>
      <c r="AH83" s="98">
        <v>0</v>
      </c>
      <c r="AI83" s="98">
        <v>0</v>
      </c>
      <c r="AJ83" s="98">
        <v>5</v>
      </c>
      <c r="AK83" s="98">
        <v>16</v>
      </c>
      <c r="AL83" s="98">
        <v>8</v>
      </c>
      <c r="AM83" s="100" t="s">
        <v>441</v>
      </c>
      <c r="AN83" s="101">
        <v>4</v>
      </c>
      <c r="AO83" s="101">
        <v>0</v>
      </c>
      <c r="AP83" s="101">
        <v>1</v>
      </c>
      <c r="AQ83" s="101">
        <v>0</v>
      </c>
      <c r="AR83" s="101">
        <v>0</v>
      </c>
      <c r="AS83" s="101">
        <v>0</v>
      </c>
      <c r="AT83" s="101">
        <v>0</v>
      </c>
      <c r="AU83" s="101">
        <v>0</v>
      </c>
      <c r="AV83" s="102">
        <v>1</v>
      </c>
      <c r="AW83" s="100" t="s">
        <v>402</v>
      </c>
      <c r="AX83" s="101">
        <v>4</v>
      </c>
      <c r="AY83" s="101">
        <v>0</v>
      </c>
      <c r="AZ83" s="101">
        <v>1</v>
      </c>
      <c r="BA83" s="101">
        <v>0</v>
      </c>
      <c r="BB83" s="101">
        <v>0</v>
      </c>
      <c r="BC83" s="101">
        <v>0</v>
      </c>
      <c r="BD83" s="101">
        <v>0</v>
      </c>
      <c r="BE83" s="101">
        <v>0</v>
      </c>
      <c r="BF83" s="102">
        <v>1</v>
      </c>
      <c r="BG83" s="100" t="s">
        <v>444</v>
      </c>
      <c r="BH83" s="101">
        <v>4</v>
      </c>
      <c r="BI83" s="101">
        <v>0</v>
      </c>
      <c r="BJ83" s="101">
        <v>0</v>
      </c>
      <c r="BK83" s="101">
        <v>0</v>
      </c>
      <c r="BL83" s="101">
        <v>0</v>
      </c>
      <c r="BM83" s="101">
        <v>0</v>
      </c>
      <c r="BN83" s="101">
        <v>0</v>
      </c>
      <c r="BO83" s="101">
        <v>0</v>
      </c>
      <c r="BP83" s="102">
        <v>0</v>
      </c>
      <c r="BQ83" s="100" t="s">
        <v>443</v>
      </c>
      <c r="BR83" s="101">
        <v>2</v>
      </c>
      <c r="BS83" s="101">
        <v>0</v>
      </c>
      <c r="BT83" s="101">
        <v>0</v>
      </c>
      <c r="BU83" s="101">
        <v>0</v>
      </c>
      <c r="BV83" s="101">
        <v>2</v>
      </c>
      <c r="BW83" s="101">
        <v>0</v>
      </c>
      <c r="BX83" s="101">
        <v>0</v>
      </c>
      <c r="BY83" s="101">
        <v>0</v>
      </c>
      <c r="BZ83" s="102">
        <v>0</v>
      </c>
      <c r="CA83" s="100" t="s">
        <v>501</v>
      </c>
      <c r="CB83" s="101">
        <v>4</v>
      </c>
      <c r="CC83" s="101">
        <v>0</v>
      </c>
      <c r="CD83" s="101">
        <v>0</v>
      </c>
      <c r="CE83" s="101">
        <v>0</v>
      </c>
      <c r="CF83" s="101">
        <v>0</v>
      </c>
      <c r="CG83" s="101">
        <v>0</v>
      </c>
      <c r="CH83" s="101">
        <v>0</v>
      </c>
      <c r="CI83" s="101">
        <v>0</v>
      </c>
      <c r="CJ83" s="102">
        <v>0</v>
      </c>
      <c r="CK83" s="100" t="s">
        <v>496</v>
      </c>
      <c r="CL83" s="101">
        <v>4</v>
      </c>
      <c r="CM83" s="101">
        <v>0</v>
      </c>
      <c r="CN83" s="101">
        <v>0</v>
      </c>
      <c r="CO83" s="101">
        <v>0</v>
      </c>
      <c r="CP83" s="101">
        <v>0</v>
      </c>
      <c r="CQ83" s="101">
        <v>1</v>
      </c>
      <c r="CR83" s="101">
        <v>0</v>
      </c>
      <c r="CS83" s="101">
        <v>0</v>
      </c>
      <c r="CT83" s="102">
        <v>0</v>
      </c>
      <c r="CU83" s="100" t="s">
        <v>473</v>
      </c>
      <c r="CV83" s="101">
        <v>3</v>
      </c>
      <c r="CW83" s="101">
        <v>0</v>
      </c>
      <c r="CX83" s="101">
        <v>0</v>
      </c>
      <c r="CY83" s="101">
        <v>0</v>
      </c>
      <c r="CZ83" s="101">
        <v>1</v>
      </c>
      <c r="DA83" s="101">
        <v>2</v>
      </c>
      <c r="DB83" s="101">
        <v>0</v>
      </c>
      <c r="DC83" s="101">
        <v>0</v>
      </c>
      <c r="DD83" s="102">
        <v>0</v>
      </c>
      <c r="DE83" s="100" t="s">
        <v>365</v>
      </c>
      <c r="DF83" s="101">
        <v>2</v>
      </c>
      <c r="DG83" s="101">
        <v>1</v>
      </c>
      <c r="DH83" s="101">
        <v>0</v>
      </c>
      <c r="DI83" s="101">
        <v>0</v>
      </c>
      <c r="DJ83" s="101">
        <v>1</v>
      </c>
      <c r="DK83" s="101">
        <v>1</v>
      </c>
      <c r="DL83" s="101">
        <v>0</v>
      </c>
      <c r="DM83" s="101">
        <v>0</v>
      </c>
      <c r="DN83" s="102">
        <v>0</v>
      </c>
      <c r="DO83" s="100" t="s">
        <v>449</v>
      </c>
      <c r="DP83" s="101">
        <v>3</v>
      </c>
      <c r="DQ83" s="101">
        <v>1</v>
      </c>
      <c r="DR83" s="101">
        <v>1</v>
      </c>
      <c r="DS83" s="101">
        <v>0</v>
      </c>
      <c r="DT83" s="101">
        <v>0</v>
      </c>
      <c r="DU83" s="101">
        <v>0</v>
      </c>
      <c r="DV83" s="101">
        <v>0</v>
      </c>
      <c r="DW83" s="101">
        <v>0</v>
      </c>
      <c r="DX83" s="102">
        <v>1</v>
      </c>
      <c r="DY83" s="103">
        <v>9</v>
      </c>
      <c r="DZ83" s="104">
        <v>0</v>
      </c>
      <c r="EA83" s="104">
        <v>0</v>
      </c>
      <c r="EB83" s="105">
        <v>0</v>
      </c>
      <c r="EC83" s="104">
        <v>0</v>
      </c>
      <c r="ED83" s="106">
        <v>0</v>
      </c>
      <c r="EE83" s="107">
        <v>0</v>
      </c>
      <c r="EF83" s="104">
        <v>0</v>
      </c>
      <c r="EG83" s="104">
        <v>0</v>
      </c>
      <c r="EH83" s="104">
        <v>0</v>
      </c>
      <c r="EI83" s="104">
        <v>0</v>
      </c>
      <c r="EJ83" s="104">
        <v>0</v>
      </c>
      <c r="EK83" s="104">
        <v>0</v>
      </c>
      <c r="EL83" s="104">
        <v>2</v>
      </c>
      <c r="EM83" s="104">
        <v>0</v>
      </c>
      <c r="EN83" s="104"/>
      <c r="EO83" s="104"/>
      <c r="EP83" s="104"/>
      <c r="EQ83" s="104"/>
      <c r="ER83" s="104"/>
      <c r="ES83" s="104"/>
      <c r="ET83" s="106">
        <f t="shared" si="16"/>
        <v>2</v>
      </c>
      <c r="EU83" s="104">
        <v>1</v>
      </c>
      <c r="EV83" s="104">
        <v>0</v>
      </c>
      <c r="EW83" s="104">
        <v>2</v>
      </c>
      <c r="EX83" s="104">
        <v>0</v>
      </c>
      <c r="EY83" s="104">
        <v>0</v>
      </c>
      <c r="EZ83" s="104">
        <v>0</v>
      </c>
      <c r="FA83" s="104">
        <v>0</v>
      </c>
      <c r="FB83" s="104">
        <v>1</v>
      </c>
      <c r="FC83" s="104"/>
      <c r="FD83" s="104"/>
      <c r="FE83" s="104"/>
      <c r="FF83" s="104"/>
      <c r="FG83" s="104"/>
      <c r="FH83" s="104"/>
      <c r="FI83" s="104"/>
      <c r="FJ83" s="104">
        <f t="shared" si="17"/>
        <v>4</v>
      </c>
      <c r="FK83" s="108">
        <f t="shared" si="14"/>
        <v>0</v>
      </c>
      <c r="FL83" s="108">
        <f t="shared" si="15"/>
        <v>0</v>
      </c>
      <c r="FM83" s="109"/>
    </row>
    <row r="84" spans="1:169" x14ac:dyDescent="0.25">
      <c r="A84" s="91">
        <v>40363</v>
      </c>
      <c r="B84" s="91" t="s">
        <v>19</v>
      </c>
      <c r="C84" s="91" t="s">
        <v>131</v>
      </c>
      <c r="D84" s="91" t="s">
        <v>471</v>
      </c>
      <c r="E84" s="92">
        <v>7591</v>
      </c>
      <c r="F84" s="93">
        <v>3</v>
      </c>
      <c r="G84" s="94" t="s">
        <v>368</v>
      </c>
      <c r="H84" s="95">
        <v>0</v>
      </c>
      <c r="I84" s="95">
        <v>1</v>
      </c>
      <c r="J84" s="96">
        <f>4+1/3</f>
        <v>4.333333333333333</v>
      </c>
      <c r="K84" s="95">
        <v>9</v>
      </c>
      <c r="L84" s="95">
        <v>7</v>
      </c>
      <c r="M84" s="95">
        <v>5</v>
      </c>
      <c r="N84" s="95">
        <v>1</v>
      </c>
      <c r="O84" s="95">
        <v>2</v>
      </c>
      <c r="P84" s="95">
        <v>1</v>
      </c>
      <c r="Q84" s="95">
        <v>1</v>
      </c>
      <c r="R84" s="95">
        <v>24</v>
      </c>
      <c r="S84" s="95">
        <v>91</v>
      </c>
      <c r="T84" s="95">
        <v>57</v>
      </c>
      <c r="U84" s="95">
        <v>2</v>
      </c>
      <c r="V84" s="97">
        <v>1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9">
        <f>4+2/3</f>
        <v>4.666666666666667</v>
      </c>
      <c r="AC84" s="98">
        <v>8</v>
      </c>
      <c r="AD84" s="98">
        <v>4</v>
      </c>
      <c r="AE84" s="98">
        <v>4</v>
      </c>
      <c r="AF84" s="98">
        <v>1</v>
      </c>
      <c r="AG84" s="98">
        <v>3</v>
      </c>
      <c r="AH84" s="98">
        <v>0</v>
      </c>
      <c r="AI84" s="98">
        <v>1</v>
      </c>
      <c r="AJ84" s="98">
        <v>23</v>
      </c>
      <c r="AK84" s="98">
        <v>82</v>
      </c>
      <c r="AL84" s="98">
        <v>55</v>
      </c>
      <c r="AM84" s="100" t="s">
        <v>441</v>
      </c>
      <c r="AN84" s="101">
        <v>4</v>
      </c>
      <c r="AO84" s="101">
        <v>0</v>
      </c>
      <c r="AP84" s="101">
        <v>0</v>
      </c>
      <c r="AQ84" s="101">
        <v>0</v>
      </c>
      <c r="AR84" s="101">
        <v>0</v>
      </c>
      <c r="AS84" s="101">
        <v>0</v>
      </c>
      <c r="AT84" s="101">
        <v>0</v>
      </c>
      <c r="AU84" s="101">
        <v>0</v>
      </c>
      <c r="AV84" s="102">
        <v>0</v>
      </c>
      <c r="AW84" s="100" t="s">
        <v>402</v>
      </c>
      <c r="AX84" s="101">
        <v>4</v>
      </c>
      <c r="AY84" s="101">
        <v>0</v>
      </c>
      <c r="AZ84" s="101">
        <v>0</v>
      </c>
      <c r="BA84" s="101">
        <v>0</v>
      </c>
      <c r="BB84" s="101">
        <v>0</v>
      </c>
      <c r="BC84" s="101">
        <v>1</v>
      </c>
      <c r="BD84" s="101">
        <v>0</v>
      </c>
      <c r="BE84" s="101">
        <v>0</v>
      </c>
      <c r="BF84" s="102">
        <v>0</v>
      </c>
      <c r="BG84" s="100" t="s">
        <v>446</v>
      </c>
      <c r="BH84" s="101">
        <v>4</v>
      </c>
      <c r="BI84" s="101">
        <v>1</v>
      </c>
      <c r="BJ84" s="101">
        <v>1</v>
      </c>
      <c r="BK84" s="101">
        <v>1</v>
      </c>
      <c r="BL84" s="101">
        <v>0</v>
      </c>
      <c r="BM84" s="101">
        <v>1</v>
      </c>
      <c r="BN84" s="101">
        <v>0</v>
      </c>
      <c r="BO84" s="101">
        <v>0</v>
      </c>
      <c r="BP84" s="102">
        <v>4</v>
      </c>
      <c r="BQ84" s="100" t="s">
        <v>443</v>
      </c>
      <c r="BR84" s="101">
        <v>4</v>
      </c>
      <c r="BS84" s="101">
        <v>0</v>
      </c>
      <c r="BT84" s="101">
        <v>0</v>
      </c>
      <c r="BU84" s="101">
        <v>0</v>
      </c>
      <c r="BV84" s="101">
        <v>0</v>
      </c>
      <c r="BW84" s="101">
        <v>0</v>
      </c>
      <c r="BX84" s="101">
        <v>0</v>
      </c>
      <c r="BY84" s="101">
        <v>0</v>
      </c>
      <c r="BZ84" s="102">
        <v>0</v>
      </c>
      <c r="CA84" s="100" t="s">
        <v>444</v>
      </c>
      <c r="CB84" s="101">
        <v>3</v>
      </c>
      <c r="CC84" s="101">
        <v>0</v>
      </c>
      <c r="CD84" s="101">
        <v>0</v>
      </c>
      <c r="CE84" s="101">
        <v>0</v>
      </c>
      <c r="CF84" s="101">
        <v>0</v>
      </c>
      <c r="CG84" s="101">
        <v>1</v>
      </c>
      <c r="CH84" s="101">
        <v>1</v>
      </c>
      <c r="CI84" s="101">
        <v>0</v>
      </c>
      <c r="CJ84" s="102">
        <v>0</v>
      </c>
      <c r="CK84" s="100" t="s">
        <v>496</v>
      </c>
      <c r="CL84" s="101">
        <v>4</v>
      </c>
      <c r="CM84" s="101">
        <v>2</v>
      </c>
      <c r="CN84" s="101">
        <v>2</v>
      </c>
      <c r="CO84" s="101">
        <v>1</v>
      </c>
      <c r="CP84" s="101">
        <v>0</v>
      </c>
      <c r="CQ84" s="101">
        <v>0</v>
      </c>
      <c r="CR84" s="101">
        <v>0</v>
      </c>
      <c r="CS84" s="101">
        <v>0</v>
      </c>
      <c r="CT84" s="102">
        <v>6</v>
      </c>
      <c r="CU84" s="100" t="s">
        <v>473</v>
      </c>
      <c r="CV84" s="101">
        <v>4</v>
      </c>
      <c r="CW84" s="101">
        <v>1</v>
      </c>
      <c r="CX84" s="101">
        <v>1</v>
      </c>
      <c r="CY84" s="101">
        <v>1</v>
      </c>
      <c r="CZ84" s="101">
        <v>0</v>
      </c>
      <c r="DA84" s="101">
        <v>1</v>
      </c>
      <c r="DB84" s="101">
        <v>0</v>
      </c>
      <c r="DC84" s="101">
        <v>0</v>
      </c>
      <c r="DD84" s="102">
        <v>2</v>
      </c>
      <c r="DE84" s="100" t="s">
        <v>448</v>
      </c>
      <c r="DF84" s="101">
        <v>3</v>
      </c>
      <c r="DG84" s="101">
        <v>1</v>
      </c>
      <c r="DH84" s="101">
        <v>1</v>
      </c>
      <c r="DI84" s="101">
        <v>2</v>
      </c>
      <c r="DJ84" s="101">
        <v>1</v>
      </c>
      <c r="DK84" s="101">
        <v>1</v>
      </c>
      <c r="DL84" s="101">
        <v>0</v>
      </c>
      <c r="DM84" s="101">
        <v>0</v>
      </c>
      <c r="DN84" s="102">
        <v>4</v>
      </c>
      <c r="DO84" s="100" t="s">
        <v>365</v>
      </c>
      <c r="DP84" s="101">
        <v>3</v>
      </c>
      <c r="DQ84" s="101">
        <v>0</v>
      </c>
      <c r="DR84" s="101">
        <v>1</v>
      </c>
      <c r="DS84" s="101">
        <v>0</v>
      </c>
      <c r="DT84" s="101">
        <v>0</v>
      </c>
      <c r="DU84" s="101">
        <v>1</v>
      </c>
      <c r="DV84" s="101">
        <v>0</v>
      </c>
      <c r="DW84" s="101">
        <v>0</v>
      </c>
      <c r="DX84" s="102">
        <v>1</v>
      </c>
      <c r="DY84" s="103">
        <f>6+1/3</f>
        <v>6.333333333333333</v>
      </c>
      <c r="DZ84" s="104">
        <v>0</v>
      </c>
      <c r="EA84" s="104">
        <v>0</v>
      </c>
      <c r="EB84" s="105">
        <f>2+2/3</f>
        <v>2.6666666666666665</v>
      </c>
      <c r="EC84" s="104">
        <v>0</v>
      </c>
      <c r="ED84" s="106">
        <v>0</v>
      </c>
      <c r="EE84" s="107">
        <v>0</v>
      </c>
      <c r="EF84" s="104">
        <v>0</v>
      </c>
      <c r="EG84" s="104">
        <v>0</v>
      </c>
      <c r="EH84" s="104">
        <v>1</v>
      </c>
      <c r="EI84" s="104">
        <v>1</v>
      </c>
      <c r="EJ84" s="104">
        <v>0</v>
      </c>
      <c r="EK84" s="104">
        <v>3</v>
      </c>
      <c r="EL84" s="104">
        <v>0</v>
      </c>
      <c r="EM84" s="104">
        <v>0</v>
      </c>
      <c r="EN84" s="104"/>
      <c r="EO84" s="104"/>
      <c r="EP84" s="104"/>
      <c r="EQ84" s="104"/>
      <c r="ER84" s="104"/>
      <c r="ES84" s="104"/>
      <c r="ET84" s="106">
        <f t="shared" si="16"/>
        <v>5</v>
      </c>
      <c r="EU84" s="104">
        <v>1</v>
      </c>
      <c r="EV84" s="104">
        <v>0</v>
      </c>
      <c r="EW84" s="104">
        <v>0</v>
      </c>
      <c r="EX84" s="104">
        <v>0</v>
      </c>
      <c r="EY84" s="104">
        <v>6</v>
      </c>
      <c r="EZ84" s="104">
        <v>0</v>
      </c>
      <c r="FA84" s="104">
        <v>1</v>
      </c>
      <c r="FB84" s="104">
        <v>1</v>
      </c>
      <c r="FC84" s="104">
        <v>2</v>
      </c>
      <c r="FD84" s="104"/>
      <c r="FE84" s="104"/>
      <c r="FF84" s="104"/>
      <c r="FG84" s="104"/>
      <c r="FH84" s="104"/>
      <c r="FI84" s="104"/>
      <c r="FJ84" s="104">
        <f t="shared" si="17"/>
        <v>11</v>
      </c>
      <c r="FK84" s="108">
        <f t="shared" si="14"/>
        <v>0</v>
      </c>
      <c r="FL84" s="108">
        <f t="shared" si="15"/>
        <v>0</v>
      </c>
      <c r="FM84" s="109"/>
    </row>
    <row r="85" spans="1:169" x14ac:dyDescent="0.25">
      <c r="A85" s="91">
        <v>40364</v>
      </c>
      <c r="B85" s="91" t="s">
        <v>19</v>
      </c>
      <c r="C85" s="91" t="s">
        <v>131</v>
      </c>
      <c r="D85" s="91" t="s">
        <v>471</v>
      </c>
      <c r="E85" s="92">
        <v>1922</v>
      </c>
      <c r="F85" s="93" t="s">
        <v>523</v>
      </c>
      <c r="G85" s="94" t="s">
        <v>525</v>
      </c>
      <c r="H85" s="95">
        <v>0</v>
      </c>
      <c r="I85" s="95">
        <v>0</v>
      </c>
      <c r="J85" s="96">
        <f>4+2/3</f>
        <v>4.666666666666667</v>
      </c>
      <c r="K85" s="95">
        <v>6</v>
      </c>
      <c r="L85" s="95">
        <v>4</v>
      </c>
      <c r="M85" s="95">
        <v>2</v>
      </c>
      <c r="N85" s="95">
        <v>0</v>
      </c>
      <c r="O85" s="95">
        <v>3</v>
      </c>
      <c r="P85" s="95">
        <v>0</v>
      </c>
      <c r="Q85" s="95">
        <v>0</v>
      </c>
      <c r="R85" s="95">
        <v>20</v>
      </c>
      <c r="S85" s="95">
        <v>60</v>
      </c>
      <c r="T85" s="95">
        <v>42</v>
      </c>
      <c r="U85" s="95">
        <v>1</v>
      </c>
      <c r="V85" s="97">
        <v>0</v>
      </c>
      <c r="W85" s="98">
        <v>0</v>
      </c>
      <c r="X85" s="98">
        <v>1</v>
      </c>
      <c r="Y85" s="98">
        <v>1</v>
      </c>
      <c r="Z85" s="98">
        <v>0</v>
      </c>
      <c r="AA85" s="98">
        <v>1</v>
      </c>
      <c r="AB85" s="99">
        <f>4+1/3</f>
        <v>4.333333333333333</v>
      </c>
      <c r="AC85" s="98">
        <v>8</v>
      </c>
      <c r="AD85" s="98">
        <v>6</v>
      </c>
      <c r="AE85" s="98">
        <v>6</v>
      </c>
      <c r="AF85" s="98">
        <v>2</v>
      </c>
      <c r="AG85" s="98">
        <v>4</v>
      </c>
      <c r="AH85" s="98">
        <v>0</v>
      </c>
      <c r="AI85" s="98">
        <v>0</v>
      </c>
      <c r="AJ85" s="98">
        <v>22</v>
      </c>
      <c r="AK85" s="98">
        <v>83</v>
      </c>
      <c r="AL85" s="98">
        <v>56</v>
      </c>
      <c r="AM85" s="100" t="s">
        <v>442</v>
      </c>
      <c r="AN85" s="101">
        <v>5</v>
      </c>
      <c r="AO85" s="101">
        <v>1</v>
      </c>
      <c r="AP85" s="101">
        <v>1</v>
      </c>
      <c r="AQ85" s="101">
        <v>0</v>
      </c>
      <c r="AR85" s="101">
        <v>1</v>
      </c>
      <c r="AS85" s="101">
        <v>3</v>
      </c>
      <c r="AT85" s="101">
        <v>0</v>
      </c>
      <c r="AU85" s="101">
        <v>0</v>
      </c>
      <c r="AV85" s="102">
        <v>1</v>
      </c>
      <c r="AW85" s="100" t="s">
        <v>441</v>
      </c>
      <c r="AX85" s="101">
        <v>3</v>
      </c>
      <c r="AY85" s="101">
        <v>3</v>
      </c>
      <c r="AZ85" s="101">
        <v>3</v>
      </c>
      <c r="BA85" s="101">
        <v>1</v>
      </c>
      <c r="BB85" s="101">
        <v>2</v>
      </c>
      <c r="BC85" s="101">
        <v>0</v>
      </c>
      <c r="BD85" s="101">
        <v>0</v>
      </c>
      <c r="BE85" s="101">
        <v>0</v>
      </c>
      <c r="BF85" s="102">
        <v>7</v>
      </c>
      <c r="BG85" s="100" t="s">
        <v>402</v>
      </c>
      <c r="BH85" s="101">
        <v>4</v>
      </c>
      <c r="BI85" s="101">
        <v>1</v>
      </c>
      <c r="BJ85" s="101">
        <v>1</v>
      </c>
      <c r="BK85" s="101">
        <v>1</v>
      </c>
      <c r="BL85" s="101">
        <v>1</v>
      </c>
      <c r="BM85" s="101">
        <v>0</v>
      </c>
      <c r="BN85" s="101">
        <v>0</v>
      </c>
      <c r="BO85" s="101">
        <v>0</v>
      </c>
      <c r="BP85" s="102">
        <v>1</v>
      </c>
      <c r="BQ85" s="100" t="s">
        <v>446</v>
      </c>
      <c r="BR85" s="101">
        <v>4</v>
      </c>
      <c r="BS85" s="101">
        <v>1</v>
      </c>
      <c r="BT85" s="101">
        <v>0</v>
      </c>
      <c r="BU85" s="101">
        <v>2</v>
      </c>
      <c r="BV85" s="101">
        <v>0</v>
      </c>
      <c r="BW85" s="101">
        <v>1</v>
      </c>
      <c r="BX85" s="101">
        <v>0</v>
      </c>
      <c r="BY85" s="101">
        <v>1</v>
      </c>
      <c r="BZ85" s="102">
        <v>0</v>
      </c>
      <c r="CA85" s="100" t="s">
        <v>501</v>
      </c>
      <c r="CB85" s="101">
        <v>4</v>
      </c>
      <c r="CC85" s="101">
        <v>0</v>
      </c>
      <c r="CD85" s="101">
        <v>3</v>
      </c>
      <c r="CE85" s="101">
        <v>2</v>
      </c>
      <c r="CF85" s="101">
        <v>0</v>
      </c>
      <c r="CG85" s="101">
        <v>0</v>
      </c>
      <c r="CH85" s="101">
        <v>1</v>
      </c>
      <c r="CI85" s="101">
        <v>0</v>
      </c>
      <c r="CJ85" s="102">
        <v>3</v>
      </c>
      <c r="CK85" s="100" t="s">
        <v>496</v>
      </c>
      <c r="CL85" s="101">
        <v>5</v>
      </c>
      <c r="CM85" s="101">
        <v>0</v>
      </c>
      <c r="CN85" s="101">
        <v>3</v>
      </c>
      <c r="CO85" s="101">
        <v>1</v>
      </c>
      <c r="CP85" s="101">
        <v>0</v>
      </c>
      <c r="CQ85" s="101">
        <v>1</v>
      </c>
      <c r="CR85" s="101">
        <v>0</v>
      </c>
      <c r="CS85" s="101">
        <v>0</v>
      </c>
      <c r="CT85" s="102">
        <v>5</v>
      </c>
      <c r="CU85" s="100" t="s">
        <v>473</v>
      </c>
      <c r="CV85" s="101">
        <v>4</v>
      </c>
      <c r="CW85" s="101">
        <v>0</v>
      </c>
      <c r="CX85" s="101">
        <v>0</v>
      </c>
      <c r="CY85" s="101">
        <v>0</v>
      </c>
      <c r="CZ85" s="101">
        <v>1</v>
      </c>
      <c r="DA85" s="101">
        <v>2</v>
      </c>
      <c r="DB85" s="101">
        <v>0</v>
      </c>
      <c r="DC85" s="101">
        <v>0</v>
      </c>
      <c r="DD85" s="102">
        <v>0</v>
      </c>
      <c r="DE85" s="100" t="s">
        <v>444</v>
      </c>
      <c r="DF85" s="101">
        <v>5</v>
      </c>
      <c r="DG85" s="101">
        <v>0</v>
      </c>
      <c r="DH85" s="101">
        <v>0</v>
      </c>
      <c r="DI85" s="101">
        <v>0</v>
      </c>
      <c r="DJ85" s="101">
        <v>0</v>
      </c>
      <c r="DK85" s="101">
        <v>3</v>
      </c>
      <c r="DL85" s="101">
        <v>0</v>
      </c>
      <c r="DM85" s="101">
        <v>0</v>
      </c>
      <c r="DN85" s="102">
        <v>0</v>
      </c>
      <c r="DO85" s="100" t="s">
        <v>448</v>
      </c>
      <c r="DP85" s="101">
        <v>3</v>
      </c>
      <c r="DQ85" s="101">
        <v>1</v>
      </c>
      <c r="DR85" s="101">
        <v>1</v>
      </c>
      <c r="DS85" s="101">
        <v>0</v>
      </c>
      <c r="DT85" s="101">
        <v>2</v>
      </c>
      <c r="DU85" s="101">
        <v>2</v>
      </c>
      <c r="DV85" s="101">
        <v>0</v>
      </c>
      <c r="DW85" s="101">
        <v>0</v>
      </c>
      <c r="DX85" s="102">
        <v>1</v>
      </c>
      <c r="DY85" s="103">
        <v>1</v>
      </c>
      <c r="DZ85" s="104">
        <v>0</v>
      </c>
      <c r="EA85" s="104">
        <v>0</v>
      </c>
      <c r="EB85" s="105">
        <v>8</v>
      </c>
      <c r="EC85" s="104">
        <v>1</v>
      </c>
      <c r="ED85" s="106">
        <v>2</v>
      </c>
      <c r="EE85" s="107">
        <v>3</v>
      </c>
      <c r="EF85" s="104">
        <v>2</v>
      </c>
      <c r="EG85" s="104">
        <v>0</v>
      </c>
      <c r="EH85" s="104">
        <v>0</v>
      </c>
      <c r="EI85" s="104">
        <v>0</v>
      </c>
      <c r="EJ85" s="104">
        <v>1</v>
      </c>
      <c r="EK85" s="104">
        <v>0</v>
      </c>
      <c r="EL85" s="104">
        <v>1</v>
      </c>
      <c r="EM85" s="104">
        <v>0</v>
      </c>
      <c r="EN85" s="104"/>
      <c r="EO85" s="104"/>
      <c r="EP85" s="104"/>
      <c r="EQ85" s="104"/>
      <c r="ER85" s="104"/>
      <c r="ES85" s="104"/>
      <c r="ET85" s="106">
        <f t="shared" si="16"/>
        <v>7</v>
      </c>
      <c r="EU85" s="104">
        <v>1</v>
      </c>
      <c r="EV85" s="104">
        <v>0</v>
      </c>
      <c r="EW85" s="104">
        <v>0</v>
      </c>
      <c r="EX85" s="104">
        <v>0</v>
      </c>
      <c r="EY85" s="104">
        <v>3</v>
      </c>
      <c r="EZ85" s="104">
        <v>0</v>
      </c>
      <c r="FA85" s="104">
        <v>0</v>
      </c>
      <c r="FB85" s="104">
        <v>3</v>
      </c>
      <c r="FC85" s="104">
        <v>3</v>
      </c>
      <c r="FD85" s="104"/>
      <c r="FE85" s="104"/>
      <c r="FF85" s="104"/>
      <c r="FG85" s="104"/>
      <c r="FH85" s="104"/>
      <c r="FI85" s="104"/>
      <c r="FJ85" s="104">
        <f t="shared" si="17"/>
        <v>10</v>
      </c>
      <c r="FK85" s="108">
        <f t="shared" si="14"/>
        <v>0</v>
      </c>
      <c r="FL85" s="108">
        <f t="shared" si="15"/>
        <v>0</v>
      </c>
      <c r="FM85" s="109"/>
    </row>
    <row r="86" spans="1:169" x14ac:dyDescent="0.25">
      <c r="A86" s="91">
        <v>40365</v>
      </c>
      <c r="B86" s="91" t="s">
        <v>19</v>
      </c>
      <c r="C86" s="91" t="s">
        <v>131</v>
      </c>
      <c r="D86" s="91" t="s">
        <v>471</v>
      </c>
      <c r="E86" s="92">
        <v>1921</v>
      </c>
      <c r="F86" s="93">
        <v>4</v>
      </c>
      <c r="G86" s="94" t="s">
        <v>439</v>
      </c>
      <c r="H86" s="95">
        <v>0</v>
      </c>
      <c r="I86" s="95">
        <v>0</v>
      </c>
      <c r="J86" s="96">
        <v>6</v>
      </c>
      <c r="K86" s="95">
        <v>3</v>
      </c>
      <c r="L86" s="95">
        <v>1</v>
      </c>
      <c r="M86" s="95">
        <v>1</v>
      </c>
      <c r="N86" s="95">
        <v>2</v>
      </c>
      <c r="O86" s="95">
        <v>8</v>
      </c>
      <c r="P86" s="95">
        <v>0</v>
      </c>
      <c r="Q86" s="95">
        <v>0</v>
      </c>
      <c r="R86" s="95">
        <v>23</v>
      </c>
      <c r="S86" s="95">
        <v>98</v>
      </c>
      <c r="T86" s="95">
        <v>66</v>
      </c>
      <c r="U86" s="95">
        <v>0</v>
      </c>
      <c r="V86" s="97">
        <v>0</v>
      </c>
      <c r="W86" s="98">
        <v>0</v>
      </c>
      <c r="X86" s="98">
        <v>1</v>
      </c>
      <c r="Y86" s="98">
        <v>0</v>
      </c>
      <c r="Z86" s="98">
        <v>0</v>
      </c>
      <c r="AA86" s="98">
        <v>1</v>
      </c>
      <c r="AB86" s="99">
        <v>5</v>
      </c>
      <c r="AC86" s="98">
        <v>6</v>
      </c>
      <c r="AD86" s="98">
        <v>2</v>
      </c>
      <c r="AE86" s="98">
        <v>2</v>
      </c>
      <c r="AF86" s="98">
        <v>5</v>
      </c>
      <c r="AG86" s="98">
        <v>2</v>
      </c>
      <c r="AH86" s="98">
        <v>0</v>
      </c>
      <c r="AI86" s="98">
        <v>1</v>
      </c>
      <c r="AJ86" s="98">
        <v>23</v>
      </c>
      <c r="AK86" s="98">
        <v>84</v>
      </c>
      <c r="AL86" s="98">
        <v>46</v>
      </c>
      <c r="AM86" s="100" t="s">
        <v>442</v>
      </c>
      <c r="AN86" s="101">
        <v>6</v>
      </c>
      <c r="AO86" s="101">
        <v>0</v>
      </c>
      <c r="AP86" s="101">
        <v>0</v>
      </c>
      <c r="AQ86" s="101">
        <v>0</v>
      </c>
      <c r="AR86" s="101">
        <v>0</v>
      </c>
      <c r="AS86" s="101">
        <v>1</v>
      </c>
      <c r="AT86" s="101">
        <v>0</v>
      </c>
      <c r="AU86" s="101">
        <v>0</v>
      </c>
      <c r="AV86" s="102">
        <v>0</v>
      </c>
      <c r="AW86" s="100" t="s">
        <v>441</v>
      </c>
      <c r="AX86" s="101">
        <v>6</v>
      </c>
      <c r="AY86" s="101">
        <v>0</v>
      </c>
      <c r="AZ86" s="101">
        <v>0</v>
      </c>
      <c r="BA86" s="101">
        <v>0</v>
      </c>
      <c r="BB86" s="101">
        <v>0</v>
      </c>
      <c r="BC86" s="101">
        <v>0</v>
      </c>
      <c r="BD86" s="101">
        <v>0</v>
      </c>
      <c r="BE86" s="101">
        <v>0</v>
      </c>
      <c r="BF86" s="102">
        <v>0</v>
      </c>
      <c r="BG86" s="100" t="s">
        <v>402</v>
      </c>
      <c r="BH86" s="101">
        <v>3</v>
      </c>
      <c r="BI86" s="101">
        <v>1</v>
      </c>
      <c r="BJ86" s="101">
        <v>1</v>
      </c>
      <c r="BK86" s="101">
        <v>0</v>
      </c>
      <c r="BL86" s="101">
        <v>2</v>
      </c>
      <c r="BM86" s="101">
        <v>0</v>
      </c>
      <c r="BN86" s="101">
        <v>0</v>
      </c>
      <c r="BO86" s="101">
        <v>0</v>
      </c>
      <c r="BP86" s="102">
        <v>1</v>
      </c>
      <c r="BQ86" s="100" t="s">
        <v>446</v>
      </c>
      <c r="BR86" s="101">
        <v>3</v>
      </c>
      <c r="BS86" s="101">
        <v>0</v>
      </c>
      <c r="BT86" s="101">
        <v>0</v>
      </c>
      <c r="BU86" s="101">
        <v>0</v>
      </c>
      <c r="BV86" s="101">
        <v>1</v>
      </c>
      <c r="BW86" s="101">
        <v>2</v>
      </c>
      <c r="BX86" s="101">
        <v>0</v>
      </c>
      <c r="BY86" s="101">
        <v>0</v>
      </c>
      <c r="BZ86" s="102">
        <v>0</v>
      </c>
      <c r="CA86" s="100" t="s">
        <v>501</v>
      </c>
      <c r="CB86" s="101">
        <v>3</v>
      </c>
      <c r="CC86" s="101">
        <v>1</v>
      </c>
      <c r="CD86" s="101">
        <v>3</v>
      </c>
      <c r="CE86" s="101">
        <v>1</v>
      </c>
      <c r="CF86" s="101">
        <v>2</v>
      </c>
      <c r="CG86" s="101">
        <v>0</v>
      </c>
      <c r="CH86" s="101">
        <v>1</v>
      </c>
      <c r="CI86" s="101">
        <v>0</v>
      </c>
      <c r="CJ86" s="102">
        <v>5</v>
      </c>
      <c r="CK86" s="100" t="s">
        <v>496</v>
      </c>
      <c r="CL86" s="101">
        <v>4</v>
      </c>
      <c r="CM86" s="101">
        <v>0</v>
      </c>
      <c r="CN86" s="101">
        <v>1</v>
      </c>
      <c r="CO86" s="101">
        <v>0</v>
      </c>
      <c r="CP86" s="101">
        <v>1</v>
      </c>
      <c r="CQ86" s="101">
        <v>1</v>
      </c>
      <c r="CR86" s="101">
        <v>0</v>
      </c>
      <c r="CS86" s="101">
        <v>0</v>
      </c>
      <c r="CT86" s="102">
        <v>1</v>
      </c>
      <c r="CU86" s="100" t="s">
        <v>473</v>
      </c>
      <c r="CV86" s="101">
        <v>3</v>
      </c>
      <c r="CW86" s="101">
        <v>0</v>
      </c>
      <c r="CX86" s="101">
        <v>0</v>
      </c>
      <c r="CY86" s="101">
        <v>1</v>
      </c>
      <c r="CZ86" s="101">
        <v>1</v>
      </c>
      <c r="DA86" s="101">
        <v>1</v>
      </c>
      <c r="DB86" s="101">
        <v>0</v>
      </c>
      <c r="DC86" s="101">
        <v>1</v>
      </c>
      <c r="DD86" s="102">
        <v>0</v>
      </c>
      <c r="DE86" s="100" t="s">
        <v>444</v>
      </c>
      <c r="DF86" s="101">
        <v>4</v>
      </c>
      <c r="DG86" s="101">
        <v>0</v>
      </c>
      <c r="DH86" s="101">
        <v>1</v>
      </c>
      <c r="DI86" s="101">
        <v>0</v>
      </c>
      <c r="DJ86" s="101">
        <v>1</v>
      </c>
      <c r="DK86" s="101">
        <v>2</v>
      </c>
      <c r="DL86" s="101">
        <v>0</v>
      </c>
      <c r="DM86" s="101">
        <v>0</v>
      </c>
      <c r="DN86" s="102">
        <v>2</v>
      </c>
      <c r="DO86" s="100" t="s">
        <v>448</v>
      </c>
      <c r="DP86" s="101">
        <v>3</v>
      </c>
      <c r="DQ86" s="101">
        <v>0</v>
      </c>
      <c r="DR86" s="101">
        <v>0</v>
      </c>
      <c r="DS86" s="101">
        <v>0</v>
      </c>
      <c r="DT86" s="101">
        <v>1</v>
      </c>
      <c r="DU86" s="101">
        <v>1</v>
      </c>
      <c r="DV86" s="101">
        <v>0</v>
      </c>
      <c r="DW86" s="101">
        <v>0</v>
      </c>
      <c r="DX86" s="102">
        <v>0</v>
      </c>
      <c r="DY86" s="103">
        <v>0</v>
      </c>
      <c r="DZ86" s="104">
        <v>0</v>
      </c>
      <c r="EA86" s="104">
        <v>0</v>
      </c>
      <c r="EB86" s="105">
        <v>11</v>
      </c>
      <c r="EC86" s="104">
        <v>1</v>
      </c>
      <c r="ED86" s="106">
        <v>0</v>
      </c>
      <c r="EE86" s="107">
        <v>0</v>
      </c>
      <c r="EF86" s="104">
        <v>0</v>
      </c>
      <c r="EG86" s="104">
        <v>1</v>
      </c>
      <c r="EH86" s="104">
        <v>0</v>
      </c>
      <c r="EI86" s="104">
        <v>0</v>
      </c>
      <c r="EJ86" s="104">
        <v>1</v>
      </c>
      <c r="EK86" s="104">
        <v>0</v>
      </c>
      <c r="EL86" s="104">
        <v>0</v>
      </c>
      <c r="EM86" s="104">
        <v>0</v>
      </c>
      <c r="EN86" s="104">
        <v>0</v>
      </c>
      <c r="EO86" s="104">
        <v>0</v>
      </c>
      <c r="EP86" s="104"/>
      <c r="EQ86" s="104"/>
      <c r="ER86" s="104"/>
      <c r="ES86" s="104"/>
      <c r="ET86" s="106">
        <f t="shared" si="16"/>
        <v>2</v>
      </c>
      <c r="EU86" s="104">
        <v>0</v>
      </c>
      <c r="EV86" s="104">
        <v>0</v>
      </c>
      <c r="EW86" s="104">
        <v>0</v>
      </c>
      <c r="EX86" s="104">
        <v>0</v>
      </c>
      <c r="EY86" s="104">
        <v>0</v>
      </c>
      <c r="EZ86" s="104">
        <v>1</v>
      </c>
      <c r="FA86" s="104">
        <v>1</v>
      </c>
      <c r="FB86" s="104">
        <v>0</v>
      </c>
      <c r="FC86" s="104">
        <v>0</v>
      </c>
      <c r="FD86" s="104">
        <v>0</v>
      </c>
      <c r="FE86" s="104">
        <v>1</v>
      </c>
      <c r="FF86" s="104"/>
      <c r="FG86" s="104"/>
      <c r="FH86" s="104"/>
      <c r="FI86" s="104"/>
      <c r="FJ86" s="104">
        <f t="shared" si="17"/>
        <v>3</v>
      </c>
      <c r="FK86" s="108">
        <f t="shared" si="14"/>
        <v>0</v>
      </c>
      <c r="FL86" s="108">
        <f t="shared" si="15"/>
        <v>0</v>
      </c>
      <c r="FM86" s="109"/>
    </row>
    <row r="87" spans="1:169" x14ac:dyDescent="0.25">
      <c r="A87" s="91">
        <v>40366</v>
      </c>
      <c r="B87" s="91" t="s">
        <v>19</v>
      </c>
      <c r="C87" s="91" t="s">
        <v>129</v>
      </c>
      <c r="D87" s="91" t="s">
        <v>370</v>
      </c>
      <c r="E87" s="92">
        <v>2238</v>
      </c>
      <c r="F87" s="93">
        <v>5</v>
      </c>
      <c r="G87" s="94" t="s">
        <v>470</v>
      </c>
      <c r="H87" s="95">
        <v>1</v>
      </c>
      <c r="I87" s="95">
        <v>0</v>
      </c>
      <c r="J87" s="96">
        <f>5+1/3</f>
        <v>5.333333333333333</v>
      </c>
      <c r="K87" s="95">
        <v>6</v>
      </c>
      <c r="L87" s="95">
        <v>6</v>
      </c>
      <c r="M87" s="95">
        <v>6</v>
      </c>
      <c r="N87" s="95">
        <v>3</v>
      </c>
      <c r="O87" s="95">
        <v>3</v>
      </c>
      <c r="P87" s="95">
        <v>1</v>
      </c>
      <c r="Q87" s="95">
        <v>0</v>
      </c>
      <c r="R87" s="95">
        <v>24</v>
      </c>
      <c r="S87" s="95">
        <v>98</v>
      </c>
      <c r="T87" s="95">
        <v>58</v>
      </c>
      <c r="U87" s="95">
        <v>1</v>
      </c>
      <c r="V87" s="97">
        <v>1</v>
      </c>
      <c r="W87" s="98">
        <v>0</v>
      </c>
      <c r="X87" s="98">
        <v>0</v>
      </c>
      <c r="Y87" s="98">
        <v>1</v>
      </c>
      <c r="Z87" s="98">
        <v>0</v>
      </c>
      <c r="AA87" s="98">
        <v>0</v>
      </c>
      <c r="AB87" s="99">
        <f>3+2/3</f>
        <v>3.6666666666666665</v>
      </c>
      <c r="AC87" s="98">
        <v>1</v>
      </c>
      <c r="AD87" s="98">
        <v>0</v>
      </c>
      <c r="AE87" s="98">
        <v>0</v>
      </c>
      <c r="AF87" s="98">
        <v>1</v>
      </c>
      <c r="AG87" s="98">
        <v>8</v>
      </c>
      <c r="AH87" s="98">
        <v>0</v>
      </c>
      <c r="AI87" s="98">
        <v>0</v>
      </c>
      <c r="AJ87" s="98">
        <v>13</v>
      </c>
      <c r="AK87" s="98">
        <v>63</v>
      </c>
      <c r="AL87" s="98">
        <v>39</v>
      </c>
      <c r="AM87" s="100" t="s">
        <v>442</v>
      </c>
      <c r="AN87" s="101">
        <v>4</v>
      </c>
      <c r="AO87" s="101">
        <v>1</v>
      </c>
      <c r="AP87" s="101">
        <v>1</v>
      </c>
      <c r="AQ87" s="101">
        <v>0</v>
      </c>
      <c r="AR87" s="101">
        <v>0</v>
      </c>
      <c r="AS87" s="101">
        <v>0</v>
      </c>
      <c r="AT87" s="101">
        <v>1</v>
      </c>
      <c r="AU87" s="101">
        <v>0</v>
      </c>
      <c r="AV87" s="102">
        <v>1</v>
      </c>
      <c r="AW87" s="100" t="s">
        <v>441</v>
      </c>
      <c r="AX87" s="101">
        <v>4</v>
      </c>
      <c r="AY87" s="101">
        <v>2</v>
      </c>
      <c r="AZ87" s="101">
        <v>2</v>
      </c>
      <c r="BA87" s="101">
        <v>0</v>
      </c>
      <c r="BB87" s="101">
        <v>0</v>
      </c>
      <c r="BC87" s="101">
        <v>0</v>
      </c>
      <c r="BD87" s="101">
        <v>1</v>
      </c>
      <c r="BE87" s="101">
        <v>0</v>
      </c>
      <c r="BF87" s="102">
        <v>3</v>
      </c>
      <c r="BG87" s="100" t="s">
        <v>446</v>
      </c>
      <c r="BH87" s="101">
        <v>4</v>
      </c>
      <c r="BI87" s="101">
        <v>1</v>
      </c>
      <c r="BJ87" s="101">
        <v>0</v>
      </c>
      <c r="BK87" s="101">
        <v>1</v>
      </c>
      <c r="BL87" s="101">
        <v>0</v>
      </c>
      <c r="BM87" s="101">
        <v>0</v>
      </c>
      <c r="BN87" s="101">
        <v>0</v>
      </c>
      <c r="BO87" s="101">
        <v>1</v>
      </c>
      <c r="BP87" s="102">
        <v>0</v>
      </c>
      <c r="BQ87" s="100" t="s">
        <v>496</v>
      </c>
      <c r="BR87" s="101">
        <v>4</v>
      </c>
      <c r="BS87" s="101">
        <v>2</v>
      </c>
      <c r="BT87" s="101">
        <v>3</v>
      </c>
      <c r="BU87" s="101">
        <v>5</v>
      </c>
      <c r="BV87" s="101">
        <v>1</v>
      </c>
      <c r="BW87" s="101">
        <v>0</v>
      </c>
      <c r="BX87" s="101">
        <v>0</v>
      </c>
      <c r="BY87" s="101">
        <v>0</v>
      </c>
      <c r="BZ87" s="102">
        <v>9</v>
      </c>
      <c r="CA87" s="100" t="s">
        <v>501</v>
      </c>
      <c r="CB87" s="101">
        <v>3</v>
      </c>
      <c r="CC87" s="101">
        <v>1</v>
      </c>
      <c r="CD87" s="101">
        <v>1</v>
      </c>
      <c r="CE87" s="101">
        <v>0</v>
      </c>
      <c r="CF87" s="101">
        <v>1</v>
      </c>
      <c r="CG87" s="101">
        <v>0</v>
      </c>
      <c r="CH87" s="101">
        <v>1</v>
      </c>
      <c r="CI87" s="101">
        <v>0</v>
      </c>
      <c r="CJ87" s="102">
        <v>1</v>
      </c>
      <c r="CK87" s="100" t="s">
        <v>402</v>
      </c>
      <c r="CL87" s="101">
        <v>5</v>
      </c>
      <c r="CM87" s="101">
        <v>2</v>
      </c>
      <c r="CN87" s="101">
        <v>3</v>
      </c>
      <c r="CO87" s="101">
        <v>2</v>
      </c>
      <c r="CP87" s="101">
        <v>0</v>
      </c>
      <c r="CQ87" s="101">
        <v>0</v>
      </c>
      <c r="CR87" s="101">
        <v>0</v>
      </c>
      <c r="CS87" s="101">
        <v>0</v>
      </c>
      <c r="CT87" s="102">
        <v>6</v>
      </c>
      <c r="CU87" s="100" t="s">
        <v>448</v>
      </c>
      <c r="CV87" s="101">
        <v>5</v>
      </c>
      <c r="CW87" s="101">
        <v>1</v>
      </c>
      <c r="CX87" s="101">
        <v>1</v>
      </c>
      <c r="CY87" s="101">
        <v>0</v>
      </c>
      <c r="CZ87" s="101">
        <v>0</v>
      </c>
      <c r="DA87" s="101">
        <v>1</v>
      </c>
      <c r="DB87" s="101">
        <v>0</v>
      </c>
      <c r="DC87" s="101">
        <v>0</v>
      </c>
      <c r="DD87" s="102">
        <v>1</v>
      </c>
      <c r="DE87" s="100" t="s">
        <v>365</v>
      </c>
      <c r="DF87" s="101">
        <v>5</v>
      </c>
      <c r="DG87" s="101">
        <v>0</v>
      </c>
      <c r="DH87" s="101">
        <v>2</v>
      </c>
      <c r="DI87" s="101">
        <v>2</v>
      </c>
      <c r="DJ87" s="101">
        <v>0</v>
      </c>
      <c r="DK87" s="101">
        <v>0</v>
      </c>
      <c r="DL87" s="101">
        <v>0</v>
      </c>
      <c r="DM87" s="101">
        <v>0</v>
      </c>
      <c r="DN87" s="102">
        <v>5</v>
      </c>
      <c r="DO87" s="100" t="s">
        <v>364</v>
      </c>
      <c r="DP87" s="101">
        <v>4</v>
      </c>
      <c r="DQ87" s="101">
        <v>0</v>
      </c>
      <c r="DR87" s="101">
        <v>0</v>
      </c>
      <c r="DS87" s="101">
        <v>0</v>
      </c>
      <c r="DT87" s="101">
        <v>0</v>
      </c>
      <c r="DU87" s="101">
        <v>1</v>
      </c>
      <c r="DV87" s="101">
        <v>0</v>
      </c>
      <c r="DW87" s="101">
        <v>0</v>
      </c>
      <c r="DX87" s="102">
        <v>0</v>
      </c>
      <c r="DY87" s="103">
        <f>3+2/3</f>
        <v>3.6666666666666665</v>
      </c>
      <c r="DZ87" s="104">
        <v>0</v>
      </c>
      <c r="EA87" s="104">
        <v>0</v>
      </c>
      <c r="EB87" s="105">
        <f>4+1/3</f>
        <v>4.333333333333333</v>
      </c>
      <c r="EC87" s="104">
        <v>0</v>
      </c>
      <c r="ED87" s="106">
        <v>0</v>
      </c>
      <c r="EE87" s="107">
        <v>5</v>
      </c>
      <c r="EF87" s="104">
        <v>0</v>
      </c>
      <c r="EG87" s="104">
        <v>2</v>
      </c>
      <c r="EH87" s="104">
        <v>0</v>
      </c>
      <c r="EI87" s="104">
        <v>0</v>
      </c>
      <c r="EJ87" s="104">
        <v>1</v>
      </c>
      <c r="EK87" s="104">
        <v>2</v>
      </c>
      <c r="EL87" s="104">
        <v>0</v>
      </c>
      <c r="EM87" s="104"/>
      <c r="EN87" s="104"/>
      <c r="EO87" s="104"/>
      <c r="EP87" s="104"/>
      <c r="EQ87" s="104"/>
      <c r="ER87" s="104"/>
      <c r="ES87" s="104"/>
      <c r="ET87" s="106">
        <f t="shared" si="16"/>
        <v>10</v>
      </c>
      <c r="EU87" s="104">
        <v>2</v>
      </c>
      <c r="EV87" s="104">
        <v>0</v>
      </c>
      <c r="EW87" s="104">
        <v>2</v>
      </c>
      <c r="EX87" s="104">
        <v>0</v>
      </c>
      <c r="EY87" s="104">
        <v>0</v>
      </c>
      <c r="EZ87" s="104">
        <v>2</v>
      </c>
      <c r="FA87" s="104">
        <v>0</v>
      </c>
      <c r="FB87" s="104">
        <v>0</v>
      </c>
      <c r="FC87" s="104">
        <v>0</v>
      </c>
      <c r="FD87" s="104"/>
      <c r="FE87" s="104"/>
      <c r="FF87" s="104"/>
      <c r="FG87" s="104"/>
      <c r="FH87" s="104"/>
      <c r="FI87" s="104"/>
      <c r="FJ87" s="104">
        <f t="shared" si="17"/>
        <v>6</v>
      </c>
      <c r="FK87" s="108">
        <f t="shared" si="14"/>
        <v>0</v>
      </c>
      <c r="FL87" s="108">
        <f t="shared" si="15"/>
        <v>0</v>
      </c>
      <c r="FM87" s="109"/>
    </row>
    <row r="88" spans="1:169" x14ac:dyDescent="0.25">
      <c r="A88" s="91">
        <v>40367</v>
      </c>
      <c r="B88" s="91" t="s">
        <v>19</v>
      </c>
      <c r="C88" s="91" t="s">
        <v>129</v>
      </c>
      <c r="D88" s="91" t="s">
        <v>370</v>
      </c>
      <c r="E88" s="92">
        <v>3367</v>
      </c>
      <c r="F88" s="93">
        <v>1</v>
      </c>
      <c r="G88" s="94" t="s">
        <v>424</v>
      </c>
      <c r="H88" s="95">
        <v>0</v>
      </c>
      <c r="I88" s="95">
        <v>0</v>
      </c>
      <c r="J88" s="96">
        <f>1+1/3</f>
        <v>1.3333333333333333</v>
      </c>
      <c r="K88" s="95">
        <v>4</v>
      </c>
      <c r="L88" s="95">
        <v>5</v>
      </c>
      <c r="M88" s="95">
        <v>5</v>
      </c>
      <c r="N88" s="95">
        <v>4</v>
      </c>
      <c r="O88" s="95">
        <v>0</v>
      </c>
      <c r="P88" s="95">
        <v>0</v>
      </c>
      <c r="Q88" s="95">
        <v>0</v>
      </c>
      <c r="R88" s="95">
        <v>11</v>
      </c>
      <c r="S88" s="95">
        <v>54</v>
      </c>
      <c r="T88" s="95">
        <v>25</v>
      </c>
      <c r="U88" s="95">
        <v>3</v>
      </c>
      <c r="V88" s="97">
        <v>2</v>
      </c>
      <c r="W88" s="98">
        <v>1</v>
      </c>
      <c r="X88" s="98">
        <v>0</v>
      </c>
      <c r="Y88" s="98">
        <v>0</v>
      </c>
      <c r="Z88" s="98">
        <v>0</v>
      </c>
      <c r="AA88" s="98">
        <v>0</v>
      </c>
      <c r="AB88" s="99">
        <f>7+2/3</f>
        <v>7.666666666666667</v>
      </c>
      <c r="AC88" s="98">
        <v>7</v>
      </c>
      <c r="AD88" s="98">
        <v>1</v>
      </c>
      <c r="AE88" s="98">
        <v>1</v>
      </c>
      <c r="AF88" s="98">
        <v>1</v>
      </c>
      <c r="AG88" s="98">
        <v>7</v>
      </c>
      <c r="AH88" s="98">
        <v>0</v>
      </c>
      <c r="AI88" s="98">
        <v>0</v>
      </c>
      <c r="AJ88" s="98">
        <v>28</v>
      </c>
      <c r="AK88" s="98">
        <v>105</v>
      </c>
      <c r="AL88" s="98">
        <v>73</v>
      </c>
      <c r="AM88" s="100" t="s">
        <v>441</v>
      </c>
      <c r="AN88" s="101">
        <v>4</v>
      </c>
      <c r="AO88" s="101">
        <v>1</v>
      </c>
      <c r="AP88" s="101">
        <v>0</v>
      </c>
      <c r="AQ88" s="101">
        <v>0</v>
      </c>
      <c r="AR88" s="101">
        <v>1</v>
      </c>
      <c r="AS88" s="101">
        <v>1</v>
      </c>
      <c r="AT88" s="101">
        <v>0</v>
      </c>
      <c r="AU88" s="101">
        <v>0</v>
      </c>
      <c r="AV88" s="102">
        <v>0</v>
      </c>
      <c r="AW88" s="100" t="s">
        <v>364</v>
      </c>
      <c r="AX88" s="101">
        <v>4</v>
      </c>
      <c r="AY88" s="101">
        <v>1</v>
      </c>
      <c r="AZ88" s="101">
        <v>1</v>
      </c>
      <c r="BA88" s="101">
        <v>1</v>
      </c>
      <c r="BB88" s="101">
        <v>0</v>
      </c>
      <c r="BC88" s="101">
        <v>2</v>
      </c>
      <c r="BD88" s="101">
        <v>0</v>
      </c>
      <c r="BE88" s="101">
        <v>1</v>
      </c>
      <c r="BF88" s="102">
        <v>2</v>
      </c>
      <c r="BG88" s="100" t="s">
        <v>402</v>
      </c>
      <c r="BH88" s="101">
        <v>4</v>
      </c>
      <c r="BI88" s="101">
        <v>1</v>
      </c>
      <c r="BJ88" s="101">
        <v>1</v>
      </c>
      <c r="BK88" s="101">
        <v>2</v>
      </c>
      <c r="BL88" s="101">
        <v>1</v>
      </c>
      <c r="BM88" s="101">
        <v>0</v>
      </c>
      <c r="BN88" s="101">
        <v>0</v>
      </c>
      <c r="BO88" s="101">
        <v>0</v>
      </c>
      <c r="BP88" s="102">
        <v>1</v>
      </c>
      <c r="BQ88" s="100" t="s">
        <v>496</v>
      </c>
      <c r="BR88" s="101">
        <v>5</v>
      </c>
      <c r="BS88" s="101">
        <v>1</v>
      </c>
      <c r="BT88" s="101">
        <v>2</v>
      </c>
      <c r="BU88" s="101">
        <v>1</v>
      </c>
      <c r="BV88" s="101">
        <v>0</v>
      </c>
      <c r="BW88" s="101">
        <v>0</v>
      </c>
      <c r="BX88" s="101">
        <v>0</v>
      </c>
      <c r="BY88" s="101">
        <v>0</v>
      </c>
      <c r="BZ88" s="102">
        <v>6</v>
      </c>
      <c r="CA88" s="100" t="s">
        <v>501</v>
      </c>
      <c r="CB88" s="101">
        <v>4</v>
      </c>
      <c r="CC88" s="101">
        <v>1</v>
      </c>
      <c r="CD88" s="101">
        <v>2</v>
      </c>
      <c r="CE88" s="101">
        <v>1</v>
      </c>
      <c r="CF88" s="101">
        <v>0</v>
      </c>
      <c r="CG88" s="101">
        <v>1</v>
      </c>
      <c r="CH88" s="101">
        <v>0</v>
      </c>
      <c r="CI88" s="101">
        <v>0</v>
      </c>
      <c r="CJ88" s="102">
        <v>2</v>
      </c>
      <c r="CK88" s="100" t="s">
        <v>444</v>
      </c>
      <c r="CL88" s="101">
        <v>3</v>
      </c>
      <c r="CM88" s="101">
        <v>2</v>
      </c>
      <c r="CN88" s="101">
        <v>1</v>
      </c>
      <c r="CO88" s="101">
        <v>0</v>
      </c>
      <c r="CP88" s="101">
        <v>1</v>
      </c>
      <c r="CQ88" s="101">
        <v>2</v>
      </c>
      <c r="CR88" s="101">
        <v>0</v>
      </c>
      <c r="CS88" s="101">
        <v>0</v>
      </c>
      <c r="CT88" s="102">
        <v>1</v>
      </c>
      <c r="CU88" s="100" t="s">
        <v>473</v>
      </c>
      <c r="CV88" s="101">
        <v>3</v>
      </c>
      <c r="CW88" s="101">
        <v>1</v>
      </c>
      <c r="CX88" s="101">
        <v>1</v>
      </c>
      <c r="CY88" s="101">
        <v>1</v>
      </c>
      <c r="CZ88" s="101">
        <v>1</v>
      </c>
      <c r="DA88" s="101">
        <v>0</v>
      </c>
      <c r="DB88" s="101">
        <v>0</v>
      </c>
      <c r="DC88" s="101">
        <v>0</v>
      </c>
      <c r="DD88" s="102">
        <v>1</v>
      </c>
      <c r="DE88" s="100" t="s">
        <v>365</v>
      </c>
      <c r="DF88" s="101">
        <v>3</v>
      </c>
      <c r="DG88" s="101">
        <v>0</v>
      </c>
      <c r="DH88" s="101">
        <v>1</v>
      </c>
      <c r="DI88" s="101">
        <v>0</v>
      </c>
      <c r="DJ88" s="101">
        <v>0</v>
      </c>
      <c r="DK88" s="101">
        <v>0</v>
      </c>
      <c r="DL88" s="101">
        <v>0</v>
      </c>
      <c r="DM88" s="101">
        <v>0</v>
      </c>
      <c r="DN88" s="102">
        <v>1</v>
      </c>
      <c r="DO88" s="100" t="s">
        <v>449</v>
      </c>
      <c r="DP88" s="101">
        <v>2</v>
      </c>
      <c r="DQ88" s="101">
        <v>1</v>
      </c>
      <c r="DR88" s="101">
        <v>0</v>
      </c>
      <c r="DS88" s="101">
        <v>0</v>
      </c>
      <c r="DT88" s="101">
        <v>1</v>
      </c>
      <c r="DU88" s="101">
        <v>0</v>
      </c>
      <c r="DV88" s="101">
        <v>1</v>
      </c>
      <c r="DW88" s="101">
        <v>0</v>
      </c>
      <c r="DX88" s="102">
        <v>0</v>
      </c>
      <c r="DY88" s="103">
        <v>7</v>
      </c>
      <c r="DZ88" s="104">
        <v>0</v>
      </c>
      <c r="EA88" s="104">
        <v>0</v>
      </c>
      <c r="EB88" s="105">
        <v>1</v>
      </c>
      <c r="EC88" s="104">
        <v>0</v>
      </c>
      <c r="ED88" s="106">
        <v>0</v>
      </c>
      <c r="EE88" s="107">
        <v>2</v>
      </c>
      <c r="EF88" s="104">
        <v>0</v>
      </c>
      <c r="EG88" s="104">
        <v>0</v>
      </c>
      <c r="EH88" s="104">
        <v>0</v>
      </c>
      <c r="EI88" s="104">
        <v>0</v>
      </c>
      <c r="EJ88" s="104">
        <v>2</v>
      </c>
      <c r="EK88" s="104">
        <v>0</v>
      </c>
      <c r="EL88" s="104">
        <v>5</v>
      </c>
      <c r="EM88" s="104"/>
      <c r="EN88" s="104"/>
      <c r="EO88" s="104"/>
      <c r="EP88" s="104"/>
      <c r="EQ88" s="104"/>
      <c r="ER88" s="104"/>
      <c r="ES88" s="104"/>
      <c r="ET88" s="106">
        <f t="shared" si="16"/>
        <v>9</v>
      </c>
      <c r="EU88" s="104">
        <v>2</v>
      </c>
      <c r="EV88" s="104">
        <v>3</v>
      </c>
      <c r="EW88" s="104">
        <v>0</v>
      </c>
      <c r="EX88" s="104">
        <v>0</v>
      </c>
      <c r="EY88" s="104">
        <v>0</v>
      </c>
      <c r="EZ88" s="104">
        <v>0</v>
      </c>
      <c r="FA88" s="104">
        <v>0</v>
      </c>
      <c r="FB88" s="104">
        <v>0</v>
      </c>
      <c r="FC88" s="104">
        <v>1</v>
      </c>
      <c r="FD88" s="104"/>
      <c r="FE88" s="104"/>
      <c r="FF88" s="104"/>
      <c r="FG88" s="104"/>
      <c r="FH88" s="104"/>
      <c r="FI88" s="104"/>
      <c r="FJ88" s="104">
        <f t="shared" si="17"/>
        <v>6</v>
      </c>
      <c r="FK88" s="108">
        <f t="shared" si="14"/>
        <v>0</v>
      </c>
      <c r="FL88" s="108">
        <f t="shared" si="15"/>
        <v>0</v>
      </c>
      <c r="FM88" s="109" t="s">
        <v>527</v>
      </c>
    </row>
    <row r="89" spans="1:169" x14ac:dyDescent="0.25">
      <c r="A89" s="91">
        <v>40369</v>
      </c>
      <c r="B89" s="91" t="s">
        <v>19</v>
      </c>
      <c r="C89" s="91" t="s">
        <v>129</v>
      </c>
      <c r="D89" s="91" t="s">
        <v>370</v>
      </c>
      <c r="E89" s="92"/>
      <c r="F89" s="93">
        <v>2</v>
      </c>
      <c r="G89" s="94" t="s">
        <v>438</v>
      </c>
      <c r="H89" s="95">
        <v>1</v>
      </c>
      <c r="I89" s="95">
        <v>0</v>
      </c>
      <c r="J89" s="96">
        <v>5</v>
      </c>
      <c r="K89" s="95">
        <v>4</v>
      </c>
      <c r="L89" s="95">
        <v>0</v>
      </c>
      <c r="M89" s="95">
        <v>0</v>
      </c>
      <c r="N89" s="95">
        <v>1</v>
      </c>
      <c r="O89" s="95">
        <v>5</v>
      </c>
      <c r="P89" s="95">
        <v>0</v>
      </c>
      <c r="Q89" s="95">
        <v>0</v>
      </c>
      <c r="R89" s="95">
        <v>20</v>
      </c>
      <c r="S89" s="95">
        <v>83</v>
      </c>
      <c r="T89" s="95">
        <v>55</v>
      </c>
      <c r="U89" s="95">
        <v>0</v>
      </c>
      <c r="V89" s="97">
        <v>0</v>
      </c>
      <c r="W89" s="98">
        <v>0</v>
      </c>
      <c r="X89" s="98">
        <v>0</v>
      </c>
      <c r="Y89" s="98">
        <v>0</v>
      </c>
      <c r="Z89" s="98">
        <v>1</v>
      </c>
      <c r="AA89" s="98">
        <v>0</v>
      </c>
      <c r="AB89" s="99">
        <v>2</v>
      </c>
      <c r="AC89" s="98">
        <v>3</v>
      </c>
      <c r="AD89" s="98">
        <v>0</v>
      </c>
      <c r="AE89" s="98">
        <v>0</v>
      </c>
      <c r="AF89" s="98">
        <v>0</v>
      </c>
      <c r="AG89" s="98">
        <v>4</v>
      </c>
      <c r="AH89" s="98">
        <v>0</v>
      </c>
      <c r="AI89" s="98">
        <v>0</v>
      </c>
      <c r="AJ89" s="98">
        <v>9</v>
      </c>
      <c r="AK89" s="98">
        <v>37</v>
      </c>
      <c r="AL89" s="98">
        <v>25</v>
      </c>
      <c r="AM89" s="100" t="s">
        <v>442</v>
      </c>
      <c r="AN89" s="101">
        <v>3</v>
      </c>
      <c r="AO89" s="101">
        <v>0</v>
      </c>
      <c r="AP89" s="101">
        <v>0</v>
      </c>
      <c r="AQ89" s="101">
        <v>0</v>
      </c>
      <c r="AR89" s="101">
        <v>0</v>
      </c>
      <c r="AS89" s="101">
        <v>0</v>
      </c>
      <c r="AT89" s="101">
        <v>0</v>
      </c>
      <c r="AU89" s="101">
        <v>0</v>
      </c>
      <c r="AV89" s="102">
        <v>0</v>
      </c>
      <c r="AW89" s="100" t="s">
        <v>402</v>
      </c>
      <c r="AX89" s="101">
        <v>2</v>
      </c>
      <c r="AY89" s="101">
        <v>0</v>
      </c>
      <c r="AZ89" s="101">
        <v>0</v>
      </c>
      <c r="BA89" s="101">
        <v>0</v>
      </c>
      <c r="BB89" s="101">
        <v>1</v>
      </c>
      <c r="BC89" s="101">
        <v>1</v>
      </c>
      <c r="BD89" s="101">
        <v>0</v>
      </c>
      <c r="BE89" s="101">
        <v>0</v>
      </c>
      <c r="BF89" s="102">
        <v>0</v>
      </c>
      <c r="BG89" s="100" t="s">
        <v>446</v>
      </c>
      <c r="BH89" s="101">
        <v>2</v>
      </c>
      <c r="BI89" s="101">
        <v>1</v>
      </c>
      <c r="BJ89" s="101">
        <v>0</v>
      </c>
      <c r="BK89" s="101">
        <v>0</v>
      </c>
      <c r="BL89" s="101">
        <v>1</v>
      </c>
      <c r="BM89" s="101">
        <v>1</v>
      </c>
      <c r="BN89" s="101">
        <v>0</v>
      </c>
      <c r="BO89" s="101">
        <v>0</v>
      </c>
      <c r="BP89" s="102">
        <v>0</v>
      </c>
      <c r="BQ89" s="100" t="s">
        <v>496</v>
      </c>
      <c r="BR89" s="101">
        <v>2</v>
      </c>
      <c r="BS89" s="101">
        <v>1</v>
      </c>
      <c r="BT89" s="101">
        <v>1</v>
      </c>
      <c r="BU89" s="101">
        <v>2</v>
      </c>
      <c r="BV89" s="101">
        <v>1</v>
      </c>
      <c r="BW89" s="101">
        <v>0</v>
      </c>
      <c r="BX89" s="101">
        <v>0</v>
      </c>
      <c r="BY89" s="101">
        <v>0</v>
      </c>
      <c r="BZ89" s="102">
        <v>4</v>
      </c>
      <c r="CA89" s="100" t="s">
        <v>501</v>
      </c>
      <c r="CB89" s="101">
        <v>2</v>
      </c>
      <c r="CC89" s="101">
        <v>0</v>
      </c>
      <c r="CD89" s="101">
        <v>0</v>
      </c>
      <c r="CE89" s="101">
        <v>0</v>
      </c>
      <c r="CF89" s="101">
        <v>1</v>
      </c>
      <c r="CG89" s="101">
        <v>0</v>
      </c>
      <c r="CH89" s="101">
        <v>0</v>
      </c>
      <c r="CI89" s="101">
        <v>0</v>
      </c>
      <c r="CJ89" s="102">
        <v>0</v>
      </c>
      <c r="CK89" s="100" t="s">
        <v>444</v>
      </c>
      <c r="CL89" s="101">
        <v>1</v>
      </c>
      <c r="CM89" s="101">
        <v>0</v>
      </c>
      <c r="CN89" s="101">
        <v>0</v>
      </c>
      <c r="CO89" s="101">
        <v>0</v>
      </c>
      <c r="CP89" s="101">
        <v>1</v>
      </c>
      <c r="CQ89" s="101">
        <v>0</v>
      </c>
      <c r="CR89" s="101">
        <v>0</v>
      </c>
      <c r="CS89" s="101">
        <v>0</v>
      </c>
      <c r="CT89" s="102">
        <v>0</v>
      </c>
      <c r="CU89" s="100" t="s">
        <v>473</v>
      </c>
      <c r="CV89" s="101">
        <v>2</v>
      </c>
      <c r="CW89" s="101">
        <v>0</v>
      </c>
      <c r="CX89" s="101">
        <v>0</v>
      </c>
      <c r="CY89" s="101">
        <v>0</v>
      </c>
      <c r="CZ89" s="101">
        <v>0</v>
      </c>
      <c r="DA89" s="101">
        <v>1</v>
      </c>
      <c r="DB89" s="101">
        <v>0</v>
      </c>
      <c r="DC89" s="101">
        <v>0</v>
      </c>
      <c r="DD89" s="102">
        <v>0</v>
      </c>
      <c r="DE89" s="100" t="s">
        <v>448</v>
      </c>
      <c r="DF89" s="101">
        <v>2</v>
      </c>
      <c r="DG89" s="101">
        <v>0</v>
      </c>
      <c r="DH89" s="101">
        <v>0</v>
      </c>
      <c r="DI89" s="101">
        <v>0</v>
      </c>
      <c r="DJ89" s="101">
        <v>0</v>
      </c>
      <c r="DK89" s="101">
        <v>1</v>
      </c>
      <c r="DL89" s="101">
        <v>0</v>
      </c>
      <c r="DM89" s="101">
        <v>0</v>
      </c>
      <c r="DN89" s="102">
        <v>0</v>
      </c>
      <c r="DO89" s="100" t="s">
        <v>364</v>
      </c>
      <c r="DP89" s="101">
        <v>2</v>
      </c>
      <c r="DQ89" s="101">
        <v>1</v>
      </c>
      <c r="DR89" s="101">
        <v>1</v>
      </c>
      <c r="DS89" s="101">
        <v>1</v>
      </c>
      <c r="DT89" s="101">
        <v>0</v>
      </c>
      <c r="DU89" s="101">
        <v>0</v>
      </c>
      <c r="DV89" s="101">
        <v>0</v>
      </c>
      <c r="DW89" s="101">
        <v>0</v>
      </c>
      <c r="DX89" s="102">
        <v>4</v>
      </c>
      <c r="DY89" s="103">
        <v>6</v>
      </c>
      <c r="DZ89" s="104">
        <v>0</v>
      </c>
      <c r="EA89" s="104">
        <v>0</v>
      </c>
      <c r="EB89" s="105">
        <v>0</v>
      </c>
      <c r="EC89" s="104">
        <v>0</v>
      </c>
      <c r="ED89" s="106">
        <v>0</v>
      </c>
      <c r="EE89" s="107">
        <v>2</v>
      </c>
      <c r="EF89" s="104">
        <v>0</v>
      </c>
      <c r="EG89" s="104">
        <v>0</v>
      </c>
      <c r="EH89" s="104">
        <v>0</v>
      </c>
      <c r="EI89" s="104">
        <v>1</v>
      </c>
      <c r="EJ89" s="104">
        <v>0</v>
      </c>
      <c r="EK89" s="104"/>
      <c r="EL89" s="104"/>
      <c r="EM89" s="104"/>
      <c r="EN89" s="104"/>
      <c r="EO89" s="104"/>
      <c r="EP89" s="104"/>
      <c r="EQ89" s="104"/>
      <c r="ER89" s="104"/>
      <c r="ES89" s="104"/>
      <c r="ET89" s="106">
        <f t="shared" si="16"/>
        <v>3</v>
      </c>
      <c r="EU89" s="104">
        <v>0</v>
      </c>
      <c r="EV89" s="104">
        <v>0</v>
      </c>
      <c r="EW89" s="104">
        <v>0</v>
      </c>
      <c r="EX89" s="104">
        <v>0</v>
      </c>
      <c r="EY89" s="104">
        <v>0</v>
      </c>
      <c r="EZ89" s="104">
        <v>0</v>
      </c>
      <c r="FA89" s="104">
        <v>0</v>
      </c>
      <c r="FB89" s="104"/>
      <c r="FC89" s="104"/>
      <c r="FD89" s="104"/>
      <c r="FE89" s="104"/>
      <c r="FF89" s="104"/>
      <c r="FG89" s="104"/>
      <c r="FH89" s="104"/>
      <c r="FI89" s="104"/>
      <c r="FJ89" s="104">
        <f t="shared" si="17"/>
        <v>0</v>
      </c>
      <c r="FK89" s="108">
        <f t="shared" si="14"/>
        <v>0</v>
      </c>
      <c r="FL89" s="108">
        <f t="shared" si="15"/>
        <v>0</v>
      </c>
      <c r="FM89" s="109" t="s">
        <v>475</v>
      </c>
    </row>
    <row r="90" spans="1:169" x14ac:dyDescent="0.25">
      <c r="A90" s="91">
        <v>40369</v>
      </c>
      <c r="B90" s="91" t="s">
        <v>19</v>
      </c>
      <c r="C90" s="91" t="s">
        <v>131</v>
      </c>
      <c r="D90" s="91" t="s">
        <v>370</v>
      </c>
      <c r="E90" s="92">
        <v>7101</v>
      </c>
      <c r="F90" s="93">
        <v>3</v>
      </c>
      <c r="G90" s="94" t="s">
        <v>368</v>
      </c>
      <c r="H90" s="95">
        <v>0</v>
      </c>
      <c r="I90" s="95">
        <v>0</v>
      </c>
      <c r="J90" s="96">
        <v>6</v>
      </c>
      <c r="K90" s="95">
        <v>5</v>
      </c>
      <c r="L90" s="95">
        <v>3</v>
      </c>
      <c r="M90" s="95">
        <v>2</v>
      </c>
      <c r="N90" s="95">
        <v>3</v>
      </c>
      <c r="O90" s="95">
        <v>1</v>
      </c>
      <c r="P90" s="95">
        <v>0</v>
      </c>
      <c r="Q90" s="95">
        <v>0</v>
      </c>
      <c r="R90" s="95">
        <v>25</v>
      </c>
      <c r="S90" s="95">
        <v>78</v>
      </c>
      <c r="T90" s="95">
        <v>43</v>
      </c>
      <c r="U90" s="95">
        <v>0</v>
      </c>
      <c r="V90" s="97">
        <v>0</v>
      </c>
      <c r="W90" s="98">
        <v>0</v>
      </c>
      <c r="X90" s="98">
        <v>1</v>
      </c>
      <c r="Y90" s="98">
        <v>0</v>
      </c>
      <c r="Z90" s="98">
        <v>0</v>
      </c>
      <c r="AA90" s="98">
        <v>0</v>
      </c>
      <c r="AB90" s="99">
        <v>6</v>
      </c>
      <c r="AC90" s="98">
        <v>4</v>
      </c>
      <c r="AD90" s="98">
        <v>1</v>
      </c>
      <c r="AE90" s="98">
        <v>1</v>
      </c>
      <c r="AF90" s="98">
        <v>2</v>
      </c>
      <c r="AG90" s="98">
        <v>5</v>
      </c>
      <c r="AH90" s="98">
        <v>0</v>
      </c>
      <c r="AI90" s="98">
        <v>0</v>
      </c>
      <c r="AJ90" s="98">
        <v>25</v>
      </c>
      <c r="AK90" s="98">
        <v>87</v>
      </c>
      <c r="AL90" s="98">
        <v>55</v>
      </c>
      <c r="AM90" s="100" t="s">
        <v>442</v>
      </c>
      <c r="AN90" s="101">
        <v>5</v>
      </c>
      <c r="AO90" s="101">
        <v>1</v>
      </c>
      <c r="AP90" s="101">
        <v>1</v>
      </c>
      <c r="AQ90" s="101">
        <v>1</v>
      </c>
      <c r="AR90" s="101">
        <v>1</v>
      </c>
      <c r="AS90" s="101">
        <v>0</v>
      </c>
      <c r="AT90" s="101">
        <v>0</v>
      </c>
      <c r="AU90" s="101">
        <v>0</v>
      </c>
      <c r="AV90" s="102">
        <v>1</v>
      </c>
      <c r="AW90" s="100" t="s">
        <v>441</v>
      </c>
      <c r="AX90" s="101">
        <v>6</v>
      </c>
      <c r="AY90" s="101">
        <v>1</v>
      </c>
      <c r="AZ90" s="101">
        <v>1</v>
      </c>
      <c r="BA90" s="101">
        <v>0</v>
      </c>
      <c r="BB90" s="101">
        <v>0</v>
      </c>
      <c r="BC90" s="101">
        <v>0</v>
      </c>
      <c r="BD90" s="101">
        <v>0</v>
      </c>
      <c r="BE90" s="101">
        <v>0</v>
      </c>
      <c r="BF90" s="102">
        <v>1</v>
      </c>
      <c r="BG90" s="100" t="s">
        <v>501</v>
      </c>
      <c r="BH90" s="101">
        <v>6</v>
      </c>
      <c r="BI90" s="101">
        <v>0</v>
      </c>
      <c r="BJ90" s="101">
        <v>3</v>
      </c>
      <c r="BK90" s="101">
        <v>0</v>
      </c>
      <c r="BL90" s="101">
        <v>0</v>
      </c>
      <c r="BM90" s="101">
        <v>0</v>
      </c>
      <c r="BN90" s="101">
        <v>0</v>
      </c>
      <c r="BO90" s="101">
        <v>0</v>
      </c>
      <c r="BP90" s="102">
        <v>3</v>
      </c>
      <c r="BQ90" s="100" t="s">
        <v>496</v>
      </c>
      <c r="BR90" s="101">
        <v>6</v>
      </c>
      <c r="BS90" s="101">
        <v>0</v>
      </c>
      <c r="BT90" s="101">
        <v>1</v>
      </c>
      <c r="BU90" s="101">
        <v>1</v>
      </c>
      <c r="BV90" s="101">
        <v>0</v>
      </c>
      <c r="BW90" s="101">
        <v>1</v>
      </c>
      <c r="BX90" s="101">
        <v>0</v>
      </c>
      <c r="BY90" s="101">
        <v>0</v>
      </c>
      <c r="BZ90" s="102">
        <v>1</v>
      </c>
      <c r="CA90" s="100" t="s">
        <v>402</v>
      </c>
      <c r="CB90" s="101">
        <v>4</v>
      </c>
      <c r="CC90" s="101">
        <v>0</v>
      </c>
      <c r="CD90" s="101">
        <v>1</v>
      </c>
      <c r="CE90" s="101">
        <v>1</v>
      </c>
      <c r="CF90" s="101">
        <v>1</v>
      </c>
      <c r="CG90" s="101">
        <v>0</v>
      </c>
      <c r="CH90" s="101">
        <v>0</v>
      </c>
      <c r="CI90" s="101">
        <v>1</v>
      </c>
      <c r="CJ90" s="102">
        <v>1</v>
      </c>
      <c r="CK90" s="100" t="s">
        <v>473</v>
      </c>
      <c r="CL90" s="101">
        <v>4</v>
      </c>
      <c r="CM90" s="101">
        <v>1</v>
      </c>
      <c r="CN90" s="101">
        <v>0</v>
      </c>
      <c r="CO90" s="101">
        <v>0</v>
      </c>
      <c r="CP90" s="101">
        <v>2</v>
      </c>
      <c r="CQ90" s="101">
        <v>0</v>
      </c>
      <c r="CR90" s="101">
        <v>0</v>
      </c>
      <c r="CS90" s="101">
        <v>0</v>
      </c>
      <c r="CT90" s="102">
        <v>0</v>
      </c>
      <c r="CU90" s="100" t="s">
        <v>448</v>
      </c>
      <c r="CV90" s="101">
        <v>5</v>
      </c>
      <c r="CW90" s="101">
        <v>0</v>
      </c>
      <c r="CX90" s="101">
        <v>1</v>
      </c>
      <c r="CY90" s="101">
        <v>0</v>
      </c>
      <c r="CZ90" s="101">
        <v>0</v>
      </c>
      <c r="DA90" s="101">
        <v>2</v>
      </c>
      <c r="DB90" s="101">
        <v>0</v>
      </c>
      <c r="DC90" s="101">
        <v>0</v>
      </c>
      <c r="DD90" s="102">
        <v>1</v>
      </c>
      <c r="DE90" s="100" t="s">
        <v>365</v>
      </c>
      <c r="DF90" s="101">
        <v>5</v>
      </c>
      <c r="DG90" s="101">
        <v>0</v>
      </c>
      <c r="DH90" s="101">
        <v>1</v>
      </c>
      <c r="DI90" s="101">
        <v>0</v>
      </c>
      <c r="DJ90" s="101">
        <v>0</v>
      </c>
      <c r="DK90" s="101">
        <v>1</v>
      </c>
      <c r="DL90" s="101">
        <v>0</v>
      </c>
      <c r="DM90" s="101">
        <v>0</v>
      </c>
      <c r="DN90" s="102">
        <v>1</v>
      </c>
      <c r="DO90" s="100" t="s">
        <v>449</v>
      </c>
      <c r="DP90" s="101">
        <v>5</v>
      </c>
      <c r="DQ90" s="101">
        <v>0</v>
      </c>
      <c r="DR90" s="101">
        <v>2</v>
      </c>
      <c r="DS90" s="101">
        <v>0</v>
      </c>
      <c r="DT90" s="101">
        <v>0</v>
      </c>
      <c r="DU90" s="101">
        <v>3</v>
      </c>
      <c r="DV90" s="101">
        <v>0</v>
      </c>
      <c r="DW90" s="101">
        <v>0</v>
      </c>
      <c r="DX90" s="102">
        <v>2</v>
      </c>
      <c r="DY90" s="103">
        <f>0+2/3</f>
        <v>0.66666666666666663</v>
      </c>
      <c r="DZ90" s="104">
        <v>0</v>
      </c>
      <c r="EA90" s="104">
        <v>0</v>
      </c>
      <c r="EB90" s="105">
        <f>10+1/3</f>
        <v>10.333333333333334</v>
      </c>
      <c r="EC90" s="104">
        <v>1</v>
      </c>
      <c r="ED90" s="106">
        <v>0</v>
      </c>
      <c r="EE90" s="107">
        <v>0</v>
      </c>
      <c r="EF90" s="104">
        <v>0</v>
      </c>
      <c r="EG90" s="104">
        <v>0</v>
      </c>
      <c r="EH90" s="104">
        <v>0</v>
      </c>
      <c r="EI90" s="104">
        <v>1</v>
      </c>
      <c r="EJ90" s="104">
        <v>0</v>
      </c>
      <c r="EK90" s="104">
        <v>2</v>
      </c>
      <c r="EL90" s="104">
        <v>0</v>
      </c>
      <c r="EM90" s="104">
        <v>0</v>
      </c>
      <c r="EN90" s="104">
        <v>0</v>
      </c>
      <c r="EO90" s="104">
        <v>0</v>
      </c>
      <c r="EP90" s="104">
        <v>0</v>
      </c>
      <c r="EQ90" s="104"/>
      <c r="ER90" s="104"/>
      <c r="ES90" s="104"/>
      <c r="ET90" s="106">
        <f t="shared" si="16"/>
        <v>3</v>
      </c>
      <c r="EU90" s="104">
        <v>0</v>
      </c>
      <c r="EV90" s="104">
        <v>0</v>
      </c>
      <c r="EW90" s="104">
        <v>0</v>
      </c>
      <c r="EX90" s="104">
        <v>0</v>
      </c>
      <c r="EY90" s="104">
        <v>3</v>
      </c>
      <c r="EZ90" s="104">
        <v>0</v>
      </c>
      <c r="FA90" s="104">
        <v>0</v>
      </c>
      <c r="FB90" s="104">
        <v>0</v>
      </c>
      <c r="FC90" s="104">
        <v>0</v>
      </c>
      <c r="FD90" s="104">
        <v>0</v>
      </c>
      <c r="FE90" s="104">
        <v>0</v>
      </c>
      <c r="FF90" s="104">
        <v>1</v>
      </c>
      <c r="FG90" s="104"/>
      <c r="FH90" s="104"/>
      <c r="FI90" s="104"/>
      <c r="FJ90" s="104">
        <f t="shared" si="17"/>
        <v>4</v>
      </c>
      <c r="FK90" s="108">
        <f t="shared" si="14"/>
        <v>0</v>
      </c>
      <c r="FL90" s="108">
        <f t="shared" si="15"/>
        <v>0</v>
      </c>
      <c r="FM90" s="109" t="s">
        <v>378</v>
      </c>
    </row>
    <row r="91" spans="1:169" x14ac:dyDescent="0.25">
      <c r="A91" s="91">
        <v>40373</v>
      </c>
      <c r="B91" s="91" t="s">
        <v>133</v>
      </c>
      <c r="C91" s="91" t="s">
        <v>129</v>
      </c>
      <c r="D91" s="91" t="s">
        <v>369</v>
      </c>
      <c r="E91" s="92">
        <v>2662</v>
      </c>
      <c r="F91" s="93">
        <v>1</v>
      </c>
      <c r="G91" s="94" t="s">
        <v>470</v>
      </c>
      <c r="H91" s="95">
        <v>0</v>
      </c>
      <c r="I91" s="95">
        <v>0</v>
      </c>
      <c r="J91" s="96">
        <v>5</v>
      </c>
      <c r="K91" s="95">
        <v>9</v>
      </c>
      <c r="L91" s="95">
        <v>4</v>
      </c>
      <c r="M91" s="95">
        <v>3</v>
      </c>
      <c r="N91" s="95">
        <v>1</v>
      </c>
      <c r="O91" s="95">
        <v>7</v>
      </c>
      <c r="P91" s="95">
        <v>1</v>
      </c>
      <c r="Q91" s="95">
        <v>0</v>
      </c>
      <c r="R91" s="95">
        <v>26</v>
      </c>
      <c r="S91" s="95">
        <v>81</v>
      </c>
      <c r="T91" s="95">
        <v>61</v>
      </c>
      <c r="U91" s="95">
        <v>0</v>
      </c>
      <c r="V91" s="97">
        <v>0</v>
      </c>
      <c r="W91" s="98">
        <v>1</v>
      </c>
      <c r="X91" s="98">
        <v>0</v>
      </c>
      <c r="Y91" s="98">
        <v>1</v>
      </c>
      <c r="Z91" s="98">
        <v>1</v>
      </c>
      <c r="AA91" s="98">
        <v>0</v>
      </c>
      <c r="AB91" s="99">
        <v>4</v>
      </c>
      <c r="AC91" s="98">
        <v>3</v>
      </c>
      <c r="AD91" s="98">
        <v>0</v>
      </c>
      <c r="AE91" s="98">
        <v>0</v>
      </c>
      <c r="AF91" s="98">
        <v>1</v>
      </c>
      <c r="AG91" s="98">
        <v>5</v>
      </c>
      <c r="AH91" s="98">
        <v>0</v>
      </c>
      <c r="AI91" s="98">
        <v>0</v>
      </c>
      <c r="AJ91" s="98">
        <v>15</v>
      </c>
      <c r="AK91" s="98">
        <v>52</v>
      </c>
      <c r="AL91" s="98">
        <v>36</v>
      </c>
      <c r="AM91" s="100" t="s">
        <v>442</v>
      </c>
      <c r="AN91" s="101">
        <v>4</v>
      </c>
      <c r="AO91" s="101">
        <v>2</v>
      </c>
      <c r="AP91" s="101">
        <v>2</v>
      </c>
      <c r="AQ91" s="101">
        <v>0</v>
      </c>
      <c r="AR91" s="101">
        <v>0</v>
      </c>
      <c r="AS91" s="101">
        <v>1</v>
      </c>
      <c r="AT91" s="101">
        <v>0</v>
      </c>
      <c r="AU91" s="101">
        <v>0</v>
      </c>
      <c r="AV91" s="102">
        <v>4</v>
      </c>
      <c r="AW91" s="100" t="s">
        <v>441</v>
      </c>
      <c r="AX91" s="101">
        <v>4</v>
      </c>
      <c r="AY91" s="101">
        <v>0</v>
      </c>
      <c r="AZ91" s="101">
        <v>0</v>
      </c>
      <c r="BA91" s="101">
        <v>1</v>
      </c>
      <c r="BB91" s="101">
        <v>0</v>
      </c>
      <c r="BC91" s="101">
        <v>1</v>
      </c>
      <c r="BD91" s="101">
        <v>0</v>
      </c>
      <c r="BE91" s="101">
        <v>0</v>
      </c>
      <c r="BF91" s="102">
        <v>0</v>
      </c>
      <c r="BG91" s="100" t="s">
        <v>446</v>
      </c>
      <c r="BH91" s="101">
        <v>3</v>
      </c>
      <c r="BI91" s="101">
        <v>0</v>
      </c>
      <c r="BJ91" s="101">
        <v>1</v>
      </c>
      <c r="BK91" s="101">
        <v>1</v>
      </c>
      <c r="BL91" s="101">
        <v>0</v>
      </c>
      <c r="BM91" s="101">
        <v>1</v>
      </c>
      <c r="BN91" s="101">
        <v>0</v>
      </c>
      <c r="BO91" s="101">
        <v>1</v>
      </c>
      <c r="BP91" s="102">
        <v>1</v>
      </c>
      <c r="BQ91" s="100" t="s">
        <v>496</v>
      </c>
      <c r="BR91" s="101">
        <v>4</v>
      </c>
      <c r="BS91" s="101">
        <v>0</v>
      </c>
      <c r="BT91" s="101">
        <v>0</v>
      </c>
      <c r="BU91" s="101">
        <v>0</v>
      </c>
      <c r="BV91" s="101">
        <v>0</v>
      </c>
      <c r="BW91" s="101">
        <v>1</v>
      </c>
      <c r="BX91" s="101">
        <v>0</v>
      </c>
      <c r="BY91" s="101">
        <v>0</v>
      </c>
      <c r="BZ91" s="102">
        <v>0</v>
      </c>
      <c r="CA91" s="100" t="s">
        <v>501</v>
      </c>
      <c r="CB91" s="101">
        <v>2</v>
      </c>
      <c r="CC91" s="101">
        <v>2</v>
      </c>
      <c r="CD91" s="101">
        <v>1</v>
      </c>
      <c r="CE91" s="101">
        <v>0</v>
      </c>
      <c r="CF91" s="101">
        <v>2</v>
      </c>
      <c r="CG91" s="101">
        <v>1</v>
      </c>
      <c r="CH91" s="101">
        <v>0</v>
      </c>
      <c r="CI91" s="101">
        <v>0</v>
      </c>
      <c r="CJ91" s="102">
        <v>1</v>
      </c>
      <c r="CK91" s="100" t="s">
        <v>402</v>
      </c>
      <c r="CL91" s="101">
        <v>2</v>
      </c>
      <c r="CM91" s="101">
        <v>1</v>
      </c>
      <c r="CN91" s="101">
        <v>0</v>
      </c>
      <c r="CO91" s="101">
        <v>0</v>
      </c>
      <c r="CP91" s="101">
        <v>2</v>
      </c>
      <c r="CQ91" s="101">
        <v>0</v>
      </c>
      <c r="CR91" s="101">
        <v>0</v>
      </c>
      <c r="CS91" s="101">
        <v>0</v>
      </c>
      <c r="CT91" s="102">
        <v>0</v>
      </c>
      <c r="CU91" s="100" t="s">
        <v>473</v>
      </c>
      <c r="CV91" s="101">
        <v>4</v>
      </c>
      <c r="CW91" s="101">
        <v>1</v>
      </c>
      <c r="CX91" s="101">
        <v>2</v>
      </c>
      <c r="CY91" s="101">
        <v>3</v>
      </c>
      <c r="CZ91" s="101">
        <v>0</v>
      </c>
      <c r="DA91" s="101">
        <v>1</v>
      </c>
      <c r="DB91" s="101">
        <v>0</v>
      </c>
      <c r="DC91" s="101">
        <v>0</v>
      </c>
      <c r="DD91" s="102">
        <v>5</v>
      </c>
      <c r="DE91" s="100" t="s">
        <v>448</v>
      </c>
      <c r="DF91" s="101">
        <v>4</v>
      </c>
      <c r="DG91" s="101">
        <v>0</v>
      </c>
      <c r="DH91" s="101">
        <v>1</v>
      </c>
      <c r="DI91" s="101">
        <v>1</v>
      </c>
      <c r="DJ91" s="101">
        <v>0</v>
      </c>
      <c r="DK91" s="101">
        <v>3</v>
      </c>
      <c r="DL91" s="101">
        <v>0</v>
      </c>
      <c r="DM91" s="101">
        <v>0</v>
      </c>
      <c r="DN91" s="102">
        <v>2</v>
      </c>
      <c r="DO91" s="100" t="s">
        <v>364</v>
      </c>
      <c r="DP91" s="101">
        <v>4</v>
      </c>
      <c r="DQ91" s="101">
        <v>0</v>
      </c>
      <c r="DR91" s="101">
        <v>0</v>
      </c>
      <c r="DS91" s="101">
        <v>0</v>
      </c>
      <c r="DT91" s="101">
        <v>0</v>
      </c>
      <c r="DU91" s="101">
        <v>0</v>
      </c>
      <c r="DV91" s="101">
        <v>0</v>
      </c>
      <c r="DW91" s="101">
        <v>0</v>
      </c>
      <c r="DX91" s="102">
        <v>0</v>
      </c>
      <c r="DY91" s="103">
        <v>2</v>
      </c>
      <c r="DZ91" s="104">
        <v>0</v>
      </c>
      <c r="EA91" s="104">
        <v>0</v>
      </c>
      <c r="EB91" s="105">
        <v>7</v>
      </c>
      <c r="EC91" s="104">
        <v>1</v>
      </c>
      <c r="ED91" s="106">
        <v>0</v>
      </c>
      <c r="EE91" s="107">
        <v>1</v>
      </c>
      <c r="EF91" s="104">
        <v>0</v>
      </c>
      <c r="EG91" s="104">
        <v>0</v>
      </c>
      <c r="EH91" s="104">
        <v>0</v>
      </c>
      <c r="EI91" s="104">
        <v>2</v>
      </c>
      <c r="EJ91" s="104">
        <v>1</v>
      </c>
      <c r="EK91" s="104">
        <v>2</v>
      </c>
      <c r="EL91" s="104">
        <v>0</v>
      </c>
      <c r="EM91" s="104">
        <v>0</v>
      </c>
      <c r="EN91" s="104"/>
      <c r="EO91" s="104"/>
      <c r="EP91" s="104"/>
      <c r="EQ91" s="104"/>
      <c r="ER91" s="104"/>
      <c r="ES91" s="104"/>
      <c r="ET91" s="106">
        <f t="shared" si="16"/>
        <v>6</v>
      </c>
      <c r="EU91" s="104">
        <v>0</v>
      </c>
      <c r="EV91" s="104">
        <v>0</v>
      </c>
      <c r="EW91" s="104">
        <v>1</v>
      </c>
      <c r="EX91" s="104">
        <v>0</v>
      </c>
      <c r="EY91" s="104">
        <v>3</v>
      </c>
      <c r="EZ91" s="104">
        <v>0</v>
      </c>
      <c r="FA91" s="104">
        <v>0</v>
      </c>
      <c r="FB91" s="104">
        <v>0</v>
      </c>
      <c r="FC91" s="104">
        <v>0</v>
      </c>
      <c r="FD91" s="104"/>
      <c r="FE91" s="104"/>
      <c r="FF91" s="104"/>
      <c r="FG91" s="104"/>
      <c r="FH91" s="104"/>
      <c r="FI91" s="104"/>
      <c r="FJ91" s="104">
        <f t="shared" si="17"/>
        <v>4</v>
      </c>
      <c r="FK91" s="108">
        <f t="shared" si="14"/>
        <v>0</v>
      </c>
      <c r="FL91" s="108">
        <f t="shared" si="15"/>
        <v>0</v>
      </c>
      <c r="FM91" s="109"/>
    </row>
    <row r="92" spans="1:169" x14ac:dyDescent="0.25">
      <c r="A92" s="91">
        <v>40374</v>
      </c>
      <c r="B92" s="91" t="s">
        <v>133</v>
      </c>
      <c r="C92" s="91" t="s">
        <v>129</v>
      </c>
      <c r="D92" s="91" t="s">
        <v>369</v>
      </c>
      <c r="E92" s="92">
        <v>4855</v>
      </c>
      <c r="F92" s="93">
        <v>2</v>
      </c>
      <c r="G92" s="94" t="s">
        <v>438</v>
      </c>
      <c r="H92" s="95">
        <v>0</v>
      </c>
      <c r="I92" s="95">
        <v>0</v>
      </c>
      <c r="J92" s="96">
        <f>5+2/3</f>
        <v>5.666666666666667</v>
      </c>
      <c r="K92" s="95">
        <v>6</v>
      </c>
      <c r="L92" s="95">
        <v>2</v>
      </c>
      <c r="M92" s="95">
        <v>2</v>
      </c>
      <c r="N92" s="95">
        <v>1</v>
      </c>
      <c r="O92" s="95">
        <v>7</v>
      </c>
      <c r="P92" s="95">
        <v>1</v>
      </c>
      <c r="Q92" s="95">
        <v>1</v>
      </c>
      <c r="R92" s="95">
        <v>23</v>
      </c>
      <c r="S92" s="95">
        <v>89</v>
      </c>
      <c r="T92" s="95">
        <v>53</v>
      </c>
      <c r="U92" s="95">
        <v>1</v>
      </c>
      <c r="V92" s="97">
        <v>1</v>
      </c>
      <c r="W92" s="98">
        <v>1</v>
      </c>
      <c r="X92" s="98">
        <v>0</v>
      </c>
      <c r="Y92" s="98">
        <v>0</v>
      </c>
      <c r="Z92" s="98">
        <v>1</v>
      </c>
      <c r="AA92" s="98">
        <v>1</v>
      </c>
      <c r="AB92" s="99">
        <f>3+1/3</f>
        <v>3.3333333333333335</v>
      </c>
      <c r="AC92" s="98">
        <v>3</v>
      </c>
      <c r="AD92" s="98">
        <v>1</v>
      </c>
      <c r="AE92" s="98">
        <v>1</v>
      </c>
      <c r="AF92" s="98">
        <v>1</v>
      </c>
      <c r="AG92" s="98">
        <v>2</v>
      </c>
      <c r="AH92" s="98">
        <v>1</v>
      </c>
      <c r="AI92" s="98">
        <v>1</v>
      </c>
      <c r="AJ92" s="98">
        <v>15</v>
      </c>
      <c r="AK92" s="98">
        <v>54</v>
      </c>
      <c r="AL92" s="98">
        <v>33</v>
      </c>
      <c r="AM92" s="100" t="s">
        <v>442</v>
      </c>
      <c r="AN92" s="101">
        <v>4</v>
      </c>
      <c r="AO92" s="101">
        <v>0</v>
      </c>
      <c r="AP92" s="101">
        <v>1</v>
      </c>
      <c r="AQ92" s="101">
        <v>0</v>
      </c>
      <c r="AR92" s="101">
        <v>0</v>
      </c>
      <c r="AS92" s="101">
        <v>1</v>
      </c>
      <c r="AT92" s="101">
        <v>0</v>
      </c>
      <c r="AU92" s="101">
        <v>0</v>
      </c>
      <c r="AV92" s="102">
        <v>1</v>
      </c>
      <c r="AW92" s="100" t="s">
        <v>402</v>
      </c>
      <c r="AX92" s="101">
        <v>4</v>
      </c>
      <c r="AY92" s="101">
        <v>2</v>
      </c>
      <c r="AZ92" s="101">
        <v>1</v>
      </c>
      <c r="BA92" s="101">
        <v>0</v>
      </c>
      <c r="BB92" s="101">
        <v>1</v>
      </c>
      <c r="BC92" s="101">
        <v>1</v>
      </c>
      <c r="BD92" s="101">
        <v>0</v>
      </c>
      <c r="BE92" s="101">
        <v>0</v>
      </c>
      <c r="BF92" s="102">
        <v>1</v>
      </c>
      <c r="BG92" s="100" t="s">
        <v>446</v>
      </c>
      <c r="BH92" s="101">
        <v>5</v>
      </c>
      <c r="BI92" s="101">
        <v>1</v>
      </c>
      <c r="BJ92" s="101">
        <v>3</v>
      </c>
      <c r="BK92" s="101">
        <v>3</v>
      </c>
      <c r="BL92" s="101">
        <v>0</v>
      </c>
      <c r="BM92" s="101">
        <v>1</v>
      </c>
      <c r="BN92" s="101">
        <v>0</v>
      </c>
      <c r="BO92" s="101">
        <v>0</v>
      </c>
      <c r="BP92" s="102">
        <v>6</v>
      </c>
      <c r="BQ92" s="100" t="s">
        <v>496</v>
      </c>
      <c r="BR92" s="101">
        <v>5</v>
      </c>
      <c r="BS92" s="101">
        <v>0</v>
      </c>
      <c r="BT92" s="101">
        <v>0</v>
      </c>
      <c r="BU92" s="101">
        <v>0</v>
      </c>
      <c r="BV92" s="101">
        <v>0</v>
      </c>
      <c r="BW92" s="101">
        <v>1</v>
      </c>
      <c r="BX92" s="101">
        <v>0</v>
      </c>
      <c r="BY92" s="101">
        <v>0</v>
      </c>
      <c r="BZ92" s="102">
        <v>0</v>
      </c>
      <c r="CA92" s="100" t="s">
        <v>501</v>
      </c>
      <c r="CB92" s="101">
        <v>4</v>
      </c>
      <c r="CC92" s="101">
        <v>0</v>
      </c>
      <c r="CD92" s="101">
        <v>3</v>
      </c>
      <c r="CE92" s="101">
        <v>0</v>
      </c>
      <c r="CF92" s="101">
        <v>0</v>
      </c>
      <c r="CG92" s="101">
        <v>0</v>
      </c>
      <c r="CH92" s="101">
        <v>0</v>
      </c>
      <c r="CI92" s="101">
        <v>0</v>
      </c>
      <c r="CJ92" s="102">
        <v>4</v>
      </c>
      <c r="CK92" s="100" t="s">
        <v>444</v>
      </c>
      <c r="CL92" s="101">
        <v>3</v>
      </c>
      <c r="CM92" s="101">
        <v>1</v>
      </c>
      <c r="CN92" s="101">
        <v>0</v>
      </c>
      <c r="CO92" s="101">
        <v>0</v>
      </c>
      <c r="CP92" s="101">
        <v>1</v>
      </c>
      <c r="CQ92" s="101">
        <v>1</v>
      </c>
      <c r="CR92" s="101">
        <v>0</v>
      </c>
      <c r="CS92" s="101">
        <v>0</v>
      </c>
      <c r="CT92" s="102">
        <v>0</v>
      </c>
      <c r="CU92" s="100" t="s">
        <v>473</v>
      </c>
      <c r="CV92" s="101">
        <v>3</v>
      </c>
      <c r="CW92" s="101">
        <v>0</v>
      </c>
      <c r="CX92" s="101">
        <v>0</v>
      </c>
      <c r="CY92" s="101">
        <v>0</v>
      </c>
      <c r="CZ92" s="101">
        <v>0</v>
      </c>
      <c r="DA92" s="101">
        <v>2</v>
      </c>
      <c r="DB92" s="101">
        <v>1</v>
      </c>
      <c r="DC92" s="101">
        <v>0</v>
      </c>
      <c r="DD92" s="102">
        <v>0</v>
      </c>
      <c r="DE92" s="100" t="s">
        <v>364</v>
      </c>
      <c r="DF92" s="101">
        <v>3</v>
      </c>
      <c r="DG92" s="101">
        <v>0</v>
      </c>
      <c r="DH92" s="101">
        <v>1</v>
      </c>
      <c r="DI92" s="101">
        <v>0</v>
      </c>
      <c r="DJ92" s="101">
        <v>1</v>
      </c>
      <c r="DK92" s="101">
        <v>0</v>
      </c>
      <c r="DL92" s="101">
        <v>0</v>
      </c>
      <c r="DM92" s="101">
        <v>0</v>
      </c>
      <c r="DN92" s="102">
        <v>2</v>
      </c>
      <c r="DO92" s="100" t="s">
        <v>448</v>
      </c>
      <c r="DP92" s="101">
        <v>4</v>
      </c>
      <c r="DQ92" s="101">
        <v>0</v>
      </c>
      <c r="DR92" s="101">
        <v>2</v>
      </c>
      <c r="DS92" s="101">
        <v>1</v>
      </c>
      <c r="DT92" s="101">
        <v>0</v>
      </c>
      <c r="DU92" s="101">
        <v>0</v>
      </c>
      <c r="DV92" s="101">
        <v>0</v>
      </c>
      <c r="DW92" s="101">
        <v>0</v>
      </c>
      <c r="DX92" s="102">
        <v>3</v>
      </c>
      <c r="DY92" s="103">
        <v>7</v>
      </c>
      <c r="DZ92" s="104">
        <v>1</v>
      </c>
      <c r="EA92" s="104">
        <v>0</v>
      </c>
      <c r="EB92" s="105">
        <v>2</v>
      </c>
      <c r="EC92" s="104">
        <v>0</v>
      </c>
      <c r="ED92" s="106">
        <v>0</v>
      </c>
      <c r="EE92" s="107">
        <v>2</v>
      </c>
      <c r="EF92" s="104">
        <v>1</v>
      </c>
      <c r="EG92" s="104">
        <v>0</v>
      </c>
      <c r="EH92" s="104">
        <v>0</v>
      </c>
      <c r="EI92" s="104">
        <v>0</v>
      </c>
      <c r="EJ92" s="104">
        <v>0</v>
      </c>
      <c r="EK92" s="104">
        <v>0</v>
      </c>
      <c r="EL92" s="104">
        <v>0</v>
      </c>
      <c r="EM92" s="104">
        <v>1</v>
      </c>
      <c r="EN92" s="104"/>
      <c r="EO92" s="104"/>
      <c r="EP92" s="104"/>
      <c r="EQ92" s="104"/>
      <c r="ER92" s="104"/>
      <c r="ES92" s="104"/>
      <c r="ET92" s="106">
        <f t="shared" si="16"/>
        <v>4</v>
      </c>
      <c r="EU92" s="104">
        <v>0</v>
      </c>
      <c r="EV92" s="104">
        <v>0</v>
      </c>
      <c r="EW92" s="104">
        <v>0</v>
      </c>
      <c r="EX92" s="104">
        <v>1</v>
      </c>
      <c r="EY92" s="104">
        <v>0</v>
      </c>
      <c r="EZ92" s="104">
        <v>2</v>
      </c>
      <c r="FA92" s="104">
        <v>0</v>
      </c>
      <c r="FB92" s="104">
        <v>0</v>
      </c>
      <c r="FC92" s="104">
        <v>0</v>
      </c>
      <c r="FD92" s="104"/>
      <c r="FE92" s="104"/>
      <c r="FF92" s="104"/>
      <c r="FG92" s="104"/>
      <c r="FH92" s="104"/>
      <c r="FI92" s="104"/>
      <c r="FJ92" s="104">
        <f t="shared" si="17"/>
        <v>3</v>
      </c>
      <c r="FK92" s="108">
        <f t="shared" ref="FK92:FK97" si="18">((SUM(L92,AD92))-(FJ92))</f>
        <v>0</v>
      </c>
      <c r="FL92" s="108">
        <f t="shared" ref="FL92:FL97" si="19">((SUM(AO92,AY92,BI92,BS92,CC92,CM92,CW92,DG92,DQ92))-(ET92))</f>
        <v>0</v>
      </c>
      <c r="FM92" s="109"/>
    </row>
    <row r="93" spans="1:169" x14ac:dyDescent="0.25">
      <c r="A93" s="204">
        <v>40375</v>
      </c>
      <c r="B93" s="204" t="s">
        <v>133</v>
      </c>
      <c r="C93" s="204" t="s">
        <v>129</v>
      </c>
      <c r="D93" s="204" t="s">
        <v>369</v>
      </c>
      <c r="E93" s="205">
        <v>6031</v>
      </c>
      <c r="F93" s="206">
        <v>3</v>
      </c>
      <c r="G93" s="207" t="s">
        <v>439</v>
      </c>
      <c r="H93" s="208">
        <v>0</v>
      </c>
      <c r="I93" s="208">
        <v>0</v>
      </c>
      <c r="J93" s="209">
        <v>6</v>
      </c>
      <c r="K93" s="208">
        <v>5</v>
      </c>
      <c r="L93" s="208">
        <v>2</v>
      </c>
      <c r="M93" s="208">
        <v>2</v>
      </c>
      <c r="N93" s="208">
        <v>1</v>
      </c>
      <c r="O93" s="208">
        <v>8</v>
      </c>
      <c r="P93" s="208">
        <v>0</v>
      </c>
      <c r="Q93" s="208">
        <v>0</v>
      </c>
      <c r="R93" s="208">
        <v>23</v>
      </c>
      <c r="S93" s="208">
        <v>83</v>
      </c>
      <c r="T93" s="208">
        <v>57</v>
      </c>
      <c r="U93" s="208">
        <v>0</v>
      </c>
      <c r="V93" s="210">
        <v>0</v>
      </c>
      <c r="W93" s="211">
        <v>1</v>
      </c>
      <c r="X93" s="211">
        <v>0</v>
      </c>
      <c r="Y93" s="211">
        <v>0</v>
      </c>
      <c r="Z93" s="211">
        <v>1</v>
      </c>
      <c r="AA93" s="211">
        <v>1</v>
      </c>
      <c r="AB93" s="212">
        <v>4</v>
      </c>
      <c r="AC93" s="211">
        <v>3</v>
      </c>
      <c r="AD93" s="211">
        <v>1</v>
      </c>
      <c r="AE93" s="211">
        <v>1</v>
      </c>
      <c r="AF93" s="211">
        <v>1</v>
      </c>
      <c r="AG93" s="211">
        <v>1</v>
      </c>
      <c r="AH93" s="211">
        <v>0</v>
      </c>
      <c r="AI93" s="211">
        <v>0</v>
      </c>
      <c r="AJ93" s="211">
        <v>15</v>
      </c>
      <c r="AK93" s="211">
        <v>42</v>
      </c>
      <c r="AL93" s="211">
        <v>26</v>
      </c>
      <c r="AM93" s="213" t="s">
        <v>442</v>
      </c>
      <c r="AN93" s="214">
        <v>4</v>
      </c>
      <c r="AO93" s="214">
        <v>1</v>
      </c>
      <c r="AP93" s="214">
        <v>1</v>
      </c>
      <c r="AQ93" s="214">
        <v>0</v>
      </c>
      <c r="AR93" s="214">
        <v>1</v>
      </c>
      <c r="AS93" s="214">
        <v>1</v>
      </c>
      <c r="AT93" s="214">
        <v>0</v>
      </c>
      <c r="AU93" s="214">
        <v>0</v>
      </c>
      <c r="AV93" s="215">
        <v>1</v>
      </c>
      <c r="AW93" s="213" t="s">
        <v>441</v>
      </c>
      <c r="AX93" s="214">
        <v>2</v>
      </c>
      <c r="AY93" s="214">
        <v>1</v>
      </c>
      <c r="AZ93" s="214">
        <v>0</v>
      </c>
      <c r="BA93" s="214">
        <v>0</v>
      </c>
      <c r="BB93" s="214">
        <v>1</v>
      </c>
      <c r="BC93" s="214">
        <v>0</v>
      </c>
      <c r="BD93" s="214">
        <v>0</v>
      </c>
      <c r="BE93" s="214">
        <v>0</v>
      </c>
      <c r="BF93" s="215">
        <v>0</v>
      </c>
      <c r="BG93" s="213" t="s">
        <v>402</v>
      </c>
      <c r="BH93" s="214">
        <v>5</v>
      </c>
      <c r="BI93" s="214">
        <v>0</v>
      </c>
      <c r="BJ93" s="214">
        <v>2</v>
      </c>
      <c r="BK93" s="214">
        <v>1</v>
      </c>
      <c r="BL93" s="214">
        <v>0</v>
      </c>
      <c r="BM93" s="214">
        <v>2</v>
      </c>
      <c r="BN93" s="214">
        <v>0</v>
      </c>
      <c r="BO93" s="214">
        <v>0</v>
      </c>
      <c r="BP93" s="215">
        <v>2</v>
      </c>
      <c r="BQ93" s="213" t="s">
        <v>496</v>
      </c>
      <c r="BR93" s="214">
        <v>5</v>
      </c>
      <c r="BS93" s="214">
        <v>0</v>
      </c>
      <c r="BT93" s="214">
        <v>2</v>
      </c>
      <c r="BU93" s="214">
        <v>1</v>
      </c>
      <c r="BV93" s="214">
        <v>0</v>
      </c>
      <c r="BW93" s="214">
        <v>0</v>
      </c>
      <c r="BX93" s="214">
        <v>0</v>
      </c>
      <c r="BY93" s="214">
        <v>0</v>
      </c>
      <c r="BZ93" s="215">
        <v>2</v>
      </c>
      <c r="CA93" s="213" t="s">
        <v>501</v>
      </c>
      <c r="CB93" s="214">
        <v>5</v>
      </c>
      <c r="CC93" s="214">
        <v>0</v>
      </c>
      <c r="CD93" s="214">
        <v>0</v>
      </c>
      <c r="CE93" s="214">
        <v>0</v>
      </c>
      <c r="CF93" s="214">
        <v>0</v>
      </c>
      <c r="CG93" s="214">
        <v>0</v>
      </c>
      <c r="CH93" s="214">
        <v>0</v>
      </c>
      <c r="CI93" s="214">
        <v>0</v>
      </c>
      <c r="CJ93" s="215">
        <v>0</v>
      </c>
      <c r="CK93" s="213" t="s">
        <v>444</v>
      </c>
      <c r="CL93" s="214">
        <v>3</v>
      </c>
      <c r="CM93" s="214">
        <v>2</v>
      </c>
      <c r="CN93" s="214">
        <v>2</v>
      </c>
      <c r="CO93" s="214">
        <v>1</v>
      </c>
      <c r="CP93" s="214">
        <v>2</v>
      </c>
      <c r="CQ93" s="214">
        <v>0</v>
      </c>
      <c r="CR93" s="214">
        <v>0</v>
      </c>
      <c r="CS93" s="214">
        <v>0</v>
      </c>
      <c r="CT93" s="215">
        <v>5</v>
      </c>
      <c r="CU93" s="213" t="s">
        <v>448</v>
      </c>
      <c r="CV93" s="214">
        <v>4</v>
      </c>
      <c r="CW93" s="214">
        <v>0</v>
      </c>
      <c r="CX93" s="214">
        <v>1</v>
      </c>
      <c r="CY93" s="214">
        <v>0</v>
      </c>
      <c r="CZ93" s="214">
        <v>0</v>
      </c>
      <c r="DA93" s="214">
        <v>2</v>
      </c>
      <c r="DB93" s="214">
        <v>0</v>
      </c>
      <c r="DC93" s="214">
        <v>0</v>
      </c>
      <c r="DD93" s="215">
        <v>1</v>
      </c>
      <c r="DE93" s="213" t="s">
        <v>365</v>
      </c>
      <c r="DF93" s="214">
        <v>4</v>
      </c>
      <c r="DG93" s="214">
        <v>0</v>
      </c>
      <c r="DH93" s="214">
        <v>4</v>
      </c>
      <c r="DI93" s="214">
        <v>1</v>
      </c>
      <c r="DJ93" s="214">
        <v>0</v>
      </c>
      <c r="DK93" s="214">
        <v>0</v>
      </c>
      <c r="DL93" s="214">
        <v>0</v>
      </c>
      <c r="DM93" s="214">
        <v>0</v>
      </c>
      <c r="DN93" s="215">
        <v>4</v>
      </c>
      <c r="DO93" s="213" t="s">
        <v>449</v>
      </c>
      <c r="DP93" s="214">
        <v>4</v>
      </c>
      <c r="DQ93" s="214">
        <v>0</v>
      </c>
      <c r="DR93" s="214">
        <v>1</v>
      </c>
      <c r="DS93" s="214">
        <v>0</v>
      </c>
      <c r="DT93" s="214">
        <v>0</v>
      </c>
      <c r="DU93" s="214">
        <v>1</v>
      </c>
      <c r="DV93" s="214">
        <v>0</v>
      </c>
      <c r="DW93" s="214">
        <v>0</v>
      </c>
      <c r="DX93" s="215">
        <v>2</v>
      </c>
      <c r="DY93" s="216">
        <f>6+1/3</f>
        <v>6.333333333333333</v>
      </c>
      <c r="DZ93" s="217">
        <v>1</v>
      </c>
      <c r="EA93" s="217">
        <v>1</v>
      </c>
      <c r="EB93" s="218">
        <f>3+2/3</f>
        <v>3.6666666666666665</v>
      </c>
      <c r="EC93" s="217">
        <v>0</v>
      </c>
      <c r="ED93" s="219">
        <v>0</v>
      </c>
      <c r="EE93" s="220">
        <v>0</v>
      </c>
      <c r="EF93" s="217">
        <v>1</v>
      </c>
      <c r="EG93" s="217">
        <v>0</v>
      </c>
      <c r="EH93" s="217">
        <v>1</v>
      </c>
      <c r="EI93" s="217">
        <v>0</v>
      </c>
      <c r="EJ93" s="217">
        <v>0</v>
      </c>
      <c r="EK93" s="217">
        <v>1</v>
      </c>
      <c r="EL93" s="217">
        <v>0</v>
      </c>
      <c r="EM93" s="217">
        <v>0</v>
      </c>
      <c r="EN93" s="217">
        <v>1</v>
      </c>
      <c r="EO93" s="217"/>
      <c r="EP93" s="217"/>
      <c r="EQ93" s="217"/>
      <c r="ER93" s="217"/>
      <c r="ES93" s="217"/>
      <c r="ET93" s="219">
        <f t="shared" si="16"/>
        <v>4</v>
      </c>
      <c r="EU93" s="217">
        <v>0</v>
      </c>
      <c r="EV93" s="217">
        <v>1</v>
      </c>
      <c r="EW93" s="217">
        <v>0</v>
      </c>
      <c r="EX93" s="217">
        <v>1</v>
      </c>
      <c r="EY93" s="217">
        <v>0</v>
      </c>
      <c r="EZ93" s="217">
        <v>0</v>
      </c>
      <c r="FA93" s="217">
        <v>0</v>
      </c>
      <c r="FB93" s="217">
        <v>1</v>
      </c>
      <c r="FC93" s="217">
        <v>0</v>
      </c>
      <c r="FD93" s="217">
        <v>0</v>
      </c>
      <c r="FE93" s="217"/>
      <c r="FF93" s="217"/>
      <c r="FG93" s="217"/>
      <c r="FH93" s="217"/>
      <c r="FI93" s="217"/>
      <c r="FJ93" s="217">
        <f t="shared" si="17"/>
        <v>3</v>
      </c>
      <c r="FK93" s="221">
        <f t="shared" si="18"/>
        <v>0</v>
      </c>
      <c r="FL93" s="221">
        <f t="shared" si="19"/>
        <v>0</v>
      </c>
      <c r="FM93" s="222"/>
    </row>
    <row r="94" spans="1:169" x14ac:dyDescent="0.25">
      <c r="A94" s="204">
        <v>40376</v>
      </c>
      <c r="B94" s="204" t="s">
        <v>133</v>
      </c>
      <c r="C94" s="204" t="s">
        <v>129</v>
      </c>
      <c r="D94" s="204" t="s">
        <v>476</v>
      </c>
      <c r="E94" s="205">
        <v>4448</v>
      </c>
      <c r="F94" s="206">
        <v>4</v>
      </c>
      <c r="G94" s="207" t="s">
        <v>368</v>
      </c>
      <c r="H94" s="208">
        <v>0</v>
      </c>
      <c r="I94" s="208">
        <v>0</v>
      </c>
      <c r="J94" s="209">
        <f>6+2/3</f>
        <v>6.666666666666667</v>
      </c>
      <c r="K94" s="208">
        <v>10</v>
      </c>
      <c r="L94" s="208">
        <v>4</v>
      </c>
      <c r="M94" s="208">
        <v>4</v>
      </c>
      <c r="N94" s="208">
        <v>3</v>
      </c>
      <c r="O94" s="208">
        <v>2</v>
      </c>
      <c r="P94" s="208">
        <v>1</v>
      </c>
      <c r="Q94" s="208">
        <v>0</v>
      </c>
      <c r="R94" s="208">
        <v>31</v>
      </c>
      <c r="S94" s="208">
        <v>88</v>
      </c>
      <c r="T94" s="208">
        <v>54</v>
      </c>
      <c r="U94" s="208">
        <v>2</v>
      </c>
      <c r="V94" s="210">
        <v>0</v>
      </c>
      <c r="W94" s="211">
        <v>1</v>
      </c>
      <c r="X94" s="211">
        <v>0</v>
      </c>
      <c r="Y94" s="211">
        <v>0</v>
      </c>
      <c r="Z94" s="211">
        <v>0</v>
      </c>
      <c r="AA94" s="211">
        <v>0</v>
      </c>
      <c r="AB94" s="212">
        <f>7+1/3</f>
        <v>7.333333333333333</v>
      </c>
      <c r="AC94" s="211">
        <v>5</v>
      </c>
      <c r="AD94" s="211">
        <v>0</v>
      </c>
      <c r="AE94" s="211">
        <v>0</v>
      </c>
      <c r="AF94" s="211">
        <v>5</v>
      </c>
      <c r="AG94" s="211">
        <v>6</v>
      </c>
      <c r="AH94" s="211">
        <v>0</v>
      </c>
      <c r="AI94" s="211">
        <v>0</v>
      </c>
      <c r="AJ94" s="211">
        <v>31</v>
      </c>
      <c r="AK94" s="211">
        <v>107</v>
      </c>
      <c r="AL94" s="211">
        <v>64</v>
      </c>
      <c r="AM94" s="213" t="s">
        <v>442</v>
      </c>
      <c r="AN94" s="214">
        <v>5</v>
      </c>
      <c r="AO94" s="214">
        <v>0</v>
      </c>
      <c r="AP94" s="214">
        <v>1</v>
      </c>
      <c r="AQ94" s="214">
        <v>0</v>
      </c>
      <c r="AR94" s="214">
        <v>2</v>
      </c>
      <c r="AS94" s="214">
        <v>1</v>
      </c>
      <c r="AT94" s="214">
        <v>0</v>
      </c>
      <c r="AU94" s="214">
        <v>0</v>
      </c>
      <c r="AV94" s="215">
        <v>1</v>
      </c>
      <c r="AW94" s="213" t="s">
        <v>441</v>
      </c>
      <c r="AX94" s="214">
        <v>6</v>
      </c>
      <c r="AY94" s="214">
        <v>2</v>
      </c>
      <c r="AZ94" s="214">
        <v>2</v>
      </c>
      <c r="BA94" s="214">
        <v>1</v>
      </c>
      <c r="BB94" s="214">
        <v>1</v>
      </c>
      <c r="BC94" s="214">
        <v>0</v>
      </c>
      <c r="BD94" s="214">
        <v>0</v>
      </c>
      <c r="BE94" s="214">
        <v>0</v>
      </c>
      <c r="BF94" s="215">
        <v>5</v>
      </c>
      <c r="BG94" s="213" t="s">
        <v>446</v>
      </c>
      <c r="BH94" s="214">
        <v>7</v>
      </c>
      <c r="BI94" s="214">
        <v>0</v>
      </c>
      <c r="BJ94" s="214">
        <v>2</v>
      </c>
      <c r="BK94" s="214">
        <v>0</v>
      </c>
      <c r="BL94" s="214">
        <v>0</v>
      </c>
      <c r="BM94" s="214">
        <v>2</v>
      </c>
      <c r="BN94" s="214">
        <v>0</v>
      </c>
      <c r="BO94" s="214">
        <v>0</v>
      </c>
      <c r="BP94" s="215">
        <v>3</v>
      </c>
      <c r="BQ94" s="213" t="s">
        <v>496</v>
      </c>
      <c r="BR94" s="214">
        <v>6</v>
      </c>
      <c r="BS94" s="214">
        <v>0</v>
      </c>
      <c r="BT94" s="214">
        <v>0</v>
      </c>
      <c r="BU94" s="214">
        <v>0</v>
      </c>
      <c r="BV94" s="214">
        <v>0</v>
      </c>
      <c r="BW94" s="214">
        <v>2</v>
      </c>
      <c r="BX94" s="214">
        <v>0</v>
      </c>
      <c r="BY94" s="214">
        <v>0</v>
      </c>
      <c r="BZ94" s="215">
        <v>0</v>
      </c>
      <c r="CA94" s="213" t="s">
        <v>402</v>
      </c>
      <c r="CB94" s="214">
        <v>6</v>
      </c>
      <c r="CC94" s="214">
        <v>1</v>
      </c>
      <c r="CD94" s="214">
        <v>2</v>
      </c>
      <c r="CE94" s="214">
        <v>1</v>
      </c>
      <c r="CF94" s="214">
        <v>0</v>
      </c>
      <c r="CG94" s="214">
        <v>0</v>
      </c>
      <c r="CH94" s="214">
        <v>0</v>
      </c>
      <c r="CI94" s="214">
        <v>0</v>
      </c>
      <c r="CJ94" s="215">
        <v>2</v>
      </c>
      <c r="CK94" s="213" t="s">
        <v>444</v>
      </c>
      <c r="CL94" s="214">
        <v>6</v>
      </c>
      <c r="CM94" s="214">
        <v>1</v>
      </c>
      <c r="CN94" s="214">
        <v>1</v>
      </c>
      <c r="CO94" s="214">
        <v>1</v>
      </c>
      <c r="CP94" s="214">
        <v>0</v>
      </c>
      <c r="CQ94" s="214">
        <v>0</v>
      </c>
      <c r="CR94" s="214">
        <v>0</v>
      </c>
      <c r="CS94" s="214">
        <v>0</v>
      </c>
      <c r="CT94" s="215">
        <v>2</v>
      </c>
      <c r="CU94" s="213" t="s">
        <v>473</v>
      </c>
      <c r="CV94" s="214">
        <v>6</v>
      </c>
      <c r="CW94" s="214">
        <v>1</v>
      </c>
      <c r="CX94" s="214">
        <v>2</v>
      </c>
      <c r="CY94" s="214">
        <v>1</v>
      </c>
      <c r="CZ94" s="214">
        <v>0</v>
      </c>
      <c r="DA94" s="214">
        <v>0</v>
      </c>
      <c r="DB94" s="214">
        <v>0</v>
      </c>
      <c r="DC94" s="214">
        <v>0</v>
      </c>
      <c r="DD94" s="215">
        <v>2</v>
      </c>
      <c r="DE94" s="213" t="s">
        <v>365</v>
      </c>
      <c r="DF94" s="214">
        <v>5</v>
      </c>
      <c r="DG94" s="214">
        <v>0</v>
      </c>
      <c r="DH94" s="214">
        <v>0</v>
      </c>
      <c r="DI94" s="214">
        <v>0</v>
      </c>
      <c r="DJ94" s="214">
        <v>0</v>
      </c>
      <c r="DK94" s="214">
        <v>1</v>
      </c>
      <c r="DL94" s="214">
        <v>0</v>
      </c>
      <c r="DM94" s="214">
        <v>0</v>
      </c>
      <c r="DN94" s="215">
        <v>0</v>
      </c>
      <c r="DO94" s="213" t="s">
        <v>448</v>
      </c>
      <c r="DP94" s="214">
        <v>6</v>
      </c>
      <c r="DQ94" s="214">
        <v>0</v>
      </c>
      <c r="DR94" s="214">
        <v>2</v>
      </c>
      <c r="DS94" s="214">
        <v>1</v>
      </c>
      <c r="DT94" s="214">
        <v>0</v>
      </c>
      <c r="DU94" s="214">
        <v>2</v>
      </c>
      <c r="DV94" s="214">
        <v>0</v>
      </c>
      <c r="DW94" s="214">
        <v>0</v>
      </c>
      <c r="DX94" s="215">
        <v>3</v>
      </c>
      <c r="DY94" s="216">
        <v>3</v>
      </c>
      <c r="DZ94" s="217">
        <v>0</v>
      </c>
      <c r="EA94" s="217">
        <v>0</v>
      </c>
      <c r="EB94" s="218">
        <v>11</v>
      </c>
      <c r="EC94" s="217">
        <v>0</v>
      </c>
      <c r="ED94" s="219">
        <v>0</v>
      </c>
      <c r="EE94" s="220">
        <v>1</v>
      </c>
      <c r="EF94" s="217">
        <v>0</v>
      </c>
      <c r="EG94" s="217">
        <v>0</v>
      </c>
      <c r="EH94" s="217">
        <v>0</v>
      </c>
      <c r="EI94" s="217">
        <v>0</v>
      </c>
      <c r="EJ94" s="217">
        <v>1</v>
      </c>
      <c r="EK94" s="217">
        <v>0</v>
      </c>
      <c r="EL94" s="217">
        <v>0</v>
      </c>
      <c r="EM94" s="217">
        <v>2</v>
      </c>
      <c r="EN94" s="217">
        <v>0</v>
      </c>
      <c r="EO94" s="217">
        <v>0</v>
      </c>
      <c r="EP94" s="217">
        <v>0</v>
      </c>
      <c r="EQ94" s="217">
        <v>0</v>
      </c>
      <c r="ER94" s="217">
        <v>1</v>
      </c>
      <c r="ES94" s="217"/>
      <c r="ET94" s="219">
        <f t="shared" si="16"/>
        <v>5</v>
      </c>
      <c r="EU94" s="217">
        <v>0</v>
      </c>
      <c r="EV94" s="217">
        <v>0</v>
      </c>
      <c r="EW94" s="217">
        <v>0</v>
      </c>
      <c r="EX94" s="217">
        <v>2</v>
      </c>
      <c r="EY94" s="217">
        <v>0</v>
      </c>
      <c r="EZ94" s="217">
        <v>0</v>
      </c>
      <c r="FA94" s="217">
        <v>2</v>
      </c>
      <c r="FB94" s="217">
        <v>0</v>
      </c>
      <c r="FC94" s="217">
        <v>0</v>
      </c>
      <c r="FD94" s="217">
        <v>0</v>
      </c>
      <c r="FE94" s="217">
        <v>0</v>
      </c>
      <c r="FF94" s="217">
        <v>0</v>
      </c>
      <c r="FG94" s="217">
        <v>0</v>
      </c>
      <c r="FH94" s="217">
        <v>0</v>
      </c>
      <c r="FI94" s="217"/>
      <c r="FJ94" s="217">
        <f t="shared" si="17"/>
        <v>4</v>
      </c>
      <c r="FK94" s="221">
        <f t="shared" si="18"/>
        <v>0</v>
      </c>
      <c r="FL94" s="221">
        <f t="shared" si="19"/>
        <v>0</v>
      </c>
      <c r="FM94" s="222"/>
    </row>
    <row r="95" spans="1:169" x14ac:dyDescent="0.25">
      <c r="A95" s="204">
        <v>40377</v>
      </c>
      <c r="B95" s="204" t="s">
        <v>133</v>
      </c>
      <c r="C95" s="204" t="s">
        <v>129</v>
      </c>
      <c r="D95" s="204" t="s">
        <v>476</v>
      </c>
      <c r="E95" s="205">
        <v>2856</v>
      </c>
      <c r="F95" s="206">
        <v>5</v>
      </c>
      <c r="G95" s="207" t="s">
        <v>424</v>
      </c>
      <c r="H95" s="208">
        <v>1</v>
      </c>
      <c r="I95" s="208">
        <v>0</v>
      </c>
      <c r="J95" s="209">
        <f>7+2/3</f>
        <v>7.666666666666667</v>
      </c>
      <c r="K95" s="208">
        <v>7</v>
      </c>
      <c r="L95" s="208">
        <v>4</v>
      </c>
      <c r="M95" s="208">
        <v>3</v>
      </c>
      <c r="N95" s="208">
        <v>1</v>
      </c>
      <c r="O95" s="208">
        <v>7</v>
      </c>
      <c r="P95" s="208">
        <v>1</v>
      </c>
      <c r="Q95" s="208">
        <v>1</v>
      </c>
      <c r="R95" s="208">
        <v>32</v>
      </c>
      <c r="S95" s="208">
        <v>111</v>
      </c>
      <c r="T95" s="208">
        <v>69</v>
      </c>
      <c r="U95" s="208">
        <v>0</v>
      </c>
      <c r="V95" s="210">
        <v>0</v>
      </c>
      <c r="W95" s="211">
        <v>0</v>
      </c>
      <c r="X95" s="211">
        <v>0</v>
      </c>
      <c r="Y95" s="211">
        <v>0</v>
      </c>
      <c r="Z95" s="211">
        <v>1</v>
      </c>
      <c r="AA95" s="211">
        <v>0</v>
      </c>
      <c r="AB95" s="212">
        <f>1+1/3</f>
        <v>1.3333333333333333</v>
      </c>
      <c r="AC95" s="211">
        <v>3</v>
      </c>
      <c r="AD95" s="211">
        <v>2</v>
      </c>
      <c r="AE95" s="211">
        <v>2</v>
      </c>
      <c r="AF95" s="211">
        <v>0</v>
      </c>
      <c r="AG95" s="211">
        <v>1</v>
      </c>
      <c r="AH95" s="211">
        <v>0</v>
      </c>
      <c r="AI95" s="211">
        <v>0</v>
      </c>
      <c r="AJ95" s="211">
        <v>7</v>
      </c>
      <c r="AK95" s="211">
        <v>19</v>
      </c>
      <c r="AL95" s="211">
        <v>13</v>
      </c>
      <c r="AM95" s="213" t="s">
        <v>441</v>
      </c>
      <c r="AN95" s="214">
        <v>5</v>
      </c>
      <c r="AO95" s="214">
        <v>1</v>
      </c>
      <c r="AP95" s="214">
        <v>1</v>
      </c>
      <c r="AQ95" s="214">
        <v>0</v>
      </c>
      <c r="AR95" s="214">
        <v>0</v>
      </c>
      <c r="AS95" s="214">
        <v>1</v>
      </c>
      <c r="AT95" s="214">
        <v>0</v>
      </c>
      <c r="AU95" s="214">
        <v>0</v>
      </c>
      <c r="AV95" s="215">
        <v>1</v>
      </c>
      <c r="AW95" s="213" t="s">
        <v>364</v>
      </c>
      <c r="AX95" s="214">
        <v>5</v>
      </c>
      <c r="AY95" s="214">
        <v>0</v>
      </c>
      <c r="AZ95" s="214">
        <v>0</v>
      </c>
      <c r="BA95" s="214">
        <v>0</v>
      </c>
      <c r="BB95" s="214">
        <v>0</v>
      </c>
      <c r="BC95" s="214">
        <v>2</v>
      </c>
      <c r="BD95" s="214">
        <v>0</v>
      </c>
      <c r="BE95" s="214">
        <v>0</v>
      </c>
      <c r="BF95" s="215">
        <v>0</v>
      </c>
      <c r="BG95" s="213" t="s">
        <v>402</v>
      </c>
      <c r="BH95" s="214">
        <v>4</v>
      </c>
      <c r="BI95" s="214">
        <v>1</v>
      </c>
      <c r="BJ95" s="214">
        <v>1</v>
      </c>
      <c r="BK95" s="214">
        <v>1</v>
      </c>
      <c r="BL95" s="214">
        <v>1</v>
      </c>
      <c r="BM95" s="214">
        <v>0</v>
      </c>
      <c r="BN95" s="214">
        <v>0</v>
      </c>
      <c r="BO95" s="214">
        <v>0</v>
      </c>
      <c r="BP95" s="215">
        <v>2</v>
      </c>
      <c r="BQ95" s="213" t="s">
        <v>496</v>
      </c>
      <c r="BR95" s="214">
        <v>5</v>
      </c>
      <c r="BS95" s="214">
        <v>0</v>
      </c>
      <c r="BT95" s="214">
        <v>1</v>
      </c>
      <c r="BU95" s="214">
        <v>1</v>
      </c>
      <c r="BV95" s="214">
        <v>0</v>
      </c>
      <c r="BW95" s="214">
        <v>0</v>
      </c>
      <c r="BX95" s="214">
        <v>0</v>
      </c>
      <c r="BY95" s="214">
        <v>0</v>
      </c>
      <c r="BZ95" s="215">
        <v>1</v>
      </c>
      <c r="CA95" s="213" t="s">
        <v>501</v>
      </c>
      <c r="CB95" s="214">
        <v>3</v>
      </c>
      <c r="CC95" s="214">
        <v>1</v>
      </c>
      <c r="CD95" s="214">
        <v>0</v>
      </c>
      <c r="CE95" s="214">
        <v>0</v>
      </c>
      <c r="CF95" s="214">
        <v>1</v>
      </c>
      <c r="CG95" s="214">
        <v>0</v>
      </c>
      <c r="CH95" s="214">
        <v>0</v>
      </c>
      <c r="CI95" s="214">
        <v>0</v>
      </c>
      <c r="CJ95" s="215">
        <v>0</v>
      </c>
      <c r="CK95" s="213" t="s">
        <v>444</v>
      </c>
      <c r="CL95" s="214">
        <v>4</v>
      </c>
      <c r="CM95" s="214">
        <v>2</v>
      </c>
      <c r="CN95" s="214">
        <v>3</v>
      </c>
      <c r="CO95" s="214">
        <v>1</v>
      </c>
      <c r="CP95" s="214">
        <v>0</v>
      </c>
      <c r="CQ95" s="214">
        <v>1</v>
      </c>
      <c r="CR95" s="214">
        <v>0</v>
      </c>
      <c r="CS95" s="214">
        <v>0</v>
      </c>
      <c r="CT95" s="215">
        <v>6</v>
      </c>
      <c r="CU95" s="213" t="s">
        <v>448</v>
      </c>
      <c r="CV95" s="214">
        <v>3</v>
      </c>
      <c r="CW95" s="214">
        <v>1</v>
      </c>
      <c r="CX95" s="214">
        <v>1</v>
      </c>
      <c r="CY95" s="214">
        <v>2</v>
      </c>
      <c r="CZ95" s="214">
        <v>1</v>
      </c>
      <c r="DA95" s="214">
        <v>1</v>
      </c>
      <c r="DB95" s="214">
        <v>0</v>
      </c>
      <c r="DC95" s="214">
        <v>0</v>
      </c>
      <c r="DD95" s="215">
        <v>4</v>
      </c>
      <c r="DE95" s="213" t="s">
        <v>365</v>
      </c>
      <c r="DF95" s="214">
        <v>4</v>
      </c>
      <c r="DG95" s="214">
        <v>0</v>
      </c>
      <c r="DH95" s="214">
        <v>1</v>
      </c>
      <c r="DI95" s="214">
        <v>0</v>
      </c>
      <c r="DJ95" s="214">
        <v>0</v>
      </c>
      <c r="DK95" s="214">
        <v>0</v>
      </c>
      <c r="DL95" s="214">
        <v>0</v>
      </c>
      <c r="DM95" s="214">
        <v>0</v>
      </c>
      <c r="DN95" s="215">
        <v>1</v>
      </c>
      <c r="DO95" s="213" t="s">
        <v>449</v>
      </c>
      <c r="DP95" s="214">
        <v>4</v>
      </c>
      <c r="DQ95" s="214">
        <v>1</v>
      </c>
      <c r="DR95" s="214">
        <v>2</v>
      </c>
      <c r="DS95" s="214">
        <v>1</v>
      </c>
      <c r="DT95" s="214">
        <v>0</v>
      </c>
      <c r="DU95" s="214">
        <v>0</v>
      </c>
      <c r="DV95" s="214">
        <v>0</v>
      </c>
      <c r="DW95" s="214">
        <v>0</v>
      </c>
      <c r="DX95" s="215">
        <v>3</v>
      </c>
      <c r="DY95" s="216">
        <v>5</v>
      </c>
      <c r="DZ95" s="217">
        <v>0</v>
      </c>
      <c r="EA95" s="217">
        <v>0</v>
      </c>
      <c r="EB95" s="218">
        <v>4</v>
      </c>
      <c r="EC95" s="217">
        <v>1</v>
      </c>
      <c r="ED95" s="219">
        <v>0</v>
      </c>
      <c r="EE95" s="220">
        <v>0</v>
      </c>
      <c r="EF95" s="217">
        <v>1</v>
      </c>
      <c r="EG95" s="217">
        <v>0</v>
      </c>
      <c r="EH95" s="217">
        <v>0</v>
      </c>
      <c r="EI95" s="217">
        <v>2</v>
      </c>
      <c r="EJ95" s="217">
        <v>1</v>
      </c>
      <c r="EK95" s="217">
        <v>2</v>
      </c>
      <c r="EL95" s="217">
        <v>1</v>
      </c>
      <c r="EM95" s="217">
        <v>0</v>
      </c>
      <c r="EN95" s="217"/>
      <c r="EO95" s="217"/>
      <c r="EP95" s="217"/>
      <c r="EQ95" s="217"/>
      <c r="ER95" s="217"/>
      <c r="ES95" s="217"/>
      <c r="ET95" s="219">
        <f t="shared" si="16"/>
        <v>7</v>
      </c>
      <c r="EU95" s="217">
        <v>4</v>
      </c>
      <c r="EV95" s="217">
        <v>0</v>
      </c>
      <c r="EW95" s="217">
        <v>0</v>
      </c>
      <c r="EX95" s="217">
        <v>0</v>
      </c>
      <c r="EY95" s="217">
        <v>0</v>
      </c>
      <c r="EZ95" s="217">
        <v>0</v>
      </c>
      <c r="FA95" s="217">
        <v>0</v>
      </c>
      <c r="FB95" s="217">
        <v>0</v>
      </c>
      <c r="FC95" s="217">
        <v>2</v>
      </c>
      <c r="FD95" s="217"/>
      <c r="FE95" s="217"/>
      <c r="FF95" s="217"/>
      <c r="FG95" s="217"/>
      <c r="FH95" s="217"/>
      <c r="FI95" s="217"/>
      <c r="FJ95" s="217">
        <f t="shared" si="17"/>
        <v>6</v>
      </c>
      <c r="FK95" s="221">
        <f t="shared" si="18"/>
        <v>0</v>
      </c>
      <c r="FL95" s="221">
        <f t="shared" si="19"/>
        <v>0</v>
      </c>
      <c r="FM95" s="222"/>
    </row>
    <row r="96" spans="1:169" x14ac:dyDescent="0.25">
      <c r="A96" s="204">
        <v>40378</v>
      </c>
      <c r="B96" s="204" t="s">
        <v>133</v>
      </c>
      <c r="C96" s="204" t="s">
        <v>131</v>
      </c>
      <c r="D96" s="204" t="s">
        <v>476</v>
      </c>
      <c r="E96" s="205">
        <v>3365</v>
      </c>
      <c r="F96" s="206">
        <v>1</v>
      </c>
      <c r="G96" s="207" t="s">
        <v>470</v>
      </c>
      <c r="H96" s="208">
        <v>0</v>
      </c>
      <c r="I96" s="208">
        <v>1</v>
      </c>
      <c r="J96" s="209">
        <v>5</v>
      </c>
      <c r="K96" s="208">
        <v>7</v>
      </c>
      <c r="L96" s="208">
        <v>4</v>
      </c>
      <c r="M96" s="208">
        <v>4</v>
      </c>
      <c r="N96" s="208">
        <v>2</v>
      </c>
      <c r="O96" s="208">
        <v>4</v>
      </c>
      <c r="P96" s="208">
        <v>1</v>
      </c>
      <c r="Q96" s="208">
        <v>1</v>
      </c>
      <c r="R96" s="208">
        <v>24</v>
      </c>
      <c r="S96" s="208">
        <v>96</v>
      </c>
      <c r="T96" s="208">
        <v>53</v>
      </c>
      <c r="U96" s="208">
        <v>0</v>
      </c>
      <c r="V96" s="210">
        <v>0</v>
      </c>
      <c r="W96" s="211">
        <v>0</v>
      </c>
      <c r="X96" s="211">
        <v>0</v>
      </c>
      <c r="Y96" s="211">
        <v>0</v>
      </c>
      <c r="Z96" s="211">
        <v>0</v>
      </c>
      <c r="AA96" s="211">
        <v>0</v>
      </c>
      <c r="AB96" s="212">
        <f>0+2/3</f>
        <v>0.66666666666666663</v>
      </c>
      <c r="AC96" s="211">
        <v>1</v>
      </c>
      <c r="AD96" s="211">
        <v>0</v>
      </c>
      <c r="AE96" s="211">
        <v>0</v>
      </c>
      <c r="AF96" s="211">
        <v>0</v>
      </c>
      <c r="AG96" s="211">
        <v>1</v>
      </c>
      <c r="AH96" s="211">
        <v>0</v>
      </c>
      <c r="AI96" s="211">
        <v>0</v>
      </c>
      <c r="AJ96" s="211">
        <v>3</v>
      </c>
      <c r="AK96" s="211">
        <v>13</v>
      </c>
      <c r="AL96" s="211">
        <v>8</v>
      </c>
      <c r="AM96" s="213" t="s">
        <v>442</v>
      </c>
      <c r="AN96" s="214">
        <v>3</v>
      </c>
      <c r="AO96" s="214">
        <v>0</v>
      </c>
      <c r="AP96" s="214">
        <v>0</v>
      </c>
      <c r="AQ96" s="214">
        <v>0</v>
      </c>
      <c r="AR96" s="214">
        <v>0</v>
      </c>
      <c r="AS96" s="214">
        <v>1</v>
      </c>
      <c r="AT96" s="214">
        <v>0</v>
      </c>
      <c r="AU96" s="214">
        <v>0</v>
      </c>
      <c r="AV96" s="215">
        <v>0</v>
      </c>
      <c r="AW96" s="213" t="s">
        <v>441</v>
      </c>
      <c r="AX96" s="214">
        <v>3</v>
      </c>
      <c r="AY96" s="214">
        <v>0</v>
      </c>
      <c r="AZ96" s="214">
        <v>1</v>
      </c>
      <c r="BA96" s="214">
        <v>0</v>
      </c>
      <c r="BB96" s="214">
        <v>0</v>
      </c>
      <c r="BC96" s="214">
        <v>1</v>
      </c>
      <c r="BD96" s="214">
        <v>0</v>
      </c>
      <c r="BE96" s="214">
        <v>0</v>
      </c>
      <c r="BF96" s="215">
        <v>1</v>
      </c>
      <c r="BG96" s="213" t="s">
        <v>402</v>
      </c>
      <c r="BH96" s="214">
        <v>3</v>
      </c>
      <c r="BI96" s="214">
        <v>0</v>
      </c>
      <c r="BJ96" s="214">
        <v>0</v>
      </c>
      <c r="BK96" s="214">
        <v>0</v>
      </c>
      <c r="BL96" s="214">
        <v>0</v>
      </c>
      <c r="BM96" s="214">
        <v>0</v>
      </c>
      <c r="BN96" s="214">
        <v>0</v>
      </c>
      <c r="BO96" s="214">
        <v>0</v>
      </c>
      <c r="BP96" s="215">
        <v>0</v>
      </c>
      <c r="BQ96" s="213" t="s">
        <v>446</v>
      </c>
      <c r="BR96" s="214">
        <v>2</v>
      </c>
      <c r="BS96" s="214">
        <v>1</v>
      </c>
      <c r="BT96" s="214">
        <v>1</v>
      </c>
      <c r="BU96" s="214">
        <v>0</v>
      </c>
      <c r="BV96" s="214">
        <v>0</v>
      </c>
      <c r="BW96" s="214">
        <v>0</v>
      </c>
      <c r="BX96" s="214">
        <v>1</v>
      </c>
      <c r="BY96" s="214">
        <v>0</v>
      </c>
      <c r="BZ96" s="215">
        <v>1</v>
      </c>
      <c r="CA96" s="213" t="s">
        <v>501</v>
      </c>
      <c r="CB96" s="214">
        <v>3</v>
      </c>
      <c r="CC96" s="214">
        <v>1</v>
      </c>
      <c r="CD96" s="214">
        <v>1</v>
      </c>
      <c r="CE96" s="214">
        <v>0</v>
      </c>
      <c r="CF96" s="214">
        <v>0</v>
      </c>
      <c r="CG96" s="214">
        <v>1</v>
      </c>
      <c r="CH96" s="214">
        <v>0</v>
      </c>
      <c r="CI96" s="214">
        <v>0</v>
      </c>
      <c r="CJ96" s="215">
        <v>2</v>
      </c>
      <c r="CK96" s="213" t="s">
        <v>496</v>
      </c>
      <c r="CL96" s="214">
        <v>2</v>
      </c>
      <c r="CM96" s="214">
        <v>0</v>
      </c>
      <c r="CN96" s="214">
        <v>2</v>
      </c>
      <c r="CO96" s="214">
        <v>1</v>
      </c>
      <c r="CP96" s="214">
        <v>1</v>
      </c>
      <c r="CQ96" s="214">
        <v>0</v>
      </c>
      <c r="CR96" s="214">
        <v>0</v>
      </c>
      <c r="CS96" s="214">
        <v>0</v>
      </c>
      <c r="CT96" s="215">
        <v>2</v>
      </c>
      <c r="CU96" s="213" t="s">
        <v>473</v>
      </c>
      <c r="CV96" s="214">
        <v>2</v>
      </c>
      <c r="CW96" s="214">
        <v>0</v>
      </c>
      <c r="CX96" s="214">
        <v>0</v>
      </c>
      <c r="CY96" s="214">
        <v>0</v>
      </c>
      <c r="CZ96" s="214">
        <v>0</v>
      </c>
      <c r="DA96" s="214">
        <v>2</v>
      </c>
      <c r="DB96" s="214">
        <v>1</v>
      </c>
      <c r="DC96" s="214">
        <v>0</v>
      </c>
      <c r="DD96" s="215">
        <v>0</v>
      </c>
      <c r="DE96" s="213" t="s">
        <v>444</v>
      </c>
      <c r="DF96" s="214">
        <v>3</v>
      </c>
      <c r="DG96" s="214">
        <v>0</v>
      </c>
      <c r="DH96" s="214">
        <v>2</v>
      </c>
      <c r="DI96" s="214">
        <v>1</v>
      </c>
      <c r="DJ96" s="214">
        <v>0</v>
      </c>
      <c r="DK96" s="214">
        <v>0</v>
      </c>
      <c r="DL96" s="214">
        <v>0</v>
      </c>
      <c r="DM96" s="214">
        <v>0</v>
      </c>
      <c r="DN96" s="215">
        <v>2</v>
      </c>
      <c r="DO96" s="213" t="s">
        <v>448</v>
      </c>
      <c r="DP96" s="214">
        <v>3</v>
      </c>
      <c r="DQ96" s="214">
        <v>0</v>
      </c>
      <c r="DR96" s="214">
        <v>0</v>
      </c>
      <c r="DS96" s="214">
        <v>0</v>
      </c>
      <c r="DT96" s="214">
        <v>0</v>
      </c>
      <c r="DU96" s="214">
        <v>1</v>
      </c>
      <c r="DV96" s="214">
        <v>0</v>
      </c>
      <c r="DW96" s="214">
        <v>0</v>
      </c>
      <c r="DX96" s="215">
        <v>0</v>
      </c>
      <c r="DY96" s="216">
        <f>0+2/3</f>
        <v>0.66666666666666663</v>
      </c>
      <c r="DZ96" s="217">
        <v>0</v>
      </c>
      <c r="EA96" s="217">
        <v>0</v>
      </c>
      <c r="EB96" s="218">
        <f>5+1/3</f>
        <v>5.333333333333333</v>
      </c>
      <c r="EC96" s="217">
        <v>0</v>
      </c>
      <c r="ED96" s="219">
        <v>1</v>
      </c>
      <c r="EE96" s="220">
        <v>0</v>
      </c>
      <c r="EF96" s="217">
        <v>0</v>
      </c>
      <c r="EG96" s="217">
        <v>0</v>
      </c>
      <c r="EH96" s="217">
        <v>0</v>
      </c>
      <c r="EI96" s="217">
        <v>0</v>
      </c>
      <c r="EJ96" s="217">
        <v>2</v>
      </c>
      <c r="EK96" s="217"/>
      <c r="EL96" s="217"/>
      <c r="EM96" s="217"/>
      <c r="EN96" s="217"/>
      <c r="EO96" s="217"/>
      <c r="EP96" s="217"/>
      <c r="EQ96" s="217"/>
      <c r="ER96" s="217"/>
      <c r="ES96" s="217"/>
      <c r="ET96" s="219">
        <f t="shared" si="16"/>
        <v>2</v>
      </c>
      <c r="EU96" s="217">
        <v>0</v>
      </c>
      <c r="EV96" s="217">
        <v>2</v>
      </c>
      <c r="EW96" s="217">
        <v>0</v>
      </c>
      <c r="EX96" s="217">
        <v>2</v>
      </c>
      <c r="EY96" s="217">
        <v>0</v>
      </c>
      <c r="EZ96" s="217">
        <v>0</v>
      </c>
      <c r="FA96" s="217"/>
      <c r="FB96" s="217"/>
      <c r="FC96" s="217"/>
      <c r="FD96" s="217"/>
      <c r="FE96" s="217"/>
      <c r="FF96" s="217"/>
      <c r="FG96" s="217"/>
      <c r="FH96" s="217"/>
      <c r="FI96" s="217"/>
      <c r="FJ96" s="217">
        <f t="shared" si="17"/>
        <v>4</v>
      </c>
      <c r="FK96" s="221">
        <f t="shared" si="18"/>
        <v>0</v>
      </c>
      <c r="FL96" s="221">
        <f t="shared" si="19"/>
        <v>0</v>
      </c>
      <c r="FM96" s="222" t="s">
        <v>472</v>
      </c>
    </row>
    <row r="97" spans="1:169" x14ac:dyDescent="0.25">
      <c r="A97" s="204">
        <v>40379</v>
      </c>
      <c r="B97" s="204" t="s">
        <v>133</v>
      </c>
      <c r="C97" s="204" t="s">
        <v>131</v>
      </c>
      <c r="D97" s="204" t="s">
        <v>476</v>
      </c>
      <c r="E97" s="205">
        <v>2538</v>
      </c>
      <c r="F97" s="206">
        <v>2</v>
      </c>
      <c r="G97" s="207" t="s">
        <v>438</v>
      </c>
      <c r="H97" s="208">
        <v>0</v>
      </c>
      <c r="I97" s="208">
        <v>0</v>
      </c>
      <c r="J97" s="209">
        <v>3</v>
      </c>
      <c r="K97" s="208">
        <v>2</v>
      </c>
      <c r="L97" s="208">
        <v>0</v>
      </c>
      <c r="M97" s="208">
        <v>0</v>
      </c>
      <c r="N97" s="208">
        <v>1</v>
      </c>
      <c r="O97" s="208">
        <v>1</v>
      </c>
      <c r="P97" s="208">
        <v>0</v>
      </c>
      <c r="Q97" s="208">
        <v>0</v>
      </c>
      <c r="R97" s="208">
        <v>11</v>
      </c>
      <c r="S97" s="208">
        <v>45</v>
      </c>
      <c r="T97" s="208">
        <v>28</v>
      </c>
      <c r="U97" s="208">
        <v>0</v>
      </c>
      <c r="V97" s="210">
        <v>0</v>
      </c>
      <c r="W97" s="211">
        <v>0</v>
      </c>
      <c r="X97" s="211">
        <v>1</v>
      </c>
      <c r="Y97" s="211">
        <v>2</v>
      </c>
      <c r="Z97" s="211">
        <v>0</v>
      </c>
      <c r="AA97" s="211">
        <v>1</v>
      </c>
      <c r="AB97" s="212">
        <f>5+2/3</f>
        <v>5.666666666666667</v>
      </c>
      <c r="AC97" s="211">
        <v>9</v>
      </c>
      <c r="AD97" s="211">
        <v>4</v>
      </c>
      <c r="AE97" s="211">
        <v>4</v>
      </c>
      <c r="AF97" s="211">
        <v>1</v>
      </c>
      <c r="AG97" s="211">
        <v>4</v>
      </c>
      <c r="AH97" s="211">
        <v>0</v>
      </c>
      <c r="AI97" s="211">
        <v>0</v>
      </c>
      <c r="AJ97" s="211">
        <v>25</v>
      </c>
      <c r="AK97" s="211">
        <v>92</v>
      </c>
      <c r="AL97" s="211">
        <v>58</v>
      </c>
      <c r="AM97" s="213" t="s">
        <v>442</v>
      </c>
      <c r="AN97" s="214">
        <v>4</v>
      </c>
      <c r="AO97" s="214">
        <v>0</v>
      </c>
      <c r="AP97" s="214">
        <v>1</v>
      </c>
      <c r="AQ97" s="214">
        <v>1</v>
      </c>
      <c r="AR97" s="214">
        <v>1</v>
      </c>
      <c r="AS97" s="214">
        <v>1</v>
      </c>
      <c r="AT97" s="214">
        <v>0</v>
      </c>
      <c r="AU97" s="214">
        <v>0</v>
      </c>
      <c r="AV97" s="215">
        <v>1</v>
      </c>
      <c r="AW97" s="213" t="s">
        <v>441</v>
      </c>
      <c r="AX97" s="214">
        <v>4</v>
      </c>
      <c r="AY97" s="214">
        <v>0</v>
      </c>
      <c r="AZ97" s="214">
        <v>2</v>
      </c>
      <c r="BA97" s="214">
        <v>0</v>
      </c>
      <c r="BB97" s="214">
        <v>0</v>
      </c>
      <c r="BC97" s="214">
        <v>1</v>
      </c>
      <c r="BD97" s="214">
        <v>0</v>
      </c>
      <c r="BE97" s="214">
        <v>0</v>
      </c>
      <c r="BF97" s="215">
        <v>2</v>
      </c>
      <c r="BG97" s="213" t="s">
        <v>501</v>
      </c>
      <c r="BH97" s="214">
        <v>4</v>
      </c>
      <c r="BI97" s="214">
        <v>0</v>
      </c>
      <c r="BJ97" s="214">
        <v>0</v>
      </c>
      <c r="BK97" s="214">
        <v>0</v>
      </c>
      <c r="BL97" s="214">
        <v>0</v>
      </c>
      <c r="BM97" s="214">
        <v>1</v>
      </c>
      <c r="BN97" s="214">
        <v>0</v>
      </c>
      <c r="BO97" s="214">
        <v>0</v>
      </c>
      <c r="BP97" s="215">
        <v>0</v>
      </c>
      <c r="BQ97" s="213" t="s">
        <v>446</v>
      </c>
      <c r="BR97" s="214">
        <v>4</v>
      </c>
      <c r="BS97" s="214">
        <v>0</v>
      </c>
      <c r="BT97" s="214">
        <v>1</v>
      </c>
      <c r="BU97" s="214">
        <v>0</v>
      </c>
      <c r="BV97" s="214">
        <v>0</v>
      </c>
      <c r="BW97" s="214">
        <v>1</v>
      </c>
      <c r="BX97" s="214">
        <v>0</v>
      </c>
      <c r="BY97" s="214">
        <v>0</v>
      </c>
      <c r="BZ97" s="215">
        <v>1</v>
      </c>
      <c r="CA97" s="213" t="s">
        <v>402</v>
      </c>
      <c r="CB97" s="214">
        <v>4</v>
      </c>
      <c r="CC97" s="214">
        <v>0</v>
      </c>
      <c r="CD97" s="214">
        <v>1</v>
      </c>
      <c r="CE97" s="214">
        <v>0</v>
      </c>
      <c r="CF97" s="214">
        <v>0</v>
      </c>
      <c r="CG97" s="214">
        <v>2</v>
      </c>
      <c r="CH97" s="214">
        <v>0</v>
      </c>
      <c r="CI97" s="214">
        <v>0</v>
      </c>
      <c r="CJ97" s="215">
        <v>1</v>
      </c>
      <c r="CK97" s="213" t="s">
        <v>496</v>
      </c>
      <c r="CL97" s="214">
        <v>4</v>
      </c>
      <c r="CM97" s="214">
        <v>2</v>
      </c>
      <c r="CN97" s="214">
        <v>1</v>
      </c>
      <c r="CO97" s="214">
        <v>1</v>
      </c>
      <c r="CP97" s="214">
        <v>0</v>
      </c>
      <c r="CQ97" s="214">
        <v>0</v>
      </c>
      <c r="CR97" s="214">
        <v>0</v>
      </c>
      <c r="CS97" s="214">
        <v>0</v>
      </c>
      <c r="CT97" s="215">
        <v>4</v>
      </c>
      <c r="CU97" s="213" t="s">
        <v>448</v>
      </c>
      <c r="CV97" s="214">
        <v>3</v>
      </c>
      <c r="CW97" s="214">
        <v>1</v>
      </c>
      <c r="CX97" s="214">
        <v>1</v>
      </c>
      <c r="CY97" s="214">
        <v>0</v>
      </c>
      <c r="CZ97" s="214">
        <v>1</v>
      </c>
      <c r="DA97" s="214">
        <v>2</v>
      </c>
      <c r="DB97" s="214">
        <v>0</v>
      </c>
      <c r="DC97" s="214">
        <v>0</v>
      </c>
      <c r="DD97" s="215">
        <v>1</v>
      </c>
      <c r="DE97" s="213" t="s">
        <v>365</v>
      </c>
      <c r="DF97" s="214">
        <v>4</v>
      </c>
      <c r="DG97" s="214">
        <v>0</v>
      </c>
      <c r="DH97" s="214">
        <v>1</v>
      </c>
      <c r="DI97" s="214">
        <v>0</v>
      </c>
      <c r="DJ97" s="214">
        <v>0</v>
      </c>
      <c r="DK97" s="214">
        <v>1</v>
      </c>
      <c r="DL97" s="214">
        <v>0</v>
      </c>
      <c r="DM97" s="214">
        <v>0</v>
      </c>
      <c r="DN97" s="215">
        <v>1</v>
      </c>
      <c r="DO97" s="213" t="s">
        <v>364</v>
      </c>
      <c r="DP97" s="214">
        <v>4</v>
      </c>
      <c r="DQ97" s="214">
        <v>0</v>
      </c>
      <c r="DR97" s="214">
        <v>1</v>
      </c>
      <c r="DS97" s="214">
        <v>1</v>
      </c>
      <c r="DT97" s="214">
        <v>0</v>
      </c>
      <c r="DU97" s="214">
        <v>0</v>
      </c>
      <c r="DV97" s="214">
        <v>0</v>
      </c>
      <c r="DW97" s="214">
        <v>0</v>
      </c>
      <c r="DX97" s="215">
        <v>1</v>
      </c>
      <c r="DY97" s="216">
        <v>2</v>
      </c>
      <c r="DZ97" s="217">
        <v>0</v>
      </c>
      <c r="EA97" s="217">
        <v>0</v>
      </c>
      <c r="EB97" s="218">
        <v>7</v>
      </c>
      <c r="EC97" s="217">
        <v>0</v>
      </c>
      <c r="ED97" s="219">
        <v>0</v>
      </c>
      <c r="EE97" s="220">
        <v>0</v>
      </c>
      <c r="EF97" s="217">
        <v>1</v>
      </c>
      <c r="EG97" s="217">
        <v>0</v>
      </c>
      <c r="EH97" s="217">
        <v>0</v>
      </c>
      <c r="EI97" s="217">
        <v>2</v>
      </c>
      <c r="EJ97" s="217">
        <v>0</v>
      </c>
      <c r="EK97" s="217">
        <v>0</v>
      </c>
      <c r="EL97" s="217">
        <v>0</v>
      </c>
      <c r="EM97" s="217">
        <v>0</v>
      </c>
      <c r="EN97" s="217"/>
      <c r="EO97" s="217"/>
      <c r="EP97" s="217"/>
      <c r="EQ97" s="217"/>
      <c r="ER97" s="217"/>
      <c r="ES97" s="217"/>
      <c r="ET97" s="219">
        <f t="shared" si="16"/>
        <v>3</v>
      </c>
      <c r="EU97" s="217">
        <v>0</v>
      </c>
      <c r="EV97" s="217">
        <v>0</v>
      </c>
      <c r="EW97" s="217">
        <v>0</v>
      </c>
      <c r="EX97" s="217">
        <v>0</v>
      </c>
      <c r="EY97" s="217">
        <v>0</v>
      </c>
      <c r="EZ97" s="217">
        <v>0</v>
      </c>
      <c r="FA97" s="217">
        <v>2</v>
      </c>
      <c r="FB97" s="217">
        <v>1</v>
      </c>
      <c r="FC97" s="217">
        <v>1</v>
      </c>
      <c r="FD97" s="217"/>
      <c r="FE97" s="217"/>
      <c r="FF97" s="217"/>
      <c r="FG97" s="217"/>
      <c r="FH97" s="217"/>
      <c r="FI97" s="217"/>
      <c r="FJ97" s="217">
        <f t="shared" si="17"/>
        <v>4</v>
      </c>
      <c r="FK97" s="221">
        <f t="shared" si="18"/>
        <v>0</v>
      </c>
      <c r="FL97" s="221">
        <f t="shared" si="19"/>
        <v>0</v>
      </c>
      <c r="FM97" s="222"/>
    </row>
    <row r="98" spans="1:169" x14ac:dyDescent="0.25">
      <c r="A98" s="204">
        <v>40381</v>
      </c>
      <c r="B98" s="204" t="s">
        <v>19</v>
      </c>
      <c r="C98" s="204" t="s">
        <v>131</v>
      </c>
      <c r="D98" s="204" t="s">
        <v>369</v>
      </c>
      <c r="E98" s="205">
        <v>4319</v>
      </c>
      <c r="F98" s="206">
        <v>3</v>
      </c>
      <c r="G98" s="207" t="s">
        <v>439</v>
      </c>
      <c r="H98" s="208">
        <v>0</v>
      </c>
      <c r="I98" s="208">
        <v>1</v>
      </c>
      <c r="J98" s="209">
        <v>3</v>
      </c>
      <c r="K98" s="208">
        <v>10</v>
      </c>
      <c r="L98" s="208">
        <v>7</v>
      </c>
      <c r="M98" s="208">
        <v>6</v>
      </c>
      <c r="N98" s="208">
        <v>1</v>
      </c>
      <c r="O98" s="208">
        <v>4</v>
      </c>
      <c r="P98" s="208">
        <v>1</v>
      </c>
      <c r="Q98" s="208">
        <v>1</v>
      </c>
      <c r="R98" s="208">
        <v>21</v>
      </c>
      <c r="S98" s="208">
        <v>77</v>
      </c>
      <c r="T98" s="208">
        <v>49</v>
      </c>
      <c r="U98" s="208">
        <v>1</v>
      </c>
      <c r="V98" s="210">
        <v>0</v>
      </c>
      <c r="W98" s="211">
        <v>0</v>
      </c>
      <c r="X98" s="211">
        <v>0</v>
      </c>
      <c r="Y98" s="211">
        <v>0</v>
      </c>
      <c r="Z98" s="211">
        <v>0</v>
      </c>
      <c r="AA98" s="211">
        <v>0</v>
      </c>
      <c r="AB98" s="212">
        <v>6</v>
      </c>
      <c r="AC98" s="211">
        <v>9</v>
      </c>
      <c r="AD98" s="211">
        <v>4</v>
      </c>
      <c r="AE98" s="211">
        <v>4</v>
      </c>
      <c r="AF98" s="211">
        <v>2</v>
      </c>
      <c r="AG98" s="211">
        <v>4</v>
      </c>
      <c r="AH98" s="211">
        <v>1</v>
      </c>
      <c r="AI98" s="211">
        <v>1</v>
      </c>
      <c r="AJ98" s="211">
        <v>30</v>
      </c>
      <c r="AK98" s="211">
        <v>114</v>
      </c>
      <c r="AL98" s="211">
        <v>71</v>
      </c>
      <c r="AM98" s="213" t="s">
        <v>442</v>
      </c>
      <c r="AN98" s="214">
        <v>5</v>
      </c>
      <c r="AO98" s="214">
        <v>0</v>
      </c>
      <c r="AP98" s="214">
        <v>0</v>
      </c>
      <c r="AQ98" s="214">
        <v>0</v>
      </c>
      <c r="AR98" s="214">
        <v>0</v>
      </c>
      <c r="AS98" s="214">
        <v>2</v>
      </c>
      <c r="AT98" s="214">
        <v>0</v>
      </c>
      <c r="AU98" s="214">
        <v>0</v>
      </c>
      <c r="AV98" s="215">
        <v>0</v>
      </c>
      <c r="AW98" s="213" t="s">
        <v>441</v>
      </c>
      <c r="AX98" s="214">
        <v>5</v>
      </c>
      <c r="AY98" s="214">
        <v>1</v>
      </c>
      <c r="AZ98" s="214">
        <v>2</v>
      </c>
      <c r="BA98" s="214">
        <v>1</v>
      </c>
      <c r="BB98" s="214">
        <v>0</v>
      </c>
      <c r="BC98" s="214">
        <v>0</v>
      </c>
      <c r="BD98" s="214">
        <v>0</v>
      </c>
      <c r="BE98" s="214">
        <v>0</v>
      </c>
      <c r="BF98" s="215">
        <v>2</v>
      </c>
      <c r="BG98" s="213" t="s">
        <v>446</v>
      </c>
      <c r="BH98" s="214">
        <v>5</v>
      </c>
      <c r="BI98" s="214">
        <v>0</v>
      </c>
      <c r="BJ98" s="214">
        <v>1</v>
      </c>
      <c r="BK98" s="214">
        <v>0</v>
      </c>
      <c r="BL98" s="214">
        <v>0</v>
      </c>
      <c r="BM98" s="214">
        <v>2</v>
      </c>
      <c r="BN98" s="214">
        <v>0</v>
      </c>
      <c r="BO98" s="214">
        <v>0</v>
      </c>
      <c r="BP98" s="215">
        <v>1</v>
      </c>
      <c r="BQ98" s="213" t="s">
        <v>496</v>
      </c>
      <c r="BR98" s="214">
        <v>5</v>
      </c>
      <c r="BS98" s="214">
        <v>0</v>
      </c>
      <c r="BT98" s="214">
        <v>1</v>
      </c>
      <c r="BU98" s="214">
        <v>0</v>
      </c>
      <c r="BV98" s="214">
        <v>0</v>
      </c>
      <c r="BW98" s="214">
        <v>1</v>
      </c>
      <c r="BX98" s="214">
        <v>0</v>
      </c>
      <c r="BY98" s="214">
        <v>0</v>
      </c>
      <c r="BZ98" s="215">
        <v>3</v>
      </c>
      <c r="CA98" s="213" t="s">
        <v>501</v>
      </c>
      <c r="CB98" s="214">
        <v>4</v>
      </c>
      <c r="CC98" s="214">
        <v>2</v>
      </c>
      <c r="CD98" s="214">
        <v>2</v>
      </c>
      <c r="CE98" s="214">
        <v>1</v>
      </c>
      <c r="CF98" s="214">
        <v>1</v>
      </c>
      <c r="CG98" s="214">
        <v>0</v>
      </c>
      <c r="CH98" s="214">
        <v>0</v>
      </c>
      <c r="CI98" s="214">
        <v>0</v>
      </c>
      <c r="CJ98" s="215">
        <v>5</v>
      </c>
      <c r="CK98" s="213" t="s">
        <v>402</v>
      </c>
      <c r="CL98" s="214">
        <v>4</v>
      </c>
      <c r="CM98" s="214">
        <v>1</v>
      </c>
      <c r="CN98" s="214">
        <v>1</v>
      </c>
      <c r="CO98" s="214">
        <v>1</v>
      </c>
      <c r="CP98" s="214">
        <v>1</v>
      </c>
      <c r="CQ98" s="214">
        <v>0</v>
      </c>
      <c r="CR98" s="214">
        <v>0</v>
      </c>
      <c r="CS98" s="214">
        <v>0</v>
      </c>
      <c r="CT98" s="215">
        <v>1</v>
      </c>
      <c r="CU98" s="213" t="s">
        <v>448</v>
      </c>
      <c r="CV98" s="214">
        <v>5</v>
      </c>
      <c r="CW98" s="214">
        <v>1</v>
      </c>
      <c r="CX98" s="214">
        <v>1</v>
      </c>
      <c r="CY98" s="214">
        <v>1</v>
      </c>
      <c r="CZ98" s="214">
        <v>0</v>
      </c>
      <c r="DA98" s="214">
        <v>3</v>
      </c>
      <c r="DB98" s="214">
        <v>0</v>
      </c>
      <c r="DC98" s="214">
        <v>0</v>
      </c>
      <c r="DD98" s="215">
        <v>2</v>
      </c>
      <c r="DE98" s="213" t="s">
        <v>365</v>
      </c>
      <c r="DF98" s="214">
        <v>5</v>
      </c>
      <c r="DG98" s="214">
        <v>0</v>
      </c>
      <c r="DH98" s="214">
        <v>2</v>
      </c>
      <c r="DI98" s="214">
        <v>2</v>
      </c>
      <c r="DJ98" s="214">
        <v>0</v>
      </c>
      <c r="DK98" s="214">
        <v>1</v>
      </c>
      <c r="DL98" s="214">
        <v>0</v>
      </c>
      <c r="DM98" s="214">
        <v>0</v>
      </c>
      <c r="DN98" s="215">
        <v>2</v>
      </c>
      <c r="DO98" s="213" t="s">
        <v>364</v>
      </c>
      <c r="DP98" s="214">
        <v>4</v>
      </c>
      <c r="DQ98" s="214">
        <v>1</v>
      </c>
      <c r="DR98" s="214">
        <v>2</v>
      </c>
      <c r="DS98" s="214">
        <v>0</v>
      </c>
      <c r="DT98" s="214">
        <v>1</v>
      </c>
      <c r="DU98" s="214">
        <v>0</v>
      </c>
      <c r="DV98" s="214">
        <v>0</v>
      </c>
      <c r="DW98" s="214">
        <v>0</v>
      </c>
      <c r="DX98" s="215">
        <v>3</v>
      </c>
      <c r="DY98" s="216">
        <v>8</v>
      </c>
      <c r="DZ98" s="217">
        <v>0</v>
      </c>
      <c r="EA98" s="217">
        <v>0</v>
      </c>
      <c r="EB98" s="218">
        <v>1</v>
      </c>
      <c r="EC98" s="217">
        <v>0</v>
      </c>
      <c r="ED98" s="219">
        <v>0</v>
      </c>
      <c r="EE98" s="220">
        <v>0</v>
      </c>
      <c r="EF98" s="217">
        <v>0</v>
      </c>
      <c r="EG98" s="217">
        <v>0</v>
      </c>
      <c r="EH98" s="217">
        <v>0</v>
      </c>
      <c r="EI98" s="217">
        <v>0</v>
      </c>
      <c r="EJ98" s="217">
        <v>1</v>
      </c>
      <c r="EK98" s="217">
        <v>1</v>
      </c>
      <c r="EL98" s="217">
        <v>0</v>
      </c>
      <c r="EM98" s="217">
        <v>4</v>
      </c>
      <c r="EN98" s="217"/>
      <c r="EO98" s="217"/>
      <c r="EP98" s="217"/>
      <c r="EQ98" s="217"/>
      <c r="ER98" s="217"/>
      <c r="ES98" s="217"/>
      <c r="ET98" s="219">
        <f t="shared" si="16"/>
        <v>6</v>
      </c>
      <c r="EU98" s="217">
        <v>1</v>
      </c>
      <c r="EV98" s="217">
        <v>1</v>
      </c>
      <c r="EW98" s="217">
        <v>1</v>
      </c>
      <c r="EX98" s="217">
        <v>4</v>
      </c>
      <c r="EY98" s="217">
        <v>0</v>
      </c>
      <c r="EZ98" s="217">
        <v>0</v>
      </c>
      <c r="FA98" s="217">
        <v>0</v>
      </c>
      <c r="FB98" s="217">
        <v>1</v>
      </c>
      <c r="FC98" s="217">
        <v>3</v>
      </c>
      <c r="FD98" s="217"/>
      <c r="FE98" s="217"/>
      <c r="FF98" s="217"/>
      <c r="FG98" s="217"/>
      <c r="FH98" s="217"/>
      <c r="FI98" s="217"/>
      <c r="FJ98" s="217">
        <f t="shared" si="17"/>
        <v>11</v>
      </c>
      <c r="FK98" s="221">
        <f t="shared" ref="FK98:FK105" si="20">((SUM(L98,AD98))-(FJ98))</f>
        <v>0</v>
      </c>
      <c r="FL98" s="221">
        <f t="shared" ref="FL98:FL105" si="21">((SUM(AO98,AY98,BI98,BS98,CC98,CM98,CW98,DG98,DQ98))-(ET98))</f>
        <v>0</v>
      </c>
      <c r="FM98" s="222"/>
    </row>
    <row r="99" spans="1:169" x14ac:dyDescent="0.25">
      <c r="A99" s="204">
        <v>40382</v>
      </c>
      <c r="B99" s="204" t="s">
        <v>19</v>
      </c>
      <c r="C99" s="204" t="s">
        <v>131</v>
      </c>
      <c r="D99" s="204" t="s">
        <v>369</v>
      </c>
      <c r="E99" s="205">
        <v>6119</v>
      </c>
      <c r="F99" s="206">
        <v>4</v>
      </c>
      <c r="G99" s="207" t="s">
        <v>368</v>
      </c>
      <c r="H99" s="208">
        <v>0</v>
      </c>
      <c r="I99" s="208">
        <v>1</v>
      </c>
      <c r="J99" s="209">
        <v>6</v>
      </c>
      <c r="K99" s="208">
        <v>7</v>
      </c>
      <c r="L99" s="208">
        <v>3</v>
      </c>
      <c r="M99" s="208">
        <v>3</v>
      </c>
      <c r="N99" s="208">
        <v>3</v>
      </c>
      <c r="O99" s="208">
        <v>8</v>
      </c>
      <c r="P99" s="208">
        <v>1</v>
      </c>
      <c r="Q99" s="208">
        <v>1</v>
      </c>
      <c r="R99" s="208">
        <v>28</v>
      </c>
      <c r="S99" s="208">
        <v>102</v>
      </c>
      <c r="T99" s="208">
        <v>68</v>
      </c>
      <c r="U99" s="208">
        <v>0</v>
      </c>
      <c r="V99" s="210">
        <v>0</v>
      </c>
      <c r="W99" s="211">
        <v>0</v>
      </c>
      <c r="X99" s="211">
        <v>0</v>
      </c>
      <c r="Y99" s="211">
        <v>0</v>
      </c>
      <c r="Z99" s="211">
        <v>0</v>
      </c>
      <c r="AA99" s="211">
        <v>0</v>
      </c>
      <c r="AB99" s="212">
        <v>3</v>
      </c>
      <c r="AC99" s="211">
        <v>5</v>
      </c>
      <c r="AD99" s="211">
        <v>2</v>
      </c>
      <c r="AE99" s="211">
        <v>2</v>
      </c>
      <c r="AF99" s="211">
        <v>0</v>
      </c>
      <c r="AG99" s="211">
        <v>3</v>
      </c>
      <c r="AH99" s="211">
        <v>1</v>
      </c>
      <c r="AI99" s="211">
        <v>0</v>
      </c>
      <c r="AJ99" s="211">
        <v>14</v>
      </c>
      <c r="AK99" s="211">
        <v>44</v>
      </c>
      <c r="AL99" s="211">
        <v>33</v>
      </c>
      <c r="AM99" s="213" t="s">
        <v>441</v>
      </c>
      <c r="AN99" s="214">
        <v>4</v>
      </c>
      <c r="AO99" s="214">
        <v>0</v>
      </c>
      <c r="AP99" s="214">
        <v>0</v>
      </c>
      <c r="AQ99" s="214">
        <v>0</v>
      </c>
      <c r="AR99" s="214">
        <v>0</v>
      </c>
      <c r="AS99" s="214">
        <v>1</v>
      </c>
      <c r="AT99" s="214">
        <v>0</v>
      </c>
      <c r="AU99" s="214">
        <v>0</v>
      </c>
      <c r="AV99" s="215">
        <v>0</v>
      </c>
      <c r="AW99" s="213" t="s">
        <v>402</v>
      </c>
      <c r="AX99" s="214">
        <v>4</v>
      </c>
      <c r="AY99" s="214">
        <v>0</v>
      </c>
      <c r="AZ99" s="214">
        <v>1</v>
      </c>
      <c r="BA99" s="214">
        <v>0</v>
      </c>
      <c r="BB99" s="214">
        <v>0</v>
      </c>
      <c r="BC99" s="214">
        <v>0</v>
      </c>
      <c r="BD99" s="214">
        <v>0</v>
      </c>
      <c r="BE99" s="214">
        <v>0</v>
      </c>
      <c r="BF99" s="215">
        <v>2</v>
      </c>
      <c r="BG99" s="213" t="s">
        <v>501</v>
      </c>
      <c r="BH99" s="214">
        <v>4</v>
      </c>
      <c r="BI99" s="214">
        <v>0</v>
      </c>
      <c r="BJ99" s="214">
        <v>1</v>
      </c>
      <c r="BK99" s="214">
        <v>0</v>
      </c>
      <c r="BL99" s="214">
        <v>0</v>
      </c>
      <c r="BM99" s="214">
        <v>1</v>
      </c>
      <c r="BN99" s="214">
        <v>0</v>
      </c>
      <c r="BO99" s="214">
        <v>0</v>
      </c>
      <c r="BP99" s="215">
        <v>2</v>
      </c>
      <c r="BQ99" s="213" t="s">
        <v>496</v>
      </c>
      <c r="BR99" s="214">
        <v>4</v>
      </c>
      <c r="BS99" s="214">
        <v>0</v>
      </c>
      <c r="BT99" s="214">
        <v>1</v>
      </c>
      <c r="BU99" s="214">
        <v>0</v>
      </c>
      <c r="BV99" s="214">
        <v>0</v>
      </c>
      <c r="BW99" s="214">
        <v>1</v>
      </c>
      <c r="BX99" s="214">
        <v>0</v>
      </c>
      <c r="BY99" s="214">
        <v>0</v>
      </c>
      <c r="BZ99" s="215">
        <v>2</v>
      </c>
      <c r="CA99" s="213" t="s">
        <v>444</v>
      </c>
      <c r="CB99" s="214">
        <v>4</v>
      </c>
      <c r="CC99" s="214">
        <v>0</v>
      </c>
      <c r="CD99" s="214">
        <v>0</v>
      </c>
      <c r="CE99" s="214">
        <v>0</v>
      </c>
      <c r="CF99" s="214">
        <v>0</v>
      </c>
      <c r="CG99" s="214">
        <v>1</v>
      </c>
      <c r="CH99" s="214">
        <v>0</v>
      </c>
      <c r="CI99" s="214">
        <v>0</v>
      </c>
      <c r="CJ99" s="215">
        <v>0</v>
      </c>
      <c r="CK99" s="213" t="s">
        <v>448</v>
      </c>
      <c r="CL99" s="214">
        <v>3</v>
      </c>
      <c r="CM99" s="214">
        <v>0</v>
      </c>
      <c r="CN99" s="214">
        <v>0</v>
      </c>
      <c r="CO99" s="214">
        <v>0</v>
      </c>
      <c r="CP99" s="214">
        <v>0</v>
      </c>
      <c r="CQ99" s="214">
        <v>0</v>
      </c>
      <c r="CR99" s="214">
        <v>0</v>
      </c>
      <c r="CS99" s="214">
        <v>0</v>
      </c>
      <c r="CT99" s="215">
        <v>0</v>
      </c>
      <c r="CU99" s="213" t="s">
        <v>365</v>
      </c>
      <c r="CV99" s="214">
        <v>2</v>
      </c>
      <c r="CW99" s="214">
        <v>0</v>
      </c>
      <c r="CX99" s="214">
        <v>0</v>
      </c>
      <c r="CY99" s="214">
        <v>0</v>
      </c>
      <c r="CZ99" s="214">
        <v>1</v>
      </c>
      <c r="DA99" s="214">
        <v>0</v>
      </c>
      <c r="DB99" s="214">
        <v>0</v>
      </c>
      <c r="DC99" s="214">
        <v>0</v>
      </c>
      <c r="DD99" s="215">
        <v>0</v>
      </c>
      <c r="DE99" s="213" t="s">
        <v>449</v>
      </c>
      <c r="DF99" s="214">
        <v>3</v>
      </c>
      <c r="DG99" s="214">
        <v>0</v>
      </c>
      <c r="DH99" s="214">
        <v>1</v>
      </c>
      <c r="DI99" s="214">
        <v>0</v>
      </c>
      <c r="DJ99" s="214">
        <v>0</v>
      </c>
      <c r="DK99" s="214">
        <v>0</v>
      </c>
      <c r="DL99" s="214">
        <v>0</v>
      </c>
      <c r="DM99" s="214">
        <v>0</v>
      </c>
      <c r="DN99" s="215">
        <v>1</v>
      </c>
      <c r="DO99" s="213" t="s">
        <v>442</v>
      </c>
      <c r="DP99" s="214">
        <v>3</v>
      </c>
      <c r="DQ99" s="214">
        <v>0</v>
      </c>
      <c r="DR99" s="214">
        <v>0</v>
      </c>
      <c r="DS99" s="214">
        <v>0</v>
      </c>
      <c r="DT99" s="214">
        <v>0</v>
      </c>
      <c r="DU99" s="214">
        <v>1</v>
      </c>
      <c r="DV99" s="214">
        <v>0</v>
      </c>
      <c r="DW99" s="214">
        <v>0</v>
      </c>
      <c r="DX99" s="215">
        <v>0</v>
      </c>
      <c r="DY99" s="216">
        <v>9</v>
      </c>
      <c r="DZ99" s="217">
        <v>0</v>
      </c>
      <c r="EA99" s="217">
        <v>0</v>
      </c>
      <c r="EB99" s="218">
        <v>0</v>
      </c>
      <c r="EC99" s="217">
        <v>0</v>
      </c>
      <c r="ED99" s="219">
        <v>0</v>
      </c>
      <c r="EE99" s="220">
        <v>0</v>
      </c>
      <c r="EF99" s="217">
        <v>0</v>
      </c>
      <c r="EG99" s="217">
        <v>0</v>
      </c>
      <c r="EH99" s="217">
        <v>0</v>
      </c>
      <c r="EI99" s="217">
        <v>0</v>
      </c>
      <c r="EJ99" s="217">
        <v>0</v>
      </c>
      <c r="EK99" s="217">
        <v>0</v>
      </c>
      <c r="EL99" s="217">
        <v>0</v>
      </c>
      <c r="EM99" s="217">
        <v>0</v>
      </c>
      <c r="EN99" s="217"/>
      <c r="EO99" s="217"/>
      <c r="EP99" s="217"/>
      <c r="EQ99" s="217"/>
      <c r="ER99" s="217"/>
      <c r="ES99" s="217"/>
      <c r="ET99" s="219">
        <f t="shared" si="16"/>
        <v>0</v>
      </c>
      <c r="EU99" s="217">
        <v>0</v>
      </c>
      <c r="EV99" s="217">
        <v>0</v>
      </c>
      <c r="EW99" s="217">
        <v>0</v>
      </c>
      <c r="EX99" s="217">
        <v>0</v>
      </c>
      <c r="EY99" s="217">
        <v>1</v>
      </c>
      <c r="EZ99" s="217">
        <v>2</v>
      </c>
      <c r="FA99" s="217">
        <v>1</v>
      </c>
      <c r="FB99" s="217">
        <v>1</v>
      </c>
      <c r="FC99" s="217">
        <v>0</v>
      </c>
      <c r="FD99" s="217"/>
      <c r="FE99" s="217"/>
      <c r="FF99" s="217"/>
      <c r="FG99" s="217"/>
      <c r="FH99" s="217"/>
      <c r="FI99" s="217"/>
      <c r="FJ99" s="217">
        <f t="shared" si="17"/>
        <v>5</v>
      </c>
      <c r="FK99" s="221">
        <f t="shared" si="20"/>
        <v>0</v>
      </c>
      <c r="FL99" s="221">
        <f t="shared" si="21"/>
        <v>0</v>
      </c>
      <c r="FM99" s="222"/>
    </row>
    <row r="100" spans="1:169" x14ac:dyDescent="0.25">
      <c r="A100" s="204">
        <v>40383</v>
      </c>
      <c r="B100" s="204" t="s">
        <v>19</v>
      </c>
      <c r="C100" s="204" t="s">
        <v>129</v>
      </c>
      <c r="D100" s="204" t="s">
        <v>369</v>
      </c>
      <c r="E100" s="205">
        <v>6513</v>
      </c>
      <c r="F100" s="206">
        <v>5</v>
      </c>
      <c r="G100" s="207" t="s">
        <v>424</v>
      </c>
      <c r="H100" s="208">
        <v>0</v>
      </c>
      <c r="I100" s="208">
        <v>0</v>
      </c>
      <c r="J100" s="209">
        <v>6</v>
      </c>
      <c r="K100" s="208">
        <v>8</v>
      </c>
      <c r="L100" s="208">
        <v>5</v>
      </c>
      <c r="M100" s="208">
        <v>5</v>
      </c>
      <c r="N100" s="208">
        <v>1</v>
      </c>
      <c r="O100" s="208">
        <v>4</v>
      </c>
      <c r="P100" s="208">
        <v>0</v>
      </c>
      <c r="Q100" s="208">
        <v>0</v>
      </c>
      <c r="R100" s="208">
        <v>25</v>
      </c>
      <c r="S100" s="208">
        <v>82</v>
      </c>
      <c r="T100" s="208">
        <v>56</v>
      </c>
      <c r="U100" s="208">
        <v>1</v>
      </c>
      <c r="V100" s="210">
        <v>1</v>
      </c>
      <c r="W100" s="211">
        <v>1</v>
      </c>
      <c r="X100" s="211">
        <v>0</v>
      </c>
      <c r="Y100" s="211">
        <v>0</v>
      </c>
      <c r="Z100" s="211">
        <v>0</v>
      </c>
      <c r="AA100" s="211">
        <v>1</v>
      </c>
      <c r="AB100" s="212">
        <v>3</v>
      </c>
      <c r="AC100" s="211">
        <v>3</v>
      </c>
      <c r="AD100" s="211">
        <v>0</v>
      </c>
      <c r="AE100" s="211">
        <v>0</v>
      </c>
      <c r="AF100" s="211">
        <v>0</v>
      </c>
      <c r="AG100" s="211">
        <v>3</v>
      </c>
      <c r="AH100" s="211">
        <v>0</v>
      </c>
      <c r="AI100" s="211">
        <v>0</v>
      </c>
      <c r="AJ100" s="211">
        <v>11</v>
      </c>
      <c r="AK100" s="211">
        <v>45</v>
      </c>
      <c r="AL100" s="211">
        <v>33</v>
      </c>
      <c r="AM100" s="213" t="s">
        <v>441</v>
      </c>
      <c r="AN100" s="214">
        <v>5</v>
      </c>
      <c r="AO100" s="214">
        <v>1</v>
      </c>
      <c r="AP100" s="214">
        <v>2</v>
      </c>
      <c r="AQ100" s="214">
        <v>0</v>
      </c>
      <c r="AR100" s="214">
        <v>1</v>
      </c>
      <c r="AS100" s="214">
        <v>0</v>
      </c>
      <c r="AT100" s="214">
        <v>0</v>
      </c>
      <c r="AU100" s="214">
        <v>0</v>
      </c>
      <c r="AV100" s="215">
        <v>2</v>
      </c>
      <c r="AW100" s="213" t="s">
        <v>364</v>
      </c>
      <c r="AX100" s="214">
        <v>2</v>
      </c>
      <c r="AY100" s="214">
        <v>2</v>
      </c>
      <c r="AZ100" s="214">
        <v>1</v>
      </c>
      <c r="BA100" s="214">
        <v>0</v>
      </c>
      <c r="BB100" s="214">
        <v>2</v>
      </c>
      <c r="BC100" s="214">
        <v>0</v>
      </c>
      <c r="BD100" s="214">
        <v>0</v>
      </c>
      <c r="BE100" s="214">
        <v>0</v>
      </c>
      <c r="BF100" s="215">
        <v>1</v>
      </c>
      <c r="BG100" s="213" t="s">
        <v>501</v>
      </c>
      <c r="BH100" s="214">
        <v>4</v>
      </c>
      <c r="BI100" s="214">
        <v>2</v>
      </c>
      <c r="BJ100" s="214">
        <v>3</v>
      </c>
      <c r="BK100" s="214">
        <v>2</v>
      </c>
      <c r="BL100" s="214">
        <v>0</v>
      </c>
      <c r="BM100" s="214">
        <v>0</v>
      </c>
      <c r="BN100" s="214">
        <v>0</v>
      </c>
      <c r="BO100" s="214">
        <v>0</v>
      </c>
      <c r="BP100" s="215">
        <v>6</v>
      </c>
      <c r="BQ100" s="213" t="s">
        <v>496</v>
      </c>
      <c r="BR100" s="214">
        <v>3</v>
      </c>
      <c r="BS100" s="214">
        <v>0</v>
      </c>
      <c r="BT100" s="214">
        <v>1</v>
      </c>
      <c r="BU100" s="214">
        <v>1</v>
      </c>
      <c r="BV100" s="214">
        <v>0</v>
      </c>
      <c r="BW100" s="214">
        <v>1</v>
      </c>
      <c r="BX100" s="214">
        <v>0</v>
      </c>
      <c r="BY100" s="214">
        <v>1</v>
      </c>
      <c r="BZ100" s="215">
        <v>1</v>
      </c>
      <c r="CA100" s="213" t="s">
        <v>402</v>
      </c>
      <c r="CB100" s="214">
        <v>4</v>
      </c>
      <c r="CC100" s="214">
        <v>0</v>
      </c>
      <c r="CD100" s="214">
        <v>1</v>
      </c>
      <c r="CE100" s="214">
        <v>0</v>
      </c>
      <c r="CF100" s="214">
        <v>0</v>
      </c>
      <c r="CG100" s="214">
        <v>1</v>
      </c>
      <c r="CH100" s="214">
        <v>0</v>
      </c>
      <c r="CI100" s="214">
        <v>0</v>
      </c>
      <c r="CJ100" s="215">
        <v>2</v>
      </c>
      <c r="CK100" s="213" t="s">
        <v>448</v>
      </c>
      <c r="CL100" s="214">
        <v>3</v>
      </c>
      <c r="CM100" s="214">
        <v>0</v>
      </c>
      <c r="CN100" s="214">
        <v>0</v>
      </c>
      <c r="CO100" s="214">
        <v>0</v>
      </c>
      <c r="CP100" s="214">
        <v>1</v>
      </c>
      <c r="CQ100" s="214">
        <v>0</v>
      </c>
      <c r="CR100" s="214">
        <v>0</v>
      </c>
      <c r="CS100" s="214">
        <v>0</v>
      </c>
      <c r="CT100" s="215">
        <v>0</v>
      </c>
      <c r="CU100" s="213" t="s">
        <v>365</v>
      </c>
      <c r="CV100" s="214">
        <v>4</v>
      </c>
      <c r="CW100" s="214">
        <v>1</v>
      </c>
      <c r="CX100" s="214">
        <v>1</v>
      </c>
      <c r="CY100" s="214">
        <v>0</v>
      </c>
      <c r="CZ100" s="214">
        <v>0</v>
      </c>
      <c r="DA100" s="214">
        <v>1</v>
      </c>
      <c r="DB100" s="214">
        <v>0</v>
      </c>
      <c r="DC100" s="214">
        <v>0</v>
      </c>
      <c r="DD100" s="215">
        <v>1</v>
      </c>
      <c r="DE100" s="213" t="s">
        <v>449</v>
      </c>
      <c r="DF100" s="214">
        <v>3</v>
      </c>
      <c r="DG100" s="214">
        <v>0</v>
      </c>
      <c r="DH100" s="214">
        <v>0</v>
      </c>
      <c r="DI100" s="214">
        <v>0</v>
      </c>
      <c r="DJ100" s="214">
        <v>0</v>
      </c>
      <c r="DK100" s="214">
        <v>1</v>
      </c>
      <c r="DL100" s="214">
        <v>0</v>
      </c>
      <c r="DM100" s="214">
        <v>0</v>
      </c>
      <c r="DN100" s="215">
        <v>0</v>
      </c>
      <c r="DO100" s="213" t="s">
        <v>442</v>
      </c>
      <c r="DP100" s="214">
        <v>4</v>
      </c>
      <c r="DQ100" s="214">
        <v>0</v>
      </c>
      <c r="DR100" s="214">
        <v>1</v>
      </c>
      <c r="DS100" s="214">
        <v>0</v>
      </c>
      <c r="DT100" s="214">
        <v>0</v>
      </c>
      <c r="DU100" s="214">
        <v>1</v>
      </c>
      <c r="DV100" s="214">
        <v>0</v>
      </c>
      <c r="DW100" s="214">
        <v>0</v>
      </c>
      <c r="DX100" s="215">
        <v>1</v>
      </c>
      <c r="DY100" s="216">
        <v>1</v>
      </c>
      <c r="DZ100" s="217">
        <v>0</v>
      </c>
      <c r="EA100" s="217">
        <v>0</v>
      </c>
      <c r="EB100" s="218">
        <f>7+1/3</f>
        <v>7.333333333333333</v>
      </c>
      <c r="EC100" s="217">
        <v>0</v>
      </c>
      <c r="ED100" s="219">
        <v>0</v>
      </c>
      <c r="EE100" s="220">
        <v>3</v>
      </c>
      <c r="EF100" s="217">
        <v>0</v>
      </c>
      <c r="EG100" s="217">
        <v>0</v>
      </c>
      <c r="EH100" s="217">
        <v>0</v>
      </c>
      <c r="EI100" s="217">
        <v>0</v>
      </c>
      <c r="EJ100" s="217">
        <v>2</v>
      </c>
      <c r="EK100" s="217">
        <v>0</v>
      </c>
      <c r="EL100" s="217">
        <v>0</v>
      </c>
      <c r="EM100" s="217">
        <v>1</v>
      </c>
      <c r="EN100" s="217"/>
      <c r="EO100" s="217"/>
      <c r="EP100" s="217"/>
      <c r="EQ100" s="217"/>
      <c r="ER100" s="217"/>
      <c r="ES100" s="217"/>
      <c r="ET100" s="219">
        <f t="shared" ref="ET100:ET106" si="22">SUM(EE100:ES100)</f>
        <v>6</v>
      </c>
      <c r="EU100" s="217">
        <v>0</v>
      </c>
      <c r="EV100" s="217">
        <v>2</v>
      </c>
      <c r="EW100" s="217">
        <v>0</v>
      </c>
      <c r="EX100" s="217">
        <v>0</v>
      </c>
      <c r="EY100" s="217">
        <v>2</v>
      </c>
      <c r="EZ100" s="217">
        <v>0</v>
      </c>
      <c r="FA100" s="217">
        <v>1</v>
      </c>
      <c r="FB100" s="217">
        <v>0</v>
      </c>
      <c r="FC100" s="217">
        <v>0</v>
      </c>
      <c r="FD100" s="217"/>
      <c r="FE100" s="217"/>
      <c r="FF100" s="217"/>
      <c r="FG100" s="217"/>
      <c r="FH100" s="217"/>
      <c r="FI100" s="217"/>
      <c r="FJ100" s="217">
        <f t="shared" ref="FJ100:FJ106" si="23">SUM(EU100:FI100)</f>
        <v>5</v>
      </c>
      <c r="FK100" s="221">
        <f t="shared" si="20"/>
        <v>0</v>
      </c>
      <c r="FL100" s="221">
        <f t="shared" si="21"/>
        <v>0</v>
      </c>
      <c r="FM100" s="222"/>
    </row>
    <row r="101" spans="1:169" x14ac:dyDescent="0.25">
      <c r="A101" s="204">
        <v>40384</v>
      </c>
      <c r="B101" s="204" t="s">
        <v>19</v>
      </c>
      <c r="C101" s="204" t="s">
        <v>131</v>
      </c>
      <c r="D101" s="204" t="s">
        <v>369</v>
      </c>
      <c r="E101" s="205">
        <v>2425</v>
      </c>
      <c r="F101" s="206">
        <v>1</v>
      </c>
      <c r="G101" s="207" t="s">
        <v>470</v>
      </c>
      <c r="H101" s="208">
        <v>0</v>
      </c>
      <c r="I101" s="208">
        <v>1</v>
      </c>
      <c r="J101" s="209">
        <v>6</v>
      </c>
      <c r="K101" s="208">
        <v>7</v>
      </c>
      <c r="L101" s="208">
        <v>3</v>
      </c>
      <c r="M101" s="208">
        <v>1</v>
      </c>
      <c r="N101" s="208">
        <v>2</v>
      </c>
      <c r="O101" s="208">
        <v>8</v>
      </c>
      <c r="P101" s="208">
        <v>0</v>
      </c>
      <c r="Q101" s="208">
        <v>1</v>
      </c>
      <c r="R101" s="208">
        <v>26</v>
      </c>
      <c r="S101" s="208">
        <v>100</v>
      </c>
      <c r="T101" s="208">
        <v>61</v>
      </c>
      <c r="U101" s="208">
        <v>0</v>
      </c>
      <c r="V101" s="210">
        <v>0</v>
      </c>
      <c r="W101" s="211">
        <v>0</v>
      </c>
      <c r="X101" s="211">
        <v>0</v>
      </c>
      <c r="Y101" s="211">
        <v>0</v>
      </c>
      <c r="Z101" s="211">
        <v>0</v>
      </c>
      <c r="AA101" s="211">
        <v>0</v>
      </c>
      <c r="AB101" s="212">
        <v>3</v>
      </c>
      <c r="AC101" s="211">
        <v>4</v>
      </c>
      <c r="AD101" s="211">
        <v>2</v>
      </c>
      <c r="AE101" s="211">
        <v>2</v>
      </c>
      <c r="AF101" s="211">
        <v>3</v>
      </c>
      <c r="AG101" s="211">
        <v>3</v>
      </c>
      <c r="AH101" s="211">
        <v>0</v>
      </c>
      <c r="AI101" s="211">
        <v>0</v>
      </c>
      <c r="AJ101" s="211">
        <v>15</v>
      </c>
      <c r="AK101" s="211">
        <v>46</v>
      </c>
      <c r="AL101" s="211">
        <v>25</v>
      </c>
      <c r="AM101" s="213" t="s">
        <v>441</v>
      </c>
      <c r="AN101" s="214">
        <v>3</v>
      </c>
      <c r="AO101" s="214">
        <v>0</v>
      </c>
      <c r="AP101" s="214">
        <v>0</v>
      </c>
      <c r="AQ101" s="214">
        <v>0</v>
      </c>
      <c r="AR101" s="214">
        <v>1</v>
      </c>
      <c r="AS101" s="214">
        <v>0</v>
      </c>
      <c r="AT101" s="214">
        <v>0</v>
      </c>
      <c r="AU101" s="214">
        <v>0</v>
      </c>
      <c r="AV101" s="215">
        <v>0</v>
      </c>
      <c r="AW101" s="213" t="s">
        <v>402</v>
      </c>
      <c r="AX101" s="214">
        <v>3</v>
      </c>
      <c r="AY101" s="214">
        <v>0</v>
      </c>
      <c r="AZ101" s="214">
        <v>0</v>
      </c>
      <c r="BA101" s="214">
        <v>0</v>
      </c>
      <c r="BB101" s="214">
        <v>1</v>
      </c>
      <c r="BC101" s="214">
        <v>1</v>
      </c>
      <c r="BD101" s="214">
        <v>0</v>
      </c>
      <c r="BE101" s="214">
        <v>0</v>
      </c>
      <c r="BF101" s="215">
        <v>0</v>
      </c>
      <c r="BG101" s="213" t="s">
        <v>501</v>
      </c>
      <c r="BH101" s="214">
        <v>3</v>
      </c>
      <c r="BI101" s="214">
        <v>0</v>
      </c>
      <c r="BJ101" s="214">
        <v>1</v>
      </c>
      <c r="BK101" s="214">
        <v>1</v>
      </c>
      <c r="BL101" s="214">
        <v>0</v>
      </c>
      <c r="BM101" s="214">
        <v>0</v>
      </c>
      <c r="BN101" s="214">
        <v>1</v>
      </c>
      <c r="BO101" s="214">
        <v>0</v>
      </c>
      <c r="BP101" s="215">
        <v>1</v>
      </c>
      <c r="BQ101" s="213" t="s">
        <v>496</v>
      </c>
      <c r="BR101" s="214">
        <v>4</v>
      </c>
      <c r="BS101" s="214">
        <v>0</v>
      </c>
      <c r="BT101" s="214">
        <v>2</v>
      </c>
      <c r="BU101" s="214">
        <v>0</v>
      </c>
      <c r="BV101" s="214">
        <v>0</v>
      </c>
      <c r="BW101" s="214">
        <v>0</v>
      </c>
      <c r="BX101" s="214">
        <v>0</v>
      </c>
      <c r="BY101" s="214">
        <v>0</v>
      </c>
      <c r="BZ101" s="215">
        <v>2</v>
      </c>
      <c r="CA101" s="213" t="s">
        <v>446</v>
      </c>
      <c r="CB101" s="214">
        <v>3</v>
      </c>
      <c r="CC101" s="214">
        <v>0</v>
      </c>
      <c r="CD101" s="214">
        <v>0</v>
      </c>
      <c r="CE101" s="214">
        <v>0</v>
      </c>
      <c r="CF101" s="214">
        <v>0</v>
      </c>
      <c r="CG101" s="214">
        <v>2</v>
      </c>
      <c r="CH101" s="214">
        <v>1</v>
      </c>
      <c r="CI101" s="214">
        <v>0</v>
      </c>
      <c r="CJ101" s="215">
        <v>0</v>
      </c>
      <c r="CK101" s="213" t="s">
        <v>448</v>
      </c>
      <c r="CL101" s="214">
        <v>4</v>
      </c>
      <c r="CM101" s="214">
        <v>0</v>
      </c>
      <c r="CN101" s="214">
        <v>1</v>
      </c>
      <c r="CO101" s="214">
        <v>0</v>
      </c>
      <c r="CP101" s="214">
        <v>0</v>
      </c>
      <c r="CQ101" s="214">
        <v>1</v>
      </c>
      <c r="CR101" s="214">
        <v>0</v>
      </c>
      <c r="CS101" s="214">
        <v>0</v>
      </c>
      <c r="CT101" s="215">
        <v>2</v>
      </c>
      <c r="CU101" s="213" t="s">
        <v>365</v>
      </c>
      <c r="CV101" s="214">
        <v>3</v>
      </c>
      <c r="CW101" s="214">
        <v>0</v>
      </c>
      <c r="CX101" s="214">
        <v>1</v>
      </c>
      <c r="CY101" s="214">
        <v>0</v>
      </c>
      <c r="CZ101" s="214">
        <v>1</v>
      </c>
      <c r="DA101" s="214">
        <v>0</v>
      </c>
      <c r="DB101" s="214">
        <v>0</v>
      </c>
      <c r="DC101" s="214">
        <v>0</v>
      </c>
      <c r="DD101" s="215">
        <v>2</v>
      </c>
      <c r="DE101" s="213" t="s">
        <v>449</v>
      </c>
      <c r="DF101" s="214">
        <v>4</v>
      </c>
      <c r="DG101" s="214">
        <v>0</v>
      </c>
      <c r="DH101" s="214">
        <v>0</v>
      </c>
      <c r="DI101" s="214">
        <v>0</v>
      </c>
      <c r="DJ101" s="214">
        <v>0</v>
      </c>
      <c r="DK101" s="214">
        <v>2</v>
      </c>
      <c r="DL101" s="214">
        <v>0</v>
      </c>
      <c r="DM101" s="214">
        <v>0</v>
      </c>
      <c r="DN101" s="215">
        <v>0</v>
      </c>
      <c r="DO101" s="213" t="s">
        <v>442</v>
      </c>
      <c r="DP101" s="214">
        <v>3</v>
      </c>
      <c r="DQ101" s="214">
        <v>1</v>
      </c>
      <c r="DR101" s="214">
        <v>1</v>
      </c>
      <c r="DS101" s="214">
        <v>0</v>
      </c>
      <c r="DT101" s="214">
        <v>0</v>
      </c>
      <c r="DU101" s="214">
        <v>0</v>
      </c>
      <c r="DV101" s="214">
        <v>0</v>
      </c>
      <c r="DW101" s="214">
        <v>0</v>
      </c>
      <c r="DX101" s="215">
        <v>1</v>
      </c>
      <c r="DY101" s="216">
        <v>2</v>
      </c>
      <c r="DZ101" s="217">
        <v>0</v>
      </c>
      <c r="EA101" s="217">
        <v>0</v>
      </c>
      <c r="EB101" s="218">
        <v>7</v>
      </c>
      <c r="EC101" s="217">
        <v>0</v>
      </c>
      <c r="ED101" s="219">
        <v>0</v>
      </c>
      <c r="EE101" s="220">
        <v>0</v>
      </c>
      <c r="EF101" s="217">
        <v>0</v>
      </c>
      <c r="EG101" s="217">
        <v>0</v>
      </c>
      <c r="EH101" s="217">
        <v>0</v>
      </c>
      <c r="EI101" s="217">
        <v>0</v>
      </c>
      <c r="EJ101" s="217">
        <v>1</v>
      </c>
      <c r="EK101" s="217">
        <v>0</v>
      </c>
      <c r="EL101" s="217">
        <v>0</v>
      </c>
      <c r="EM101" s="217">
        <v>0</v>
      </c>
      <c r="EN101" s="217"/>
      <c r="EO101" s="217"/>
      <c r="EP101" s="217"/>
      <c r="EQ101" s="217"/>
      <c r="ER101" s="217"/>
      <c r="ES101" s="217"/>
      <c r="ET101" s="219">
        <f t="shared" si="22"/>
        <v>1</v>
      </c>
      <c r="EU101" s="217">
        <v>2</v>
      </c>
      <c r="EV101" s="217">
        <v>0</v>
      </c>
      <c r="EW101" s="217">
        <v>1</v>
      </c>
      <c r="EX101" s="217">
        <v>0</v>
      </c>
      <c r="EY101" s="217">
        <v>0</v>
      </c>
      <c r="EZ101" s="217">
        <v>0</v>
      </c>
      <c r="FA101" s="217">
        <v>2</v>
      </c>
      <c r="FB101" s="217">
        <v>0</v>
      </c>
      <c r="FC101" s="217">
        <v>0</v>
      </c>
      <c r="FD101" s="217"/>
      <c r="FE101" s="217"/>
      <c r="FF101" s="217"/>
      <c r="FG101" s="217"/>
      <c r="FH101" s="217"/>
      <c r="FI101" s="217"/>
      <c r="FJ101" s="217">
        <f t="shared" si="23"/>
        <v>5</v>
      </c>
      <c r="FK101" s="221">
        <f t="shared" si="20"/>
        <v>0</v>
      </c>
      <c r="FL101" s="221">
        <f t="shared" si="21"/>
        <v>0</v>
      </c>
      <c r="FM101" s="222"/>
    </row>
    <row r="102" spans="1:169" x14ac:dyDescent="0.25">
      <c r="A102" s="204">
        <v>40385</v>
      </c>
      <c r="B102" s="204" t="s">
        <v>19</v>
      </c>
      <c r="C102" s="204" t="s">
        <v>129</v>
      </c>
      <c r="D102" s="204" t="s">
        <v>369</v>
      </c>
      <c r="E102" s="205">
        <v>2109</v>
      </c>
      <c r="F102" s="206">
        <v>2</v>
      </c>
      <c r="G102" s="207" t="s">
        <v>525</v>
      </c>
      <c r="H102" s="208">
        <v>0</v>
      </c>
      <c r="I102" s="208">
        <v>0</v>
      </c>
      <c r="J102" s="209">
        <f>3+2/3</f>
        <v>3.6666666666666665</v>
      </c>
      <c r="K102" s="208">
        <v>3</v>
      </c>
      <c r="L102" s="208">
        <v>3</v>
      </c>
      <c r="M102" s="208">
        <v>3</v>
      </c>
      <c r="N102" s="208">
        <v>2</v>
      </c>
      <c r="O102" s="208">
        <v>1</v>
      </c>
      <c r="P102" s="208">
        <v>0</v>
      </c>
      <c r="Q102" s="208">
        <v>2</v>
      </c>
      <c r="R102" s="208">
        <v>18</v>
      </c>
      <c r="S102" s="208">
        <v>53</v>
      </c>
      <c r="T102" s="208">
        <v>29</v>
      </c>
      <c r="U102" s="208">
        <v>2</v>
      </c>
      <c r="V102" s="210">
        <v>0</v>
      </c>
      <c r="W102" s="211">
        <v>1</v>
      </c>
      <c r="X102" s="211">
        <v>0</v>
      </c>
      <c r="Y102" s="211">
        <v>0</v>
      </c>
      <c r="Z102" s="211">
        <v>0</v>
      </c>
      <c r="AA102" s="211">
        <v>0</v>
      </c>
      <c r="AB102" s="212">
        <f>5+1/3</f>
        <v>5.333333333333333</v>
      </c>
      <c r="AC102" s="211">
        <v>6</v>
      </c>
      <c r="AD102" s="211">
        <v>1</v>
      </c>
      <c r="AE102" s="211">
        <v>1</v>
      </c>
      <c r="AF102" s="211">
        <v>2</v>
      </c>
      <c r="AG102" s="211">
        <v>7</v>
      </c>
      <c r="AH102" s="211">
        <v>0</v>
      </c>
      <c r="AI102" s="211">
        <v>0</v>
      </c>
      <c r="AJ102" s="211">
        <v>24</v>
      </c>
      <c r="AK102" s="211">
        <v>91</v>
      </c>
      <c r="AL102" s="211">
        <v>55</v>
      </c>
      <c r="AM102" s="213" t="s">
        <v>441</v>
      </c>
      <c r="AN102" s="214">
        <v>5</v>
      </c>
      <c r="AO102" s="214">
        <v>1</v>
      </c>
      <c r="AP102" s="214">
        <v>2</v>
      </c>
      <c r="AQ102" s="214">
        <v>0</v>
      </c>
      <c r="AR102" s="214">
        <v>0</v>
      </c>
      <c r="AS102" s="214">
        <v>1</v>
      </c>
      <c r="AT102" s="214">
        <v>0</v>
      </c>
      <c r="AU102" s="214">
        <v>0</v>
      </c>
      <c r="AV102" s="215">
        <v>3</v>
      </c>
      <c r="AW102" s="213" t="s">
        <v>364</v>
      </c>
      <c r="AX102" s="214">
        <v>4</v>
      </c>
      <c r="AY102" s="214">
        <v>2</v>
      </c>
      <c r="AZ102" s="214">
        <v>3</v>
      </c>
      <c r="BA102" s="214">
        <v>2</v>
      </c>
      <c r="BB102" s="214">
        <v>0</v>
      </c>
      <c r="BC102" s="214">
        <v>0</v>
      </c>
      <c r="BD102" s="214">
        <v>0</v>
      </c>
      <c r="BE102" s="214">
        <v>0</v>
      </c>
      <c r="BF102" s="215">
        <v>7</v>
      </c>
      <c r="BG102" s="213" t="s">
        <v>446</v>
      </c>
      <c r="BH102" s="214">
        <v>3</v>
      </c>
      <c r="BI102" s="214">
        <v>2</v>
      </c>
      <c r="BJ102" s="214">
        <v>0</v>
      </c>
      <c r="BK102" s="214">
        <v>0</v>
      </c>
      <c r="BL102" s="214">
        <v>0</v>
      </c>
      <c r="BM102" s="214">
        <v>2</v>
      </c>
      <c r="BN102" s="214">
        <v>2</v>
      </c>
      <c r="BO102" s="214">
        <v>0</v>
      </c>
      <c r="BP102" s="215">
        <v>0</v>
      </c>
      <c r="BQ102" s="213" t="s">
        <v>496</v>
      </c>
      <c r="BR102" s="214">
        <v>4</v>
      </c>
      <c r="BS102" s="214">
        <v>2</v>
      </c>
      <c r="BT102" s="214">
        <v>1</v>
      </c>
      <c r="BU102" s="214">
        <v>2</v>
      </c>
      <c r="BV102" s="214">
        <v>1</v>
      </c>
      <c r="BW102" s="214">
        <v>1</v>
      </c>
      <c r="BX102" s="214">
        <v>0</v>
      </c>
      <c r="BY102" s="214">
        <v>0</v>
      </c>
      <c r="BZ102" s="215">
        <v>2</v>
      </c>
      <c r="CA102" s="213" t="s">
        <v>501</v>
      </c>
      <c r="CB102" s="214">
        <v>5</v>
      </c>
      <c r="CC102" s="214">
        <v>1</v>
      </c>
      <c r="CD102" s="214">
        <v>1</v>
      </c>
      <c r="CE102" s="214">
        <v>3</v>
      </c>
      <c r="CF102" s="214">
        <v>0</v>
      </c>
      <c r="CG102" s="214">
        <v>0</v>
      </c>
      <c r="CH102" s="214">
        <v>0</v>
      </c>
      <c r="CI102" s="214">
        <v>0</v>
      </c>
      <c r="CJ102" s="215">
        <v>4</v>
      </c>
      <c r="CK102" s="213" t="s">
        <v>402</v>
      </c>
      <c r="CL102" s="214">
        <v>3</v>
      </c>
      <c r="CM102" s="214">
        <v>1</v>
      </c>
      <c r="CN102" s="214">
        <v>0</v>
      </c>
      <c r="CO102" s="214">
        <v>0</v>
      </c>
      <c r="CP102" s="214">
        <v>1</v>
      </c>
      <c r="CQ102" s="214">
        <v>1</v>
      </c>
      <c r="CR102" s="214">
        <v>0</v>
      </c>
      <c r="CS102" s="214">
        <v>0</v>
      </c>
      <c r="CT102" s="215">
        <v>0</v>
      </c>
      <c r="CU102" s="213" t="s">
        <v>483</v>
      </c>
      <c r="CV102" s="214">
        <v>4</v>
      </c>
      <c r="CW102" s="214">
        <v>1</v>
      </c>
      <c r="CX102" s="214">
        <v>1</v>
      </c>
      <c r="CY102" s="214">
        <v>2</v>
      </c>
      <c r="CZ102" s="214">
        <v>0</v>
      </c>
      <c r="DA102" s="214">
        <v>2</v>
      </c>
      <c r="DB102" s="214">
        <v>0</v>
      </c>
      <c r="DC102" s="214">
        <v>0</v>
      </c>
      <c r="DD102" s="215">
        <v>2</v>
      </c>
      <c r="DE102" s="213" t="s">
        <v>365</v>
      </c>
      <c r="DF102" s="214">
        <v>4</v>
      </c>
      <c r="DG102" s="214">
        <v>1</v>
      </c>
      <c r="DH102" s="214">
        <v>1</v>
      </c>
      <c r="DI102" s="214">
        <v>2</v>
      </c>
      <c r="DJ102" s="214">
        <v>0</v>
      </c>
      <c r="DK102" s="214">
        <v>0</v>
      </c>
      <c r="DL102" s="214">
        <v>0</v>
      </c>
      <c r="DM102" s="214">
        <v>0</v>
      </c>
      <c r="DN102" s="215">
        <v>4</v>
      </c>
      <c r="DO102" s="213" t="s">
        <v>448</v>
      </c>
      <c r="DP102" s="214">
        <v>2</v>
      </c>
      <c r="DQ102" s="214">
        <v>0</v>
      </c>
      <c r="DR102" s="214">
        <v>0</v>
      </c>
      <c r="DS102" s="214">
        <v>0</v>
      </c>
      <c r="DT102" s="214">
        <v>1</v>
      </c>
      <c r="DU102" s="214">
        <v>0</v>
      </c>
      <c r="DV102" s="214">
        <v>1</v>
      </c>
      <c r="DW102" s="214">
        <v>0</v>
      </c>
      <c r="DX102" s="215">
        <v>0</v>
      </c>
      <c r="DY102" s="216">
        <f>5+2/3</f>
        <v>5.666666666666667</v>
      </c>
      <c r="DZ102" s="217">
        <v>0</v>
      </c>
      <c r="EA102" s="217">
        <v>0</v>
      </c>
      <c r="EB102" s="218">
        <f>2+1/3</f>
        <v>2.3333333333333335</v>
      </c>
      <c r="EC102" s="217">
        <v>0</v>
      </c>
      <c r="ED102" s="219">
        <v>0</v>
      </c>
      <c r="EE102" s="220">
        <v>0</v>
      </c>
      <c r="EF102" s="217">
        <v>8</v>
      </c>
      <c r="EG102" s="217">
        <v>0</v>
      </c>
      <c r="EH102" s="217">
        <v>3</v>
      </c>
      <c r="EI102" s="217">
        <v>0</v>
      </c>
      <c r="EJ102" s="217">
        <v>0</v>
      </c>
      <c r="EK102" s="217">
        <v>0</v>
      </c>
      <c r="EL102" s="217">
        <v>0</v>
      </c>
      <c r="EM102" s="217"/>
      <c r="EN102" s="217"/>
      <c r="EO102" s="217"/>
      <c r="EP102" s="217"/>
      <c r="EQ102" s="217"/>
      <c r="ER102" s="217"/>
      <c r="ES102" s="217"/>
      <c r="ET102" s="219">
        <f t="shared" si="22"/>
        <v>11</v>
      </c>
      <c r="EU102" s="217">
        <v>0</v>
      </c>
      <c r="EV102" s="217">
        <v>0</v>
      </c>
      <c r="EW102" s="217">
        <v>0</v>
      </c>
      <c r="EX102" s="217">
        <v>3</v>
      </c>
      <c r="EY102" s="217">
        <v>0</v>
      </c>
      <c r="EZ102" s="217">
        <v>0</v>
      </c>
      <c r="FA102" s="217">
        <v>0</v>
      </c>
      <c r="FB102" s="217">
        <v>1</v>
      </c>
      <c r="FC102" s="217">
        <v>0</v>
      </c>
      <c r="FD102" s="217"/>
      <c r="FE102" s="217"/>
      <c r="FF102" s="217"/>
      <c r="FG102" s="217"/>
      <c r="FH102" s="217"/>
      <c r="FI102" s="217"/>
      <c r="FJ102" s="217">
        <f t="shared" si="23"/>
        <v>4</v>
      </c>
      <c r="FK102" s="221">
        <f t="shared" si="20"/>
        <v>0</v>
      </c>
      <c r="FL102" s="221">
        <f t="shared" si="21"/>
        <v>0</v>
      </c>
      <c r="FM102" s="222"/>
    </row>
    <row r="103" spans="1:169" x14ac:dyDescent="0.25">
      <c r="A103" s="204">
        <v>40387</v>
      </c>
      <c r="B103" s="204" t="s">
        <v>133</v>
      </c>
      <c r="C103" s="204" t="s">
        <v>131</v>
      </c>
      <c r="D103" s="204" t="s">
        <v>370</v>
      </c>
      <c r="E103" s="205">
        <v>2203</v>
      </c>
      <c r="F103" s="206">
        <v>3</v>
      </c>
      <c r="G103" s="207" t="s">
        <v>368</v>
      </c>
      <c r="H103" s="208">
        <v>0</v>
      </c>
      <c r="I103" s="208">
        <v>1</v>
      </c>
      <c r="J103" s="209">
        <f>4+2/3</f>
        <v>4.666666666666667</v>
      </c>
      <c r="K103" s="208">
        <v>5</v>
      </c>
      <c r="L103" s="208">
        <v>2</v>
      </c>
      <c r="M103" s="208">
        <v>2</v>
      </c>
      <c r="N103" s="208">
        <v>4</v>
      </c>
      <c r="O103" s="208">
        <v>2</v>
      </c>
      <c r="P103" s="208">
        <v>1</v>
      </c>
      <c r="Q103" s="208">
        <v>0</v>
      </c>
      <c r="R103" s="208">
        <v>22</v>
      </c>
      <c r="S103" s="208">
        <v>86</v>
      </c>
      <c r="T103" s="208">
        <v>46</v>
      </c>
      <c r="U103" s="208">
        <v>1</v>
      </c>
      <c r="V103" s="210">
        <v>0</v>
      </c>
      <c r="W103" s="211">
        <v>0</v>
      </c>
      <c r="X103" s="211">
        <v>0</v>
      </c>
      <c r="Y103" s="211">
        <v>0</v>
      </c>
      <c r="Z103" s="211">
        <v>0</v>
      </c>
      <c r="AA103" s="211">
        <v>0</v>
      </c>
      <c r="AB103" s="212">
        <f>3+1/3</f>
        <v>3.3333333333333335</v>
      </c>
      <c r="AC103" s="211">
        <v>4</v>
      </c>
      <c r="AD103" s="211">
        <v>2</v>
      </c>
      <c r="AE103" s="211">
        <v>2</v>
      </c>
      <c r="AF103" s="211">
        <v>2</v>
      </c>
      <c r="AG103" s="211">
        <v>4</v>
      </c>
      <c r="AH103" s="211">
        <v>0</v>
      </c>
      <c r="AI103" s="211">
        <v>0</v>
      </c>
      <c r="AJ103" s="211">
        <v>16</v>
      </c>
      <c r="AK103" s="211">
        <v>54</v>
      </c>
      <c r="AL103" s="211">
        <v>34</v>
      </c>
      <c r="AM103" s="213" t="s">
        <v>441</v>
      </c>
      <c r="AN103" s="214">
        <v>4</v>
      </c>
      <c r="AO103" s="214">
        <v>0</v>
      </c>
      <c r="AP103" s="214">
        <v>0</v>
      </c>
      <c r="AQ103" s="214">
        <v>0</v>
      </c>
      <c r="AR103" s="214">
        <v>0</v>
      </c>
      <c r="AS103" s="214">
        <v>0</v>
      </c>
      <c r="AT103" s="214">
        <v>0</v>
      </c>
      <c r="AU103" s="214">
        <v>0</v>
      </c>
      <c r="AV103" s="215">
        <v>0</v>
      </c>
      <c r="AW103" s="213" t="s">
        <v>364</v>
      </c>
      <c r="AX103" s="214">
        <v>4</v>
      </c>
      <c r="AY103" s="214">
        <v>0</v>
      </c>
      <c r="AZ103" s="214">
        <v>1</v>
      </c>
      <c r="BA103" s="214">
        <v>0</v>
      </c>
      <c r="BB103" s="214">
        <v>0</v>
      </c>
      <c r="BC103" s="214">
        <v>0</v>
      </c>
      <c r="BD103" s="214">
        <v>0</v>
      </c>
      <c r="BE103" s="214">
        <v>0</v>
      </c>
      <c r="BF103" s="215">
        <v>1</v>
      </c>
      <c r="BG103" s="213" t="s">
        <v>501</v>
      </c>
      <c r="BH103" s="214">
        <v>3</v>
      </c>
      <c r="BI103" s="214">
        <v>0</v>
      </c>
      <c r="BJ103" s="214">
        <v>2</v>
      </c>
      <c r="BK103" s="214">
        <v>0</v>
      </c>
      <c r="BL103" s="214">
        <v>0</v>
      </c>
      <c r="BM103" s="214">
        <v>0</v>
      </c>
      <c r="BN103" s="214">
        <v>1</v>
      </c>
      <c r="BO103" s="214">
        <v>0</v>
      </c>
      <c r="BP103" s="215">
        <v>3</v>
      </c>
      <c r="BQ103" s="213" t="s">
        <v>496</v>
      </c>
      <c r="BR103" s="214">
        <v>4</v>
      </c>
      <c r="BS103" s="214">
        <v>0</v>
      </c>
      <c r="BT103" s="214">
        <v>0</v>
      </c>
      <c r="BU103" s="214">
        <v>0</v>
      </c>
      <c r="BV103" s="214">
        <v>0</v>
      </c>
      <c r="BW103" s="214">
        <v>1</v>
      </c>
      <c r="BX103" s="214">
        <v>0</v>
      </c>
      <c r="BY103" s="214">
        <v>0</v>
      </c>
      <c r="BZ103" s="215">
        <v>0</v>
      </c>
      <c r="CA103" s="213" t="s">
        <v>446</v>
      </c>
      <c r="CB103" s="214">
        <v>3</v>
      </c>
      <c r="CC103" s="214">
        <v>0</v>
      </c>
      <c r="CD103" s="214">
        <v>0</v>
      </c>
      <c r="CE103" s="214">
        <v>0</v>
      </c>
      <c r="CF103" s="214">
        <v>0</v>
      </c>
      <c r="CG103" s="214">
        <v>1</v>
      </c>
      <c r="CH103" s="214">
        <v>0</v>
      </c>
      <c r="CI103" s="214">
        <v>0</v>
      </c>
      <c r="CJ103" s="215">
        <v>0</v>
      </c>
      <c r="CK103" s="213" t="s">
        <v>402</v>
      </c>
      <c r="CL103" s="214">
        <v>3</v>
      </c>
      <c r="CM103" s="214">
        <v>1</v>
      </c>
      <c r="CN103" s="214">
        <v>1</v>
      </c>
      <c r="CO103" s="214">
        <v>0</v>
      </c>
      <c r="CP103" s="214">
        <v>0</v>
      </c>
      <c r="CQ103" s="214">
        <v>0</v>
      </c>
      <c r="CR103" s="214">
        <v>0</v>
      </c>
      <c r="CS103" s="214">
        <v>0</v>
      </c>
      <c r="CT103" s="215">
        <v>2</v>
      </c>
      <c r="CU103" s="213" t="s">
        <v>448</v>
      </c>
      <c r="CV103" s="214">
        <v>3</v>
      </c>
      <c r="CW103" s="214">
        <v>0</v>
      </c>
      <c r="CX103" s="214">
        <v>1</v>
      </c>
      <c r="CY103" s="214">
        <v>1</v>
      </c>
      <c r="CZ103" s="214">
        <v>0</v>
      </c>
      <c r="DA103" s="214">
        <v>0</v>
      </c>
      <c r="DB103" s="214">
        <v>0</v>
      </c>
      <c r="DC103" s="214">
        <v>0</v>
      </c>
      <c r="DD103" s="215">
        <v>3</v>
      </c>
      <c r="DE103" s="213" t="s">
        <v>365</v>
      </c>
      <c r="DF103" s="214">
        <v>3</v>
      </c>
      <c r="DG103" s="214">
        <v>0</v>
      </c>
      <c r="DH103" s="214">
        <v>0</v>
      </c>
      <c r="DI103" s="214">
        <v>0</v>
      </c>
      <c r="DJ103" s="214">
        <v>0</v>
      </c>
      <c r="DK103" s="214">
        <v>0</v>
      </c>
      <c r="DL103" s="214">
        <v>0</v>
      </c>
      <c r="DM103" s="214">
        <v>0</v>
      </c>
      <c r="DN103" s="215">
        <v>0</v>
      </c>
      <c r="DO103" s="213" t="s">
        <v>442</v>
      </c>
      <c r="DP103" s="214">
        <v>3</v>
      </c>
      <c r="DQ103" s="214">
        <v>0</v>
      </c>
      <c r="DR103" s="214">
        <v>0</v>
      </c>
      <c r="DS103" s="214">
        <v>0</v>
      </c>
      <c r="DT103" s="214">
        <v>0</v>
      </c>
      <c r="DU103" s="214">
        <v>1</v>
      </c>
      <c r="DV103" s="214">
        <v>0</v>
      </c>
      <c r="DW103" s="214">
        <v>0</v>
      </c>
      <c r="DX103" s="215">
        <v>0</v>
      </c>
      <c r="DY103" s="216">
        <v>0</v>
      </c>
      <c r="DZ103" s="217">
        <v>0</v>
      </c>
      <c r="EA103" s="217">
        <v>0</v>
      </c>
      <c r="EB103" s="218">
        <v>9</v>
      </c>
      <c r="EC103" s="217">
        <v>0</v>
      </c>
      <c r="ED103" s="219">
        <v>0</v>
      </c>
      <c r="EE103" s="220">
        <v>0</v>
      </c>
      <c r="EF103" s="217">
        <v>0</v>
      </c>
      <c r="EG103" s="217">
        <v>0</v>
      </c>
      <c r="EH103" s="217">
        <v>0</v>
      </c>
      <c r="EI103" s="217">
        <v>1</v>
      </c>
      <c r="EJ103" s="217">
        <v>0</v>
      </c>
      <c r="EK103" s="217">
        <v>0</v>
      </c>
      <c r="EL103" s="217">
        <v>0</v>
      </c>
      <c r="EM103" s="217">
        <v>0</v>
      </c>
      <c r="EN103" s="217"/>
      <c r="EO103" s="217"/>
      <c r="EP103" s="217"/>
      <c r="EQ103" s="217"/>
      <c r="ER103" s="217"/>
      <c r="ES103" s="217"/>
      <c r="ET103" s="219">
        <f t="shared" si="22"/>
        <v>1</v>
      </c>
      <c r="EU103" s="217">
        <v>0</v>
      </c>
      <c r="EV103" s="217">
        <v>1</v>
      </c>
      <c r="EW103" s="217">
        <v>0</v>
      </c>
      <c r="EX103" s="217">
        <v>0</v>
      </c>
      <c r="EY103" s="217">
        <v>1</v>
      </c>
      <c r="EZ103" s="217">
        <v>2</v>
      </c>
      <c r="FA103" s="217">
        <v>0</v>
      </c>
      <c r="FB103" s="217">
        <v>0</v>
      </c>
      <c r="FC103" s="217"/>
      <c r="FD103" s="217"/>
      <c r="FE103" s="217"/>
      <c r="FF103" s="217"/>
      <c r="FG103" s="217"/>
      <c r="FH103" s="217"/>
      <c r="FI103" s="217"/>
      <c r="FJ103" s="217">
        <f t="shared" si="23"/>
        <v>4</v>
      </c>
      <c r="FK103" s="221">
        <f t="shared" si="20"/>
        <v>0</v>
      </c>
      <c r="FL103" s="221">
        <f t="shared" si="21"/>
        <v>0</v>
      </c>
      <c r="FM103" s="222"/>
    </row>
    <row r="104" spans="1:169" x14ac:dyDescent="0.25">
      <c r="A104" s="204">
        <v>40388</v>
      </c>
      <c r="B104" s="204" t="s">
        <v>133</v>
      </c>
      <c r="C104" s="204" t="s">
        <v>131</v>
      </c>
      <c r="D104" s="204" t="s">
        <v>370</v>
      </c>
      <c r="E104" s="205">
        <v>2684</v>
      </c>
      <c r="F104" s="206">
        <v>4</v>
      </c>
      <c r="G104" s="207" t="s">
        <v>439</v>
      </c>
      <c r="H104" s="208">
        <v>0</v>
      </c>
      <c r="I104" s="208">
        <v>1</v>
      </c>
      <c r="J104" s="209">
        <v>6</v>
      </c>
      <c r="K104" s="208">
        <v>3</v>
      </c>
      <c r="L104" s="208">
        <v>1</v>
      </c>
      <c r="M104" s="208">
        <v>1</v>
      </c>
      <c r="N104" s="208">
        <v>2</v>
      </c>
      <c r="O104" s="208">
        <v>6</v>
      </c>
      <c r="P104" s="208">
        <v>0</v>
      </c>
      <c r="Q104" s="208">
        <v>0</v>
      </c>
      <c r="R104" s="208">
        <v>22</v>
      </c>
      <c r="S104" s="208">
        <v>73</v>
      </c>
      <c r="T104" s="208">
        <v>49</v>
      </c>
      <c r="U104" s="208">
        <v>0</v>
      </c>
      <c r="V104" s="210">
        <v>0</v>
      </c>
      <c r="W104" s="211">
        <v>0</v>
      </c>
      <c r="X104" s="211">
        <v>0</v>
      </c>
      <c r="Y104" s="211">
        <v>0</v>
      </c>
      <c r="Z104" s="211">
        <v>0</v>
      </c>
      <c r="AA104" s="211">
        <v>0</v>
      </c>
      <c r="AB104" s="212">
        <v>2</v>
      </c>
      <c r="AC104" s="211">
        <v>0</v>
      </c>
      <c r="AD104" s="211">
        <v>0</v>
      </c>
      <c r="AE104" s="211">
        <v>0</v>
      </c>
      <c r="AF104" s="211">
        <v>0</v>
      </c>
      <c r="AG104" s="211">
        <v>0</v>
      </c>
      <c r="AH104" s="211">
        <v>0</v>
      </c>
      <c r="AI104" s="211">
        <v>1</v>
      </c>
      <c r="AJ104" s="211">
        <v>7</v>
      </c>
      <c r="AK104" s="211">
        <v>15</v>
      </c>
      <c r="AL104" s="211">
        <v>10</v>
      </c>
      <c r="AM104" s="213" t="s">
        <v>441</v>
      </c>
      <c r="AN104" s="214">
        <v>3</v>
      </c>
      <c r="AO104" s="214">
        <v>0</v>
      </c>
      <c r="AP104" s="214">
        <v>0</v>
      </c>
      <c r="AQ104" s="214">
        <v>0</v>
      </c>
      <c r="AR104" s="214">
        <v>1</v>
      </c>
      <c r="AS104" s="214">
        <v>2</v>
      </c>
      <c r="AT104" s="214">
        <v>0</v>
      </c>
      <c r="AU104" s="214">
        <v>0</v>
      </c>
      <c r="AV104" s="215">
        <v>0</v>
      </c>
      <c r="AW104" s="213" t="s">
        <v>364</v>
      </c>
      <c r="AX104" s="214">
        <v>4</v>
      </c>
      <c r="AY104" s="214">
        <v>0</v>
      </c>
      <c r="AZ104" s="214">
        <v>1</v>
      </c>
      <c r="BA104" s="214">
        <v>0</v>
      </c>
      <c r="BB104" s="214">
        <v>0</v>
      </c>
      <c r="BC104" s="214">
        <v>1</v>
      </c>
      <c r="BD104" s="214">
        <v>0</v>
      </c>
      <c r="BE104" s="214">
        <v>0</v>
      </c>
      <c r="BF104" s="215">
        <v>1</v>
      </c>
      <c r="BG104" s="213" t="s">
        <v>501</v>
      </c>
      <c r="BH104" s="214">
        <v>4</v>
      </c>
      <c r="BI104" s="214">
        <v>0</v>
      </c>
      <c r="BJ104" s="214">
        <v>1</v>
      </c>
      <c r="BK104" s="214">
        <v>0</v>
      </c>
      <c r="BL104" s="214">
        <v>0</v>
      </c>
      <c r="BM104" s="214">
        <v>1</v>
      </c>
      <c r="BN104" s="214">
        <v>0</v>
      </c>
      <c r="BO104" s="214">
        <v>0</v>
      </c>
      <c r="BP104" s="215">
        <v>1</v>
      </c>
      <c r="BQ104" s="213" t="s">
        <v>496</v>
      </c>
      <c r="BR104" s="214">
        <v>4</v>
      </c>
      <c r="BS104" s="214">
        <v>0</v>
      </c>
      <c r="BT104" s="214">
        <v>2</v>
      </c>
      <c r="BU104" s="214">
        <v>0</v>
      </c>
      <c r="BV104" s="214">
        <v>0</v>
      </c>
      <c r="BW104" s="214">
        <v>1</v>
      </c>
      <c r="BX104" s="214">
        <v>0</v>
      </c>
      <c r="BY104" s="214">
        <v>0</v>
      </c>
      <c r="BZ104" s="215">
        <v>2</v>
      </c>
      <c r="CA104" s="213" t="s">
        <v>402</v>
      </c>
      <c r="CB104" s="214">
        <v>4</v>
      </c>
      <c r="CC104" s="214">
        <v>0</v>
      </c>
      <c r="CD104" s="214">
        <v>1</v>
      </c>
      <c r="CE104" s="214">
        <v>0</v>
      </c>
      <c r="CF104" s="214">
        <v>0</v>
      </c>
      <c r="CG104" s="214">
        <v>0</v>
      </c>
      <c r="CH104" s="214">
        <v>0</v>
      </c>
      <c r="CI104" s="214">
        <v>0</v>
      </c>
      <c r="CJ104" s="215">
        <v>0</v>
      </c>
      <c r="CK104" s="213" t="s">
        <v>483</v>
      </c>
      <c r="CL104" s="214">
        <v>4</v>
      </c>
      <c r="CM104" s="214">
        <v>0</v>
      </c>
      <c r="CN104" s="214">
        <v>0</v>
      </c>
      <c r="CO104" s="214">
        <v>0</v>
      </c>
      <c r="CP104" s="214">
        <v>0</v>
      </c>
      <c r="CQ104" s="214">
        <v>0</v>
      </c>
      <c r="CR104" s="214">
        <v>0</v>
      </c>
      <c r="CS104" s="214">
        <v>0</v>
      </c>
      <c r="CT104" s="215">
        <v>0</v>
      </c>
      <c r="CU104" s="213" t="s">
        <v>448</v>
      </c>
      <c r="CV104" s="214">
        <v>3</v>
      </c>
      <c r="CW104" s="214">
        <v>0</v>
      </c>
      <c r="CX104" s="214">
        <v>0</v>
      </c>
      <c r="CY104" s="214">
        <v>0</v>
      </c>
      <c r="CZ104" s="214">
        <v>0</v>
      </c>
      <c r="DA104" s="214">
        <v>0</v>
      </c>
      <c r="DB104" s="214">
        <v>0</v>
      </c>
      <c r="DC104" s="214">
        <v>0</v>
      </c>
      <c r="DD104" s="215">
        <v>0</v>
      </c>
      <c r="DE104" s="213" t="s">
        <v>365</v>
      </c>
      <c r="DF104" s="214">
        <v>3</v>
      </c>
      <c r="DG104" s="214">
        <v>0</v>
      </c>
      <c r="DH104" s="214">
        <v>0</v>
      </c>
      <c r="DI104" s="214">
        <v>0</v>
      </c>
      <c r="DJ104" s="214">
        <v>0</v>
      </c>
      <c r="DK104" s="214">
        <v>2</v>
      </c>
      <c r="DL104" s="214">
        <v>0</v>
      </c>
      <c r="DM104" s="214">
        <v>0</v>
      </c>
      <c r="DN104" s="215">
        <v>0</v>
      </c>
      <c r="DO104" s="213" t="s">
        <v>449</v>
      </c>
      <c r="DP104" s="214">
        <v>2</v>
      </c>
      <c r="DQ104" s="214">
        <v>0</v>
      </c>
      <c r="DR104" s="214">
        <v>1</v>
      </c>
      <c r="DS104" s="214">
        <v>0</v>
      </c>
      <c r="DT104" s="214">
        <v>1</v>
      </c>
      <c r="DU104" s="214">
        <v>0</v>
      </c>
      <c r="DV104" s="214">
        <v>0</v>
      </c>
      <c r="DW104" s="214">
        <v>0</v>
      </c>
      <c r="DX104" s="215">
        <v>1</v>
      </c>
      <c r="DY104" s="216">
        <v>5</v>
      </c>
      <c r="DZ104" s="217">
        <v>0</v>
      </c>
      <c r="EA104" s="217">
        <v>0</v>
      </c>
      <c r="EB104" s="218">
        <v>4</v>
      </c>
      <c r="EC104" s="217">
        <v>1</v>
      </c>
      <c r="ED104" s="219">
        <v>0</v>
      </c>
      <c r="EE104" s="220">
        <v>0</v>
      </c>
      <c r="EF104" s="217">
        <v>0</v>
      </c>
      <c r="EG104" s="217">
        <v>0</v>
      </c>
      <c r="EH104" s="217">
        <v>0</v>
      </c>
      <c r="EI104" s="217">
        <v>0</v>
      </c>
      <c r="EJ104" s="217">
        <v>0</v>
      </c>
      <c r="EK104" s="217">
        <v>0</v>
      </c>
      <c r="EL104" s="217">
        <v>0</v>
      </c>
      <c r="EM104" s="217">
        <v>0</v>
      </c>
      <c r="EN104" s="217"/>
      <c r="EO104" s="217"/>
      <c r="EP104" s="217"/>
      <c r="EQ104" s="217"/>
      <c r="ER104" s="217"/>
      <c r="ES104" s="217"/>
      <c r="ET104" s="219">
        <f t="shared" si="22"/>
        <v>0</v>
      </c>
      <c r="EU104" s="217">
        <v>0</v>
      </c>
      <c r="EV104" s="217">
        <v>0</v>
      </c>
      <c r="EW104" s="217">
        <v>1</v>
      </c>
      <c r="EX104" s="217">
        <v>0</v>
      </c>
      <c r="EY104" s="217">
        <v>0</v>
      </c>
      <c r="EZ104" s="217">
        <v>0</v>
      </c>
      <c r="FA104" s="217">
        <v>0</v>
      </c>
      <c r="FB104" s="217">
        <v>0</v>
      </c>
      <c r="FC104" s="217"/>
      <c r="FD104" s="217"/>
      <c r="FE104" s="217"/>
      <c r="FF104" s="217"/>
      <c r="FG104" s="217"/>
      <c r="FH104" s="217"/>
      <c r="FI104" s="217"/>
      <c r="FJ104" s="217">
        <f t="shared" si="23"/>
        <v>1</v>
      </c>
      <c r="FK104" s="221">
        <f t="shared" si="20"/>
        <v>0</v>
      </c>
      <c r="FL104" s="221">
        <f t="shared" si="21"/>
        <v>0</v>
      </c>
      <c r="FM104" s="222"/>
    </row>
    <row r="105" spans="1:169" x14ac:dyDescent="0.25">
      <c r="A105" s="204">
        <v>40389</v>
      </c>
      <c r="B105" s="204" t="s">
        <v>133</v>
      </c>
      <c r="C105" s="204" t="s">
        <v>131</v>
      </c>
      <c r="D105" s="204" t="s">
        <v>370</v>
      </c>
      <c r="E105" s="205">
        <v>5065</v>
      </c>
      <c r="F105" s="206">
        <v>5</v>
      </c>
      <c r="G105" s="207" t="s">
        <v>424</v>
      </c>
      <c r="H105" s="208">
        <v>0</v>
      </c>
      <c r="I105" s="208">
        <v>1</v>
      </c>
      <c r="J105" s="209">
        <v>6</v>
      </c>
      <c r="K105" s="208">
        <v>9</v>
      </c>
      <c r="L105" s="208">
        <v>4</v>
      </c>
      <c r="M105" s="208">
        <v>4</v>
      </c>
      <c r="N105" s="208">
        <v>4</v>
      </c>
      <c r="O105" s="208">
        <v>4</v>
      </c>
      <c r="P105" s="208">
        <v>0</v>
      </c>
      <c r="Q105" s="208">
        <v>0</v>
      </c>
      <c r="R105" s="208">
        <v>28</v>
      </c>
      <c r="S105" s="208">
        <v>96</v>
      </c>
      <c r="T105" s="208">
        <v>51</v>
      </c>
      <c r="U105" s="208">
        <v>0</v>
      </c>
      <c r="V105" s="210">
        <v>0</v>
      </c>
      <c r="W105" s="211">
        <v>0</v>
      </c>
      <c r="X105" s="211">
        <v>0</v>
      </c>
      <c r="Y105" s="211">
        <v>0</v>
      </c>
      <c r="Z105" s="211">
        <v>0</v>
      </c>
      <c r="AA105" s="211">
        <v>0</v>
      </c>
      <c r="AB105" s="212">
        <v>2</v>
      </c>
      <c r="AC105" s="211">
        <v>3</v>
      </c>
      <c r="AD105" s="211">
        <v>1</v>
      </c>
      <c r="AE105" s="211">
        <v>1</v>
      </c>
      <c r="AF105" s="211">
        <v>0</v>
      </c>
      <c r="AG105" s="211">
        <v>1</v>
      </c>
      <c r="AH105" s="211">
        <v>0</v>
      </c>
      <c r="AI105" s="211">
        <v>0</v>
      </c>
      <c r="AJ105" s="211">
        <v>8</v>
      </c>
      <c r="AK105" s="211">
        <v>23</v>
      </c>
      <c r="AL105" s="211">
        <v>15</v>
      </c>
      <c r="AM105" s="213" t="s">
        <v>441</v>
      </c>
      <c r="AN105" s="214">
        <v>5</v>
      </c>
      <c r="AO105" s="214">
        <v>0</v>
      </c>
      <c r="AP105" s="214">
        <v>0</v>
      </c>
      <c r="AQ105" s="214">
        <v>0</v>
      </c>
      <c r="AR105" s="214">
        <v>0</v>
      </c>
      <c r="AS105" s="214">
        <v>1</v>
      </c>
      <c r="AT105" s="214">
        <v>0</v>
      </c>
      <c r="AU105" s="214">
        <v>0</v>
      </c>
      <c r="AV105" s="215">
        <v>0</v>
      </c>
      <c r="AW105" s="213" t="s">
        <v>364</v>
      </c>
      <c r="AX105" s="214">
        <v>5</v>
      </c>
      <c r="AY105" s="214">
        <v>0</v>
      </c>
      <c r="AZ105" s="214">
        <v>1</v>
      </c>
      <c r="BA105" s="214">
        <v>0</v>
      </c>
      <c r="BB105" s="214">
        <v>0</v>
      </c>
      <c r="BC105" s="214">
        <v>2</v>
      </c>
      <c r="BD105" s="214">
        <v>0</v>
      </c>
      <c r="BE105" s="214">
        <v>0</v>
      </c>
      <c r="BF105" s="215">
        <v>1</v>
      </c>
      <c r="BG105" s="213" t="s">
        <v>501</v>
      </c>
      <c r="BH105" s="214">
        <v>3</v>
      </c>
      <c r="BI105" s="214">
        <v>1</v>
      </c>
      <c r="BJ105" s="214">
        <v>1</v>
      </c>
      <c r="BK105" s="214">
        <v>0</v>
      </c>
      <c r="BL105" s="214">
        <v>1</v>
      </c>
      <c r="BM105" s="214">
        <v>1</v>
      </c>
      <c r="BN105" s="214">
        <v>0</v>
      </c>
      <c r="BO105" s="214">
        <v>0</v>
      </c>
      <c r="BP105" s="215">
        <v>1</v>
      </c>
      <c r="BQ105" s="213" t="s">
        <v>496</v>
      </c>
      <c r="BR105" s="214">
        <v>4</v>
      </c>
      <c r="BS105" s="214">
        <v>1</v>
      </c>
      <c r="BT105" s="214">
        <v>1</v>
      </c>
      <c r="BU105" s="214">
        <v>0</v>
      </c>
      <c r="BV105" s="214">
        <v>0</v>
      </c>
      <c r="BW105" s="214">
        <v>0</v>
      </c>
      <c r="BX105" s="214">
        <v>0</v>
      </c>
      <c r="BY105" s="214">
        <v>0</v>
      </c>
      <c r="BZ105" s="215">
        <v>1</v>
      </c>
      <c r="CA105" s="213" t="s">
        <v>446</v>
      </c>
      <c r="CB105" s="214">
        <v>4</v>
      </c>
      <c r="CC105" s="214">
        <v>0</v>
      </c>
      <c r="CD105" s="214">
        <v>2</v>
      </c>
      <c r="CE105" s="214">
        <v>1</v>
      </c>
      <c r="CF105" s="214">
        <v>0</v>
      </c>
      <c r="CG105" s="214">
        <v>1</v>
      </c>
      <c r="CH105" s="214">
        <v>0</v>
      </c>
      <c r="CI105" s="214">
        <v>0</v>
      </c>
      <c r="CJ105" s="215">
        <v>2</v>
      </c>
      <c r="CK105" s="213" t="s">
        <v>402</v>
      </c>
      <c r="CL105" s="214">
        <v>2</v>
      </c>
      <c r="CM105" s="214">
        <v>0</v>
      </c>
      <c r="CN105" s="214">
        <v>1</v>
      </c>
      <c r="CO105" s="214">
        <v>1</v>
      </c>
      <c r="CP105" s="214">
        <v>2</v>
      </c>
      <c r="CQ105" s="214">
        <v>1</v>
      </c>
      <c r="CR105" s="214">
        <v>0</v>
      </c>
      <c r="CS105" s="214">
        <v>0</v>
      </c>
      <c r="CT105" s="215">
        <v>1</v>
      </c>
      <c r="CU105" s="213" t="s">
        <v>448</v>
      </c>
      <c r="CV105" s="214">
        <v>4</v>
      </c>
      <c r="CW105" s="214">
        <v>0</v>
      </c>
      <c r="CX105" s="214">
        <v>2</v>
      </c>
      <c r="CY105" s="214">
        <v>0</v>
      </c>
      <c r="CZ105" s="214">
        <v>0</v>
      </c>
      <c r="DA105" s="214">
        <v>0</v>
      </c>
      <c r="DB105" s="214">
        <v>0</v>
      </c>
      <c r="DC105" s="214">
        <v>0</v>
      </c>
      <c r="DD105" s="215">
        <v>3</v>
      </c>
      <c r="DE105" s="213" t="s">
        <v>365</v>
      </c>
      <c r="DF105" s="214">
        <v>3</v>
      </c>
      <c r="DG105" s="214">
        <v>0</v>
      </c>
      <c r="DH105" s="214">
        <v>1</v>
      </c>
      <c r="DI105" s="214">
        <v>0</v>
      </c>
      <c r="DJ105" s="214">
        <v>1</v>
      </c>
      <c r="DK105" s="214">
        <v>1</v>
      </c>
      <c r="DL105" s="214">
        <v>0</v>
      </c>
      <c r="DM105" s="214">
        <v>0</v>
      </c>
      <c r="DN105" s="215">
        <v>1</v>
      </c>
      <c r="DO105" s="213" t="s">
        <v>449</v>
      </c>
      <c r="DP105" s="214">
        <v>4</v>
      </c>
      <c r="DQ105" s="214">
        <v>0</v>
      </c>
      <c r="DR105" s="214">
        <v>0</v>
      </c>
      <c r="DS105" s="214">
        <v>0</v>
      </c>
      <c r="DT105" s="214">
        <v>0</v>
      </c>
      <c r="DU105" s="214">
        <v>3</v>
      </c>
      <c r="DV105" s="214">
        <v>0</v>
      </c>
      <c r="DW105" s="214">
        <v>0</v>
      </c>
      <c r="DX105" s="215">
        <v>0</v>
      </c>
      <c r="DY105" s="216">
        <v>0</v>
      </c>
      <c r="DZ105" s="217">
        <v>0</v>
      </c>
      <c r="EA105" s="217">
        <v>0</v>
      </c>
      <c r="EB105" s="218">
        <v>9</v>
      </c>
      <c r="EC105" s="217">
        <v>0</v>
      </c>
      <c r="ED105" s="219">
        <v>0</v>
      </c>
      <c r="EE105" s="220">
        <v>0</v>
      </c>
      <c r="EF105" s="217">
        <v>0</v>
      </c>
      <c r="EG105" s="217">
        <v>0</v>
      </c>
      <c r="EH105" s="217">
        <v>0</v>
      </c>
      <c r="EI105" s="217">
        <v>0</v>
      </c>
      <c r="EJ105" s="217">
        <v>2</v>
      </c>
      <c r="EK105" s="217">
        <v>0</v>
      </c>
      <c r="EL105" s="217">
        <v>0</v>
      </c>
      <c r="EM105" s="217">
        <v>0</v>
      </c>
      <c r="EN105" s="217"/>
      <c r="EO105" s="217"/>
      <c r="EP105" s="217"/>
      <c r="EQ105" s="217"/>
      <c r="ER105" s="217"/>
      <c r="ES105" s="217"/>
      <c r="ET105" s="219">
        <f t="shared" si="22"/>
        <v>2</v>
      </c>
      <c r="EU105" s="217">
        <v>0</v>
      </c>
      <c r="EV105" s="217">
        <v>0</v>
      </c>
      <c r="EW105" s="217">
        <v>0</v>
      </c>
      <c r="EX105" s="217">
        <v>2</v>
      </c>
      <c r="EY105" s="217">
        <v>2</v>
      </c>
      <c r="EZ105" s="217">
        <v>0</v>
      </c>
      <c r="FA105" s="217">
        <v>0</v>
      </c>
      <c r="FB105" s="217">
        <v>1</v>
      </c>
      <c r="FC105" s="217"/>
      <c r="FD105" s="217"/>
      <c r="FE105" s="217"/>
      <c r="FF105" s="217"/>
      <c r="FG105" s="217"/>
      <c r="FH105" s="217"/>
      <c r="FI105" s="217"/>
      <c r="FJ105" s="217">
        <f t="shared" si="23"/>
        <v>5</v>
      </c>
      <c r="FK105" s="221">
        <f t="shared" si="20"/>
        <v>0</v>
      </c>
      <c r="FL105" s="221">
        <f t="shared" si="21"/>
        <v>0</v>
      </c>
      <c r="FM105" s="222"/>
    </row>
    <row r="106" spans="1:169" x14ac:dyDescent="0.25">
      <c r="A106" s="53">
        <v>40390</v>
      </c>
      <c r="B106" s="53" t="s">
        <v>133</v>
      </c>
      <c r="C106" s="53" t="s">
        <v>129</v>
      </c>
      <c r="D106" s="53" t="s">
        <v>370</v>
      </c>
      <c r="E106" s="54">
        <v>4137</v>
      </c>
      <c r="F106" s="58">
        <v>1</v>
      </c>
      <c r="G106" s="59" t="s">
        <v>470</v>
      </c>
      <c r="H106" s="6">
        <v>0</v>
      </c>
      <c r="I106" s="6">
        <v>0</v>
      </c>
      <c r="J106" s="60">
        <v>6</v>
      </c>
      <c r="K106" s="6">
        <v>7</v>
      </c>
      <c r="L106" s="6">
        <v>2</v>
      </c>
      <c r="M106" s="6">
        <v>1</v>
      </c>
      <c r="N106" s="6">
        <v>1</v>
      </c>
      <c r="O106" s="6">
        <v>4</v>
      </c>
      <c r="P106" s="6">
        <v>0</v>
      </c>
      <c r="Q106" s="6">
        <v>0</v>
      </c>
      <c r="R106" s="6">
        <v>25</v>
      </c>
      <c r="S106" s="6">
        <v>93</v>
      </c>
      <c r="T106" s="6">
        <v>58</v>
      </c>
      <c r="U106" s="6">
        <v>0</v>
      </c>
      <c r="V106" s="61">
        <v>0</v>
      </c>
      <c r="W106" s="62">
        <v>1</v>
      </c>
      <c r="X106" s="62">
        <v>0</v>
      </c>
      <c r="Y106" s="62">
        <v>0</v>
      </c>
      <c r="Z106" s="62">
        <v>0</v>
      </c>
      <c r="AA106" s="62">
        <v>1</v>
      </c>
      <c r="AB106" s="63">
        <v>9</v>
      </c>
      <c r="AC106" s="62">
        <v>5</v>
      </c>
      <c r="AD106" s="62">
        <v>2</v>
      </c>
      <c r="AE106" s="62">
        <v>1</v>
      </c>
      <c r="AF106" s="62">
        <v>7</v>
      </c>
      <c r="AG106" s="62">
        <v>3</v>
      </c>
      <c r="AH106" s="62">
        <v>0</v>
      </c>
      <c r="AI106" s="62">
        <v>0</v>
      </c>
      <c r="AJ106" s="62">
        <v>40</v>
      </c>
      <c r="AK106" s="62">
        <v>126</v>
      </c>
      <c r="AL106" s="62">
        <v>67</v>
      </c>
      <c r="AM106" s="1" t="s">
        <v>441</v>
      </c>
      <c r="AN106" s="78">
        <v>7</v>
      </c>
      <c r="AO106" s="78">
        <v>2</v>
      </c>
      <c r="AP106" s="78">
        <v>3</v>
      </c>
      <c r="AQ106" s="78">
        <v>0</v>
      </c>
      <c r="AR106" s="78">
        <v>0</v>
      </c>
      <c r="AS106" s="78">
        <v>0</v>
      </c>
      <c r="AT106" s="78">
        <v>0</v>
      </c>
      <c r="AU106" s="78">
        <v>0</v>
      </c>
      <c r="AV106" s="76">
        <v>4</v>
      </c>
      <c r="AW106" s="1" t="s">
        <v>364</v>
      </c>
      <c r="AX106" s="78">
        <v>6</v>
      </c>
      <c r="AY106" s="78">
        <v>1</v>
      </c>
      <c r="AZ106" s="78">
        <v>1</v>
      </c>
      <c r="BA106" s="78">
        <v>1</v>
      </c>
      <c r="BB106" s="78">
        <v>1</v>
      </c>
      <c r="BC106" s="78">
        <v>2</v>
      </c>
      <c r="BD106" s="78">
        <v>0</v>
      </c>
      <c r="BE106" s="78">
        <v>0</v>
      </c>
      <c r="BF106" s="76">
        <v>3</v>
      </c>
      <c r="BG106" s="1" t="s">
        <v>501</v>
      </c>
      <c r="BH106" s="78">
        <v>3</v>
      </c>
      <c r="BI106" s="78">
        <v>0</v>
      </c>
      <c r="BJ106" s="78">
        <v>0</v>
      </c>
      <c r="BK106" s="78">
        <v>1</v>
      </c>
      <c r="BL106" s="78">
        <v>3</v>
      </c>
      <c r="BM106" s="78">
        <v>0</v>
      </c>
      <c r="BN106" s="78">
        <v>1</v>
      </c>
      <c r="BO106" s="78">
        <v>0</v>
      </c>
      <c r="BP106" s="76">
        <v>0</v>
      </c>
      <c r="BQ106" s="1" t="s">
        <v>496</v>
      </c>
      <c r="BR106" s="78">
        <v>4</v>
      </c>
      <c r="BS106" s="78">
        <v>0</v>
      </c>
      <c r="BT106" s="78">
        <v>2</v>
      </c>
      <c r="BU106" s="78">
        <v>3</v>
      </c>
      <c r="BV106" s="78">
        <v>1</v>
      </c>
      <c r="BW106" s="78">
        <v>0</v>
      </c>
      <c r="BX106" s="78">
        <v>0</v>
      </c>
      <c r="BY106" s="78">
        <v>2</v>
      </c>
      <c r="BZ106" s="76">
        <v>3</v>
      </c>
      <c r="CA106" s="1" t="s">
        <v>446</v>
      </c>
      <c r="CB106" s="78">
        <v>7</v>
      </c>
      <c r="CC106" s="78">
        <v>0</v>
      </c>
      <c r="CD106" s="78">
        <v>0</v>
      </c>
      <c r="CE106" s="78">
        <v>0</v>
      </c>
      <c r="CF106" s="78">
        <v>0</v>
      </c>
      <c r="CG106" s="78">
        <v>1</v>
      </c>
      <c r="CH106" s="78">
        <v>0</v>
      </c>
      <c r="CI106" s="78">
        <v>0</v>
      </c>
      <c r="CJ106" s="76">
        <v>0</v>
      </c>
      <c r="CK106" s="1" t="s">
        <v>402</v>
      </c>
      <c r="CL106" s="78">
        <v>7</v>
      </c>
      <c r="CM106" s="78">
        <v>0</v>
      </c>
      <c r="CN106" s="78">
        <v>0</v>
      </c>
      <c r="CO106" s="78">
        <v>0</v>
      </c>
      <c r="CP106" s="78">
        <v>0</v>
      </c>
      <c r="CQ106" s="78">
        <v>1</v>
      </c>
      <c r="CR106" s="78">
        <v>0</v>
      </c>
      <c r="CS106" s="78">
        <v>0</v>
      </c>
      <c r="CT106" s="76">
        <v>0</v>
      </c>
      <c r="CU106" s="1" t="s">
        <v>483</v>
      </c>
      <c r="CV106" s="78">
        <v>6</v>
      </c>
      <c r="CW106" s="78">
        <v>1</v>
      </c>
      <c r="CX106" s="78">
        <v>1</v>
      </c>
      <c r="CY106" s="78">
        <v>0</v>
      </c>
      <c r="CZ106" s="78">
        <v>0</v>
      </c>
      <c r="DA106" s="78">
        <v>1</v>
      </c>
      <c r="DB106" s="78">
        <v>0</v>
      </c>
      <c r="DC106" s="78">
        <v>0</v>
      </c>
      <c r="DD106" s="76">
        <v>1</v>
      </c>
      <c r="DE106" s="1" t="s">
        <v>365</v>
      </c>
      <c r="DF106" s="78">
        <v>6</v>
      </c>
      <c r="DG106" s="78">
        <v>0</v>
      </c>
      <c r="DH106" s="78">
        <v>1</v>
      </c>
      <c r="DI106" s="78">
        <v>0</v>
      </c>
      <c r="DJ106" s="78">
        <v>0</v>
      </c>
      <c r="DK106" s="78">
        <v>1</v>
      </c>
      <c r="DL106" s="78">
        <v>0</v>
      </c>
      <c r="DM106" s="78">
        <v>0</v>
      </c>
      <c r="DN106" s="76">
        <v>1</v>
      </c>
      <c r="DO106" s="1" t="s">
        <v>448</v>
      </c>
      <c r="DP106" s="78">
        <v>5</v>
      </c>
      <c r="DQ106" s="78">
        <v>1</v>
      </c>
      <c r="DR106" s="78">
        <v>2</v>
      </c>
      <c r="DS106" s="78">
        <v>0</v>
      </c>
      <c r="DT106" s="78">
        <v>1</v>
      </c>
      <c r="DU106" s="78">
        <v>0</v>
      </c>
      <c r="DV106" s="78">
        <v>0</v>
      </c>
      <c r="DW106" s="78">
        <v>0</v>
      </c>
      <c r="DX106" s="76">
        <v>2</v>
      </c>
      <c r="DY106" s="77">
        <v>5</v>
      </c>
      <c r="DZ106" s="43">
        <v>0</v>
      </c>
      <c r="EA106" s="43">
        <v>0</v>
      </c>
      <c r="EB106" s="45">
        <v>10</v>
      </c>
      <c r="EC106" s="43">
        <v>2</v>
      </c>
      <c r="ED106" s="44">
        <v>1</v>
      </c>
      <c r="EE106" s="71">
        <v>0</v>
      </c>
      <c r="EF106" s="43">
        <v>0</v>
      </c>
      <c r="EG106" s="43">
        <v>0</v>
      </c>
      <c r="EH106" s="43">
        <v>0</v>
      </c>
      <c r="EI106" s="43">
        <v>0</v>
      </c>
      <c r="EJ106" s="43">
        <v>0</v>
      </c>
      <c r="EK106" s="43">
        <v>0</v>
      </c>
      <c r="EL106" s="43">
        <v>3</v>
      </c>
      <c r="EM106" s="43">
        <v>0</v>
      </c>
      <c r="EN106" s="43">
        <v>0</v>
      </c>
      <c r="EO106" s="43">
        <v>0</v>
      </c>
      <c r="EP106" s="43">
        <v>0</v>
      </c>
      <c r="EQ106" s="43">
        <v>1</v>
      </c>
      <c r="ER106" s="43">
        <v>0</v>
      </c>
      <c r="ES106" s="43">
        <v>1</v>
      </c>
      <c r="ET106" s="44">
        <f t="shared" si="22"/>
        <v>5</v>
      </c>
      <c r="EU106" s="43">
        <v>0</v>
      </c>
      <c r="EV106" s="43">
        <v>0</v>
      </c>
      <c r="EW106" s="43">
        <v>1</v>
      </c>
      <c r="EX106" s="43">
        <v>1</v>
      </c>
      <c r="EY106" s="43">
        <v>0</v>
      </c>
      <c r="EZ106" s="43">
        <v>0</v>
      </c>
      <c r="FA106" s="43">
        <v>1</v>
      </c>
      <c r="FB106" s="43">
        <v>0</v>
      </c>
      <c r="FC106" s="43">
        <v>0</v>
      </c>
      <c r="FD106" s="43">
        <v>0</v>
      </c>
      <c r="FE106" s="43">
        <v>0</v>
      </c>
      <c r="FF106" s="43">
        <v>0</v>
      </c>
      <c r="FG106" s="43">
        <v>1</v>
      </c>
      <c r="FH106" s="43">
        <v>0</v>
      </c>
      <c r="FI106" s="43">
        <v>0</v>
      </c>
      <c r="FJ106" s="43">
        <f t="shared" si="23"/>
        <v>4</v>
      </c>
      <c r="FK106" s="73">
        <f t="shared" ref="FK106:FK115" si="24">((SUM(L106,AD106))-(FJ106))</f>
        <v>0</v>
      </c>
      <c r="FL106" s="73">
        <f t="shared" ref="FL106:FL115" si="25">((SUM(AO106,AY106,BI106,BS106,CC106,CM106,CW106,DG106,DQ106))-(ET106))</f>
        <v>0</v>
      </c>
      <c r="FM106" s="38"/>
    </row>
    <row r="107" spans="1:169" x14ac:dyDescent="0.25">
      <c r="A107" s="53">
        <v>40391</v>
      </c>
      <c r="B107" s="53" t="s">
        <v>133</v>
      </c>
      <c r="C107" s="53" t="s">
        <v>131</v>
      </c>
      <c r="D107" s="53" t="s">
        <v>370</v>
      </c>
      <c r="E107" s="54">
        <v>2128</v>
      </c>
      <c r="F107" s="58">
        <v>2</v>
      </c>
      <c r="G107" s="59" t="s">
        <v>438</v>
      </c>
      <c r="H107" s="6">
        <v>0</v>
      </c>
      <c r="I107" s="6">
        <v>1</v>
      </c>
      <c r="J107" s="60">
        <v>4</v>
      </c>
      <c r="K107" s="6">
        <v>9</v>
      </c>
      <c r="L107" s="6">
        <v>5</v>
      </c>
      <c r="M107" s="6">
        <v>5</v>
      </c>
      <c r="N107" s="6">
        <v>3</v>
      </c>
      <c r="O107" s="6">
        <v>2</v>
      </c>
      <c r="P107" s="6">
        <v>0</v>
      </c>
      <c r="Q107" s="6">
        <v>0</v>
      </c>
      <c r="R107" s="6">
        <v>22</v>
      </c>
      <c r="S107" s="6">
        <v>75</v>
      </c>
      <c r="T107" s="6">
        <v>44</v>
      </c>
      <c r="U107" s="6">
        <v>0</v>
      </c>
      <c r="V107" s="61">
        <v>0</v>
      </c>
      <c r="W107" s="62">
        <v>0</v>
      </c>
      <c r="X107" s="62">
        <v>0</v>
      </c>
      <c r="Y107" s="62">
        <v>0</v>
      </c>
      <c r="Z107" s="62">
        <v>0</v>
      </c>
      <c r="AA107" s="62">
        <v>0</v>
      </c>
      <c r="AB107" s="63">
        <v>4</v>
      </c>
      <c r="AC107" s="62">
        <v>5</v>
      </c>
      <c r="AD107" s="62">
        <v>0</v>
      </c>
      <c r="AE107" s="62">
        <v>0</v>
      </c>
      <c r="AF107" s="62">
        <v>0</v>
      </c>
      <c r="AG107" s="62">
        <v>1</v>
      </c>
      <c r="AH107" s="62">
        <v>0</v>
      </c>
      <c r="AI107" s="62">
        <v>0</v>
      </c>
      <c r="AJ107" s="62">
        <v>16</v>
      </c>
      <c r="AK107" s="62">
        <v>52</v>
      </c>
      <c r="AL107" s="62">
        <v>31</v>
      </c>
      <c r="AM107" s="1" t="s">
        <v>441</v>
      </c>
      <c r="AN107" s="78">
        <v>3</v>
      </c>
      <c r="AO107" s="78">
        <v>0</v>
      </c>
      <c r="AP107" s="78">
        <v>1</v>
      </c>
      <c r="AQ107" s="78">
        <v>0</v>
      </c>
      <c r="AR107" s="78">
        <v>1</v>
      </c>
      <c r="AS107" s="78">
        <v>0</v>
      </c>
      <c r="AT107" s="78">
        <v>0</v>
      </c>
      <c r="AU107" s="78">
        <v>0</v>
      </c>
      <c r="AV107" s="76">
        <v>1</v>
      </c>
      <c r="AW107" s="1" t="s">
        <v>364</v>
      </c>
      <c r="AX107" s="78">
        <v>3</v>
      </c>
      <c r="AY107" s="78">
        <v>0</v>
      </c>
      <c r="AZ107" s="78">
        <v>0</v>
      </c>
      <c r="BA107" s="78">
        <v>0</v>
      </c>
      <c r="BB107" s="78">
        <v>1</v>
      </c>
      <c r="BC107" s="78">
        <v>1</v>
      </c>
      <c r="BD107" s="78">
        <v>0</v>
      </c>
      <c r="BE107" s="78">
        <v>0</v>
      </c>
      <c r="BF107" s="76">
        <v>0</v>
      </c>
      <c r="BG107" s="1" t="s">
        <v>501</v>
      </c>
      <c r="BH107" s="78">
        <v>4</v>
      </c>
      <c r="BI107" s="78">
        <v>1</v>
      </c>
      <c r="BJ107" s="78">
        <v>2</v>
      </c>
      <c r="BK107" s="78">
        <v>0</v>
      </c>
      <c r="BL107" s="78">
        <v>0</v>
      </c>
      <c r="BM107" s="78">
        <v>1</v>
      </c>
      <c r="BN107" s="78">
        <v>0</v>
      </c>
      <c r="BO107" s="78">
        <v>0</v>
      </c>
      <c r="BP107" s="76">
        <v>3</v>
      </c>
      <c r="BQ107" s="1" t="s">
        <v>496</v>
      </c>
      <c r="BR107" s="78">
        <v>4</v>
      </c>
      <c r="BS107" s="78">
        <v>0</v>
      </c>
      <c r="BT107" s="78">
        <v>0</v>
      </c>
      <c r="BU107" s="78">
        <v>0</v>
      </c>
      <c r="BV107" s="78">
        <v>0</v>
      </c>
      <c r="BW107" s="78">
        <v>0</v>
      </c>
      <c r="BX107" s="78">
        <v>0</v>
      </c>
      <c r="BY107" s="78">
        <v>0</v>
      </c>
      <c r="BZ107" s="76">
        <v>0</v>
      </c>
      <c r="CA107" s="1" t="s">
        <v>446</v>
      </c>
      <c r="CB107" s="78">
        <v>4</v>
      </c>
      <c r="CC107" s="78">
        <v>0</v>
      </c>
      <c r="CD107" s="78">
        <v>1</v>
      </c>
      <c r="CE107" s="78">
        <v>0</v>
      </c>
      <c r="CF107" s="78">
        <v>0</v>
      </c>
      <c r="CG107" s="78">
        <v>1</v>
      </c>
      <c r="CH107" s="78">
        <v>0</v>
      </c>
      <c r="CI107" s="78">
        <v>0</v>
      </c>
      <c r="CJ107" s="76">
        <v>2</v>
      </c>
      <c r="CK107" s="1" t="s">
        <v>402</v>
      </c>
      <c r="CL107" s="78">
        <v>4</v>
      </c>
      <c r="CM107" s="78">
        <v>0</v>
      </c>
      <c r="CN107" s="78">
        <v>1</v>
      </c>
      <c r="CO107" s="78">
        <v>1</v>
      </c>
      <c r="CP107" s="78">
        <v>0</v>
      </c>
      <c r="CQ107" s="78">
        <v>1</v>
      </c>
      <c r="CR107" s="78">
        <v>0</v>
      </c>
      <c r="CS107" s="78">
        <v>0</v>
      </c>
      <c r="CT107" s="76">
        <v>1</v>
      </c>
      <c r="CU107" s="1" t="s">
        <v>365</v>
      </c>
      <c r="CV107" s="78">
        <v>4</v>
      </c>
      <c r="CW107" s="78">
        <v>0</v>
      </c>
      <c r="CX107" s="78">
        <v>0</v>
      </c>
      <c r="CY107" s="78">
        <v>0</v>
      </c>
      <c r="CZ107" s="78">
        <v>0</v>
      </c>
      <c r="DA107" s="78">
        <v>0</v>
      </c>
      <c r="DB107" s="78">
        <v>0</v>
      </c>
      <c r="DC107" s="78">
        <v>0</v>
      </c>
      <c r="DD107" s="76">
        <v>0</v>
      </c>
      <c r="DE107" s="1" t="s">
        <v>448</v>
      </c>
      <c r="DF107" s="78">
        <v>3</v>
      </c>
      <c r="DG107" s="78">
        <v>0</v>
      </c>
      <c r="DH107" s="78">
        <v>0</v>
      </c>
      <c r="DI107" s="78">
        <v>0</v>
      </c>
      <c r="DJ107" s="78">
        <v>0</v>
      </c>
      <c r="DK107" s="78">
        <v>0</v>
      </c>
      <c r="DL107" s="78">
        <v>0</v>
      </c>
      <c r="DM107" s="78">
        <v>0</v>
      </c>
      <c r="DN107" s="76">
        <v>0</v>
      </c>
      <c r="DO107" s="1" t="s">
        <v>449</v>
      </c>
      <c r="DP107" s="78">
        <v>3</v>
      </c>
      <c r="DQ107" s="78">
        <v>0</v>
      </c>
      <c r="DR107" s="78">
        <v>1</v>
      </c>
      <c r="DS107" s="78">
        <v>0</v>
      </c>
      <c r="DT107" s="78">
        <v>0</v>
      </c>
      <c r="DU107" s="78">
        <v>0</v>
      </c>
      <c r="DV107" s="78">
        <v>0</v>
      </c>
      <c r="DW107" s="78">
        <v>0</v>
      </c>
      <c r="DX107" s="76">
        <v>1</v>
      </c>
      <c r="DY107" s="77">
        <f>7+2/3</f>
        <v>7.666666666666667</v>
      </c>
      <c r="DZ107" s="43">
        <v>0</v>
      </c>
      <c r="EA107" s="43">
        <v>0</v>
      </c>
      <c r="EB107" s="45">
        <f>1+1/3</f>
        <v>1.3333333333333333</v>
      </c>
      <c r="EC107" s="43">
        <v>0</v>
      </c>
      <c r="ED107" s="44">
        <v>0</v>
      </c>
      <c r="EE107" s="71">
        <v>0</v>
      </c>
      <c r="EF107" s="43">
        <v>0</v>
      </c>
      <c r="EG107" s="43">
        <v>0</v>
      </c>
      <c r="EH107" s="43">
        <v>1</v>
      </c>
      <c r="EI107" s="43">
        <v>0</v>
      </c>
      <c r="EJ107" s="43">
        <v>0</v>
      </c>
      <c r="EK107" s="43">
        <v>0</v>
      </c>
      <c r="EL107" s="43">
        <v>0</v>
      </c>
      <c r="EM107" s="43">
        <v>0</v>
      </c>
      <c r="EN107" s="43"/>
      <c r="EO107" s="43"/>
      <c r="EP107" s="43"/>
      <c r="EQ107" s="43"/>
      <c r="ER107" s="43"/>
      <c r="ES107" s="43"/>
      <c r="ET107" s="44">
        <f t="shared" ref="ET107:ET115" si="26">SUM(EE107:ES107)</f>
        <v>1</v>
      </c>
      <c r="EU107" s="43">
        <v>2</v>
      </c>
      <c r="EV107" s="43">
        <v>0</v>
      </c>
      <c r="EW107" s="43">
        <v>3</v>
      </c>
      <c r="EX107" s="43">
        <v>0</v>
      </c>
      <c r="EY107" s="43">
        <v>0</v>
      </c>
      <c r="EZ107" s="43">
        <v>0</v>
      </c>
      <c r="FA107" s="43">
        <v>0</v>
      </c>
      <c r="FB107" s="43">
        <v>0</v>
      </c>
      <c r="FC107" s="43"/>
      <c r="FD107" s="43"/>
      <c r="FE107" s="43"/>
      <c r="FF107" s="43"/>
      <c r="FG107" s="43"/>
      <c r="FH107" s="43"/>
      <c r="FI107" s="43"/>
      <c r="FJ107" s="43">
        <f t="shared" ref="FJ107:FJ115" si="27">SUM(EU107:FI107)</f>
        <v>5</v>
      </c>
      <c r="FK107" s="73">
        <f t="shared" si="24"/>
        <v>0</v>
      </c>
      <c r="FL107" s="73">
        <f t="shared" si="25"/>
        <v>0</v>
      </c>
      <c r="FM107" s="38"/>
    </row>
    <row r="108" spans="1:169" x14ac:dyDescent="0.25">
      <c r="A108" s="325">
        <v>40392</v>
      </c>
      <c r="B108" s="325" t="s">
        <v>19</v>
      </c>
      <c r="C108" s="325" t="s">
        <v>129</v>
      </c>
      <c r="D108" s="325" t="s">
        <v>476</v>
      </c>
      <c r="E108" s="322">
        <v>2191</v>
      </c>
      <c r="F108" s="307">
        <v>3</v>
      </c>
      <c r="G108" s="308" t="s">
        <v>368</v>
      </c>
      <c r="H108" s="309">
        <v>0</v>
      </c>
      <c r="I108" s="309">
        <v>0</v>
      </c>
      <c r="J108" s="310">
        <v>6</v>
      </c>
      <c r="K108" s="309">
        <v>5</v>
      </c>
      <c r="L108" s="309">
        <v>0</v>
      </c>
      <c r="M108" s="309">
        <v>0</v>
      </c>
      <c r="N108" s="309">
        <v>1</v>
      </c>
      <c r="O108" s="309">
        <v>5</v>
      </c>
      <c r="P108" s="309">
        <v>0</v>
      </c>
      <c r="Q108" s="309">
        <v>0</v>
      </c>
      <c r="R108" s="309">
        <v>22</v>
      </c>
      <c r="S108" s="309">
        <v>89</v>
      </c>
      <c r="T108" s="309">
        <v>59</v>
      </c>
      <c r="U108" s="309">
        <v>0</v>
      </c>
      <c r="V108" s="311">
        <v>0</v>
      </c>
      <c r="W108" s="323">
        <v>1</v>
      </c>
      <c r="X108" s="323">
        <v>0</v>
      </c>
      <c r="Y108" s="323">
        <v>0</v>
      </c>
      <c r="Z108" s="323">
        <v>0</v>
      </c>
      <c r="AA108" s="323">
        <v>2</v>
      </c>
      <c r="AB108" s="324">
        <v>4</v>
      </c>
      <c r="AC108" s="323">
        <v>5</v>
      </c>
      <c r="AD108" s="323">
        <v>3</v>
      </c>
      <c r="AE108" s="323">
        <v>2</v>
      </c>
      <c r="AF108" s="323">
        <v>2</v>
      </c>
      <c r="AG108" s="323">
        <v>4</v>
      </c>
      <c r="AH108" s="323">
        <v>2</v>
      </c>
      <c r="AI108" s="323">
        <v>0</v>
      </c>
      <c r="AJ108" s="323">
        <v>19</v>
      </c>
      <c r="AK108" s="323">
        <v>67</v>
      </c>
      <c r="AL108" s="323">
        <v>44</v>
      </c>
      <c r="AM108" s="312" t="s">
        <v>441</v>
      </c>
      <c r="AN108" s="313">
        <v>4</v>
      </c>
      <c r="AO108" s="313">
        <v>1</v>
      </c>
      <c r="AP108" s="313">
        <v>1</v>
      </c>
      <c r="AQ108" s="313">
        <v>0</v>
      </c>
      <c r="AR108" s="313">
        <v>0</v>
      </c>
      <c r="AS108" s="313">
        <v>3</v>
      </c>
      <c r="AT108" s="313">
        <v>0</v>
      </c>
      <c r="AU108" s="313">
        <v>0</v>
      </c>
      <c r="AV108" s="314">
        <v>1</v>
      </c>
      <c r="AW108" s="312" t="s">
        <v>402</v>
      </c>
      <c r="AX108" s="313">
        <v>3</v>
      </c>
      <c r="AY108" s="313">
        <v>0</v>
      </c>
      <c r="AZ108" s="313">
        <v>0</v>
      </c>
      <c r="BA108" s="313">
        <v>0</v>
      </c>
      <c r="BB108" s="313">
        <v>1</v>
      </c>
      <c r="BC108" s="313">
        <v>0</v>
      </c>
      <c r="BD108" s="313">
        <v>0</v>
      </c>
      <c r="BE108" s="313">
        <v>0</v>
      </c>
      <c r="BF108" s="314">
        <v>0</v>
      </c>
      <c r="BG108" s="312" t="s">
        <v>501</v>
      </c>
      <c r="BH108" s="313">
        <v>4</v>
      </c>
      <c r="BI108" s="313">
        <v>0</v>
      </c>
      <c r="BJ108" s="313">
        <v>1</v>
      </c>
      <c r="BK108" s="313">
        <v>0</v>
      </c>
      <c r="BL108" s="313">
        <v>1</v>
      </c>
      <c r="BM108" s="313">
        <v>1</v>
      </c>
      <c r="BN108" s="313">
        <v>0</v>
      </c>
      <c r="BO108" s="313">
        <v>0</v>
      </c>
      <c r="BP108" s="314">
        <v>1</v>
      </c>
      <c r="BQ108" s="312" t="s">
        <v>496</v>
      </c>
      <c r="BR108" s="313">
        <v>3</v>
      </c>
      <c r="BS108" s="313">
        <v>2</v>
      </c>
      <c r="BT108" s="313">
        <v>1</v>
      </c>
      <c r="BU108" s="313">
        <v>1</v>
      </c>
      <c r="BV108" s="313">
        <v>1</v>
      </c>
      <c r="BW108" s="313">
        <v>2</v>
      </c>
      <c r="BX108" s="313">
        <v>0</v>
      </c>
      <c r="BY108" s="313">
        <v>1</v>
      </c>
      <c r="BZ108" s="314">
        <v>1</v>
      </c>
      <c r="CA108" s="312" t="s">
        <v>446</v>
      </c>
      <c r="CB108" s="313">
        <v>4</v>
      </c>
      <c r="CC108" s="313">
        <v>1</v>
      </c>
      <c r="CD108" s="313">
        <v>1</v>
      </c>
      <c r="CE108" s="313">
        <v>0</v>
      </c>
      <c r="CF108" s="313">
        <v>1</v>
      </c>
      <c r="CG108" s="313">
        <v>1</v>
      </c>
      <c r="CH108" s="313">
        <v>0</v>
      </c>
      <c r="CI108" s="313">
        <v>0</v>
      </c>
      <c r="CJ108" s="314">
        <v>1</v>
      </c>
      <c r="CK108" s="312" t="s">
        <v>448</v>
      </c>
      <c r="CL108" s="313">
        <v>4</v>
      </c>
      <c r="CM108" s="313">
        <v>0</v>
      </c>
      <c r="CN108" s="313">
        <v>1</v>
      </c>
      <c r="CO108" s="313">
        <v>1</v>
      </c>
      <c r="CP108" s="313">
        <v>1</v>
      </c>
      <c r="CQ108" s="313">
        <v>1</v>
      </c>
      <c r="CR108" s="313">
        <v>0</v>
      </c>
      <c r="CS108" s="313">
        <v>0</v>
      </c>
      <c r="CT108" s="314">
        <v>1</v>
      </c>
      <c r="CU108" s="312" t="s">
        <v>483</v>
      </c>
      <c r="CV108" s="313">
        <v>5</v>
      </c>
      <c r="CW108" s="313">
        <v>0</v>
      </c>
      <c r="CX108" s="313">
        <v>0</v>
      </c>
      <c r="CY108" s="313">
        <v>0</v>
      </c>
      <c r="CZ108" s="313">
        <v>0</v>
      </c>
      <c r="DA108" s="313">
        <v>2</v>
      </c>
      <c r="DB108" s="313">
        <v>0</v>
      </c>
      <c r="DC108" s="313">
        <v>0</v>
      </c>
      <c r="DD108" s="314">
        <v>0</v>
      </c>
      <c r="DE108" s="312" t="s">
        <v>365</v>
      </c>
      <c r="DF108" s="313">
        <v>5</v>
      </c>
      <c r="DG108" s="313">
        <v>0</v>
      </c>
      <c r="DH108" s="313">
        <v>4</v>
      </c>
      <c r="DI108" s="313">
        <v>1</v>
      </c>
      <c r="DJ108" s="313">
        <v>0</v>
      </c>
      <c r="DK108" s="313">
        <v>0</v>
      </c>
      <c r="DL108" s="313">
        <v>0</v>
      </c>
      <c r="DM108" s="313">
        <v>0</v>
      </c>
      <c r="DN108" s="314">
        <v>4</v>
      </c>
      <c r="DO108" s="312" t="s">
        <v>364</v>
      </c>
      <c r="DP108" s="313">
        <v>3</v>
      </c>
      <c r="DQ108" s="313">
        <v>0</v>
      </c>
      <c r="DR108" s="313">
        <v>0</v>
      </c>
      <c r="DS108" s="313">
        <v>0</v>
      </c>
      <c r="DT108" s="313">
        <v>0</v>
      </c>
      <c r="DU108" s="313">
        <v>0</v>
      </c>
      <c r="DV108" s="313">
        <v>0</v>
      </c>
      <c r="DW108" s="313">
        <v>0</v>
      </c>
      <c r="DX108" s="314">
        <v>0</v>
      </c>
      <c r="DY108" s="315">
        <v>0</v>
      </c>
      <c r="DZ108" s="316">
        <v>0</v>
      </c>
      <c r="EA108" s="316">
        <v>0</v>
      </c>
      <c r="EB108" s="317">
        <f>9+2/3</f>
        <v>9.6666666666666661</v>
      </c>
      <c r="EC108" s="316">
        <v>3</v>
      </c>
      <c r="ED108" s="318">
        <v>0</v>
      </c>
      <c r="EE108" s="319">
        <v>0</v>
      </c>
      <c r="EF108" s="316">
        <v>0</v>
      </c>
      <c r="EG108" s="316">
        <v>0</v>
      </c>
      <c r="EH108" s="316">
        <v>2</v>
      </c>
      <c r="EI108" s="316">
        <v>0</v>
      </c>
      <c r="EJ108" s="316">
        <v>0</v>
      </c>
      <c r="EK108" s="316">
        <v>0</v>
      </c>
      <c r="EL108" s="316">
        <v>1</v>
      </c>
      <c r="EM108" s="316">
        <v>0</v>
      </c>
      <c r="EN108" s="316">
        <v>1</v>
      </c>
      <c r="EO108" s="316"/>
      <c r="EP108" s="316"/>
      <c r="EQ108" s="316"/>
      <c r="ER108" s="316"/>
      <c r="ES108" s="316"/>
      <c r="ET108" s="318">
        <f t="shared" si="26"/>
        <v>4</v>
      </c>
      <c r="EU108" s="316">
        <v>0</v>
      </c>
      <c r="EV108" s="316">
        <v>0</v>
      </c>
      <c r="EW108" s="316">
        <v>0</v>
      </c>
      <c r="EX108" s="316">
        <v>0</v>
      </c>
      <c r="EY108" s="316">
        <v>0</v>
      </c>
      <c r="EZ108" s="316">
        <v>0</v>
      </c>
      <c r="FA108" s="316">
        <v>0</v>
      </c>
      <c r="FB108" s="316">
        <v>2</v>
      </c>
      <c r="FC108" s="316">
        <v>1</v>
      </c>
      <c r="FD108" s="316">
        <v>0</v>
      </c>
      <c r="FE108" s="316"/>
      <c r="FF108" s="316"/>
      <c r="FG108" s="316"/>
      <c r="FH108" s="316"/>
      <c r="FI108" s="316"/>
      <c r="FJ108" s="316">
        <f t="shared" si="27"/>
        <v>3</v>
      </c>
      <c r="FK108" s="320">
        <f t="shared" si="24"/>
        <v>0</v>
      </c>
      <c r="FL108" s="320">
        <f t="shared" si="25"/>
        <v>0</v>
      </c>
      <c r="FM108" s="321"/>
    </row>
    <row r="109" spans="1:169" x14ac:dyDescent="0.25">
      <c r="A109" s="325">
        <v>40393</v>
      </c>
      <c r="B109" s="325" t="s">
        <v>19</v>
      </c>
      <c r="C109" s="325" t="s">
        <v>129</v>
      </c>
      <c r="D109" s="325" t="s">
        <v>476</v>
      </c>
      <c r="E109" s="322">
        <v>2319</v>
      </c>
      <c r="F109" s="307">
        <v>4</v>
      </c>
      <c r="G109" s="308" t="s">
        <v>439</v>
      </c>
      <c r="H109" s="309">
        <v>1</v>
      </c>
      <c r="I109" s="309">
        <v>0</v>
      </c>
      <c r="J109" s="310">
        <f>5+2/3</f>
        <v>5.666666666666667</v>
      </c>
      <c r="K109" s="309">
        <v>3</v>
      </c>
      <c r="L109" s="309">
        <v>0</v>
      </c>
      <c r="M109" s="309">
        <v>0</v>
      </c>
      <c r="N109" s="309">
        <v>1</v>
      </c>
      <c r="O109" s="309">
        <v>3</v>
      </c>
      <c r="P109" s="309">
        <v>0</v>
      </c>
      <c r="Q109" s="309">
        <v>0</v>
      </c>
      <c r="R109" s="309">
        <v>21</v>
      </c>
      <c r="S109" s="309">
        <v>93</v>
      </c>
      <c r="T109" s="309">
        <v>59</v>
      </c>
      <c r="U109" s="309">
        <v>2</v>
      </c>
      <c r="V109" s="311">
        <v>0</v>
      </c>
      <c r="W109" s="323">
        <v>0</v>
      </c>
      <c r="X109" s="323">
        <v>0</v>
      </c>
      <c r="Y109" s="323">
        <v>2</v>
      </c>
      <c r="Z109" s="323">
        <v>1</v>
      </c>
      <c r="AA109" s="323">
        <v>0</v>
      </c>
      <c r="AB109" s="324">
        <f>3+1/3</f>
        <v>3.3333333333333335</v>
      </c>
      <c r="AC109" s="323">
        <v>5</v>
      </c>
      <c r="AD109" s="323">
        <v>2</v>
      </c>
      <c r="AE109" s="323">
        <v>2</v>
      </c>
      <c r="AF109" s="323">
        <v>0</v>
      </c>
      <c r="AG109" s="323">
        <v>3</v>
      </c>
      <c r="AH109" s="323">
        <v>0</v>
      </c>
      <c r="AI109" s="323">
        <v>0</v>
      </c>
      <c r="AJ109" s="323">
        <v>15</v>
      </c>
      <c r="AK109" s="323">
        <v>58</v>
      </c>
      <c r="AL109" s="323">
        <v>38</v>
      </c>
      <c r="AM109" s="312" t="s">
        <v>441</v>
      </c>
      <c r="AN109" s="313">
        <v>3</v>
      </c>
      <c r="AO109" s="313">
        <v>2</v>
      </c>
      <c r="AP109" s="313">
        <v>2</v>
      </c>
      <c r="AQ109" s="313">
        <v>0</v>
      </c>
      <c r="AR109" s="313">
        <v>0</v>
      </c>
      <c r="AS109" s="313">
        <v>0</v>
      </c>
      <c r="AT109" s="313">
        <v>0</v>
      </c>
      <c r="AU109" s="313">
        <v>0</v>
      </c>
      <c r="AV109" s="314">
        <v>4</v>
      </c>
      <c r="AW109" s="312" t="s">
        <v>402</v>
      </c>
      <c r="AX109" s="313">
        <v>4</v>
      </c>
      <c r="AY109" s="313">
        <v>0</v>
      </c>
      <c r="AZ109" s="313">
        <v>2</v>
      </c>
      <c r="BA109" s="313">
        <v>1</v>
      </c>
      <c r="BB109" s="313">
        <v>0</v>
      </c>
      <c r="BC109" s="313">
        <v>0</v>
      </c>
      <c r="BD109" s="313">
        <v>0</v>
      </c>
      <c r="BE109" s="313">
        <v>0</v>
      </c>
      <c r="BF109" s="314">
        <v>2</v>
      </c>
      <c r="BG109" s="312" t="s">
        <v>501</v>
      </c>
      <c r="BH109" s="313">
        <v>4</v>
      </c>
      <c r="BI109" s="313">
        <v>0</v>
      </c>
      <c r="BJ109" s="313">
        <v>0</v>
      </c>
      <c r="BK109" s="313">
        <v>0</v>
      </c>
      <c r="BL109" s="313">
        <v>0</v>
      </c>
      <c r="BM109" s="313">
        <v>2</v>
      </c>
      <c r="BN109" s="313">
        <v>0</v>
      </c>
      <c r="BO109" s="313">
        <v>0</v>
      </c>
      <c r="BP109" s="314">
        <v>0</v>
      </c>
      <c r="BQ109" s="312" t="s">
        <v>496</v>
      </c>
      <c r="BR109" s="313">
        <v>4</v>
      </c>
      <c r="BS109" s="313">
        <v>0</v>
      </c>
      <c r="BT109" s="313">
        <v>0</v>
      </c>
      <c r="BU109" s="313">
        <v>0</v>
      </c>
      <c r="BV109" s="313">
        <v>0</v>
      </c>
      <c r="BW109" s="313">
        <v>2</v>
      </c>
      <c r="BX109" s="313">
        <v>0</v>
      </c>
      <c r="BY109" s="313">
        <v>0</v>
      </c>
      <c r="BZ109" s="314">
        <v>0</v>
      </c>
      <c r="CA109" s="312" t="s">
        <v>446</v>
      </c>
      <c r="CB109" s="313">
        <v>3</v>
      </c>
      <c r="CC109" s="313">
        <v>1</v>
      </c>
      <c r="CD109" s="313">
        <v>2</v>
      </c>
      <c r="CE109" s="313">
        <v>0</v>
      </c>
      <c r="CF109" s="313">
        <v>0</v>
      </c>
      <c r="CG109" s="313">
        <v>0</v>
      </c>
      <c r="CH109" s="313">
        <v>1</v>
      </c>
      <c r="CI109" s="313">
        <v>0</v>
      </c>
      <c r="CJ109" s="314">
        <v>2</v>
      </c>
      <c r="CK109" s="312" t="s">
        <v>448</v>
      </c>
      <c r="CL109" s="313">
        <v>4</v>
      </c>
      <c r="CM109" s="313">
        <v>0</v>
      </c>
      <c r="CN109" s="313">
        <v>1</v>
      </c>
      <c r="CO109" s="313">
        <v>0</v>
      </c>
      <c r="CP109" s="313">
        <v>0</v>
      </c>
      <c r="CQ109" s="313">
        <v>1</v>
      </c>
      <c r="CR109" s="313">
        <v>0</v>
      </c>
      <c r="CS109" s="313">
        <v>0</v>
      </c>
      <c r="CT109" s="314">
        <v>1</v>
      </c>
      <c r="CU109" s="312" t="s">
        <v>483</v>
      </c>
      <c r="CV109" s="313">
        <v>2</v>
      </c>
      <c r="CW109" s="313">
        <v>0</v>
      </c>
      <c r="CX109" s="313">
        <v>0</v>
      </c>
      <c r="CY109" s="313">
        <v>0</v>
      </c>
      <c r="CZ109" s="313">
        <v>2</v>
      </c>
      <c r="DA109" s="313">
        <v>1</v>
      </c>
      <c r="DB109" s="313">
        <v>0</v>
      </c>
      <c r="DC109" s="313">
        <v>0</v>
      </c>
      <c r="DD109" s="314">
        <v>0</v>
      </c>
      <c r="DE109" s="312" t="s">
        <v>364</v>
      </c>
      <c r="DF109" s="313">
        <v>3</v>
      </c>
      <c r="DG109" s="313">
        <v>0</v>
      </c>
      <c r="DH109" s="313">
        <v>1</v>
      </c>
      <c r="DI109" s="313">
        <v>1</v>
      </c>
      <c r="DJ109" s="313">
        <v>1</v>
      </c>
      <c r="DK109" s="313">
        <v>1</v>
      </c>
      <c r="DL109" s="313">
        <v>0</v>
      </c>
      <c r="DM109" s="313">
        <v>0</v>
      </c>
      <c r="DN109" s="314">
        <v>2</v>
      </c>
      <c r="DO109" s="312" t="s">
        <v>449</v>
      </c>
      <c r="DP109" s="313">
        <v>2</v>
      </c>
      <c r="DQ109" s="313">
        <v>0</v>
      </c>
      <c r="DR109" s="313">
        <v>0</v>
      </c>
      <c r="DS109" s="313">
        <v>0</v>
      </c>
      <c r="DT109" s="313">
        <v>2</v>
      </c>
      <c r="DU109" s="313">
        <v>0</v>
      </c>
      <c r="DV109" s="313">
        <v>0</v>
      </c>
      <c r="DW109" s="313">
        <v>0</v>
      </c>
      <c r="DX109" s="314">
        <v>0</v>
      </c>
      <c r="DY109" s="315">
        <v>6</v>
      </c>
      <c r="DZ109" s="316">
        <v>2</v>
      </c>
      <c r="EA109" s="316">
        <v>1</v>
      </c>
      <c r="EB109" s="317">
        <v>2</v>
      </c>
      <c r="EC109" s="316">
        <v>0</v>
      </c>
      <c r="ED109" s="318">
        <v>0</v>
      </c>
      <c r="EE109" s="319">
        <v>1</v>
      </c>
      <c r="EF109" s="316">
        <v>0</v>
      </c>
      <c r="EG109" s="316">
        <v>0</v>
      </c>
      <c r="EH109" s="316">
        <v>0</v>
      </c>
      <c r="EI109" s="316">
        <v>0</v>
      </c>
      <c r="EJ109" s="316">
        <v>1</v>
      </c>
      <c r="EK109" s="316">
        <v>1</v>
      </c>
      <c r="EL109" s="316">
        <v>0</v>
      </c>
      <c r="EM109" s="316"/>
      <c r="EN109" s="316"/>
      <c r="EO109" s="316"/>
      <c r="EP109" s="316"/>
      <c r="EQ109" s="316"/>
      <c r="ER109" s="316"/>
      <c r="ES109" s="316"/>
      <c r="ET109" s="318">
        <f t="shared" si="26"/>
        <v>3</v>
      </c>
      <c r="EU109" s="316">
        <v>0</v>
      </c>
      <c r="EV109" s="316">
        <v>0</v>
      </c>
      <c r="EW109" s="316">
        <v>0</v>
      </c>
      <c r="EX109" s="316">
        <v>0</v>
      </c>
      <c r="EY109" s="316">
        <v>0</v>
      </c>
      <c r="EZ109" s="316">
        <v>0</v>
      </c>
      <c r="FA109" s="316">
        <v>1</v>
      </c>
      <c r="FB109" s="316">
        <v>1</v>
      </c>
      <c r="FC109" s="316"/>
      <c r="FD109" s="316"/>
      <c r="FE109" s="316"/>
      <c r="FF109" s="316"/>
      <c r="FG109" s="316"/>
      <c r="FH109" s="316"/>
      <c r="FI109" s="316"/>
      <c r="FJ109" s="316">
        <f t="shared" si="27"/>
        <v>2</v>
      </c>
      <c r="FK109" s="320">
        <f t="shared" si="24"/>
        <v>0</v>
      </c>
      <c r="FL109" s="320">
        <f t="shared" si="25"/>
        <v>0</v>
      </c>
      <c r="FM109" s="321"/>
    </row>
    <row r="110" spans="1:169" x14ac:dyDescent="0.25">
      <c r="A110" s="325">
        <v>40394</v>
      </c>
      <c r="B110" s="325" t="s">
        <v>19</v>
      </c>
      <c r="C110" s="325" t="s">
        <v>131</v>
      </c>
      <c r="D110" s="325" t="s">
        <v>476</v>
      </c>
      <c r="E110" s="322">
        <v>2574</v>
      </c>
      <c r="F110" s="307">
        <v>5</v>
      </c>
      <c r="G110" s="308" t="s">
        <v>424</v>
      </c>
      <c r="H110" s="309">
        <v>0</v>
      </c>
      <c r="I110" s="309">
        <v>1</v>
      </c>
      <c r="J110" s="310">
        <v>5</v>
      </c>
      <c r="K110" s="309">
        <v>7</v>
      </c>
      <c r="L110" s="309">
        <v>2</v>
      </c>
      <c r="M110" s="309">
        <v>1</v>
      </c>
      <c r="N110" s="309">
        <v>1</v>
      </c>
      <c r="O110" s="309">
        <v>5</v>
      </c>
      <c r="P110" s="309">
        <v>0</v>
      </c>
      <c r="Q110" s="309">
        <v>0</v>
      </c>
      <c r="R110" s="309">
        <v>22</v>
      </c>
      <c r="S110" s="309">
        <v>97</v>
      </c>
      <c r="T110" s="309">
        <v>60</v>
      </c>
      <c r="U110" s="309">
        <v>0</v>
      </c>
      <c r="V110" s="311">
        <v>0</v>
      </c>
      <c r="W110" s="323">
        <v>0</v>
      </c>
      <c r="X110" s="323">
        <v>0</v>
      </c>
      <c r="Y110" s="323">
        <v>0</v>
      </c>
      <c r="Z110" s="323">
        <v>0</v>
      </c>
      <c r="AA110" s="323">
        <v>0</v>
      </c>
      <c r="AB110" s="324">
        <v>4</v>
      </c>
      <c r="AC110" s="323">
        <v>3</v>
      </c>
      <c r="AD110" s="323">
        <v>1</v>
      </c>
      <c r="AE110" s="323">
        <v>1</v>
      </c>
      <c r="AF110" s="323">
        <v>1</v>
      </c>
      <c r="AG110" s="323">
        <v>3</v>
      </c>
      <c r="AH110" s="323">
        <v>0</v>
      </c>
      <c r="AI110" s="323">
        <v>1</v>
      </c>
      <c r="AJ110" s="323">
        <v>16</v>
      </c>
      <c r="AK110" s="323">
        <v>59</v>
      </c>
      <c r="AL110" s="323">
        <v>39</v>
      </c>
      <c r="AM110" s="312" t="s">
        <v>441</v>
      </c>
      <c r="AN110" s="313">
        <v>4</v>
      </c>
      <c r="AO110" s="313">
        <v>0</v>
      </c>
      <c r="AP110" s="313">
        <v>2</v>
      </c>
      <c r="AQ110" s="313">
        <v>0</v>
      </c>
      <c r="AR110" s="313">
        <v>0</v>
      </c>
      <c r="AS110" s="313">
        <v>0</v>
      </c>
      <c r="AT110" s="313">
        <v>0</v>
      </c>
      <c r="AU110" s="313">
        <v>0</v>
      </c>
      <c r="AV110" s="314">
        <v>2</v>
      </c>
      <c r="AW110" s="312" t="s">
        <v>402</v>
      </c>
      <c r="AX110" s="313">
        <v>4</v>
      </c>
      <c r="AY110" s="313">
        <v>0</v>
      </c>
      <c r="AZ110" s="313">
        <v>0</v>
      </c>
      <c r="BA110" s="313">
        <v>0</v>
      </c>
      <c r="BB110" s="313">
        <v>0</v>
      </c>
      <c r="BC110" s="313">
        <v>1</v>
      </c>
      <c r="BD110" s="313">
        <v>0</v>
      </c>
      <c r="BE110" s="313">
        <v>0</v>
      </c>
      <c r="BF110" s="314">
        <v>0</v>
      </c>
      <c r="BG110" s="312" t="s">
        <v>446</v>
      </c>
      <c r="BH110" s="313">
        <v>4</v>
      </c>
      <c r="BI110" s="313">
        <v>0</v>
      </c>
      <c r="BJ110" s="313">
        <v>2</v>
      </c>
      <c r="BK110" s="313">
        <v>1</v>
      </c>
      <c r="BL110" s="313">
        <v>0</v>
      </c>
      <c r="BM110" s="313">
        <v>1</v>
      </c>
      <c r="BN110" s="313">
        <v>0</v>
      </c>
      <c r="BO110" s="313">
        <v>0</v>
      </c>
      <c r="BP110" s="314">
        <v>2</v>
      </c>
      <c r="BQ110" s="312" t="s">
        <v>496</v>
      </c>
      <c r="BR110" s="313">
        <v>4</v>
      </c>
      <c r="BS110" s="313">
        <v>0</v>
      </c>
      <c r="BT110" s="313">
        <v>0</v>
      </c>
      <c r="BU110" s="313">
        <v>0</v>
      </c>
      <c r="BV110" s="313">
        <v>0</v>
      </c>
      <c r="BW110" s="313">
        <v>2</v>
      </c>
      <c r="BX110" s="313">
        <v>0</v>
      </c>
      <c r="BY110" s="313">
        <v>0</v>
      </c>
      <c r="BZ110" s="314">
        <v>0</v>
      </c>
      <c r="CA110" s="312" t="s">
        <v>364</v>
      </c>
      <c r="CB110" s="313">
        <v>4</v>
      </c>
      <c r="CC110" s="313">
        <v>0</v>
      </c>
      <c r="CD110" s="313">
        <v>1</v>
      </c>
      <c r="CE110" s="313">
        <v>0</v>
      </c>
      <c r="CF110" s="313">
        <v>0</v>
      </c>
      <c r="CG110" s="313">
        <v>0</v>
      </c>
      <c r="CH110" s="313">
        <v>0</v>
      </c>
      <c r="CI110" s="313">
        <v>0</v>
      </c>
      <c r="CJ110" s="314">
        <v>3</v>
      </c>
      <c r="CK110" s="312" t="s">
        <v>448</v>
      </c>
      <c r="CL110" s="313">
        <v>3</v>
      </c>
      <c r="CM110" s="313">
        <v>0</v>
      </c>
      <c r="CN110" s="313">
        <v>0</v>
      </c>
      <c r="CO110" s="313">
        <v>0</v>
      </c>
      <c r="CP110" s="313">
        <v>0</v>
      </c>
      <c r="CQ110" s="313">
        <v>0</v>
      </c>
      <c r="CR110" s="313">
        <v>0</v>
      </c>
      <c r="CS110" s="313">
        <v>0</v>
      </c>
      <c r="CT110" s="314">
        <v>0</v>
      </c>
      <c r="CU110" s="312" t="s">
        <v>639</v>
      </c>
      <c r="CV110" s="313">
        <v>3</v>
      </c>
      <c r="CW110" s="313">
        <v>0</v>
      </c>
      <c r="CX110" s="313">
        <v>0</v>
      </c>
      <c r="CY110" s="313">
        <v>0</v>
      </c>
      <c r="CZ110" s="313">
        <v>0</v>
      </c>
      <c r="DA110" s="313">
        <v>1</v>
      </c>
      <c r="DB110" s="313">
        <v>0</v>
      </c>
      <c r="DC110" s="313">
        <v>0</v>
      </c>
      <c r="DD110" s="314">
        <v>0</v>
      </c>
      <c r="DE110" s="312" t="s">
        <v>365</v>
      </c>
      <c r="DF110" s="313">
        <v>3</v>
      </c>
      <c r="DG110" s="313">
        <v>1</v>
      </c>
      <c r="DH110" s="313">
        <v>3</v>
      </c>
      <c r="DI110" s="313">
        <v>0</v>
      </c>
      <c r="DJ110" s="313">
        <v>0</v>
      </c>
      <c r="DK110" s="313">
        <v>0</v>
      </c>
      <c r="DL110" s="313">
        <v>0</v>
      </c>
      <c r="DM110" s="313">
        <v>0</v>
      </c>
      <c r="DN110" s="314">
        <v>3</v>
      </c>
      <c r="DO110" s="312" t="s">
        <v>449</v>
      </c>
      <c r="DP110" s="313">
        <v>3</v>
      </c>
      <c r="DQ110" s="313">
        <v>0</v>
      </c>
      <c r="DR110" s="313">
        <v>1</v>
      </c>
      <c r="DS110" s="313">
        <v>0</v>
      </c>
      <c r="DT110" s="313">
        <v>0</v>
      </c>
      <c r="DU110" s="313">
        <v>0</v>
      </c>
      <c r="DV110" s="313">
        <v>0</v>
      </c>
      <c r="DW110" s="313">
        <v>0</v>
      </c>
      <c r="DX110" s="314">
        <v>1</v>
      </c>
      <c r="DY110" s="315">
        <v>1</v>
      </c>
      <c r="DZ110" s="316">
        <v>0</v>
      </c>
      <c r="EA110" s="316">
        <v>0</v>
      </c>
      <c r="EB110" s="317">
        <v>8</v>
      </c>
      <c r="EC110" s="316">
        <v>0</v>
      </c>
      <c r="ED110" s="318">
        <v>0</v>
      </c>
      <c r="EE110" s="319">
        <v>0</v>
      </c>
      <c r="EF110" s="316">
        <v>0</v>
      </c>
      <c r="EG110" s="316">
        <v>1</v>
      </c>
      <c r="EH110" s="316">
        <v>0</v>
      </c>
      <c r="EI110" s="316">
        <v>0</v>
      </c>
      <c r="EJ110" s="316">
        <v>0</v>
      </c>
      <c r="EK110" s="316">
        <v>0</v>
      </c>
      <c r="EL110" s="316">
        <v>0</v>
      </c>
      <c r="EM110" s="316">
        <v>0</v>
      </c>
      <c r="EN110" s="316"/>
      <c r="EO110" s="316"/>
      <c r="EP110" s="316"/>
      <c r="EQ110" s="316"/>
      <c r="ER110" s="316"/>
      <c r="ES110" s="316"/>
      <c r="ET110" s="318">
        <f t="shared" si="26"/>
        <v>1</v>
      </c>
      <c r="EU110" s="316">
        <v>1</v>
      </c>
      <c r="EV110" s="316">
        <v>1</v>
      </c>
      <c r="EW110" s="316">
        <v>0</v>
      </c>
      <c r="EX110" s="316">
        <v>0</v>
      </c>
      <c r="EY110" s="316">
        <v>0</v>
      </c>
      <c r="EZ110" s="316">
        <v>0</v>
      </c>
      <c r="FA110" s="316">
        <v>0</v>
      </c>
      <c r="FB110" s="316">
        <v>1</v>
      </c>
      <c r="FC110" s="316">
        <v>0</v>
      </c>
      <c r="FD110" s="316"/>
      <c r="FE110" s="316"/>
      <c r="FF110" s="316"/>
      <c r="FG110" s="316"/>
      <c r="FH110" s="316"/>
      <c r="FI110" s="316"/>
      <c r="FJ110" s="316">
        <f t="shared" si="27"/>
        <v>3</v>
      </c>
      <c r="FK110" s="320">
        <f t="shared" si="24"/>
        <v>0</v>
      </c>
      <c r="FL110" s="320">
        <f t="shared" si="25"/>
        <v>0</v>
      </c>
      <c r="FM110" s="321"/>
    </row>
    <row r="111" spans="1:169" x14ac:dyDescent="0.25">
      <c r="A111" s="325">
        <v>40395</v>
      </c>
      <c r="B111" s="325" t="s">
        <v>19</v>
      </c>
      <c r="C111" s="325" t="s">
        <v>131</v>
      </c>
      <c r="D111" s="325" t="s">
        <v>476</v>
      </c>
      <c r="E111" s="322">
        <v>3753</v>
      </c>
      <c r="F111" s="307">
        <v>1</v>
      </c>
      <c r="G111" s="308" t="s">
        <v>470</v>
      </c>
      <c r="H111" s="309">
        <v>0</v>
      </c>
      <c r="I111" s="309">
        <v>0</v>
      </c>
      <c r="J111" s="310">
        <v>6</v>
      </c>
      <c r="K111" s="309">
        <v>7</v>
      </c>
      <c r="L111" s="309">
        <v>2</v>
      </c>
      <c r="M111" s="309">
        <v>1</v>
      </c>
      <c r="N111" s="309">
        <v>1</v>
      </c>
      <c r="O111" s="309">
        <v>8</v>
      </c>
      <c r="P111" s="309">
        <v>0</v>
      </c>
      <c r="Q111" s="309">
        <v>0</v>
      </c>
      <c r="R111" s="309">
        <v>25</v>
      </c>
      <c r="S111" s="309">
        <v>90</v>
      </c>
      <c r="T111" s="309">
        <v>61</v>
      </c>
      <c r="U111" s="309">
        <v>0</v>
      </c>
      <c r="V111" s="311">
        <v>0</v>
      </c>
      <c r="W111" s="323">
        <v>0</v>
      </c>
      <c r="X111" s="323">
        <v>1</v>
      </c>
      <c r="Y111" s="323">
        <v>0</v>
      </c>
      <c r="Z111" s="323">
        <v>0</v>
      </c>
      <c r="AA111" s="323">
        <v>0</v>
      </c>
      <c r="AB111" s="324">
        <v>3</v>
      </c>
      <c r="AC111" s="323">
        <v>9</v>
      </c>
      <c r="AD111" s="323">
        <v>9</v>
      </c>
      <c r="AE111" s="323">
        <v>9</v>
      </c>
      <c r="AF111" s="323">
        <v>2</v>
      </c>
      <c r="AG111" s="323">
        <v>2</v>
      </c>
      <c r="AH111" s="323">
        <v>2</v>
      </c>
      <c r="AI111" s="323">
        <v>0</v>
      </c>
      <c r="AJ111" s="323">
        <v>19</v>
      </c>
      <c r="AK111" s="323">
        <v>69</v>
      </c>
      <c r="AL111" s="323">
        <v>42</v>
      </c>
      <c r="AM111" s="312" t="s">
        <v>441</v>
      </c>
      <c r="AN111" s="313">
        <v>5</v>
      </c>
      <c r="AO111" s="313">
        <v>1</v>
      </c>
      <c r="AP111" s="313">
        <v>2</v>
      </c>
      <c r="AQ111" s="313">
        <v>0</v>
      </c>
      <c r="AR111" s="313">
        <v>0</v>
      </c>
      <c r="AS111" s="313">
        <v>0</v>
      </c>
      <c r="AT111" s="313">
        <v>0</v>
      </c>
      <c r="AU111" s="313">
        <v>0</v>
      </c>
      <c r="AV111" s="314">
        <v>3</v>
      </c>
      <c r="AW111" s="312" t="s">
        <v>402</v>
      </c>
      <c r="AX111" s="313">
        <v>5</v>
      </c>
      <c r="AY111" s="313">
        <v>0</v>
      </c>
      <c r="AZ111" s="313">
        <v>3</v>
      </c>
      <c r="BA111" s="313">
        <v>1</v>
      </c>
      <c r="BB111" s="313">
        <v>0</v>
      </c>
      <c r="BC111" s="313">
        <v>1</v>
      </c>
      <c r="BD111" s="313">
        <v>0</v>
      </c>
      <c r="BE111" s="313">
        <v>0</v>
      </c>
      <c r="BF111" s="314">
        <v>4</v>
      </c>
      <c r="BG111" s="312" t="s">
        <v>446</v>
      </c>
      <c r="BH111" s="313">
        <v>4</v>
      </c>
      <c r="BI111" s="313">
        <v>0</v>
      </c>
      <c r="BJ111" s="313">
        <v>0</v>
      </c>
      <c r="BK111" s="313">
        <v>0</v>
      </c>
      <c r="BL111" s="313">
        <v>1</v>
      </c>
      <c r="BM111" s="313">
        <v>2</v>
      </c>
      <c r="BN111" s="313">
        <v>0</v>
      </c>
      <c r="BO111" s="313">
        <v>0</v>
      </c>
      <c r="BP111" s="314">
        <v>0</v>
      </c>
      <c r="BQ111" s="312" t="s">
        <v>496</v>
      </c>
      <c r="BR111" s="313">
        <v>4</v>
      </c>
      <c r="BS111" s="313">
        <v>0</v>
      </c>
      <c r="BT111" s="313">
        <v>0</v>
      </c>
      <c r="BU111" s="313">
        <v>0</v>
      </c>
      <c r="BV111" s="313">
        <v>1</v>
      </c>
      <c r="BW111" s="313">
        <v>1</v>
      </c>
      <c r="BX111" s="313">
        <v>0</v>
      </c>
      <c r="BY111" s="313">
        <v>0</v>
      </c>
      <c r="BZ111" s="314">
        <v>0</v>
      </c>
      <c r="CA111" s="312" t="s">
        <v>364</v>
      </c>
      <c r="CB111" s="313">
        <v>3</v>
      </c>
      <c r="CC111" s="313">
        <v>1</v>
      </c>
      <c r="CD111" s="313">
        <v>1</v>
      </c>
      <c r="CE111" s="313">
        <v>0</v>
      </c>
      <c r="CF111" s="313">
        <v>1</v>
      </c>
      <c r="CG111" s="313">
        <v>0</v>
      </c>
      <c r="CH111" s="313">
        <v>0</v>
      </c>
      <c r="CI111" s="313">
        <v>0</v>
      </c>
      <c r="CJ111" s="314">
        <v>2</v>
      </c>
      <c r="CK111" s="312" t="s">
        <v>448</v>
      </c>
      <c r="CL111" s="313">
        <v>2</v>
      </c>
      <c r="CM111" s="313">
        <v>0</v>
      </c>
      <c r="CN111" s="313">
        <v>0</v>
      </c>
      <c r="CO111" s="313">
        <v>0</v>
      </c>
      <c r="CP111" s="313">
        <v>2</v>
      </c>
      <c r="CQ111" s="313">
        <v>1</v>
      </c>
      <c r="CR111" s="313">
        <v>0</v>
      </c>
      <c r="CS111" s="313">
        <v>0</v>
      </c>
      <c r="CT111" s="314">
        <v>0</v>
      </c>
      <c r="CU111" s="312" t="s">
        <v>366</v>
      </c>
      <c r="CV111" s="313">
        <v>3</v>
      </c>
      <c r="CW111" s="313">
        <v>0</v>
      </c>
      <c r="CX111" s="313">
        <v>0</v>
      </c>
      <c r="CY111" s="313">
        <v>0</v>
      </c>
      <c r="CZ111" s="313">
        <v>1</v>
      </c>
      <c r="DA111" s="313">
        <v>2</v>
      </c>
      <c r="DB111" s="313">
        <v>0</v>
      </c>
      <c r="DC111" s="313">
        <v>1</v>
      </c>
      <c r="DD111" s="314">
        <v>0</v>
      </c>
      <c r="DE111" s="312" t="s">
        <v>365</v>
      </c>
      <c r="DF111" s="313">
        <v>2</v>
      </c>
      <c r="DG111" s="313">
        <v>1</v>
      </c>
      <c r="DH111" s="313">
        <v>1</v>
      </c>
      <c r="DI111" s="313">
        <v>0</v>
      </c>
      <c r="DJ111" s="313">
        <v>2</v>
      </c>
      <c r="DK111" s="313">
        <v>0</v>
      </c>
      <c r="DL111" s="313">
        <v>0</v>
      </c>
      <c r="DM111" s="313">
        <v>0</v>
      </c>
      <c r="DN111" s="314">
        <v>2</v>
      </c>
      <c r="DO111" s="312" t="s">
        <v>639</v>
      </c>
      <c r="DP111" s="313">
        <v>4</v>
      </c>
      <c r="DQ111" s="313">
        <v>0</v>
      </c>
      <c r="DR111" s="313">
        <v>1</v>
      </c>
      <c r="DS111" s="313">
        <v>1</v>
      </c>
      <c r="DT111" s="313">
        <v>0</v>
      </c>
      <c r="DU111" s="313">
        <v>1</v>
      </c>
      <c r="DV111" s="313">
        <v>0</v>
      </c>
      <c r="DW111" s="313">
        <v>0</v>
      </c>
      <c r="DX111" s="314">
        <v>1</v>
      </c>
      <c r="DY111" s="315">
        <v>2</v>
      </c>
      <c r="DZ111" s="316">
        <v>0</v>
      </c>
      <c r="EA111" s="316">
        <v>0</v>
      </c>
      <c r="EB111" s="317">
        <v>7</v>
      </c>
      <c r="EC111" s="316">
        <v>2</v>
      </c>
      <c r="ED111" s="318">
        <v>0</v>
      </c>
      <c r="EE111" s="319">
        <v>1</v>
      </c>
      <c r="EF111" s="316">
        <v>1</v>
      </c>
      <c r="EG111" s="316">
        <v>0</v>
      </c>
      <c r="EH111" s="316">
        <v>0</v>
      </c>
      <c r="EI111" s="316">
        <v>0</v>
      </c>
      <c r="EJ111" s="316">
        <v>0</v>
      </c>
      <c r="EK111" s="316">
        <v>0</v>
      </c>
      <c r="EL111" s="316">
        <v>1</v>
      </c>
      <c r="EM111" s="316">
        <v>0</v>
      </c>
      <c r="EN111" s="316"/>
      <c r="EO111" s="316"/>
      <c r="EP111" s="316"/>
      <c r="EQ111" s="316"/>
      <c r="ER111" s="316"/>
      <c r="ES111" s="316"/>
      <c r="ET111" s="318">
        <f t="shared" si="26"/>
        <v>3</v>
      </c>
      <c r="EU111" s="316">
        <v>0</v>
      </c>
      <c r="EV111" s="316">
        <v>0</v>
      </c>
      <c r="EW111" s="316">
        <v>1</v>
      </c>
      <c r="EX111" s="316">
        <v>1</v>
      </c>
      <c r="EY111" s="316">
        <v>0</v>
      </c>
      <c r="EZ111" s="316">
        <v>0</v>
      </c>
      <c r="FA111" s="316">
        <v>6</v>
      </c>
      <c r="FB111" s="316">
        <v>0</v>
      </c>
      <c r="FC111" s="316">
        <v>3</v>
      </c>
      <c r="FD111" s="316"/>
      <c r="FE111" s="316"/>
      <c r="FF111" s="316"/>
      <c r="FG111" s="316"/>
      <c r="FH111" s="316"/>
      <c r="FI111" s="316"/>
      <c r="FJ111" s="316">
        <f t="shared" si="27"/>
        <v>11</v>
      </c>
      <c r="FK111" s="320">
        <f t="shared" si="24"/>
        <v>0</v>
      </c>
      <c r="FL111" s="320">
        <f t="shared" si="25"/>
        <v>0</v>
      </c>
      <c r="FM111" s="321"/>
    </row>
    <row r="112" spans="1:169" x14ac:dyDescent="0.25">
      <c r="A112" s="325">
        <v>40396</v>
      </c>
      <c r="B112" s="325" t="s">
        <v>19</v>
      </c>
      <c r="C112" s="325" t="s">
        <v>131</v>
      </c>
      <c r="D112" s="325" t="s">
        <v>476</v>
      </c>
      <c r="E112" s="322">
        <v>5724</v>
      </c>
      <c r="F112" s="307">
        <v>2</v>
      </c>
      <c r="G112" s="308" t="s">
        <v>438</v>
      </c>
      <c r="H112" s="309">
        <v>0</v>
      </c>
      <c r="I112" s="309">
        <v>1</v>
      </c>
      <c r="J112" s="310">
        <v>5</v>
      </c>
      <c r="K112" s="309">
        <v>6</v>
      </c>
      <c r="L112" s="309">
        <v>4</v>
      </c>
      <c r="M112" s="309">
        <v>3</v>
      </c>
      <c r="N112" s="309">
        <v>2</v>
      </c>
      <c r="O112" s="309">
        <v>4</v>
      </c>
      <c r="P112" s="309">
        <v>0</v>
      </c>
      <c r="Q112" s="309">
        <v>0</v>
      </c>
      <c r="R112" s="309">
        <v>24</v>
      </c>
      <c r="S112" s="309">
        <v>92</v>
      </c>
      <c r="T112" s="309">
        <v>57</v>
      </c>
      <c r="U112" s="309">
        <v>0</v>
      </c>
      <c r="V112" s="311">
        <v>0</v>
      </c>
      <c r="W112" s="323">
        <v>0</v>
      </c>
      <c r="X112" s="323">
        <v>0</v>
      </c>
      <c r="Y112" s="323">
        <v>0</v>
      </c>
      <c r="Z112" s="323">
        <v>0</v>
      </c>
      <c r="AA112" s="323">
        <v>0</v>
      </c>
      <c r="AB112" s="324">
        <v>4</v>
      </c>
      <c r="AC112" s="323">
        <v>4</v>
      </c>
      <c r="AD112" s="323">
        <v>2</v>
      </c>
      <c r="AE112" s="323">
        <v>2</v>
      </c>
      <c r="AF112" s="323">
        <v>1</v>
      </c>
      <c r="AG112" s="323">
        <v>3</v>
      </c>
      <c r="AH112" s="323">
        <v>0</v>
      </c>
      <c r="AI112" s="323">
        <v>1</v>
      </c>
      <c r="AJ112" s="323">
        <v>18</v>
      </c>
      <c r="AK112" s="323">
        <v>77</v>
      </c>
      <c r="AL112" s="323">
        <v>44</v>
      </c>
      <c r="AM112" s="312" t="s">
        <v>441</v>
      </c>
      <c r="AN112" s="313">
        <v>4</v>
      </c>
      <c r="AO112" s="313">
        <v>0</v>
      </c>
      <c r="AP112" s="313">
        <v>2</v>
      </c>
      <c r="AQ112" s="313">
        <v>0</v>
      </c>
      <c r="AR112" s="313">
        <v>0</v>
      </c>
      <c r="AS112" s="313">
        <v>0</v>
      </c>
      <c r="AT112" s="313">
        <v>0</v>
      </c>
      <c r="AU112" s="313">
        <v>0</v>
      </c>
      <c r="AV112" s="314">
        <v>2</v>
      </c>
      <c r="AW112" s="312" t="s">
        <v>402</v>
      </c>
      <c r="AX112" s="313">
        <v>3</v>
      </c>
      <c r="AY112" s="313">
        <v>0</v>
      </c>
      <c r="AZ112" s="313">
        <v>2</v>
      </c>
      <c r="BA112" s="313">
        <v>0</v>
      </c>
      <c r="BB112" s="313">
        <v>1</v>
      </c>
      <c r="BC112" s="313">
        <v>1</v>
      </c>
      <c r="BD112" s="313">
        <v>0</v>
      </c>
      <c r="BE112" s="313">
        <v>0</v>
      </c>
      <c r="BF112" s="314">
        <v>2</v>
      </c>
      <c r="BG112" s="312" t="s">
        <v>446</v>
      </c>
      <c r="BH112" s="313">
        <v>4</v>
      </c>
      <c r="BI112" s="313">
        <v>0</v>
      </c>
      <c r="BJ112" s="313">
        <v>0</v>
      </c>
      <c r="BK112" s="313">
        <v>0</v>
      </c>
      <c r="BL112" s="313">
        <v>0</v>
      </c>
      <c r="BM112" s="313">
        <v>1</v>
      </c>
      <c r="BN112" s="313">
        <v>0</v>
      </c>
      <c r="BO112" s="313">
        <v>0</v>
      </c>
      <c r="BP112" s="314">
        <v>0</v>
      </c>
      <c r="BQ112" s="312" t="s">
        <v>496</v>
      </c>
      <c r="BR112" s="313">
        <v>4</v>
      </c>
      <c r="BS112" s="313">
        <v>1</v>
      </c>
      <c r="BT112" s="313">
        <v>1</v>
      </c>
      <c r="BU112" s="313">
        <v>0</v>
      </c>
      <c r="BV112" s="313">
        <v>0</v>
      </c>
      <c r="BW112" s="313">
        <v>1</v>
      </c>
      <c r="BX112" s="313">
        <v>0</v>
      </c>
      <c r="BY112" s="313">
        <v>0</v>
      </c>
      <c r="BZ112" s="314">
        <v>2</v>
      </c>
      <c r="CA112" s="312" t="s">
        <v>364</v>
      </c>
      <c r="CB112" s="313">
        <v>2</v>
      </c>
      <c r="CC112" s="313">
        <v>0</v>
      </c>
      <c r="CD112" s="313">
        <v>0</v>
      </c>
      <c r="CE112" s="313">
        <v>0</v>
      </c>
      <c r="CF112" s="313">
        <v>1</v>
      </c>
      <c r="CG112" s="313">
        <v>0</v>
      </c>
      <c r="CH112" s="313">
        <v>1</v>
      </c>
      <c r="CI112" s="313">
        <v>0</v>
      </c>
      <c r="CJ112" s="314">
        <v>0</v>
      </c>
      <c r="CK112" s="312" t="s">
        <v>448</v>
      </c>
      <c r="CL112" s="313">
        <v>3</v>
      </c>
      <c r="CM112" s="313">
        <v>0</v>
      </c>
      <c r="CN112" s="313">
        <v>0</v>
      </c>
      <c r="CO112" s="313">
        <v>1</v>
      </c>
      <c r="CP112" s="313">
        <v>1</v>
      </c>
      <c r="CQ112" s="313">
        <v>1</v>
      </c>
      <c r="CR112" s="313">
        <v>0</v>
      </c>
      <c r="CS112" s="313">
        <v>0</v>
      </c>
      <c r="CT112" s="314">
        <v>0</v>
      </c>
      <c r="CU112" s="312" t="s">
        <v>366</v>
      </c>
      <c r="CV112" s="313">
        <v>4</v>
      </c>
      <c r="CW112" s="313">
        <v>0</v>
      </c>
      <c r="CX112" s="313">
        <v>0</v>
      </c>
      <c r="CY112" s="313">
        <v>0</v>
      </c>
      <c r="CZ112" s="313">
        <v>0</v>
      </c>
      <c r="DA112" s="313">
        <v>1</v>
      </c>
      <c r="DB112" s="313">
        <v>0</v>
      </c>
      <c r="DC112" s="313">
        <v>0</v>
      </c>
      <c r="DD112" s="314">
        <v>0</v>
      </c>
      <c r="DE112" s="312" t="s">
        <v>365</v>
      </c>
      <c r="DF112" s="313">
        <v>4</v>
      </c>
      <c r="DG112" s="313">
        <v>0</v>
      </c>
      <c r="DH112" s="313">
        <v>1</v>
      </c>
      <c r="DI112" s="313">
        <v>0</v>
      </c>
      <c r="DJ112" s="313">
        <v>0</v>
      </c>
      <c r="DK112" s="313">
        <v>1</v>
      </c>
      <c r="DL112" s="313">
        <v>0</v>
      </c>
      <c r="DM112" s="313">
        <v>0</v>
      </c>
      <c r="DN112" s="314">
        <v>1</v>
      </c>
      <c r="DO112" s="312" t="s">
        <v>639</v>
      </c>
      <c r="DP112" s="313">
        <v>3</v>
      </c>
      <c r="DQ112" s="313">
        <v>0</v>
      </c>
      <c r="DR112" s="313">
        <v>0</v>
      </c>
      <c r="DS112" s="313">
        <v>0</v>
      </c>
      <c r="DT112" s="313">
        <v>0</v>
      </c>
      <c r="DU112" s="313">
        <v>0</v>
      </c>
      <c r="DV112" s="313">
        <v>0</v>
      </c>
      <c r="DW112" s="313">
        <v>0</v>
      </c>
      <c r="DX112" s="314">
        <v>0</v>
      </c>
      <c r="DY112" s="315">
        <v>2</v>
      </c>
      <c r="DZ112" s="316">
        <v>0</v>
      </c>
      <c r="EA112" s="316">
        <v>0</v>
      </c>
      <c r="EB112" s="317">
        <v>7</v>
      </c>
      <c r="EC112" s="316">
        <v>0</v>
      </c>
      <c r="ED112" s="318">
        <v>0</v>
      </c>
      <c r="EE112" s="319">
        <v>0</v>
      </c>
      <c r="EF112" s="316">
        <v>0</v>
      </c>
      <c r="EG112" s="316">
        <v>0</v>
      </c>
      <c r="EH112" s="316">
        <v>1</v>
      </c>
      <c r="EI112" s="316">
        <v>0</v>
      </c>
      <c r="EJ112" s="316">
        <v>0</v>
      </c>
      <c r="EK112" s="316">
        <v>0</v>
      </c>
      <c r="EL112" s="316">
        <v>0</v>
      </c>
      <c r="EM112" s="316">
        <v>0</v>
      </c>
      <c r="EN112" s="316"/>
      <c r="EO112" s="316"/>
      <c r="EP112" s="316"/>
      <c r="EQ112" s="316"/>
      <c r="ER112" s="316"/>
      <c r="ES112" s="316"/>
      <c r="ET112" s="318">
        <f t="shared" si="26"/>
        <v>1</v>
      </c>
      <c r="EU112" s="316">
        <v>0</v>
      </c>
      <c r="EV112" s="316">
        <v>3</v>
      </c>
      <c r="EW112" s="316">
        <v>1</v>
      </c>
      <c r="EX112" s="316">
        <v>0</v>
      </c>
      <c r="EY112" s="316">
        <v>0</v>
      </c>
      <c r="EZ112" s="316">
        <v>2</v>
      </c>
      <c r="FA112" s="316">
        <v>0</v>
      </c>
      <c r="FB112" s="316">
        <v>0</v>
      </c>
      <c r="FC112" s="316">
        <v>0</v>
      </c>
      <c r="FD112" s="316"/>
      <c r="FE112" s="316"/>
      <c r="FF112" s="316"/>
      <c r="FG112" s="316"/>
      <c r="FH112" s="316"/>
      <c r="FI112" s="316"/>
      <c r="FJ112" s="316">
        <f t="shared" si="27"/>
        <v>6</v>
      </c>
      <c r="FK112" s="320">
        <f t="shared" si="24"/>
        <v>0</v>
      </c>
      <c r="FL112" s="320">
        <f t="shared" si="25"/>
        <v>0</v>
      </c>
      <c r="FM112" s="321"/>
    </row>
    <row r="113" spans="1:169" x14ac:dyDescent="0.25">
      <c r="A113" s="325">
        <v>40397</v>
      </c>
      <c r="B113" s="325" t="s">
        <v>133</v>
      </c>
      <c r="C113" s="325" t="s">
        <v>129</v>
      </c>
      <c r="D113" s="325" t="s">
        <v>380</v>
      </c>
      <c r="E113" s="322">
        <v>2699</v>
      </c>
      <c r="F113" s="307">
        <v>3</v>
      </c>
      <c r="G113" s="308" t="s">
        <v>368</v>
      </c>
      <c r="H113" s="309">
        <v>1</v>
      </c>
      <c r="I113" s="309">
        <v>0</v>
      </c>
      <c r="J113" s="310">
        <f>5+2/3</f>
        <v>5.666666666666667</v>
      </c>
      <c r="K113" s="309">
        <v>3</v>
      </c>
      <c r="L113" s="309">
        <v>0</v>
      </c>
      <c r="M113" s="309">
        <v>0</v>
      </c>
      <c r="N113" s="309">
        <v>2</v>
      </c>
      <c r="O113" s="309">
        <v>7</v>
      </c>
      <c r="P113" s="309">
        <v>0</v>
      </c>
      <c r="Q113" s="309">
        <v>1</v>
      </c>
      <c r="R113" s="309">
        <v>23</v>
      </c>
      <c r="S113" s="309">
        <v>101</v>
      </c>
      <c r="T113" s="309">
        <v>59</v>
      </c>
      <c r="U113" s="309">
        <v>2</v>
      </c>
      <c r="V113" s="311">
        <v>0</v>
      </c>
      <c r="W113" s="323">
        <v>0</v>
      </c>
      <c r="X113" s="323">
        <v>0</v>
      </c>
      <c r="Y113" s="323">
        <v>1</v>
      </c>
      <c r="Z113" s="323">
        <v>0</v>
      </c>
      <c r="AA113" s="323">
        <v>0</v>
      </c>
      <c r="AB113" s="324">
        <f>3+1/3</f>
        <v>3.3333333333333335</v>
      </c>
      <c r="AC113" s="323">
        <v>4</v>
      </c>
      <c r="AD113" s="323">
        <v>1</v>
      </c>
      <c r="AE113" s="323">
        <v>1</v>
      </c>
      <c r="AF113" s="323">
        <v>0</v>
      </c>
      <c r="AG113" s="323">
        <v>5</v>
      </c>
      <c r="AH113" s="323">
        <v>0</v>
      </c>
      <c r="AI113" s="323">
        <v>0</v>
      </c>
      <c r="AJ113" s="323">
        <v>14</v>
      </c>
      <c r="AK113" s="323">
        <v>49</v>
      </c>
      <c r="AL113" s="323">
        <v>37</v>
      </c>
      <c r="AM113" s="312" t="s">
        <v>441</v>
      </c>
      <c r="AN113" s="313">
        <v>6</v>
      </c>
      <c r="AO113" s="313">
        <v>1</v>
      </c>
      <c r="AP113" s="313">
        <v>2</v>
      </c>
      <c r="AQ113" s="313">
        <v>0</v>
      </c>
      <c r="AR113" s="313">
        <v>0</v>
      </c>
      <c r="AS113" s="313">
        <v>0</v>
      </c>
      <c r="AT113" s="313">
        <v>0</v>
      </c>
      <c r="AU113" s="313">
        <v>0</v>
      </c>
      <c r="AV113" s="314">
        <v>2</v>
      </c>
      <c r="AW113" s="312" t="s">
        <v>402</v>
      </c>
      <c r="AX113" s="313">
        <v>5</v>
      </c>
      <c r="AY113" s="313">
        <v>0</v>
      </c>
      <c r="AZ113" s="313">
        <v>2</v>
      </c>
      <c r="BA113" s="313">
        <v>0</v>
      </c>
      <c r="BB113" s="313">
        <v>0</v>
      </c>
      <c r="BC113" s="313">
        <v>1</v>
      </c>
      <c r="BD113" s="313">
        <v>0</v>
      </c>
      <c r="BE113" s="313">
        <v>0</v>
      </c>
      <c r="BF113" s="314">
        <v>2</v>
      </c>
      <c r="BG113" s="312" t="s">
        <v>446</v>
      </c>
      <c r="BH113" s="313">
        <v>5</v>
      </c>
      <c r="BI113" s="313">
        <v>0</v>
      </c>
      <c r="BJ113" s="313">
        <v>1</v>
      </c>
      <c r="BK113" s="313">
        <v>1</v>
      </c>
      <c r="BL113" s="313">
        <v>0</v>
      </c>
      <c r="BM113" s="313">
        <v>1</v>
      </c>
      <c r="BN113" s="313">
        <v>0</v>
      </c>
      <c r="BO113" s="313">
        <v>0</v>
      </c>
      <c r="BP113" s="314">
        <v>1</v>
      </c>
      <c r="BQ113" s="312" t="s">
        <v>496</v>
      </c>
      <c r="BR113" s="313">
        <v>5</v>
      </c>
      <c r="BS113" s="313">
        <v>2</v>
      </c>
      <c r="BT113" s="313">
        <v>2</v>
      </c>
      <c r="BU113" s="313">
        <v>0</v>
      </c>
      <c r="BV113" s="313">
        <v>0</v>
      </c>
      <c r="BW113" s="313">
        <v>1</v>
      </c>
      <c r="BX113" s="313">
        <v>0</v>
      </c>
      <c r="BY113" s="313">
        <v>0</v>
      </c>
      <c r="BZ113" s="314">
        <v>2</v>
      </c>
      <c r="CA113" s="312" t="s">
        <v>364</v>
      </c>
      <c r="CB113" s="313">
        <v>5</v>
      </c>
      <c r="CC113" s="313">
        <v>3</v>
      </c>
      <c r="CD113" s="313">
        <v>3</v>
      </c>
      <c r="CE113" s="313">
        <v>0</v>
      </c>
      <c r="CF113" s="313">
        <v>0</v>
      </c>
      <c r="CG113" s="313">
        <v>0</v>
      </c>
      <c r="CH113" s="313">
        <v>0</v>
      </c>
      <c r="CI113" s="313">
        <v>0</v>
      </c>
      <c r="CJ113" s="314">
        <v>4</v>
      </c>
      <c r="CK113" s="312" t="s">
        <v>366</v>
      </c>
      <c r="CL113" s="313">
        <v>5</v>
      </c>
      <c r="CM113" s="313">
        <v>1</v>
      </c>
      <c r="CN113" s="313">
        <v>3</v>
      </c>
      <c r="CO113" s="313">
        <v>3</v>
      </c>
      <c r="CP113" s="313">
        <v>0</v>
      </c>
      <c r="CQ113" s="313">
        <v>0</v>
      </c>
      <c r="CR113" s="313">
        <v>0</v>
      </c>
      <c r="CS113" s="313">
        <v>0</v>
      </c>
      <c r="CT113" s="314">
        <v>5</v>
      </c>
      <c r="CU113" s="312" t="s">
        <v>365</v>
      </c>
      <c r="CV113" s="313">
        <v>3</v>
      </c>
      <c r="CW113" s="313">
        <v>1</v>
      </c>
      <c r="CX113" s="313">
        <v>0</v>
      </c>
      <c r="CY113" s="313">
        <v>0</v>
      </c>
      <c r="CZ113" s="313">
        <v>1</v>
      </c>
      <c r="DA113" s="313">
        <v>1</v>
      </c>
      <c r="DB113" s="313">
        <v>0</v>
      </c>
      <c r="DC113" s="313">
        <v>0</v>
      </c>
      <c r="DD113" s="314">
        <v>0</v>
      </c>
      <c r="DE113" s="312" t="s">
        <v>483</v>
      </c>
      <c r="DF113" s="313">
        <v>4</v>
      </c>
      <c r="DG113" s="313">
        <v>1</v>
      </c>
      <c r="DH113" s="313">
        <v>1</v>
      </c>
      <c r="DI113" s="313">
        <v>2</v>
      </c>
      <c r="DJ113" s="313">
        <v>0</v>
      </c>
      <c r="DK113" s="313">
        <v>0</v>
      </c>
      <c r="DL113" s="313">
        <v>0</v>
      </c>
      <c r="DM113" s="313">
        <v>1</v>
      </c>
      <c r="DN113" s="314">
        <v>1</v>
      </c>
      <c r="DO113" s="312" t="s">
        <v>448</v>
      </c>
      <c r="DP113" s="313">
        <v>5</v>
      </c>
      <c r="DQ113" s="313">
        <v>0</v>
      </c>
      <c r="DR113" s="313">
        <v>4</v>
      </c>
      <c r="DS113" s="313">
        <v>3</v>
      </c>
      <c r="DT113" s="313">
        <v>0</v>
      </c>
      <c r="DU113" s="313">
        <v>1</v>
      </c>
      <c r="DV113" s="313">
        <v>0</v>
      </c>
      <c r="DW113" s="313">
        <v>0</v>
      </c>
      <c r="DX113" s="314">
        <v>6</v>
      </c>
      <c r="DY113" s="315">
        <v>9</v>
      </c>
      <c r="DZ113" s="316">
        <v>0</v>
      </c>
      <c r="EA113" s="316">
        <v>2</v>
      </c>
      <c r="EB113" s="317">
        <v>0</v>
      </c>
      <c r="EC113" s="316">
        <v>0</v>
      </c>
      <c r="ED113" s="318">
        <v>0</v>
      </c>
      <c r="EE113" s="319">
        <v>0</v>
      </c>
      <c r="EF113" s="316">
        <v>0</v>
      </c>
      <c r="EG113" s="316">
        <v>1</v>
      </c>
      <c r="EH113" s="316">
        <v>0</v>
      </c>
      <c r="EI113" s="316">
        <v>0</v>
      </c>
      <c r="EJ113" s="316">
        <v>3</v>
      </c>
      <c r="EK113" s="316">
        <v>2</v>
      </c>
      <c r="EL113" s="316">
        <v>0</v>
      </c>
      <c r="EM113" s="316">
        <v>3</v>
      </c>
      <c r="EN113" s="316"/>
      <c r="EO113" s="316"/>
      <c r="EP113" s="316"/>
      <c r="EQ113" s="316"/>
      <c r="ER113" s="316"/>
      <c r="ES113" s="316"/>
      <c r="ET113" s="318">
        <f t="shared" si="26"/>
        <v>9</v>
      </c>
      <c r="EU113" s="316">
        <v>0</v>
      </c>
      <c r="EV113" s="316">
        <v>0</v>
      </c>
      <c r="EW113" s="316">
        <v>0</v>
      </c>
      <c r="EX113" s="316">
        <v>0</v>
      </c>
      <c r="EY113" s="316">
        <v>0</v>
      </c>
      <c r="EZ113" s="316">
        <v>0</v>
      </c>
      <c r="FA113" s="316">
        <v>1</v>
      </c>
      <c r="FB113" s="316">
        <v>0</v>
      </c>
      <c r="FC113" s="316">
        <v>0</v>
      </c>
      <c r="FD113" s="316"/>
      <c r="FE113" s="316"/>
      <c r="FF113" s="316"/>
      <c r="FG113" s="316"/>
      <c r="FH113" s="316"/>
      <c r="FI113" s="316"/>
      <c r="FJ113" s="316">
        <f t="shared" si="27"/>
        <v>1</v>
      </c>
      <c r="FK113" s="320">
        <f t="shared" si="24"/>
        <v>0</v>
      </c>
      <c r="FL113" s="320">
        <f t="shared" si="25"/>
        <v>0</v>
      </c>
      <c r="FM113" s="321"/>
    </row>
    <row r="114" spans="1:169" x14ac:dyDescent="0.25">
      <c r="A114" s="325">
        <v>40398</v>
      </c>
      <c r="B114" s="325" t="s">
        <v>133</v>
      </c>
      <c r="C114" s="325" t="s">
        <v>131</v>
      </c>
      <c r="D114" s="325" t="s">
        <v>380</v>
      </c>
      <c r="E114" s="322">
        <v>655</v>
      </c>
      <c r="F114" s="307">
        <v>4</v>
      </c>
      <c r="G114" s="308" t="s">
        <v>640</v>
      </c>
      <c r="H114" s="309">
        <v>0</v>
      </c>
      <c r="I114" s="309">
        <v>0</v>
      </c>
      <c r="J114" s="310">
        <f>3+2/3</f>
        <v>3.6666666666666665</v>
      </c>
      <c r="K114" s="309">
        <v>5</v>
      </c>
      <c r="L114" s="309">
        <v>5</v>
      </c>
      <c r="M114" s="309">
        <v>5</v>
      </c>
      <c r="N114" s="309">
        <v>4</v>
      </c>
      <c r="O114" s="309">
        <v>2</v>
      </c>
      <c r="P114" s="309">
        <v>1</v>
      </c>
      <c r="Q114" s="309">
        <v>0</v>
      </c>
      <c r="R114" s="309">
        <v>20</v>
      </c>
      <c r="S114" s="309">
        <v>83</v>
      </c>
      <c r="T114" s="309">
        <v>48</v>
      </c>
      <c r="U114" s="309">
        <v>1</v>
      </c>
      <c r="V114" s="311">
        <v>1</v>
      </c>
      <c r="W114" s="323">
        <v>0</v>
      </c>
      <c r="X114" s="323">
        <v>1</v>
      </c>
      <c r="Y114" s="323">
        <v>0</v>
      </c>
      <c r="Z114" s="323">
        <v>0</v>
      </c>
      <c r="AA114" s="323">
        <v>0</v>
      </c>
      <c r="AB114" s="324">
        <f>4+1/3</f>
        <v>4.333333333333333</v>
      </c>
      <c r="AC114" s="323">
        <v>6</v>
      </c>
      <c r="AD114" s="323">
        <v>3</v>
      </c>
      <c r="AE114" s="323">
        <v>3</v>
      </c>
      <c r="AF114" s="323">
        <v>1</v>
      </c>
      <c r="AG114" s="323">
        <v>3</v>
      </c>
      <c r="AH114" s="323">
        <v>0</v>
      </c>
      <c r="AI114" s="323">
        <v>0</v>
      </c>
      <c r="AJ114" s="323">
        <v>21</v>
      </c>
      <c r="AK114" s="323">
        <v>86</v>
      </c>
      <c r="AL114" s="323">
        <v>53</v>
      </c>
      <c r="AM114" s="312" t="s">
        <v>441</v>
      </c>
      <c r="AN114" s="313">
        <v>4</v>
      </c>
      <c r="AO114" s="313">
        <v>0</v>
      </c>
      <c r="AP114" s="313">
        <v>0</v>
      </c>
      <c r="AQ114" s="313">
        <v>1</v>
      </c>
      <c r="AR114" s="313">
        <v>0</v>
      </c>
      <c r="AS114" s="313">
        <v>0</v>
      </c>
      <c r="AT114" s="313">
        <v>0</v>
      </c>
      <c r="AU114" s="313">
        <v>1</v>
      </c>
      <c r="AV114" s="314">
        <v>0</v>
      </c>
      <c r="AW114" s="312" t="s">
        <v>402</v>
      </c>
      <c r="AX114" s="313">
        <v>5</v>
      </c>
      <c r="AY114" s="313">
        <v>1</v>
      </c>
      <c r="AZ114" s="313">
        <v>3</v>
      </c>
      <c r="BA114" s="313">
        <v>1</v>
      </c>
      <c r="BB114" s="313">
        <v>0</v>
      </c>
      <c r="BC114" s="313">
        <v>1</v>
      </c>
      <c r="BD114" s="313">
        <v>0</v>
      </c>
      <c r="BE114" s="313">
        <v>0</v>
      </c>
      <c r="BF114" s="314">
        <v>5</v>
      </c>
      <c r="BG114" s="312" t="s">
        <v>446</v>
      </c>
      <c r="BH114" s="313">
        <v>4</v>
      </c>
      <c r="BI114" s="313">
        <v>1</v>
      </c>
      <c r="BJ114" s="313">
        <v>0</v>
      </c>
      <c r="BK114" s="313">
        <v>0</v>
      </c>
      <c r="BL114" s="313">
        <v>0</v>
      </c>
      <c r="BM114" s="313">
        <v>0</v>
      </c>
      <c r="BN114" s="313">
        <v>0</v>
      </c>
      <c r="BO114" s="313">
        <v>0</v>
      </c>
      <c r="BP114" s="314">
        <v>0</v>
      </c>
      <c r="BQ114" s="312" t="s">
        <v>496</v>
      </c>
      <c r="BR114" s="313">
        <v>4</v>
      </c>
      <c r="BS114" s="313">
        <v>1</v>
      </c>
      <c r="BT114" s="313">
        <v>2</v>
      </c>
      <c r="BU114" s="313">
        <v>3</v>
      </c>
      <c r="BV114" s="313">
        <v>0</v>
      </c>
      <c r="BW114" s="313">
        <v>0</v>
      </c>
      <c r="BX114" s="313">
        <v>0</v>
      </c>
      <c r="BY114" s="313">
        <v>0</v>
      </c>
      <c r="BZ114" s="314">
        <v>5</v>
      </c>
      <c r="CA114" s="312" t="s">
        <v>364</v>
      </c>
      <c r="CB114" s="313">
        <v>4</v>
      </c>
      <c r="CC114" s="313">
        <v>0</v>
      </c>
      <c r="CD114" s="313">
        <v>0</v>
      </c>
      <c r="CE114" s="313">
        <v>0</v>
      </c>
      <c r="CF114" s="313">
        <v>0</v>
      </c>
      <c r="CG114" s="313">
        <v>0</v>
      </c>
      <c r="CH114" s="313">
        <v>0</v>
      </c>
      <c r="CI114" s="313">
        <v>0</v>
      </c>
      <c r="CJ114" s="314">
        <v>0</v>
      </c>
      <c r="CK114" s="312" t="s">
        <v>448</v>
      </c>
      <c r="CL114" s="313">
        <v>4</v>
      </c>
      <c r="CM114" s="313">
        <v>2</v>
      </c>
      <c r="CN114" s="313">
        <v>2</v>
      </c>
      <c r="CO114" s="313">
        <v>0</v>
      </c>
      <c r="CP114" s="313">
        <v>0</v>
      </c>
      <c r="CQ114" s="313">
        <v>0</v>
      </c>
      <c r="CR114" s="313">
        <v>0</v>
      </c>
      <c r="CS114" s="313">
        <v>0</v>
      </c>
      <c r="CT114" s="314">
        <v>0</v>
      </c>
      <c r="CU114" s="312" t="s">
        <v>366</v>
      </c>
      <c r="CV114" s="313">
        <v>3</v>
      </c>
      <c r="CW114" s="313">
        <v>0</v>
      </c>
      <c r="CX114" s="313">
        <v>1</v>
      </c>
      <c r="CY114" s="313">
        <v>0</v>
      </c>
      <c r="CZ114" s="313">
        <v>1</v>
      </c>
      <c r="DA114" s="313">
        <v>0</v>
      </c>
      <c r="DB114" s="313">
        <v>0</v>
      </c>
      <c r="DC114" s="313">
        <v>0</v>
      </c>
      <c r="DD114" s="314">
        <v>1</v>
      </c>
      <c r="DE114" s="312" t="s">
        <v>639</v>
      </c>
      <c r="DF114" s="313">
        <v>4</v>
      </c>
      <c r="DG114" s="313">
        <v>1</v>
      </c>
      <c r="DH114" s="313">
        <v>2</v>
      </c>
      <c r="DI114" s="313">
        <v>1</v>
      </c>
      <c r="DJ114" s="313">
        <v>0</v>
      </c>
      <c r="DK114" s="313">
        <v>0</v>
      </c>
      <c r="DL114" s="313">
        <v>0</v>
      </c>
      <c r="DM114" s="313">
        <v>0</v>
      </c>
      <c r="DN114" s="314">
        <v>2</v>
      </c>
      <c r="DO114" s="312" t="s">
        <v>449</v>
      </c>
      <c r="DP114" s="313">
        <v>4</v>
      </c>
      <c r="DQ114" s="313">
        <v>1</v>
      </c>
      <c r="DR114" s="313">
        <v>1</v>
      </c>
      <c r="DS114" s="313">
        <v>1</v>
      </c>
      <c r="DT114" s="313">
        <v>0</v>
      </c>
      <c r="DU114" s="313">
        <v>0</v>
      </c>
      <c r="DV114" s="313">
        <v>0</v>
      </c>
      <c r="DW114" s="313">
        <v>0</v>
      </c>
      <c r="DX114" s="314">
        <v>1</v>
      </c>
      <c r="DY114" s="315">
        <v>0</v>
      </c>
      <c r="DZ114" s="316">
        <v>0</v>
      </c>
      <c r="EA114" s="316">
        <v>0</v>
      </c>
      <c r="EB114" s="317">
        <v>9</v>
      </c>
      <c r="EC114" s="316">
        <v>0</v>
      </c>
      <c r="ED114" s="318">
        <v>0</v>
      </c>
      <c r="EE114" s="319">
        <v>0</v>
      </c>
      <c r="EF114" s="316">
        <v>0</v>
      </c>
      <c r="EG114" s="316">
        <v>0</v>
      </c>
      <c r="EH114" s="316">
        <v>2</v>
      </c>
      <c r="EI114" s="316">
        <v>3</v>
      </c>
      <c r="EJ114" s="316">
        <v>0</v>
      </c>
      <c r="EK114" s="316">
        <v>0</v>
      </c>
      <c r="EL114" s="316">
        <v>1</v>
      </c>
      <c r="EM114" s="316">
        <v>1</v>
      </c>
      <c r="EN114" s="316"/>
      <c r="EO114" s="316"/>
      <c r="EP114" s="316"/>
      <c r="EQ114" s="316"/>
      <c r="ER114" s="316"/>
      <c r="ES114" s="316"/>
      <c r="ET114" s="318">
        <f t="shared" si="26"/>
        <v>7</v>
      </c>
      <c r="EU114" s="316">
        <v>1</v>
      </c>
      <c r="EV114" s="316">
        <v>3</v>
      </c>
      <c r="EW114" s="316">
        <v>0</v>
      </c>
      <c r="EX114" s="316">
        <v>1</v>
      </c>
      <c r="EY114" s="316">
        <v>0</v>
      </c>
      <c r="EZ114" s="316">
        <v>0</v>
      </c>
      <c r="FA114" s="316">
        <v>3</v>
      </c>
      <c r="FB114" s="316">
        <v>0</v>
      </c>
      <c r="FC114" s="316"/>
      <c r="FD114" s="316"/>
      <c r="FE114" s="316"/>
      <c r="FF114" s="316"/>
      <c r="FG114" s="316"/>
      <c r="FH114" s="316"/>
      <c r="FI114" s="316"/>
      <c r="FJ114" s="316">
        <f t="shared" si="27"/>
        <v>8</v>
      </c>
      <c r="FK114" s="320">
        <f t="shared" si="24"/>
        <v>0</v>
      </c>
      <c r="FL114" s="320">
        <f t="shared" si="25"/>
        <v>0</v>
      </c>
      <c r="FM114" s="321"/>
    </row>
    <row r="115" spans="1:169" x14ac:dyDescent="0.25">
      <c r="A115" s="325">
        <v>40399</v>
      </c>
      <c r="B115" s="325" t="s">
        <v>133</v>
      </c>
      <c r="C115" s="325" t="s">
        <v>131</v>
      </c>
      <c r="D115" s="325" t="s">
        <v>380</v>
      </c>
      <c r="E115" s="322">
        <v>798</v>
      </c>
      <c r="F115" s="307">
        <v>5</v>
      </c>
      <c r="G115" s="308" t="s">
        <v>424</v>
      </c>
      <c r="H115" s="309">
        <v>0</v>
      </c>
      <c r="I115" s="309">
        <v>0</v>
      </c>
      <c r="J115" s="310">
        <v>6</v>
      </c>
      <c r="K115" s="309">
        <v>8</v>
      </c>
      <c r="L115" s="309">
        <v>3</v>
      </c>
      <c r="M115" s="309">
        <v>3</v>
      </c>
      <c r="N115" s="309">
        <v>2</v>
      </c>
      <c r="O115" s="309">
        <v>4</v>
      </c>
      <c r="P115" s="309">
        <v>2</v>
      </c>
      <c r="Q115" s="309">
        <v>0</v>
      </c>
      <c r="R115" s="309">
        <v>26</v>
      </c>
      <c r="S115" s="309">
        <v>106</v>
      </c>
      <c r="T115" s="309">
        <v>69</v>
      </c>
      <c r="U115" s="309">
        <v>0</v>
      </c>
      <c r="V115" s="311">
        <v>0</v>
      </c>
      <c r="W115" s="323">
        <v>0</v>
      </c>
      <c r="X115" s="323">
        <v>1</v>
      </c>
      <c r="Y115" s="323">
        <v>0</v>
      </c>
      <c r="Z115" s="323">
        <v>0</v>
      </c>
      <c r="AA115" s="323">
        <v>0</v>
      </c>
      <c r="AB115" s="324">
        <v>2</v>
      </c>
      <c r="AC115" s="323">
        <v>6</v>
      </c>
      <c r="AD115" s="323">
        <v>6</v>
      </c>
      <c r="AE115" s="323">
        <v>6</v>
      </c>
      <c r="AF115" s="323">
        <v>3</v>
      </c>
      <c r="AG115" s="323">
        <v>3</v>
      </c>
      <c r="AH115" s="323">
        <v>0</v>
      </c>
      <c r="AI115" s="323">
        <v>0</v>
      </c>
      <c r="AJ115" s="323">
        <v>13</v>
      </c>
      <c r="AK115" s="323">
        <v>49</v>
      </c>
      <c r="AL115" s="323">
        <v>24</v>
      </c>
      <c r="AM115" s="312" t="s">
        <v>441</v>
      </c>
      <c r="AN115" s="313">
        <v>3</v>
      </c>
      <c r="AO115" s="313">
        <v>0</v>
      </c>
      <c r="AP115" s="313">
        <v>0</v>
      </c>
      <c r="AQ115" s="313">
        <v>0</v>
      </c>
      <c r="AR115" s="313">
        <v>1</v>
      </c>
      <c r="AS115" s="313">
        <v>0</v>
      </c>
      <c r="AT115" s="313">
        <v>1</v>
      </c>
      <c r="AU115" s="313">
        <v>0</v>
      </c>
      <c r="AV115" s="314">
        <v>0</v>
      </c>
      <c r="AW115" s="312" t="s">
        <v>402</v>
      </c>
      <c r="AX115" s="313">
        <v>3</v>
      </c>
      <c r="AY115" s="313">
        <v>1</v>
      </c>
      <c r="AZ115" s="313">
        <v>0</v>
      </c>
      <c r="BA115" s="313">
        <v>0</v>
      </c>
      <c r="BB115" s="313">
        <v>2</v>
      </c>
      <c r="BC115" s="313">
        <v>0</v>
      </c>
      <c r="BD115" s="313">
        <v>0</v>
      </c>
      <c r="BE115" s="313">
        <v>0</v>
      </c>
      <c r="BF115" s="314">
        <v>0</v>
      </c>
      <c r="BG115" s="312" t="s">
        <v>446</v>
      </c>
      <c r="BH115" s="313">
        <v>3</v>
      </c>
      <c r="BI115" s="313">
        <v>0</v>
      </c>
      <c r="BJ115" s="313">
        <v>2</v>
      </c>
      <c r="BK115" s="313">
        <v>0</v>
      </c>
      <c r="BL115" s="313">
        <v>1</v>
      </c>
      <c r="BM115" s="313">
        <v>0</v>
      </c>
      <c r="BN115" s="313">
        <v>0</v>
      </c>
      <c r="BO115" s="313">
        <v>0</v>
      </c>
      <c r="BP115" s="314">
        <v>2</v>
      </c>
      <c r="BQ115" s="312" t="s">
        <v>496</v>
      </c>
      <c r="BR115" s="313">
        <v>3</v>
      </c>
      <c r="BS115" s="313">
        <v>0</v>
      </c>
      <c r="BT115" s="313">
        <v>0</v>
      </c>
      <c r="BU115" s="313">
        <v>1</v>
      </c>
      <c r="BV115" s="313">
        <v>0</v>
      </c>
      <c r="BW115" s="313">
        <v>1</v>
      </c>
      <c r="BX115" s="313">
        <v>1</v>
      </c>
      <c r="BY115" s="313">
        <v>0</v>
      </c>
      <c r="BZ115" s="314">
        <v>0</v>
      </c>
      <c r="CA115" s="312" t="s">
        <v>364</v>
      </c>
      <c r="CB115" s="313">
        <v>4</v>
      </c>
      <c r="CC115" s="313">
        <v>1</v>
      </c>
      <c r="CD115" s="313">
        <v>1</v>
      </c>
      <c r="CE115" s="313">
        <v>1</v>
      </c>
      <c r="CF115" s="313">
        <v>0</v>
      </c>
      <c r="CG115" s="313">
        <v>0</v>
      </c>
      <c r="CH115" s="313">
        <v>0</v>
      </c>
      <c r="CI115" s="313">
        <v>0</v>
      </c>
      <c r="CJ115" s="314">
        <v>4</v>
      </c>
      <c r="CK115" s="312" t="s">
        <v>366</v>
      </c>
      <c r="CL115" s="313">
        <v>4</v>
      </c>
      <c r="CM115" s="313">
        <v>0</v>
      </c>
      <c r="CN115" s="313">
        <v>1</v>
      </c>
      <c r="CO115" s="313">
        <v>0</v>
      </c>
      <c r="CP115" s="313">
        <v>0</v>
      </c>
      <c r="CQ115" s="313">
        <v>2</v>
      </c>
      <c r="CR115" s="313">
        <v>0</v>
      </c>
      <c r="CS115" s="313">
        <v>0</v>
      </c>
      <c r="CT115" s="314">
        <v>1</v>
      </c>
      <c r="CU115" s="312" t="s">
        <v>365</v>
      </c>
      <c r="CV115" s="313">
        <v>4</v>
      </c>
      <c r="CW115" s="313">
        <v>0</v>
      </c>
      <c r="CX115" s="313">
        <v>0</v>
      </c>
      <c r="CY115" s="313">
        <v>0</v>
      </c>
      <c r="CZ115" s="313">
        <v>0</v>
      </c>
      <c r="DA115" s="313">
        <v>1</v>
      </c>
      <c r="DB115" s="313">
        <v>0</v>
      </c>
      <c r="DC115" s="313">
        <v>0</v>
      </c>
      <c r="DD115" s="314">
        <v>0</v>
      </c>
      <c r="DE115" s="312" t="s">
        <v>483</v>
      </c>
      <c r="DF115" s="313">
        <v>4</v>
      </c>
      <c r="DG115" s="313">
        <v>0</v>
      </c>
      <c r="DH115" s="313">
        <v>0</v>
      </c>
      <c r="DI115" s="313">
        <v>0</v>
      </c>
      <c r="DJ115" s="313">
        <v>0</v>
      </c>
      <c r="DK115" s="313">
        <v>1</v>
      </c>
      <c r="DL115" s="313">
        <v>0</v>
      </c>
      <c r="DM115" s="313">
        <v>0</v>
      </c>
      <c r="DN115" s="314">
        <v>0</v>
      </c>
      <c r="DO115" s="312" t="s">
        <v>448</v>
      </c>
      <c r="DP115" s="313">
        <v>4</v>
      </c>
      <c r="DQ115" s="313">
        <v>1</v>
      </c>
      <c r="DR115" s="313">
        <v>3</v>
      </c>
      <c r="DS115" s="313">
        <v>1</v>
      </c>
      <c r="DT115" s="313">
        <v>0</v>
      </c>
      <c r="DU115" s="313">
        <v>1</v>
      </c>
      <c r="DV115" s="313">
        <v>0</v>
      </c>
      <c r="DW115" s="313">
        <v>0</v>
      </c>
      <c r="DX115" s="314">
        <v>6</v>
      </c>
      <c r="DY115" s="315">
        <v>6</v>
      </c>
      <c r="DZ115" s="316">
        <v>0</v>
      </c>
      <c r="EA115" s="316">
        <v>2</v>
      </c>
      <c r="EB115" s="317">
        <v>3</v>
      </c>
      <c r="EC115" s="316">
        <v>0</v>
      </c>
      <c r="ED115" s="318">
        <v>0</v>
      </c>
      <c r="EE115" s="319">
        <v>1</v>
      </c>
      <c r="EF115" s="316">
        <v>0</v>
      </c>
      <c r="EG115" s="316">
        <v>0</v>
      </c>
      <c r="EH115" s="316">
        <v>0</v>
      </c>
      <c r="EI115" s="316">
        <v>0</v>
      </c>
      <c r="EJ115" s="316">
        <v>1</v>
      </c>
      <c r="EK115" s="316">
        <v>1</v>
      </c>
      <c r="EL115" s="316">
        <v>0</v>
      </c>
      <c r="EM115" s="316">
        <v>0</v>
      </c>
      <c r="EN115" s="316"/>
      <c r="EO115" s="316"/>
      <c r="EP115" s="316"/>
      <c r="EQ115" s="316"/>
      <c r="ER115" s="316"/>
      <c r="ES115" s="316"/>
      <c r="ET115" s="318">
        <f t="shared" si="26"/>
        <v>3</v>
      </c>
      <c r="EU115" s="316">
        <v>0</v>
      </c>
      <c r="EV115" s="316">
        <v>1</v>
      </c>
      <c r="EW115" s="316">
        <v>0</v>
      </c>
      <c r="EX115" s="316">
        <v>1</v>
      </c>
      <c r="EY115" s="316">
        <v>0</v>
      </c>
      <c r="EZ115" s="316">
        <v>1</v>
      </c>
      <c r="FA115" s="316">
        <v>6</v>
      </c>
      <c r="FB115" s="316">
        <v>0</v>
      </c>
      <c r="FC115" s="316"/>
      <c r="FD115" s="316"/>
      <c r="FE115" s="316"/>
      <c r="FF115" s="316"/>
      <c r="FG115" s="316"/>
      <c r="FH115" s="316"/>
      <c r="FI115" s="316"/>
      <c r="FJ115" s="316">
        <f t="shared" si="27"/>
        <v>9</v>
      </c>
      <c r="FK115" s="320">
        <f t="shared" si="24"/>
        <v>0</v>
      </c>
      <c r="FL115" s="320">
        <f t="shared" si="25"/>
        <v>0</v>
      </c>
      <c r="FM115" s="321"/>
    </row>
    <row r="116" spans="1:169" x14ac:dyDescent="0.25">
      <c r="A116" s="325">
        <v>40400</v>
      </c>
      <c r="B116" s="325" t="s">
        <v>133</v>
      </c>
      <c r="C116" s="325" t="s">
        <v>129</v>
      </c>
      <c r="D116" s="325" t="s">
        <v>380</v>
      </c>
      <c r="E116" s="322">
        <v>803</v>
      </c>
      <c r="F116" s="307">
        <v>1</v>
      </c>
      <c r="G116" s="308" t="s">
        <v>470</v>
      </c>
      <c r="H116" s="309">
        <v>1</v>
      </c>
      <c r="I116" s="309">
        <v>0</v>
      </c>
      <c r="J116" s="310">
        <v>6</v>
      </c>
      <c r="K116" s="309">
        <v>8</v>
      </c>
      <c r="L116" s="309">
        <v>3</v>
      </c>
      <c r="M116" s="309">
        <v>2</v>
      </c>
      <c r="N116" s="309">
        <v>1</v>
      </c>
      <c r="O116" s="309">
        <v>10</v>
      </c>
      <c r="P116" s="309">
        <v>1</v>
      </c>
      <c r="Q116" s="309">
        <v>0</v>
      </c>
      <c r="R116" s="309">
        <v>27</v>
      </c>
      <c r="S116" s="309">
        <v>95</v>
      </c>
      <c r="T116" s="309">
        <v>62</v>
      </c>
      <c r="U116" s="309">
        <v>0</v>
      </c>
      <c r="V116" s="311">
        <v>0</v>
      </c>
      <c r="W116" s="323">
        <v>0</v>
      </c>
      <c r="X116" s="323">
        <v>0</v>
      </c>
      <c r="Y116" s="323">
        <v>0</v>
      </c>
      <c r="Z116" s="323">
        <v>0</v>
      </c>
      <c r="AA116" s="323">
        <v>0</v>
      </c>
      <c r="AB116" s="324">
        <v>3</v>
      </c>
      <c r="AC116" s="323">
        <v>3</v>
      </c>
      <c r="AD116" s="323">
        <v>0</v>
      </c>
      <c r="AE116" s="323">
        <v>0</v>
      </c>
      <c r="AF116" s="323">
        <v>0</v>
      </c>
      <c r="AG116" s="323">
        <v>3</v>
      </c>
      <c r="AH116" s="323">
        <v>0</v>
      </c>
      <c r="AI116" s="323">
        <v>1</v>
      </c>
      <c r="AJ116" s="323">
        <v>13</v>
      </c>
      <c r="AK116" s="323">
        <v>34</v>
      </c>
      <c r="AL116" s="323">
        <v>26</v>
      </c>
      <c r="AM116" s="312" t="s">
        <v>441</v>
      </c>
      <c r="AN116" s="313">
        <v>4</v>
      </c>
      <c r="AO116" s="313">
        <v>2</v>
      </c>
      <c r="AP116" s="313">
        <v>2</v>
      </c>
      <c r="AQ116" s="313">
        <v>1</v>
      </c>
      <c r="AR116" s="313">
        <v>1</v>
      </c>
      <c r="AS116" s="313">
        <v>0</v>
      </c>
      <c r="AT116" s="313">
        <v>0</v>
      </c>
      <c r="AU116" s="313">
        <v>0</v>
      </c>
      <c r="AV116" s="314">
        <v>3</v>
      </c>
      <c r="AW116" s="312" t="s">
        <v>364</v>
      </c>
      <c r="AX116" s="313">
        <v>5</v>
      </c>
      <c r="AY116" s="313">
        <v>1</v>
      </c>
      <c r="AZ116" s="313">
        <v>1</v>
      </c>
      <c r="BA116" s="313">
        <v>2</v>
      </c>
      <c r="BB116" s="313">
        <v>0</v>
      </c>
      <c r="BC116" s="313">
        <v>0</v>
      </c>
      <c r="BD116" s="313">
        <v>0</v>
      </c>
      <c r="BE116" s="313">
        <v>0</v>
      </c>
      <c r="BF116" s="314">
        <v>2</v>
      </c>
      <c r="BG116" s="312" t="s">
        <v>446</v>
      </c>
      <c r="BH116" s="313">
        <v>5</v>
      </c>
      <c r="BI116" s="313">
        <v>0</v>
      </c>
      <c r="BJ116" s="313">
        <v>1</v>
      </c>
      <c r="BK116" s="313">
        <v>1</v>
      </c>
      <c r="BL116" s="313">
        <v>0</v>
      </c>
      <c r="BM116" s="313">
        <v>1</v>
      </c>
      <c r="BN116" s="313">
        <v>0</v>
      </c>
      <c r="BO116" s="313">
        <v>0</v>
      </c>
      <c r="BP116" s="314">
        <v>1</v>
      </c>
      <c r="BQ116" s="312" t="s">
        <v>496</v>
      </c>
      <c r="BR116" s="313">
        <v>5</v>
      </c>
      <c r="BS116" s="313">
        <v>1</v>
      </c>
      <c r="BT116" s="313">
        <v>2</v>
      </c>
      <c r="BU116" s="313">
        <v>0</v>
      </c>
      <c r="BV116" s="313">
        <v>0</v>
      </c>
      <c r="BW116" s="313">
        <v>0</v>
      </c>
      <c r="BX116" s="313">
        <v>0</v>
      </c>
      <c r="BY116" s="313">
        <v>0</v>
      </c>
      <c r="BZ116" s="314">
        <v>2</v>
      </c>
      <c r="CA116" s="312" t="s">
        <v>402</v>
      </c>
      <c r="CB116" s="313">
        <v>4</v>
      </c>
      <c r="CC116" s="313">
        <v>1</v>
      </c>
      <c r="CD116" s="313">
        <v>1</v>
      </c>
      <c r="CE116" s="313">
        <v>0</v>
      </c>
      <c r="CF116" s="313">
        <v>0</v>
      </c>
      <c r="CG116" s="313">
        <v>1</v>
      </c>
      <c r="CH116" s="313">
        <v>1</v>
      </c>
      <c r="CI116" s="313">
        <v>0</v>
      </c>
      <c r="CJ116" s="314">
        <v>1</v>
      </c>
      <c r="CK116" s="312" t="s">
        <v>448</v>
      </c>
      <c r="CL116" s="313">
        <v>4</v>
      </c>
      <c r="CM116" s="313">
        <v>0</v>
      </c>
      <c r="CN116" s="313">
        <v>1</v>
      </c>
      <c r="CO116" s="313">
        <v>3</v>
      </c>
      <c r="CP116" s="313">
        <v>1</v>
      </c>
      <c r="CQ116" s="313">
        <v>1</v>
      </c>
      <c r="CR116" s="313">
        <v>0</v>
      </c>
      <c r="CS116" s="313">
        <v>0</v>
      </c>
      <c r="CT116" s="314">
        <v>3</v>
      </c>
      <c r="CU116" s="312" t="s">
        <v>366</v>
      </c>
      <c r="CV116" s="313">
        <v>4</v>
      </c>
      <c r="CW116" s="313">
        <v>0</v>
      </c>
      <c r="CX116" s="313">
        <v>0</v>
      </c>
      <c r="CY116" s="313">
        <v>0</v>
      </c>
      <c r="CZ116" s="313">
        <v>0</v>
      </c>
      <c r="DA116" s="313">
        <v>4</v>
      </c>
      <c r="DB116" s="313">
        <v>0</v>
      </c>
      <c r="DC116" s="313">
        <v>0</v>
      </c>
      <c r="DD116" s="314">
        <v>0</v>
      </c>
      <c r="DE116" s="312" t="s">
        <v>365</v>
      </c>
      <c r="DF116" s="313">
        <v>4</v>
      </c>
      <c r="DG116" s="313">
        <v>1</v>
      </c>
      <c r="DH116" s="313">
        <v>2</v>
      </c>
      <c r="DI116" s="313">
        <v>0</v>
      </c>
      <c r="DJ116" s="313">
        <v>0</v>
      </c>
      <c r="DK116" s="313">
        <v>0</v>
      </c>
      <c r="DL116" s="313">
        <v>0</v>
      </c>
      <c r="DM116" s="313">
        <v>0</v>
      </c>
      <c r="DN116" s="314">
        <v>2</v>
      </c>
      <c r="DO116" s="312" t="s">
        <v>639</v>
      </c>
      <c r="DP116" s="313">
        <v>3</v>
      </c>
      <c r="DQ116" s="313">
        <v>1</v>
      </c>
      <c r="DR116" s="313">
        <v>0</v>
      </c>
      <c r="DS116" s="313">
        <v>0</v>
      </c>
      <c r="DT116" s="313">
        <v>1</v>
      </c>
      <c r="DU116" s="313">
        <v>0</v>
      </c>
      <c r="DV116" s="313">
        <v>0</v>
      </c>
      <c r="DW116" s="313">
        <v>0</v>
      </c>
      <c r="DX116" s="314">
        <v>0</v>
      </c>
      <c r="DY116" s="315">
        <f>1+2/3</f>
        <v>1.6666666666666665</v>
      </c>
      <c r="DZ116" s="316">
        <v>0</v>
      </c>
      <c r="EA116" s="316">
        <v>0</v>
      </c>
      <c r="EB116" s="317">
        <f>7+1/3</f>
        <v>7.333333333333333</v>
      </c>
      <c r="EC116" s="316">
        <v>1</v>
      </c>
      <c r="ED116" s="318">
        <v>0</v>
      </c>
      <c r="EE116" s="319">
        <v>0</v>
      </c>
      <c r="EF116" s="316">
        <v>5</v>
      </c>
      <c r="EG116" s="316">
        <v>0</v>
      </c>
      <c r="EH116" s="316">
        <v>0</v>
      </c>
      <c r="EI116" s="316">
        <v>0</v>
      </c>
      <c r="EJ116" s="316">
        <v>0</v>
      </c>
      <c r="EK116" s="316">
        <v>2</v>
      </c>
      <c r="EL116" s="316">
        <v>0</v>
      </c>
      <c r="EM116" s="316">
        <v>0</v>
      </c>
      <c r="EN116" s="316"/>
      <c r="EO116" s="316"/>
      <c r="EP116" s="316"/>
      <c r="EQ116" s="316"/>
      <c r="ER116" s="316"/>
      <c r="ES116" s="316"/>
      <c r="ET116" s="318">
        <f t="shared" ref="ET116:ET125" si="28">SUM(EE116:ES116)</f>
        <v>7</v>
      </c>
      <c r="EU116" s="316">
        <v>0</v>
      </c>
      <c r="EV116" s="316">
        <v>0</v>
      </c>
      <c r="EW116" s="316">
        <v>2</v>
      </c>
      <c r="EX116" s="316">
        <v>0</v>
      </c>
      <c r="EY116" s="316">
        <v>1</v>
      </c>
      <c r="EZ116" s="316">
        <v>0</v>
      </c>
      <c r="FA116" s="316">
        <v>0</v>
      </c>
      <c r="FB116" s="316">
        <v>0</v>
      </c>
      <c r="FC116" s="316">
        <v>0</v>
      </c>
      <c r="FD116" s="316"/>
      <c r="FE116" s="316"/>
      <c r="FF116" s="316"/>
      <c r="FG116" s="316"/>
      <c r="FH116" s="316"/>
      <c r="FI116" s="316"/>
      <c r="FJ116" s="316">
        <f t="shared" ref="FJ116:FJ125" si="29">SUM(EU116:FI116)</f>
        <v>3</v>
      </c>
      <c r="FK116" s="320">
        <f t="shared" ref="FK116:FK125" si="30">((SUM(L116,AD116))-(FJ116))</f>
        <v>0</v>
      </c>
      <c r="FL116" s="320">
        <f t="shared" ref="FL116:FL125" si="31">((SUM(AO116,AY116,BI116,BS116,CC116,CM116,CW116,DG116,DQ116))-(ET116))</f>
        <v>0</v>
      </c>
      <c r="FM116" s="321"/>
    </row>
    <row r="117" spans="1:169" x14ac:dyDescent="0.25">
      <c r="A117" s="325">
        <v>40401</v>
      </c>
      <c r="B117" s="325" t="s">
        <v>133</v>
      </c>
      <c r="C117" s="325" t="s">
        <v>131</v>
      </c>
      <c r="D117" s="325" t="s">
        <v>380</v>
      </c>
      <c r="E117" s="322">
        <v>676</v>
      </c>
      <c r="F117" s="307">
        <v>2</v>
      </c>
      <c r="G117" s="308" t="s">
        <v>438</v>
      </c>
      <c r="H117" s="309">
        <v>0</v>
      </c>
      <c r="I117" s="309">
        <v>1</v>
      </c>
      <c r="J117" s="310">
        <f>3+1/3</f>
        <v>3.3333333333333335</v>
      </c>
      <c r="K117" s="309">
        <v>6</v>
      </c>
      <c r="L117" s="309">
        <v>7</v>
      </c>
      <c r="M117" s="309">
        <v>7</v>
      </c>
      <c r="N117" s="309">
        <v>3</v>
      </c>
      <c r="O117" s="309">
        <v>0</v>
      </c>
      <c r="P117" s="309">
        <v>1</v>
      </c>
      <c r="Q117" s="309">
        <v>0</v>
      </c>
      <c r="R117" s="309">
        <v>18</v>
      </c>
      <c r="S117" s="309">
        <v>70</v>
      </c>
      <c r="T117" s="309">
        <v>41</v>
      </c>
      <c r="U117" s="309">
        <v>1</v>
      </c>
      <c r="V117" s="311">
        <v>0</v>
      </c>
      <c r="W117" s="323">
        <v>0</v>
      </c>
      <c r="X117" s="323">
        <v>0</v>
      </c>
      <c r="Y117" s="323">
        <v>0</v>
      </c>
      <c r="Z117" s="323">
        <v>0</v>
      </c>
      <c r="AA117" s="323">
        <v>0</v>
      </c>
      <c r="AB117" s="324">
        <f>4+2/3</f>
        <v>4.666666666666667</v>
      </c>
      <c r="AC117" s="323">
        <v>2</v>
      </c>
      <c r="AD117" s="323">
        <v>2</v>
      </c>
      <c r="AE117" s="323">
        <v>2</v>
      </c>
      <c r="AF117" s="323">
        <v>3</v>
      </c>
      <c r="AG117" s="323">
        <v>3</v>
      </c>
      <c r="AH117" s="323">
        <v>0</v>
      </c>
      <c r="AI117" s="323">
        <v>1</v>
      </c>
      <c r="AJ117" s="323">
        <v>20</v>
      </c>
      <c r="AK117" s="323">
        <v>65</v>
      </c>
      <c r="AL117" s="323">
        <v>41</v>
      </c>
      <c r="AM117" s="312" t="s">
        <v>441</v>
      </c>
      <c r="AN117" s="313">
        <v>4</v>
      </c>
      <c r="AO117" s="313">
        <v>0</v>
      </c>
      <c r="AP117" s="313">
        <v>0</v>
      </c>
      <c r="AQ117" s="313">
        <v>0</v>
      </c>
      <c r="AR117" s="313">
        <v>0</v>
      </c>
      <c r="AS117" s="313">
        <v>0</v>
      </c>
      <c r="AT117" s="313">
        <v>0</v>
      </c>
      <c r="AU117" s="313">
        <v>0</v>
      </c>
      <c r="AV117" s="314">
        <v>0</v>
      </c>
      <c r="AW117" s="312" t="s">
        <v>364</v>
      </c>
      <c r="AX117" s="313">
        <v>3</v>
      </c>
      <c r="AY117" s="313">
        <v>0</v>
      </c>
      <c r="AZ117" s="313">
        <v>1</v>
      </c>
      <c r="BA117" s="313">
        <v>1</v>
      </c>
      <c r="BB117" s="313">
        <v>1</v>
      </c>
      <c r="BC117" s="313">
        <v>1</v>
      </c>
      <c r="BD117" s="313">
        <v>0</v>
      </c>
      <c r="BE117" s="313">
        <v>0</v>
      </c>
      <c r="BF117" s="314">
        <v>1</v>
      </c>
      <c r="BG117" s="312" t="s">
        <v>446</v>
      </c>
      <c r="BH117" s="313">
        <v>4</v>
      </c>
      <c r="BI117" s="313">
        <v>0</v>
      </c>
      <c r="BJ117" s="313">
        <v>0</v>
      </c>
      <c r="BK117" s="313">
        <v>0</v>
      </c>
      <c r="BL117" s="313">
        <v>0</v>
      </c>
      <c r="BM117" s="313">
        <v>1</v>
      </c>
      <c r="BN117" s="313">
        <v>0</v>
      </c>
      <c r="BO117" s="313">
        <v>0</v>
      </c>
      <c r="BP117" s="314">
        <v>0</v>
      </c>
      <c r="BQ117" s="312" t="s">
        <v>496</v>
      </c>
      <c r="BR117" s="313">
        <v>4</v>
      </c>
      <c r="BS117" s="313">
        <v>0</v>
      </c>
      <c r="BT117" s="313">
        <v>0</v>
      </c>
      <c r="BU117" s="313">
        <v>0</v>
      </c>
      <c r="BV117" s="313">
        <v>0</v>
      </c>
      <c r="BW117" s="313">
        <v>2</v>
      </c>
      <c r="BX117" s="313">
        <v>0</v>
      </c>
      <c r="BY117" s="313">
        <v>0</v>
      </c>
      <c r="BZ117" s="314">
        <v>0</v>
      </c>
      <c r="CA117" s="312" t="s">
        <v>402</v>
      </c>
      <c r="CB117" s="313">
        <v>2</v>
      </c>
      <c r="CC117" s="313">
        <v>0</v>
      </c>
      <c r="CD117" s="313">
        <v>0</v>
      </c>
      <c r="CE117" s="313">
        <v>0</v>
      </c>
      <c r="CF117" s="313">
        <v>2</v>
      </c>
      <c r="CG117" s="313">
        <v>1</v>
      </c>
      <c r="CH117" s="313">
        <v>0</v>
      </c>
      <c r="CI117" s="313">
        <v>0</v>
      </c>
      <c r="CJ117" s="314">
        <v>0</v>
      </c>
      <c r="CK117" s="312" t="s">
        <v>448</v>
      </c>
      <c r="CL117" s="313">
        <v>4</v>
      </c>
      <c r="CM117" s="313">
        <v>0</v>
      </c>
      <c r="CN117" s="313">
        <v>2</v>
      </c>
      <c r="CO117" s="313">
        <v>0</v>
      </c>
      <c r="CP117" s="313">
        <v>0</v>
      </c>
      <c r="CQ117" s="313">
        <v>0</v>
      </c>
      <c r="CR117" s="313">
        <v>0</v>
      </c>
      <c r="CS117" s="313">
        <v>0</v>
      </c>
      <c r="CT117" s="314">
        <v>2</v>
      </c>
      <c r="CU117" s="312" t="s">
        <v>366</v>
      </c>
      <c r="CV117" s="313">
        <v>4</v>
      </c>
      <c r="CW117" s="313">
        <v>0</v>
      </c>
      <c r="CX117" s="313">
        <v>0</v>
      </c>
      <c r="CY117" s="313">
        <v>0</v>
      </c>
      <c r="CZ117" s="313">
        <v>0</v>
      </c>
      <c r="DA117" s="313">
        <v>3</v>
      </c>
      <c r="DB117" s="313">
        <v>0</v>
      </c>
      <c r="DC117" s="313">
        <v>0</v>
      </c>
      <c r="DD117" s="314">
        <v>0</v>
      </c>
      <c r="DE117" s="312" t="s">
        <v>365</v>
      </c>
      <c r="DF117" s="313">
        <v>3</v>
      </c>
      <c r="DG117" s="313">
        <v>1</v>
      </c>
      <c r="DH117" s="313">
        <v>1</v>
      </c>
      <c r="DI117" s="313">
        <v>0</v>
      </c>
      <c r="DJ117" s="313">
        <v>0</v>
      </c>
      <c r="DK117" s="313">
        <v>0</v>
      </c>
      <c r="DL117" s="313">
        <v>0</v>
      </c>
      <c r="DM117" s="313">
        <v>0</v>
      </c>
      <c r="DN117" s="314">
        <v>1</v>
      </c>
      <c r="DO117" s="312" t="s">
        <v>449</v>
      </c>
      <c r="DP117" s="313">
        <v>3</v>
      </c>
      <c r="DQ117" s="313">
        <v>0</v>
      </c>
      <c r="DR117" s="313">
        <v>1</v>
      </c>
      <c r="DS117" s="313">
        <v>0</v>
      </c>
      <c r="DT117" s="313">
        <v>0</v>
      </c>
      <c r="DU117" s="313">
        <v>0</v>
      </c>
      <c r="DV117" s="313">
        <v>0</v>
      </c>
      <c r="DW117" s="313">
        <v>0</v>
      </c>
      <c r="DX117" s="314">
        <v>1</v>
      </c>
      <c r="DY117" s="315">
        <v>0</v>
      </c>
      <c r="DZ117" s="316">
        <v>0</v>
      </c>
      <c r="EA117" s="316">
        <v>0</v>
      </c>
      <c r="EB117" s="317">
        <v>9</v>
      </c>
      <c r="EC117" s="316">
        <v>0</v>
      </c>
      <c r="ED117" s="318">
        <v>0</v>
      </c>
      <c r="EE117" s="319">
        <v>0</v>
      </c>
      <c r="EF117" s="316">
        <v>0</v>
      </c>
      <c r="EG117" s="316">
        <v>0</v>
      </c>
      <c r="EH117" s="316">
        <v>0</v>
      </c>
      <c r="EI117" s="316">
        <v>0</v>
      </c>
      <c r="EJ117" s="316">
        <v>0</v>
      </c>
      <c r="EK117" s="316">
        <v>0</v>
      </c>
      <c r="EL117" s="316">
        <v>1</v>
      </c>
      <c r="EM117" s="316">
        <v>0</v>
      </c>
      <c r="EN117" s="316"/>
      <c r="EO117" s="316"/>
      <c r="EP117" s="316"/>
      <c r="EQ117" s="316"/>
      <c r="ER117" s="316"/>
      <c r="ES117" s="316"/>
      <c r="ET117" s="318">
        <f t="shared" si="28"/>
        <v>1</v>
      </c>
      <c r="EU117" s="316">
        <v>4</v>
      </c>
      <c r="EV117" s="316">
        <v>0</v>
      </c>
      <c r="EW117" s="316">
        <v>0</v>
      </c>
      <c r="EX117" s="316">
        <v>3</v>
      </c>
      <c r="EY117" s="316">
        <v>2</v>
      </c>
      <c r="EZ117" s="316">
        <v>0</v>
      </c>
      <c r="FA117" s="316">
        <v>0</v>
      </c>
      <c r="FB117" s="316">
        <v>0</v>
      </c>
      <c r="FC117" s="316"/>
      <c r="FD117" s="316"/>
      <c r="FE117" s="316"/>
      <c r="FF117" s="316"/>
      <c r="FG117" s="316"/>
      <c r="FH117" s="316"/>
      <c r="FI117" s="316"/>
      <c r="FJ117" s="316">
        <f t="shared" si="29"/>
        <v>9</v>
      </c>
      <c r="FK117" s="320">
        <f t="shared" si="30"/>
        <v>0</v>
      </c>
      <c r="FL117" s="320">
        <f t="shared" si="31"/>
        <v>0</v>
      </c>
      <c r="FM117" s="321"/>
    </row>
    <row r="118" spans="1:169" x14ac:dyDescent="0.25">
      <c r="A118" s="325">
        <v>40402</v>
      </c>
      <c r="B118" s="325" t="s">
        <v>133</v>
      </c>
      <c r="C118" s="325" t="s">
        <v>131</v>
      </c>
      <c r="D118" s="325" t="s">
        <v>376</v>
      </c>
      <c r="E118" s="322">
        <v>2354</v>
      </c>
      <c r="F118" s="307">
        <v>3</v>
      </c>
      <c r="G118" s="308" t="s">
        <v>368</v>
      </c>
      <c r="H118" s="309">
        <v>0</v>
      </c>
      <c r="I118" s="309">
        <v>1</v>
      </c>
      <c r="J118" s="310">
        <v>5</v>
      </c>
      <c r="K118" s="309">
        <v>5</v>
      </c>
      <c r="L118" s="309">
        <v>4</v>
      </c>
      <c r="M118" s="309">
        <v>4</v>
      </c>
      <c r="N118" s="309">
        <v>2</v>
      </c>
      <c r="O118" s="309">
        <v>2</v>
      </c>
      <c r="P118" s="309">
        <v>0</v>
      </c>
      <c r="Q118" s="309">
        <v>1</v>
      </c>
      <c r="R118" s="309">
        <v>23</v>
      </c>
      <c r="S118" s="309">
        <v>91</v>
      </c>
      <c r="T118" s="309">
        <v>55</v>
      </c>
      <c r="U118" s="309">
        <v>0</v>
      </c>
      <c r="V118" s="311">
        <v>0</v>
      </c>
      <c r="W118" s="323">
        <v>0</v>
      </c>
      <c r="X118" s="323">
        <v>0</v>
      </c>
      <c r="Y118" s="323">
        <v>0</v>
      </c>
      <c r="Z118" s="323">
        <v>0</v>
      </c>
      <c r="AA118" s="323">
        <v>0</v>
      </c>
      <c r="AB118" s="324">
        <v>3</v>
      </c>
      <c r="AC118" s="323">
        <v>7</v>
      </c>
      <c r="AD118" s="323">
        <v>8</v>
      </c>
      <c r="AE118" s="323">
        <v>8</v>
      </c>
      <c r="AF118" s="323">
        <v>4</v>
      </c>
      <c r="AG118" s="323">
        <v>1</v>
      </c>
      <c r="AH118" s="323">
        <v>0</v>
      </c>
      <c r="AI118" s="323">
        <v>0</v>
      </c>
      <c r="AJ118" s="323">
        <v>20</v>
      </c>
      <c r="AK118" s="323">
        <v>68</v>
      </c>
      <c r="AL118" s="323">
        <v>40</v>
      </c>
      <c r="AM118" s="312" t="s">
        <v>402</v>
      </c>
      <c r="AN118" s="313">
        <v>4</v>
      </c>
      <c r="AO118" s="313">
        <v>0</v>
      </c>
      <c r="AP118" s="313">
        <v>0</v>
      </c>
      <c r="AQ118" s="313">
        <v>0</v>
      </c>
      <c r="AR118" s="313">
        <v>0</v>
      </c>
      <c r="AS118" s="313">
        <v>2</v>
      </c>
      <c r="AT118" s="313">
        <v>0</v>
      </c>
      <c r="AU118" s="313">
        <v>0</v>
      </c>
      <c r="AV118" s="314">
        <v>0</v>
      </c>
      <c r="AW118" s="312" t="s">
        <v>364</v>
      </c>
      <c r="AX118" s="313">
        <v>4</v>
      </c>
      <c r="AY118" s="313">
        <v>0</v>
      </c>
      <c r="AZ118" s="313">
        <v>1</v>
      </c>
      <c r="BA118" s="313">
        <v>0</v>
      </c>
      <c r="BB118" s="313">
        <v>0</v>
      </c>
      <c r="BC118" s="313">
        <v>1</v>
      </c>
      <c r="BD118" s="313">
        <v>0</v>
      </c>
      <c r="BE118" s="313">
        <v>0</v>
      </c>
      <c r="BF118" s="314">
        <v>1</v>
      </c>
      <c r="BG118" s="312" t="s">
        <v>650</v>
      </c>
      <c r="BH118" s="313">
        <v>4</v>
      </c>
      <c r="BI118" s="313">
        <v>0</v>
      </c>
      <c r="BJ118" s="313">
        <v>1</v>
      </c>
      <c r="BK118" s="313">
        <v>0</v>
      </c>
      <c r="BL118" s="313">
        <v>0</v>
      </c>
      <c r="BM118" s="313">
        <v>2</v>
      </c>
      <c r="BN118" s="313">
        <v>0</v>
      </c>
      <c r="BO118" s="313">
        <v>0</v>
      </c>
      <c r="BP118" s="314">
        <v>1</v>
      </c>
      <c r="BQ118" s="312" t="s">
        <v>496</v>
      </c>
      <c r="BR118" s="313">
        <v>4</v>
      </c>
      <c r="BS118" s="313">
        <v>0</v>
      </c>
      <c r="BT118" s="313">
        <v>0</v>
      </c>
      <c r="BU118" s="313">
        <v>0</v>
      </c>
      <c r="BV118" s="313">
        <v>0</v>
      </c>
      <c r="BW118" s="313">
        <v>0</v>
      </c>
      <c r="BX118" s="313">
        <v>0</v>
      </c>
      <c r="BY118" s="313">
        <v>0</v>
      </c>
      <c r="BZ118" s="314">
        <v>0</v>
      </c>
      <c r="CA118" s="312" t="s">
        <v>446</v>
      </c>
      <c r="CB118" s="313">
        <v>4</v>
      </c>
      <c r="CC118" s="313">
        <v>1</v>
      </c>
      <c r="CD118" s="313">
        <v>1</v>
      </c>
      <c r="CE118" s="313">
        <v>0</v>
      </c>
      <c r="CF118" s="313">
        <v>0</v>
      </c>
      <c r="CG118" s="313">
        <v>1</v>
      </c>
      <c r="CH118" s="313">
        <v>0</v>
      </c>
      <c r="CI118" s="313">
        <v>0</v>
      </c>
      <c r="CJ118" s="314">
        <v>2</v>
      </c>
      <c r="CK118" s="312" t="s">
        <v>448</v>
      </c>
      <c r="CL118" s="313">
        <v>3</v>
      </c>
      <c r="CM118" s="313">
        <v>1</v>
      </c>
      <c r="CN118" s="313">
        <v>2</v>
      </c>
      <c r="CO118" s="313">
        <v>0</v>
      </c>
      <c r="CP118" s="313">
        <v>0</v>
      </c>
      <c r="CQ118" s="313">
        <v>1</v>
      </c>
      <c r="CR118" s="313">
        <v>0</v>
      </c>
      <c r="CS118" s="313">
        <v>0</v>
      </c>
      <c r="CT118" s="314">
        <v>4</v>
      </c>
      <c r="CU118" s="312" t="s">
        <v>366</v>
      </c>
      <c r="CV118" s="313">
        <v>2</v>
      </c>
      <c r="CW118" s="313">
        <v>0</v>
      </c>
      <c r="CX118" s="313">
        <v>0</v>
      </c>
      <c r="CY118" s="313">
        <v>0</v>
      </c>
      <c r="CZ118" s="313">
        <v>0</v>
      </c>
      <c r="DA118" s="313">
        <v>0</v>
      </c>
      <c r="DB118" s="313">
        <v>1</v>
      </c>
      <c r="DC118" s="313">
        <v>0</v>
      </c>
      <c r="DD118" s="314">
        <v>0</v>
      </c>
      <c r="DE118" s="312" t="s">
        <v>365</v>
      </c>
      <c r="DF118" s="313">
        <v>3</v>
      </c>
      <c r="DG118" s="313">
        <v>0</v>
      </c>
      <c r="DH118" s="313">
        <v>0</v>
      </c>
      <c r="DI118" s="313">
        <v>1</v>
      </c>
      <c r="DJ118" s="313">
        <v>0</v>
      </c>
      <c r="DK118" s="313">
        <v>0</v>
      </c>
      <c r="DL118" s="313">
        <v>0</v>
      </c>
      <c r="DM118" s="313">
        <v>0</v>
      </c>
      <c r="DN118" s="314">
        <v>0</v>
      </c>
      <c r="DO118" s="312" t="s">
        <v>639</v>
      </c>
      <c r="DP118" s="313">
        <v>3</v>
      </c>
      <c r="DQ118" s="313">
        <v>0</v>
      </c>
      <c r="DR118" s="313">
        <v>0</v>
      </c>
      <c r="DS118" s="313">
        <v>0</v>
      </c>
      <c r="DT118" s="313">
        <v>0</v>
      </c>
      <c r="DU118" s="313">
        <v>2</v>
      </c>
      <c r="DV118" s="313">
        <v>0</v>
      </c>
      <c r="DW118" s="313">
        <v>0</v>
      </c>
      <c r="DX118" s="314">
        <v>0</v>
      </c>
      <c r="DY118" s="315">
        <v>0</v>
      </c>
      <c r="DZ118" s="316">
        <v>0</v>
      </c>
      <c r="EA118" s="316">
        <v>0</v>
      </c>
      <c r="EB118" s="317">
        <v>9</v>
      </c>
      <c r="EC118" s="316">
        <v>0</v>
      </c>
      <c r="ED118" s="318">
        <v>0</v>
      </c>
      <c r="EE118" s="319">
        <v>0</v>
      </c>
      <c r="EF118" s="316">
        <v>1</v>
      </c>
      <c r="EG118" s="316">
        <v>0</v>
      </c>
      <c r="EH118" s="316">
        <v>0</v>
      </c>
      <c r="EI118" s="316">
        <v>0</v>
      </c>
      <c r="EJ118" s="316">
        <v>0</v>
      </c>
      <c r="EK118" s="316">
        <v>1</v>
      </c>
      <c r="EL118" s="316">
        <v>0</v>
      </c>
      <c r="EM118" s="316">
        <v>0</v>
      </c>
      <c r="EN118" s="316"/>
      <c r="EO118" s="316"/>
      <c r="EP118" s="316"/>
      <c r="EQ118" s="316"/>
      <c r="ER118" s="316"/>
      <c r="ES118" s="316"/>
      <c r="ET118" s="318">
        <f t="shared" si="28"/>
        <v>2</v>
      </c>
      <c r="EU118" s="316">
        <v>0</v>
      </c>
      <c r="EV118" s="316">
        <v>0</v>
      </c>
      <c r="EW118" s="316">
        <v>0</v>
      </c>
      <c r="EX118" s="316">
        <v>0</v>
      </c>
      <c r="EY118" s="316">
        <v>4</v>
      </c>
      <c r="EZ118" s="316">
        <v>7</v>
      </c>
      <c r="FA118" s="316">
        <v>1</v>
      </c>
      <c r="FB118" s="316">
        <v>0</v>
      </c>
      <c r="FC118" s="316"/>
      <c r="FD118" s="316"/>
      <c r="FE118" s="316"/>
      <c r="FF118" s="316"/>
      <c r="FG118" s="316"/>
      <c r="FH118" s="316"/>
      <c r="FI118" s="316"/>
      <c r="FJ118" s="316">
        <f t="shared" si="29"/>
        <v>12</v>
      </c>
      <c r="FK118" s="320">
        <f t="shared" si="30"/>
        <v>0</v>
      </c>
      <c r="FL118" s="320">
        <f t="shared" si="31"/>
        <v>0</v>
      </c>
      <c r="FM118" s="321"/>
    </row>
    <row r="119" spans="1:169" x14ac:dyDescent="0.25">
      <c r="A119" s="380">
        <v>40403</v>
      </c>
      <c r="B119" s="380" t="s">
        <v>133</v>
      </c>
      <c r="C119" s="380" t="s">
        <v>131</v>
      </c>
      <c r="D119" s="380" t="s">
        <v>376</v>
      </c>
      <c r="E119" s="374">
        <v>2201</v>
      </c>
      <c r="F119" s="358">
        <v>4</v>
      </c>
      <c r="G119" s="359" t="s">
        <v>640</v>
      </c>
      <c r="H119" s="360">
        <v>0</v>
      </c>
      <c r="I119" s="360">
        <v>1</v>
      </c>
      <c r="J119" s="361">
        <v>5</v>
      </c>
      <c r="K119" s="360">
        <v>7</v>
      </c>
      <c r="L119" s="360">
        <v>5</v>
      </c>
      <c r="M119" s="360">
        <v>5</v>
      </c>
      <c r="N119" s="360">
        <v>4</v>
      </c>
      <c r="O119" s="360">
        <v>5</v>
      </c>
      <c r="P119" s="360">
        <v>1</v>
      </c>
      <c r="Q119" s="360">
        <v>0</v>
      </c>
      <c r="R119" s="360">
        <v>26</v>
      </c>
      <c r="S119" s="360">
        <v>79</v>
      </c>
      <c r="T119" s="360">
        <v>46</v>
      </c>
      <c r="U119" s="360">
        <v>1</v>
      </c>
      <c r="V119" s="362">
        <v>0</v>
      </c>
      <c r="W119" s="376">
        <v>0</v>
      </c>
      <c r="X119" s="376">
        <v>0</v>
      </c>
      <c r="Y119" s="376">
        <v>0</v>
      </c>
      <c r="Z119" s="376">
        <v>0</v>
      </c>
      <c r="AA119" s="376">
        <v>0</v>
      </c>
      <c r="AB119" s="377">
        <v>3</v>
      </c>
      <c r="AC119" s="376">
        <v>1</v>
      </c>
      <c r="AD119" s="376">
        <v>0</v>
      </c>
      <c r="AE119" s="376">
        <v>0</v>
      </c>
      <c r="AF119" s="376">
        <v>0</v>
      </c>
      <c r="AG119" s="376">
        <v>3</v>
      </c>
      <c r="AH119" s="376">
        <v>0</v>
      </c>
      <c r="AI119" s="376">
        <v>0</v>
      </c>
      <c r="AJ119" s="376">
        <v>10</v>
      </c>
      <c r="AK119" s="376">
        <v>48</v>
      </c>
      <c r="AL119" s="376">
        <v>29</v>
      </c>
      <c r="AM119" s="363" t="s">
        <v>402</v>
      </c>
      <c r="AN119" s="364">
        <v>5</v>
      </c>
      <c r="AO119" s="364">
        <v>0</v>
      </c>
      <c r="AP119" s="364">
        <v>0</v>
      </c>
      <c r="AQ119" s="364">
        <v>0</v>
      </c>
      <c r="AR119" s="364">
        <v>0</v>
      </c>
      <c r="AS119" s="364">
        <v>0</v>
      </c>
      <c r="AT119" s="364">
        <v>0</v>
      </c>
      <c r="AU119" s="364">
        <v>0</v>
      </c>
      <c r="AV119" s="365">
        <v>0</v>
      </c>
      <c r="AW119" s="363" t="s">
        <v>364</v>
      </c>
      <c r="AX119" s="364">
        <v>4</v>
      </c>
      <c r="AY119" s="364">
        <v>0</v>
      </c>
      <c r="AZ119" s="364">
        <v>0</v>
      </c>
      <c r="BA119" s="364">
        <v>0</v>
      </c>
      <c r="BB119" s="364">
        <v>1</v>
      </c>
      <c r="BC119" s="364">
        <v>1</v>
      </c>
      <c r="BD119" s="364">
        <v>0</v>
      </c>
      <c r="BE119" s="364">
        <v>0</v>
      </c>
      <c r="BF119" s="365">
        <v>0</v>
      </c>
      <c r="BG119" s="363" t="s">
        <v>650</v>
      </c>
      <c r="BH119" s="364">
        <v>3</v>
      </c>
      <c r="BI119" s="364">
        <v>0</v>
      </c>
      <c r="BJ119" s="364">
        <v>2</v>
      </c>
      <c r="BK119" s="364">
        <v>0</v>
      </c>
      <c r="BL119" s="364">
        <v>1</v>
      </c>
      <c r="BM119" s="364">
        <v>0</v>
      </c>
      <c r="BN119" s="364">
        <v>0</v>
      </c>
      <c r="BO119" s="364">
        <v>0</v>
      </c>
      <c r="BP119" s="365">
        <v>2</v>
      </c>
      <c r="BQ119" s="363" t="s">
        <v>496</v>
      </c>
      <c r="BR119" s="364">
        <v>4</v>
      </c>
      <c r="BS119" s="364">
        <v>0</v>
      </c>
      <c r="BT119" s="364">
        <v>0</v>
      </c>
      <c r="BU119" s="364">
        <v>0</v>
      </c>
      <c r="BV119" s="364">
        <v>0</v>
      </c>
      <c r="BW119" s="364">
        <v>1</v>
      </c>
      <c r="BX119" s="364">
        <v>0</v>
      </c>
      <c r="BY119" s="364">
        <v>0</v>
      </c>
      <c r="BZ119" s="365">
        <v>0</v>
      </c>
      <c r="CA119" s="363" t="s">
        <v>446</v>
      </c>
      <c r="CB119" s="364">
        <v>3</v>
      </c>
      <c r="CC119" s="364">
        <v>1</v>
      </c>
      <c r="CD119" s="364">
        <v>0</v>
      </c>
      <c r="CE119" s="364">
        <v>0</v>
      </c>
      <c r="CF119" s="364">
        <v>1</v>
      </c>
      <c r="CG119" s="364">
        <v>2</v>
      </c>
      <c r="CH119" s="364">
        <v>0</v>
      </c>
      <c r="CI119" s="364">
        <v>0</v>
      </c>
      <c r="CJ119" s="365">
        <v>0</v>
      </c>
      <c r="CK119" s="363" t="s">
        <v>448</v>
      </c>
      <c r="CL119" s="364">
        <v>3</v>
      </c>
      <c r="CM119" s="364">
        <v>1</v>
      </c>
      <c r="CN119" s="364">
        <v>0</v>
      </c>
      <c r="CO119" s="364">
        <v>0</v>
      </c>
      <c r="CP119" s="364">
        <v>1</v>
      </c>
      <c r="CQ119" s="364">
        <v>2</v>
      </c>
      <c r="CR119" s="364">
        <v>0</v>
      </c>
      <c r="CS119" s="364">
        <v>0</v>
      </c>
      <c r="CT119" s="365">
        <v>0</v>
      </c>
      <c r="CU119" s="363" t="s">
        <v>365</v>
      </c>
      <c r="CV119" s="364">
        <v>3</v>
      </c>
      <c r="CW119" s="364">
        <v>0</v>
      </c>
      <c r="CX119" s="364">
        <v>0</v>
      </c>
      <c r="CY119" s="364">
        <v>0</v>
      </c>
      <c r="CZ119" s="364">
        <v>1</v>
      </c>
      <c r="DA119" s="364">
        <v>2</v>
      </c>
      <c r="DB119" s="364">
        <v>0</v>
      </c>
      <c r="DC119" s="364">
        <v>0</v>
      </c>
      <c r="DD119" s="365">
        <v>0</v>
      </c>
      <c r="DE119" s="363" t="s">
        <v>639</v>
      </c>
      <c r="DF119" s="364">
        <v>3</v>
      </c>
      <c r="DG119" s="364">
        <v>0</v>
      </c>
      <c r="DH119" s="364">
        <v>0</v>
      </c>
      <c r="DI119" s="364">
        <v>0</v>
      </c>
      <c r="DJ119" s="364">
        <v>1</v>
      </c>
      <c r="DK119" s="364">
        <v>0</v>
      </c>
      <c r="DL119" s="364">
        <v>0</v>
      </c>
      <c r="DM119" s="364">
        <v>0</v>
      </c>
      <c r="DN119" s="365">
        <v>0</v>
      </c>
      <c r="DO119" s="363" t="s">
        <v>449</v>
      </c>
      <c r="DP119" s="364">
        <v>2</v>
      </c>
      <c r="DQ119" s="364">
        <v>1</v>
      </c>
      <c r="DR119" s="364">
        <v>1</v>
      </c>
      <c r="DS119" s="364">
        <v>2</v>
      </c>
      <c r="DT119" s="364">
        <v>2</v>
      </c>
      <c r="DU119" s="364">
        <v>1</v>
      </c>
      <c r="DV119" s="364">
        <v>0</v>
      </c>
      <c r="DW119" s="364">
        <v>0</v>
      </c>
      <c r="DX119" s="365">
        <v>1</v>
      </c>
      <c r="DY119" s="366">
        <v>0</v>
      </c>
      <c r="DZ119" s="367">
        <v>0</v>
      </c>
      <c r="EA119" s="367">
        <v>0</v>
      </c>
      <c r="EB119" s="368">
        <v>9</v>
      </c>
      <c r="EC119" s="367">
        <v>0</v>
      </c>
      <c r="ED119" s="369">
        <v>0</v>
      </c>
      <c r="EE119" s="370">
        <v>0</v>
      </c>
      <c r="EF119" s="367">
        <v>2</v>
      </c>
      <c r="EG119" s="367">
        <v>0</v>
      </c>
      <c r="EH119" s="367">
        <v>0</v>
      </c>
      <c r="EI119" s="367">
        <v>0</v>
      </c>
      <c r="EJ119" s="367">
        <v>0</v>
      </c>
      <c r="EK119" s="367">
        <v>0</v>
      </c>
      <c r="EL119" s="367">
        <v>0</v>
      </c>
      <c r="EM119" s="367">
        <v>1</v>
      </c>
      <c r="EN119" s="367"/>
      <c r="EO119" s="367"/>
      <c r="EP119" s="367"/>
      <c r="EQ119" s="367"/>
      <c r="ER119" s="367"/>
      <c r="ES119" s="367"/>
      <c r="ET119" s="369">
        <f t="shared" si="28"/>
        <v>3</v>
      </c>
      <c r="EU119" s="367">
        <v>1</v>
      </c>
      <c r="EV119" s="367">
        <v>0</v>
      </c>
      <c r="EW119" s="367">
        <v>3</v>
      </c>
      <c r="EX119" s="367">
        <v>1</v>
      </c>
      <c r="EY119" s="367">
        <v>0</v>
      </c>
      <c r="EZ119" s="367">
        <v>0</v>
      </c>
      <c r="FA119" s="367">
        <v>0</v>
      </c>
      <c r="FB119" s="367">
        <v>0</v>
      </c>
      <c r="FC119" s="367"/>
      <c r="FD119" s="367"/>
      <c r="FE119" s="367"/>
      <c r="FF119" s="367"/>
      <c r="FG119" s="367"/>
      <c r="FH119" s="367"/>
      <c r="FI119" s="367"/>
      <c r="FJ119" s="367">
        <f t="shared" si="29"/>
        <v>5</v>
      </c>
      <c r="FK119" s="371">
        <f t="shared" si="30"/>
        <v>0</v>
      </c>
      <c r="FL119" s="371">
        <f t="shared" si="31"/>
        <v>0</v>
      </c>
      <c r="FM119" s="372"/>
    </row>
    <row r="120" spans="1:169" x14ac:dyDescent="0.25">
      <c r="A120" s="380">
        <v>40404</v>
      </c>
      <c r="B120" s="380" t="s">
        <v>133</v>
      </c>
      <c r="C120" s="380" t="s">
        <v>129</v>
      </c>
      <c r="D120" s="380" t="s">
        <v>376</v>
      </c>
      <c r="E120" s="374">
        <v>3257</v>
      </c>
      <c r="F120" s="358">
        <v>5</v>
      </c>
      <c r="G120" s="359" t="s">
        <v>424</v>
      </c>
      <c r="H120" s="360">
        <v>0</v>
      </c>
      <c r="I120" s="360">
        <v>0</v>
      </c>
      <c r="J120" s="361">
        <f>4+2/3</f>
        <v>4.666666666666667</v>
      </c>
      <c r="K120" s="360">
        <v>6</v>
      </c>
      <c r="L120" s="360">
        <v>4</v>
      </c>
      <c r="M120" s="360">
        <v>4</v>
      </c>
      <c r="N120" s="360">
        <v>6</v>
      </c>
      <c r="O120" s="360">
        <v>4</v>
      </c>
      <c r="P120" s="360">
        <v>1</v>
      </c>
      <c r="Q120" s="360">
        <v>1</v>
      </c>
      <c r="R120" s="360">
        <v>25</v>
      </c>
      <c r="S120" s="360">
        <v>99</v>
      </c>
      <c r="T120" s="360">
        <v>52</v>
      </c>
      <c r="U120" s="360">
        <v>3</v>
      </c>
      <c r="V120" s="362">
        <v>0</v>
      </c>
      <c r="W120" s="376">
        <v>1</v>
      </c>
      <c r="X120" s="376">
        <v>0</v>
      </c>
      <c r="Y120" s="376">
        <v>0</v>
      </c>
      <c r="Z120" s="376">
        <v>1</v>
      </c>
      <c r="AA120" s="376">
        <v>0</v>
      </c>
      <c r="AB120" s="377">
        <f>4+1/3</f>
        <v>4.333333333333333</v>
      </c>
      <c r="AC120" s="376">
        <v>2</v>
      </c>
      <c r="AD120" s="376">
        <v>0</v>
      </c>
      <c r="AE120" s="376">
        <v>0</v>
      </c>
      <c r="AF120" s="376">
        <v>0</v>
      </c>
      <c r="AG120" s="376">
        <v>2</v>
      </c>
      <c r="AH120" s="376">
        <v>0</v>
      </c>
      <c r="AI120" s="376">
        <v>0</v>
      </c>
      <c r="AJ120" s="376">
        <v>14</v>
      </c>
      <c r="AK120" s="376">
        <v>54</v>
      </c>
      <c r="AL120" s="376">
        <v>34</v>
      </c>
      <c r="AM120" s="363" t="s">
        <v>364</v>
      </c>
      <c r="AN120" s="364">
        <v>3</v>
      </c>
      <c r="AO120" s="364">
        <v>1</v>
      </c>
      <c r="AP120" s="364">
        <v>0</v>
      </c>
      <c r="AQ120" s="364">
        <v>0</v>
      </c>
      <c r="AR120" s="364">
        <v>1</v>
      </c>
      <c r="AS120" s="364">
        <v>1</v>
      </c>
      <c r="AT120" s="364">
        <v>0</v>
      </c>
      <c r="AU120" s="364">
        <v>0</v>
      </c>
      <c r="AV120" s="365">
        <v>0</v>
      </c>
      <c r="AW120" s="363" t="s">
        <v>365</v>
      </c>
      <c r="AX120" s="364">
        <v>3</v>
      </c>
      <c r="AY120" s="364">
        <v>1</v>
      </c>
      <c r="AZ120" s="364">
        <v>1</v>
      </c>
      <c r="BA120" s="364">
        <v>0</v>
      </c>
      <c r="BB120" s="364">
        <v>0</v>
      </c>
      <c r="BC120" s="364">
        <v>1</v>
      </c>
      <c r="BD120" s="364">
        <v>0</v>
      </c>
      <c r="BE120" s="364">
        <v>0</v>
      </c>
      <c r="BF120" s="365">
        <v>2</v>
      </c>
      <c r="BG120" s="363" t="s">
        <v>650</v>
      </c>
      <c r="BH120" s="364">
        <v>4</v>
      </c>
      <c r="BI120" s="364">
        <v>0</v>
      </c>
      <c r="BJ120" s="364">
        <v>2</v>
      </c>
      <c r="BK120" s="364">
        <v>0</v>
      </c>
      <c r="BL120" s="364">
        <v>0</v>
      </c>
      <c r="BM120" s="364">
        <v>0</v>
      </c>
      <c r="BN120" s="364">
        <v>0</v>
      </c>
      <c r="BO120" s="364">
        <v>0</v>
      </c>
      <c r="BP120" s="365">
        <v>2</v>
      </c>
      <c r="BQ120" s="363" t="s">
        <v>446</v>
      </c>
      <c r="BR120" s="364">
        <v>4</v>
      </c>
      <c r="BS120" s="364">
        <v>0</v>
      </c>
      <c r="BT120" s="364">
        <v>0</v>
      </c>
      <c r="BU120" s="364">
        <v>0</v>
      </c>
      <c r="BV120" s="364">
        <v>0</v>
      </c>
      <c r="BW120" s="364">
        <v>1</v>
      </c>
      <c r="BX120" s="364">
        <v>0</v>
      </c>
      <c r="BY120" s="364">
        <v>0</v>
      </c>
      <c r="BZ120" s="365">
        <v>0</v>
      </c>
      <c r="CA120" s="363" t="s">
        <v>448</v>
      </c>
      <c r="CB120" s="364">
        <v>4</v>
      </c>
      <c r="CC120" s="364">
        <v>0</v>
      </c>
      <c r="CD120" s="364">
        <v>1</v>
      </c>
      <c r="CE120" s="364">
        <v>0</v>
      </c>
      <c r="CF120" s="364">
        <v>0</v>
      </c>
      <c r="CG120" s="364">
        <v>2</v>
      </c>
      <c r="CH120" s="364">
        <v>0</v>
      </c>
      <c r="CI120" s="364">
        <v>0</v>
      </c>
      <c r="CJ120" s="365">
        <v>1</v>
      </c>
      <c r="CK120" s="363" t="s">
        <v>496</v>
      </c>
      <c r="CL120" s="364">
        <v>4</v>
      </c>
      <c r="CM120" s="364">
        <v>2</v>
      </c>
      <c r="CN120" s="364">
        <v>2</v>
      </c>
      <c r="CO120" s="364">
        <v>0</v>
      </c>
      <c r="CP120" s="364">
        <v>0</v>
      </c>
      <c r="CQ120" s="364">
        <v>1</v>
      </c>
      <c r="CR120" s="364">
        <v>0</v>
      </c>
      <c r="CS120" s="364">
        <v>0</v>
      </c>
      <c r="CT120" s="365">
        <v>4</v>
      </c>
      <c r="CU120" s="363" t="s">
        <v>366</v>
      </c>
      <c r="CV120" s="364">
        <v>4</v>
      </c>
      <c r="CW120" s="364">
        <v>0</v>
      </c>
      <c r="CX120" s="364">
        <v>0</v>
      </c>
      <c r="CY120" s="364">
        <v>1</v>
      </c>
      <c r="CZ120" s="364">
        <v>0</v>
      </c>
      <c r="DA120" s="364">
        <v>2</v>
      </c>
      <c r="DB120" s="364">
        <v>0</v>
      </c>
      <c r="DC120" s="364">
        <v>0</v>
      </c>
      <c r="DD120" s="365">
        <v>0</v>
      </c>
      <c r="DE120" s="363" t="s">
        <v>483</v>
      </c>
      <c r="DF120" s="364">
        <v>4</v>
      </c>
      <c r="DG120" s="364">
        <v>1</v>
      </c>
      <c r="DH120" s="364">
        <v>2</v>
      </c>
      <c r="DI120" s="364">
        <v>2</v>
      </c>
      <c r="DJ120" s="364">
        <v>0</v>
      </c>
      <c r="DK120" s="364">
        <v>1</v>
      </c>
      <c r="DL120" s="364">
        <v>0</v>
      </c>
      <c r="DM120" s="364">
        <v>0</v>
      </c>
      <c r="DN120" s="365">
        <v>6</v>
      </c>
      <c r="DO120" s="363" t="s">
        <v>639</v>
      </c>
      <c r="DP120" s="364">
        <v>3</v>
      </c>
      <c r="DQ120" s="364">
        <v>0</v>
      </c>
      <c r="DR120" s="364">
        <v>0</v>
      </c>
      <c r="DS120" s="364">
        <v>0</v>
      </c>
      <c r="DT120" s="364">
        <v>0</v>
      </c>
      <c r="DU120" s="364">
        <v>1</v>
      </c>
      <c r="DV120" s="364">
        <v>0</v>
      </c>
      <c r="DW120" s="364">
        <v>0</v>
      </c>
      <c r="DX120" s="365">
        <v>0</v>
      </c>
      <c r="DY120" s="366">
        <v>3</v>
      </c>
      <c r="DZ120" s="367">
        <v>0</v>
      </c>
      <c r="EA120" s="367">
        <v>0</v>
      </c>
      <c r="EB120" s="368">
        <v>6</v>
      </c>
      <c r="EC120" s="367">
        <v>0</v>
      </c>
      <c r="ED120" s="369">
        <v>0</v>
      </c>
      <c r="EE120" s="370">
        <v>0</v>
      </c>
      <c r="EF120" s="367">
        <v>0</v>
      </c>
      <c r="EG120" s="367">
        <v>0</v>
      </c>
      <c r="EH120" s="367">
        <v>1</v>
      </c>
      <c r="EI120" s="367">
        <v>1</v>
      </c>
      <c r="EJ120" s="367">
        <v>0</v>
      </c>
      <c r="EK120" s="367">
        <v>2</v>
      </c>
      <c r="EL120" s="367">
        <v>1</v>
      </c>
      <c r="EM120" s="367">
        <v>0</v>
      </c>
      <c r="EN120" s="367"/>
      <c r="EO120" s="367"/>
      <c r="EP120" s="367"/>
      <c r="EQ120" s="367"/>
      <c r="ER120" s="367"/>
      <c r="ES120" s="367"/>
      <c r="ET120" s="369">
        <f t="shared" si="28"/>
        <v>5</v>
      </c>
      <c r="EU120" s="367">
        <v>1</v>
      </c>
      <c r="EV120" s="367">
        <v>0</v>
      </c>
      <c r="EW120" s="367">
        <v>1</v>
      </c>
      <c r="EX120" s="367">
        <v>0</v>
      </c>
      <c r="EY120" s="367">
        <v>2</v>
      </c>
      <c r="EZ120" s="367">
        <v>0</v>
      </c>
      <c r="FA120" s="367">
        <v>0</v>
      </c>
      <c r="FB120" s="367">
        <v>0</v>
      </c>
      <c r="FC120" s="367">
        <v>0</v>
      </c>
      <c r="FD120" s="367"/>
      <c r="FE120" s="367"/>
      <c r="FF120" s="367"/>
      <c r="FG120" s="367"/>
      <c r="FH120" s="367"/>
      <c r="FI120" s="367"/>
      <c r="FJ120" s="367">
        <f t="shared" si="29"/>
        <v>4</v>
      </c>
      <c r="FK120" s="371">
        <f t="shared" si="30"/>
        <v>0</v>
      </c>
      <c r="FL120" s="371">
        <f t="shared" si="31"/>
        <v>0</v>
      </c>
      <c r="FM120" s="372"/>
    </row>
    <row r="121" spans="1:169" x14ac:dyDescent="0.25">
      <c r="A121" s="380">
        <v>40405</v>
      </c>
      <c r="B121" s="380" t="s">
        <v>133</v>
      </c>
      <c r="C121" s="380" t="s">
        <v>129</v>
      </c>
      <c r="D121" s="380" t="s">
        <v>376</v>
      </c>
      <c r="E121" s="374">
        <v>1472</v>
      </c>
      <c r="F121" s="358">
        <v>1</v>
      </c>
      <c r="G121" s="359" t="s">
        <v>470</v>
      </c>
      <c r="H121" s="360">
        <v>1</v>
      </c>
      <c r="I121" s="360">
        <v>0</v>
      </c>
      <c r="J121" s="361">
        <v>6</v>
      </c>
      <c r="K121" s="360">
        <v>7</v>
      </c>
      <c r="L121" s="360">
        <v>1</v>
      </c>
      <c r="M121" s="360">
        <v>1</v>
      </c>
      <c r="N121" s="360">
        <v>0</v>
      </c>
      <c r="O121" s="360">
        <v>4</v>
      </c>
      <c r="P121" s="360">
        <v>0</v>
      </c>
      <c r="Q121" s="360">
        <v>0</v>
      </c>
      <c r="R121" s="360">
        <v>25</v>
      </c>
      <c r="S121" s="360">
        <v>93</v>
      </c>
      <c r="T121" s="360">
        <v>59</v>
      </c>
      <c r="U121" s="360">
        <v>0</v>
      </c>
      <c r="V121" s="362">
        <v>0</v>
      </c>
      <c r="W121" s="376">
        <v>0</v>
      </c>
      <c r="X121" s="376">
        <v>0</v>
      </c>
      <c r="Y121" s="376">
        <v>0</v>
      </c>
      <c r="Z121" s="376">
        <v>1</v>
      </c>
      <c r="AA121" s="376">
        <v>0</v>
      </c>
      <c r="AB121" s="377">
        <v>3</v>
      </c>
      <c r="AC121" s="376">
        <v>0</v>
      </c>
      <c r="AD121" s="376">
        <v>0</v>
      </c>
      <c r="AE121" s="376">
        <v>0</v>
      </c>
      <c r="AF121" s="376">
        <v>2</v>
      </c>
      <c r="AG121" s="376">
        <v>0</v>
      </c>
      <c r="AH121" s="376">
        <v>0</v>
      </c>
      <c r="AI121" s="376">
        <v>0</v>
      </c>
      <c r="AJ121" s="376">
        <v>11</v>
      </c>
      <c r="AK121" s="376">
        <v>49</v>
      </c>
      <c r="AL121" s="376">
        <v>27</v>
      </c>
      <c r="AM121" s="363" t="s">
        <v>441</v>
      </c>
      <c r="AN121" s="364">
        <v>4</v>
      </c>
      <c r="AO121" s="364">
        <v>0</v>
      </c>
      <c r="AP121" s="364">
        <v>2</v>
      </c>
      <c r="AQ121" s="364">
        <v>3</v>
      </c>
      <c r="AR121" s="364">
        <v>1</v>
      </c>
      <c r="AS121" s="364">
        <v>0</v>
      </c>
      <c r="AT121" s="364">
        <v>0</v>
      </c>
      <c r="AU121" s="364">
        <v>0</v>
      </c>
      <c r="AV121" s="365">
        <v>3</v>
      </c>
      <c r="AW121" s="363" t="s">
        <v>364</v>
      </c>
      <c r="AX121" s="364">
        <v>4</v>
      </c>
      <c r="AY121" s="364">
        <v>0</v>
      </c>
      <c r="AZ121" s="364">
        <v>0</v>
      </c>
      <c r="BA121" s="364">
        <v>1</v>
      </c>
      <c r="BB121" s="364">
        <v>0</v>
      </c>
      <c r="BC121" s="364">
        <v>1</v>
      </c>
      <c r="BD121" s="364">
        <v>0</v>
      </c>
      <c r="BE121" s="364">
        <v>1</v>
      </c>
      <c r="BF121" s="365">
        <v>0</v>
      </c>
      <c r="BG121" s="363" t="s">
        <v>650</v>
      </c>
      <c r="BH121" s="364">
        <v>4</v>
      </c>
      <c r="BI121" s="364">
        <v>0</v>
      </c>
      <c r="BJ121" s="364">
        <v>0</v>
      </c>
      <c r="BK121" s="364">
        <v>0</v>
      </c>
      <c r="BL121" s="364">
        <v>0</v>
      </c>
      <c r="BM121" s="364">
        <v>1</v>
      </c>
      <c r="BN121" s="364">
        <v>0</v>
      </c>
      <c r="BO121" s="364">
        <v>0</v>
      </c>
      <c r="BP121" s="365">
        <v>0</v>
      </c>
      <c r="BQ121" s="363" t="s">
        <v>446</v>
      </c>
      <c r="BR121" s="364">
        <v>4</v>
      </c>
      <c r="BS121" s="364">
        <v>0</v>
      </c>
      <c r="BT121" s="364">
        <v>0</v>
      </c>
      <c r="BU121" s="364">
        <v>0</v>
      </c>
      <c r="BV121" s="364">
        <v>0</v>
      </c>
      <c r="BW121" s="364">
        <v>0</v>
      </c>
      <c r="BX121" s="364">
        <v>0</v>
      </c>
      <c r="BY121" s="364">
        <v>0</v>
      </c>
      <c r="BZ121" s="365">
        <v>0</v>
      </c>
      <c r="CA121" s="363" t="s">
        <v>448</v>
      </c>
      <c r="CB121" s="364">
        <v>3</v>
      </c>
      <c r="CC121" s="364">
        <v>0</v>
      </c>
      <c r="CD121" s="364">
        <v>0</v>
      </c>
      <c r="CE121" s="364">
        <v>0</v>
      </c>
      <c r="CF121" s="364">
        <v>1</v>
      </c>
      <c r="CG121" s="364">
        <v>2</v>
      </c>
      <c r="CH121" s="364">
        <v>0</v>
      </c>
      <c r="CI121" s="364">
        <v>0</v>
      </c>
      <c r="CJ121" s="365">
        <v>0</v>
      </c>
      <c r="CK121" s="363" t="s">
        <v>496</v>
      </c>
      <c r="CL121" s="364">
        <v>3</v>
      </c>
      <c r="CM121" s="364">
        <v>2</v>
      </c>
      <c r="CN121" s="364">
        <v>0</v>
      </c>
      <c r="CO121" s="364">
        <v>0</v>
      </c>
      <c r="CP121" s="364">
        <v>1</v>
      </c>
      <c r="CQ121" s="364">
        <v>0</v>
      </c>
      <c r="CR121" s="364">
        <v>0</v>
      </c>
      <c r="CS121" s="364">
        <v>0</v>
      </c>
      <c r="CT121" s="365">
        <v>0</v>
      </c>
      <c r="CU121" s="363" t="s">
        <v>366</v>
      </c>
      <c r="CV121" s="364">
        <v>3</v>
      </c>
      <c r="CW121" s="364">
        <v>3</v>
      </c>
      <c r="CX121" s="364">
        <v>2</v>
      </c>
      <c r="CY121" s="364">
        <v>2</v>
      </c>
      <c r="CZ121" s="364">
        <v>1</v>
      </c>
      <c r="DA121" s="364">
        <v>0</v>
      </c>
      <c r="DB121" s="364">
        <v>0</v>
      </c>
      <c r="DC121" s="364">
        <v>0</v>
      </c>
      <c r="DD121" s="365">
        <v>5</v>
      </c>
      <c r="DE121" s="363" t="s">
        <v>483</v>
      </c>
      <c r="DF121" s="364">
        <v>4</v>
      </c>
      <c r="DG121" s="364">
        <v>1</v>
      </c>
      <c r="DH121" s="364">
        <v>1</v>
      </c>
      <c r="DI121" s="364">
        <v>0</v>
      </c>
      <c r="DJ121" s="364">
        <v>0</v>
      </c>
      <c r="DK121" s="364">
        <v>1</v>
      </c>
      <c r="DL121" s="364">
        <v>0</v>
      </c>
      <c r="DM121" s="364">
        <v>0</v>
      </c>
      <c r="DN121" s="365">
        <v>2</v>
      </c>
      <c r="DO121" s="363" t="s">
        <v>639</v>
      </c>
      <c r="DP121" s="364">
        <v>3</v>
      </c>
      <c r="DQ121" s="364">
        <v>1</v>
      </c>
      <c r="DR121" s="364">
        <v>1</v>
      </c>
      <c r="DS121" s="364">
        <v>1</v>
      </c>
      <c r="DT121" s="364">
        <v>1</v>
      </c>
      <c r="DU121" s="364">
        <v>0</v>
      </c>
      <c r="DV121" s="364">
        <v>0</v>
      </c>
      <c r="DW121" s="364">
        <v>0</v>
      </c>
      <c r="DX121" s="365">
        <v>1</v>
      </c>
      <c r="DY121" s="366">
        <v>0</v>
      </c>
      <c r="DZ121" s="367">
        <v>0</v>
      </c>
      <c r="EA121" s="367">
        <v>0</v>
      </c>
      <c r="EB121" s="368">
        <v>9</v>
      </c>
      <c r="EC121" s="367">
        <v>0</v>
      </c>
      <c r="ED121" s="369">
        <v>0</v>
      </c>
      <c r="EE121" s="370">
        <v>0</v>
      </c>
      <c r="EF121" s="367">
        <v>0</v>
      </c>
      <c r="EG121" s="367">
        <v>3</v>
      </c>
      <c r="EH121" s="367">
        <v>2</v>
      </c>
      <c r="EI121" s="367">
        <v>0</v>
      </c>
      <c r="EJ121" s="367">
        <v>0</v>
      </c>
      <c r="EK121" s="367">
        <v>0</v>
      </c>
      <c r="EL121" s="367">
        <v>2</v>
      </c>
      <c r="EM121" s="367">
        <v>0</v>
      </c>
      <c r="EN121" s="367"/>
      <c r="EO121" s="367"/>
      <c r="EP121" s="367"/>
      <c r="EQ121" s="367"/>
      <c r="ER121" s="367"/>
      <c r="ES121" s="367"/>
      <c r="ET121" s="369">
        <f t="shared" si="28"/>
        <v>7</v>
      </c>
      <c r="EU121" s="367">
        <v>0</v>
      </c>
      <c r="EV121" s="367">
        <v>0</v>
      </c>
      <c r="EW121" s="367">
        <v>0</v>
      </c>
      <c r="EX121" s="367">
        <v>1</v>
      </c>
      <c r="EY121" s="367">
        <v>0</v>
      </c>
      <c r="EZ121" s="367">
        <v>0</v>
      </c>
      <c r="FA121" s="367">
        <v>0</v>
      </c>
      <c r="FB121" s="367">
        <v>0</v>
      </c>
      <c r="FC121" s="367">
        <v>0</v>
      </c>
      <c r="FD121" s="367"/>
      <c r="FE121" s="367"/>
      <c r="FF121" s="367"/>
      <c r="FG121" s="367"/>
      <c r="FH121" s="367"/>
      <c r="FI121" s="367"/>
      <c r="FJ121" s="367">
        <f t="shared" si="29"/>
        <v>1</v>
      </c>
      <c r="FK121" s="371">
        <f t="shared" si="30"/>
        <v>0</v>
      </c>
      <c r="FL121" s="371">
        <f t="shared" si="31"/>
        <v>0</v>
      </c>
      <c r="FM121" s="372"/>
    </row>
    <row r="122" spans="1:169" x14ac:dyDescent="0.25">
      <c r="A122" s="380">
        <v>40406</v>
      </c>
      <c r="B122" s="380" t="s">
        <v>133</v>
      </c>
      <c r="C122" s="380" t="s">
        <v>131</v>
      </c>
      <c r="D122" s="380" t="s">
        <v>376</v>
      </c>
      <c r="E122" s="374">
        <v>1300</v>
      </c>
      <c r="F122" s="358">
        <v>2</v>
      </c>
      <c r="G122" s="359" t="s">
        <v>440</v>
      </c>
      <c r="H122" s="360">
        <v>0</v>
      </c>
      <c r="I122" s="360">
        <v>0</v>
      </c>
      <c r="J122" s="361">
        <f>3+1/3</f>
        <v>3.3333333333333335</v>
      </c>
      <c r="K122" s="360">
        <v>4</v>
      </c>
      <c r="L122" s="360">
        <v>2</v>
      </c>
      <c r="M122" s="360">
        <v>1</v>
      </c>
      <c r="N122" s="360">
        <v>2</v>
      </c>
      <c r="O122" s="360">
        <v>1</v>
      </c>
      <c r="P122" s="360">
        <v>0</v>
      </c>
      <c r="Q122" s="360">
        <v>1</v>
      </c>
      <c r="R122" s="360">
        <v>17</v>
      </c>
      <c r="S122" s="360">
        <v>64</v>
      </c>
      <c r="T122" s="360">
        <v>36</v>
      </c>
      <c r="U122" s="360">
        <v>1</v>
      </c>
      <c r="V122" s="362">
        <v>0</v>
      </c>
      <c r="W122" s="376">
        <v>0</v>
      </c>
      <c r="X122" s="376">
        <v>1</v>
      </c>
      <c r="Y122" s="376">
        <v>0</v>
      </c>
      <c r="Z122" s="376">
        <v>0</v>
      </c>
      <c r="AA122" s="376">
        <v>0</v>
      </c>
      <c r="AB122" s="377">
        <f>4+2/3</f>
        <v>4.666666666666667</v>
      </c>
      <c r="AC122" s="376">
        <v>6</v>
      </c>
      <c r="AD122" s="376">
        <v>2</v>
      </c>
      <c r="AE122" s="376">
        <v>1</v>
      </c>
      <c r="AF122" s="376">
        <v>1</v>
      </c>
      <c r="AG122" s="376">
        <v>5</v>
      </c>
      <c r="AH122" s="376">
        <v>0</v>
      </c>
      <c r="AI122" s="376">
        <v>0</v>
      </c>
      <c r="AJ122" s="376">
        <v>21</v>
      </c>
      <c r="AK122" s="376">
        <v>70</v>
      </c>
      <c r="AL122" s="376">
        <v>45</v>
      </c>
      <c r="AM122" s="363" t="s">
        <v>441</v>
      </c>
      <c r="AN122" s="364">
        <v>5</v>
      </c>
      <c r="AO122" s="364">
        <v>1</v>
      </c>
      <c r="AP122" s="364">
        <v>2</v>
      </c>
      <c r="AQ122" s="364">
        <v>0</v>
      </c>
      <c r="AR122" s="364">
        <v>0</v>
      </c>
      <c r="AS122" s="364">
        <v>0</v>
      </c>
      <c r="AT122" s="364">
        <v>0</v>
      </c>
      <c r="AU122" s="364">
        <v>0</v>
      </c>
      <c r="AV122" s="365">
        <v>2</v>
      </c>
      <c r="AW122" s="363" t="s">
        <v>364</v>
      </c>
      <c r="AX122" s="364">
        <v>4</v>
      </c>
      <c r="AY122" s="364">
        <v>0</v>
      </c>
      <c r="AZ122" s="364">
        <v>0</v>
      </c>
      <c r="BA122" s="364">
        <v>0</v>
      </c>
      <c r="BB122" s="364">
        <v>1</v>
      </c>
      <c r="BC122" s="364">
        <v>1</v>
      </c>
      <c r="BD122" s="364">
        <v>0</v>
      </c>
      <c r="BE122" s="364">
        <v>0</v>
      </c>
      <c r="BF122" s="365">
        <v>0</v>
      </c>
      <c r="BG122" s="363" t="s">
        <v>650</v>
      </c>
      <c r="BH122" s="364">
        <v>4</v>
      </c>
      <c r="BI122" s="364">
        <v>0</v>
      </c>
      <c r="BJ122" s="364">
        <v>1</v>
      </c>
      <c r="BK122" s="364">
        <v>2</v>
      </c>
      <c r="BL122" s="364">
        <v>1</v>
      </c>
      <c r="BM122" s="364">
        <v>0</v>
      </c>
      <c r="BN122" s="364">
        <v>0</v>
      </c>
      <c r="BO122" s="364">
        <v>0</v>
      </c>
      <c r="BP122" s="365">
        <v>2</v>
      </c>
      <c r="BQ122" s="363" t="s">
        <v>446</v>
      </c>
      <c r="BR122" s="364">
        <v>4</v>
      </c>
      <c r="BS122" s="364">
        <v>0</v>
      </c>
      <c r="BT122" s="364">
        <v>0</v>
      </c>
      <c r="BU122" s="364">
        <v>0</v>
      </c>
      <c r="BV122" s="364">
        <v>0</v>
      </c>
      <c r="BW122" s="364">
        <v>2</v>
      </c>
      <c r="BX122" s="364">
        <v>1</v>
      </c>
      <c r="BY122" s="364">
        <v>0</v>
      </c>
      <c r="BZ122" s="365">
        <v>0</v>
      </c>
      <c r="CA122" s="363" t="s">
        <v>448</v>
      </c>
      <c r="CB122" s="364">
        <v>4</v>
      </c>
      <c r="CC122" s="364">
        <v>0</v>
      </c>
      <c r="CD122" s="364">
        <v>1</v>
      </c>
      <c r="CE122" s="364">
        <v>0</v>
      </c>
      <c r="CF122" s="364">
        <v>0</v>
      </c>
      <c r="CG122" s="364">
        <v>1</v>
      </c>
      <c r="CH122" s="364">
        <v>0</v>
      </c>
      <c r="CI122" s="364">
        <v>0</v>
      </c>
      <c r="CJ122" s="365">
        <v>1</v>
      </c>
      <c r="CK122" s="363" t="s">
        <v>402</v>
      </c>
      <c r="CL122" s="364">
        <v>4</v>
      </c>
      <c r="CM122" s="364">
        <v>0</v>
      </c>
      <c r="CN122" s="364">
        <v>1</v>
      </c>
      <c r="CO122" s="364">
        <v>0</v>
      </c>
      <c r="CP122" s="364">
        <v>0</v>
      </c>
      <c r="CQ122" s="364">
        <v>1</v>
      </c>
      <c r="CR122" s="364">
        <v>0</v>
      </c>
      <c r="CS122" s="364">
        <v>0</v>
      </c>
      <c r="CT122" s="365">
        <v>1</v>
      </c>
      <c r="CU122" s="363" t="s">
        <v>366</v>
      </c>
      <c r="CV122" s="364">
        <v>2</v>
      </c>
      <c r="CW122" s="364">
        <v>0</v>
      </c>
      <c r="CX122" s="364">
        <v>0</v>
      </c>
      <c r="CY122" s="364">
        <v>0</v>
      </c>
      <c r="CZ122" s="364">
        <v>2</v>
      </c>
      <c r="DA122" s="364">
        <v>0</v>
      </c>
      <c r="DB122" s="364">
        <v>0</v>
      </c>
      <c r="DC122" s="364">
        <v>0</v>
      </c>
      <c r="DD122" s="365">
        <v>0</v>
      </c>
      <c r="DE122" s="363" t="s">
        <v>639</v>
      </c>
      <c r="DF122" s="364">
        <v>4</v>
      </c>
      <c r="DG122" s="364">
        <v>0</v>
      </c>
      <c r="DH122" s="364">
        <v>0</v>
      </c>
      <c r="DI122" s="364">
        <v>0</v>
      </c>
      <c r="DJ122" s="364">
        <v>0</v>
      </c>
      <c r="DK122" s="364">
        <v>0</v>
      </c>
      <c r="DL122" s="364">
        <v>0</v>
      </c>
      <c r="DM122" s="364">
        <v>0</v>
      </c>
      <c r="DN122" s="365">
        <v>0</v>
      </c>
      <c r="DO122" s="363" t="s">
        <v>449</v>
      </c>
      <c r="DP122" s="364">
        <v>3</v>
      </c>
      <c r="DQ122" s="364">
        <v>1</v>
      </c>
      <c r="DR122" s="364">
        <v>1</v>
      </c>
      <c r="DS122" s="364">
        <v>0</v>
      </c>
      <c r="DT122" s="364">
        <v>1</v>
      </c>
      <c r="DU122" s="364">
        <v>0</v>
      </c>
      <c r="DV122" s="364">
        <v>0</v>
      </c>
      <c r="DW122" s="364">
        <v>0</v>
      </c>
      <c r="DX122" s="365">
        <v>1</v>
      </c>
      <c r="DY122" s="366">
        <v>0</v>
      </c>
      <c r="DZ122" s="367">
        <v>0</v>
      </c>
      <c r="EA122" s="367">
        <v>0</v>
      </c>
      <c r="EB122" s="368">
        <v>9</v>
      </c>
      <c r="EC122" s="367">
        <v>0</v>
      </c>
      <c r="ED122" s="369">
        <v>0</v>
      </c>
      <c r="EE122" s="370">
        <v>0</v>
      </c>
      <c r="EF122" s="367">
        <v>0</v>
      </c>
      <c r="EG122" s="367">
        <v>0</v>
      </c>
      <c r="EH122" s="367">
        <v>2</v>
      </c>
      <c r="EI122" s="367">
        <v>0</v>
      </c>
      <c r="EJ122" s="367">
        <v>0</v>
      </c>
      <c r="EK122" s="367">
        <v>0</v>
      </c>
      <c r="EL122" s="367">
        <v>0</v>
      </c>
      <c r="EM122" s="367">
        <v>0</v>
      </c>
      <c r="EN122" s="367"/>
      <c r="EO122" s="367"/>
      <c r="EP122" s="367"/>
      <c r="EQ122" s="367"/>
      <c r="ER122" s="367"/>
      <c r="ES122" s="367"/>
      <c r="ET122" s="369">
        <f t="shared" si="28"/>
        <v>2</v>
      </c>
      <c r="EU122" s="367">
        <v>1</v>
      </c>
      <c r="EV122" s="367">
        <v>0</v>
      </c>
      <c r="EW122" s="367">
        <v>0</v>
      </c>
      <c r="EX122" s="367">
        <v>1</v>
      </c>
      <c r="EY122" s="367">
        <v>1</v>
      </c>
      <c r="EZ122" s="367">
        <v>0</v>
      </c>
      <c r="FA122" s="367">
        <v>1</v>
      </c>
      <c r="FB122" s="367">
        <v>0</v>
      </c>
      <c r="FC122" s="367"/>
      <c r="FD122" s="367"/>
      <c r="FE122" s="367"/>
      <c r="FF122" s="367"/>
      <c r="FG122" s="367"/>
      <c r="FH122" s="367"/>
      <c r="FI122" s="367"/>
      <c r="FJ122" s="367">
        <f t="shared" si="29"/>
        <v>4</v>
      </c>
      <c r="FK122" s="371">
        <f t="shared" si="30"/>
        <v>0</v>
      </c>
      <c r="FL122" s="371">
        <f t="shared" si="31"/>
        <v>0</v>
      </c>
      <c r="FM122" s="372"/>
    </row>
    <row r="123" spans="1:169" x14ac:dyDescent="0.25">
      <c r="A123" s="380">
        <v>40408</v>
      </c>
      <c r="B123" s="380" t="s">
        <v>19</v>
      </c>
      <c r="C123" s="380" t="s">
        <v>131</v>
      </c>
      <c r="D123" s="380" t="s">
        <v>375</v>
      </c>
      <c r="E123" s="374">
        <v>2576</v>
      </c>
      <c r="F123" s="358">
        <v>3</v>
      </c>
      <c r="G123" s="359" t="s">
        <v>368</v>
      </c>
      <c r="H123" s="360">
        <v>0</v>
      </c>
      <c r="I123" s="360">
        <v>0</v>
      </c>
      <c r="J123" s="361">
        <f>4+2/3</f>
        <v>4.666666666666667</v>
      </c>
      <c r="K123" s="360">
        <v>6</v>
      </c>
      <c r="L123" s="360">
        <v>6</v>
      </c>
      <c r="M123" s="360">
        <v>5</v>
      </c>
      <c r="N123" s="360">
        <v>2</v>
      </c>
      <c r="O123" s="360">
        <v>3</v>
      </c>
      <c r="P123" s="360">
        <v>2</v>
      </c>
      <c r="Q123" s="360">
        <v>0</v>
      </c>
      <c r="R123" s="360">
        <v>22</v>
      </c>
      <c r="S123" s="360">
        <v>98</v>
      </c>
      <c r="T123" s="360">
        <v>63</v>
      </c>
      <c r="U123" s="360">
        <v>0</v>
      </c>
      <c r="V123" s="362">
        <v>0</v>
      </c>
      <c r="W123" s="376">
        <v>0</v>
      </c>
      <c r="X123" s="376">
        <v>1</v>
      </c>
      <c r="Y123" s="376">
        <v>0</v>
      </c>
      <c r="Z123" s="376">
        <v>0</v>
      </c>
      <c r="AA123" s="376">
        <v>1</v>
      </c>
      <c r="AB123" s="377">
        <f>7+1/3</f>
        <v>7.333333333333333</v>
      </c>
      <c r="AC123" s="376">
        <v>6</v>
      </c>
      <c r="AD123" s="376">
        <v>4</v>
      </c>
      <c r="AE123" s="376">
        <v>4</v>
      </c>
      <c r="AF123" s="376">
        <v>5</v>
      </c>
      <c r="AG123" s="376">
        <v>6</v>
      </c>
      <c r="AH123" s="376">
        <v>1</v>
      </c>
      <c r="AI123" s="376">
        <v>0</v>
      </c>
      <c r="AJ123" s="376">
        <v>30</v>
      </c>
      <c r="AK123" s="376">
        <v>116</v>
      </c>
      <c r="AL123" s="376">
        <v>60</v>
      </c>
      <c r="AM123" s="363" t="s">
        <v>441</v>
      </c>
      <c r="AN123" s="364">
        <v>6</v>
      </c>
      <c r="AO123" s="364">
        <v>1</v>
      </c>
      <c r="AP123" s="364">
        <v>4</v>
      </c>
      <c r="AQ123" s="364">
        <v>1</v>
      </c>
      <c r="AR123" s="364">
        <v>0</v>
      </c>
      <c r="AS123" s="364">
        <v>0</v>
      </c>
      <c r="AT123" s="364">
        <v>0</v>
      </c>
      <c r="AU123" s="364">
        <v>0</v>
      </c>
      <c r="AV123" s="365">
        <v>4</v>
      </c>
      <c r="AW123" s="363" t="s">
        <v>402</v>
      </c>
      <c r="AX123" s="364">
        <v>6</v>
      </c>
      <c r="AY123" s="364">
        <v>0</v>
      </c>
      <c r="AZ123" s="364">
        <v>2</v>
      </c>
      <c r="BA123" s="364">
        <v>0</v>
      </c>
      <c r="BB123" s="364">
        <v>1</v>
      </c>
      <c r="BC123" s="364">
        <v>0</v>
      </c>
      <c r="BD123" s="364">
        <v>0</v>
      </c>
      <c r="BE123" s="364">
        <v>0</v>
      </c>
      <c r="BF123" s="365">
        <v>2</v>
      </c>
      <c r="BG123" s="363" t="s">
        <v>650</v>
      </c>
      <c r="BH123" s="364">
        <v>5</v>
      </c>
      <c r="BI123" s="364">
        <v>1</v>
      </c>
      <c r="BJ123" s="364">
        <v>0</v>
      </c>
      <c r="BK123" s="364">
        <v>0</v>
      </c>
      <c r="BL123" s="364">
        <v>1</v>
      </c>
      <c r="BM123" s="364">
        <v>2</v>
      </c>
      <c r="BN123" s="364">
        <v>0</v>
      </c>
      <c r="BO123" s="364">
        <v>0</v>
      </c>
      <c r="BP123" s="365">
        <v>0</v>
      </c>
      <c r="BQ123" s="363" t="s">
        <v>446</v>
      </c>
      <c r="BR123" s="364">
        <v>5</v>
      </c>
      <c r="BS123" s="364">
        <v>0</v>
      </c>
      <c r="BT123" s="364">
        <v>1</v>
      </c>
      <c r="BU123" s="364">
        <v>1</v>
      </c>
      <c r="BV123" s="364">
        <v>0</v>
      </c>
      <c r="BW123" s="364">
        <v>2</v>
      </c>
      <c r="BX123" s="364">
        <v>1</v>
      </c>
      <c r="BY123" s="364">
        <v>0</v>
      </c>
      <c r="BZ123" s="365">
        <v>1</v>
      </c>
      <c r="CA123" s="363" t="s">
        <v>448</v>
      </c>
      <c r="CB123" s="364">
        <v>4</v>
      </c>
      <c r="CC123" s="364">
        <v>1</v>
      </c>
      <c r="CD123" s="364">
        <v>1</v>
      </c>
      <c r="CE123" s="364">
        <v>1</v>
      </c>
      <c r="CF123" s="364">
        <v>1</v>
      </c>
      <c r="CG123" s="364">
        <v>2</v>
      </c>
      <c r="CH123" s="364">
        <v>1</v>
      </c>
      <c r="CI123" s="364">
        <v>0</v>
      </c>
      <c r="CJ123" s="365">
        <v>4</v>
      </c>
      <c r="CK123" s="363" t="s">
        <v>496</v>
      </c>
      <c r="CL123" s="364">
        <v>6</v>
      </c>
      <c r="CM123" s="364">
        <v>1</v>
      </c>
      <c r="CN123" s="364">
        <v>1</v>
      </c>
      <c r="CO123" s="364">
        <v>1</v>
      </c>
      <c r="CP123" s="364">
        <v>0</v>
      </c>
      <c r="CQ123" s="364">
        <v>3</v>
      </c>
      <c r="CR123" s="364">
        <v>0</v>
      </c>
      <c r="CS123" s="364">
        <v>0</v>
      </c>
      <c r="CT123" s="365">
        <v>1</v>
      </c>
      <c r="CU123" s="363" t="s">
        <v>366</v>
      </c>
      <c r="CV123" s="364">
        <v>4</v>
      </c>
      <c r="CW123" s="364">
        <v>1</v>
      </c>
      <c r="CX123" s="364">
        <v>1</v>
      </c>
      <c r="CY123" s="364">
        <v>1</v>
      </c>
      <c r="CZ123" s="364">
        <v>2</v>
      </c>
      <c r="DA123" s="364">
        <v>2</v>
      </c>
      <c r="DB123" s="364">
        <v>0</v>
      </c>
      <c r="DC123" s="364">
        <v>0</v>
      </c>
      <c r="DD123" s="365">
        <v>2</v>
      </c>
      <c r="DE123" s="363" t="s">
        <v>364</v>
      </c>
      <c r="DF123" s="364">
        <v>6</v>
      </c>
      <c r="DG123" s="364">
        <v>2</v>
      </c>
      <c r="DH123" s="364">
        <v>2</v>
      </c>
      <c r="DI123" s="364">
        <v>1</v>
      </c>
      <c r="DJ123" s="364">
        <v>0</v>
      </c>
      <c r="DK123" s="364">
        <v>0</v>
      </c>
      <c r="DL123" s="364">
        <v>0</v>
      </c>
      <c r="DM123" s="364">
        <v>0</v>
      </c>
      <c r="DN123" s="365">
        <v>4</v>
      </c>
      <c r="DO123" s="363" t="s">
        <v>442</v>
      </c>
      <c r="DP123" s="364">
        <v>6</v>
      </c>
      <c r="DQ123" s="364">
        <v>0</v>
      </c>
      <c r="DR123" s="364">
        <v>2</v>
      </c>
      <c r="DS123" s="364">
        <v>1</v>
      </c>
      <c r="DT123" s="364">
        <v>0</v>
      </c>
      <c r="DU123" s="364">
        <v>2</v>
      </c>
      <c r="DV123" s="364">
        <v>0</v>
      </c>
      <c r="DW123" s="364">
        <v>0</v>
      </c>
      <c r="DX123" s="365">
        <v>3</v>
      </c>
      <c r="DY123" s="366">
        <f>4+2/3</f>
        <v>4.666666666666667</v>
      </c>
      <c r="DZ123" s="367">
        <v>0</v>
      </c>
      <c r="EA123" s="367">
        <v>0</v>
      </c>
      <c r="EB123" s="368">
        <f>7+1/3</f>
        <v>7.333333333333333</v>
      </c>
      <c r="EC123" s="367">
        <v>0</v>
      </c>
      <c r="ED123" s="369">
        <v>0</v>
      </c>
      <c r="EE123" s="370">
        <v>2</v>
      </c>
      <c r="EF123" s="367">
        <v>1</v>
      </c>
      <c r="EG123" s="367">
        <v>4</v>
      </c>
      <c r="EH123" s="367">
        <v>0</v>
      </c>
      <c r="EI123" s="367">
        <v>0</v>
      </c>
      <c r="EJ123" s="367">
        <v>0</v>
      </c>
      <c r="EK123" s="367">
        <v>0</v>
      </c>
      <c r="EL123" s="367">
        <v>0</v>
      </c>
      <c r="EM123" s="367">
        <v>0</v>
      </c>
      <c r="EN123" s="367">
        <v>0</v>
      </c>
      <c r="EO123" s="367">
        <v>0</v>
      </c>
      <c r="EP123" s="367">
        <v>0</v>
      </c>
      <c r="EQ123" s="367"/>
      <c r="ER123" s="367"/>
      <c r="ES123" s="367"/>
      <c r="ET123" s="369">
        <f t="shared" si="28"/>
        <v>7</v>
      </c>
      <c r="EU123" s="367">
        <v>2</v>
      </c>
      <c r="EV123" s="367">
        <v>0</v>
      </c>
      <c r="EW123" s="367">
        <v>0</v>
      </c>
      <c r="EX123" s="367">
        <v>0</v>
      </c>
      <c r="EY123" s="367">
        <v>4</v>
      </c>
      <c r="EZ123" s="367">
        <v>0</v>
      </c>
      <c r="FA123" s="367">
        <v>0</v>
      </c>
      <c r="FB123" s="367">
        <v>1</v>
      </c>
      <c r="FC123" s="367">
        <v>0</v>
      </c>
      <c r="FD123" s="367">
        <v>0</v>
      </c>
      <c r="FE123" s="367">
        <v>0</v>
      </c>
      <c r="FF123" s="367">
        <v>3</v>
      </c>
      <c r="FG123" s="367"/>
      <c r="FH123" s="367"/>
      <c r="FI123" s="367"/>
      <c r="FJ123" s="367">
        <f t="shared" si="29"/>
        <v>10</v>
      </c>
      <c r="FK123" s="371">
        <f t="shared" si="30"/>
        <v>0</v>
      </c>
      <c r="FL123" s="371">
        <f t="shared" si="31"/>
        <v>0</v>
      </c>
      <c r="FM123" s="372"/>
    </row>
    <row r="124" spans="1:169" x14ac:dyDescent="0.25">
      <c r="A124" s="380">
        <v>40409</v>
      </c>
      <c r="B124" s="380" t="s">
        <v>19</v>
      </c>
      <c r="C124" s="380" t="s">
        <v>131</v>
      </c>
      <c r="D124" s="380" t="s">
        <v>375</v>
      </c>
      <c r="E124" s="374">
        <v>3056</v>
      </c>
      <c r="F124" s="358">
        <v>5</v>
      </c>
      <c r="G124" s="359" t="s">
        <v>424</v>
      </c>
      <c r="H124" s="360">
        <v>0</v>
      </c>
      <c r="I124" s="360">
        <v>1</v>
      </c>
      <c r="J124" s="361">
        <f>5+2/3</f>
        <v>5.666666666666667</v>
      </c>
      <c r="K124" s="360">
        <v>5</v>
      </c>
      <c r="L124" s="360">
        <v>3</v>
      </c>
      <c r="M124" s="360">
        <v>3</v>
      </c>
      <c r="N124" s="360">
        <v>3</v>
      </c>
      <c r="O124" s="360">
        <v>8</v>
      </c>
      <c r="P124" s="360">
        <v>0</v>
      </c>
      <c r="Q124" s="360">
        <v>0</v>
      </c>
      <c r="R124" s="360">
        <v>25</v>
      </c>
      <c r="S124" s="360">
        <v>102</v>
      </c>
      <c r="T124" s="360">
        <v>60</v>
      </c>
      <c r="U124" s="360">
        <v>1</v>
      </c>
      <c r="V124" s="362">
        <v>0</v>
      </c>
      <c r="W124" s="376">
        <v>0</v>
      </c>
      <c r="X124" s="376">
        <v>0</v>
      </c>
      <c r="Y124" s="376">
        <v>0</v>
      </c>
      <c r="Z124" s="376">
        <v>0</v>
      </c>
      <c r="AA124" s="376">
        <v>0</v>
      </c>
      <c r="AB124" s="377">
        <f>3+1/3</f>
        <v>3.3333333333333335</v>
      </c>
      <c r="AC124" s="376">
        <v>2</v>
      </c>
      <c r="AD124" s="376">
        <v>0</v>
      </c>
      <c r="AE124" s="376">
        <v>0</v>
      </c>
      <c r="AF124" s="376">
        <v>2</v>
      </c>
      <c r="AG124" s="376">
        <v>4</v>
      </c>
      <c r="AH124" s="376">
        <v>0</v>
      </c>
      <c r="AI124" s="376">
        <v>0</v>
      </c>
      <c r="AJ124" s="376">
        <v>15</v>
      </c>
      <c r="AK124" s="376">
        <v>60</v>
      </c>
      <c r="AL124" s="376">
        <v>37</v>
      </c>
      <c r="AM124" s="363" t="s">
        <v>441</v>
      </c>
      <c r="AN124" s="364">
        <v>3</v>
      </c>
      <c r="AO124" s="364">
        <v>0</v>
      </c>
      <c r="AP124" s="364">
        <v>0</v>
      </c>
      <c r="AQ124" s="364">
        <v>0</v>
      </c>
      <c r="AR124" s="364">
        <v>1</v>
      </c>
      <c r="AS124" s="364">
        <v>0</v>
      </c>
      <c r="AT124" s="364">
        <v>0</v>
      </c>
      <c r="AU124" s="364">
        <v>0</v>
      </c>
      <c r="AV124" s="365">
        <v>0</v>
      </c>
      <c r="AW124" s="363" t="s">
        <v>402</v>
      </c>
      <c r="AX124" s="364">
        <v>3</v>
      </c>
      <c r="AY124" s="364">
        <v>0</v>
      </c>
      <c r="AZ124" s="364">
        <v>0</v>
      </c>
      <c r="BA124" s="364">
        <v>0</v>
      </c>
      <c r="BB124" s="364">
        <v>1</v>
      </c>
      <c r="BC124" s="364">
        <v>0</v>
      </c>
      <c r="BD124" s="364">
        <v>0</v>
      </c>
      <c r="BE124" s="364">
        <v>0</v>
      </c>
      <c r="BF124" s="365">
        <v>0</v>
      </c>
      <c r="BG124" s="363" t="s">
        <v>650</v>
      </c>
      <c r="BH124" s="364">
        <v>3</v>
      </c>
      <c r="BI124" s="364">
        <v>1</v>
      </c>
      <c r="BJ124" s="364">
        <v>0</v>
      </c>
      <c r="BK124" s="364">
        <v>0</v>
      </c>
      <c r="BL124" s="364">
        <v>1</v>
      </c>
      <c r="BM124" s="364">
        <v>0</v>
      </c>
      <c r="BN124" s="364">
        <v>0</v>
      </c>
      <c r="BO124" s="364">
        <v>0</v>
      </c>
      <c r="BP124" s="365">
        <v>0</v>
      </c>
      <c r="BQ124" s="363" t="s">
        <v>446</v>
      </c>
      <c r="BR124" s="364">
        <v>4</v>
      </c>
      <c r="BS124" s="364">
        <v>1</v>
      </c>
      <c r="BT124" s="364">
        <v>2</v>
      </c>
      <c r="BU124" s="364">
        <v>2</v>
      </c>
      <c r="BV124" s="364">
        <v>0</v>
      </c>
      <c r="BW124" s="364">
        <v>0</v>
      </c>
      <c r="BX124" s="364">
        <v>0</v>
      </c>
      <c r="BY124" s="364">
        <v>0</v>
      </c>
      <c r="BZ124" s="365">
        <v>5</v>
      </c>
      <c r="CA124" s="363" t="s">
        <v>448</v>
      </c>
      <c r="CB124" s="364">
        <v>3</v>
      </c>
      <c r="CC124" s="364">
        <v>0</v>
      </c>
      <c r="CD124" s="364">
        <v>0</v>
      </c>
      <c r="CE124" s="364">
        <v>0</v>
      </c>
      <c r="CF124" s="364">
        <v>0</v>
      </c>
      <c r="CG124" s="364">
        <v>1</v>
      </c>
      <c r="CH124" s="364">
        <v>0</v>
      </c>
      <c r="CI124" s="364">
        <v>0</v>
      </c>
      <c r="CJ124" s="365">
        <v>0</v>
      </c>
      <c r="CK124" s="363" t="s">
        <v>496</v>
      </c>
      <c r="CL124" s="364">
        <v>3</v>
      </c>
      <c r="CM124" s="364">
        <v>0</v>
      </c>
      <c r="CN124" s="364">
        <v>0</v>
      </c>
      <c r="CO124" s="364">
        <v>0</v>
      </c>
      <c r="CP124" s="364">
        <v>0</v>
      </c>
      <c r="CQ124" s="364">
        <v>0</v>
      </c>
      <c r="CR124" s="364">
        <v>0</v>
      </c>
      <c r="CS124" s="364">
        <v>0</v>
      </c>
      <c r="CT124" s="365">
        <v>0</v>
      </c>
      <c r="CU124" s="363" t="s">
        <v>366</v>
      </c>
      <c r="CV124" s="364">
        <v>3</v>
      </c>
      <c r="CW124" s="364">
        <v>0</v>
      </c>
      <c r="CX124" s="364">
        <v>0</v>
      </c>
      <c r="CY124" s="364">
        <v>0</v>
      </c>
      <c r="CZ124" s="364">
        <v>0</v>
      </c>
      <c r="DA124" s="364">
        <v>2</v>
      </c>
      <c r="DB124" s="364">
        <v>0</v>
      </c>
      <c r="DC124" s="364">
        <v>0</v>
      </c>
      <c r="DD124" s="365">
        <v>0</v>
      </c>
      <c r="DE124" s="363" t="s">
        <v>364</v>
      </c>
      <c r="DF124" s="364">
        <v>3</v>
      </c>
      <c r="DG124" s="364">
        <v>0</v>
      </c>
      <c r="DH124" s="364">
        <v>0</v>
      </c>
      <c r="DI124" s="364">
        <v>0</v>
      </c>
      <c r="DJ124" s="364">
        <v>0</v>
      </c>
      <c r="DK124" s="364">
        <v>1</v>
      </c>
      <c r="DL124" s="364">
        <v>0</v>
      </c>
      <c r="DM124" s="364">
        <v>0</v>
      </c>
      <c r="DN124" s="365">
        <v>0</v>
      </c>
      <c r="DO124" s="363" t="s">
        <v>442</v>
      </c>
      <c r="DP124" s="364">
        <v>3</v>
      </c>
      <c r="DQ124" s="364">
        <v>0</v>
      </c>
      <c r="DR124" s="364">
        <v>1</v>
      </c>
      <c r="DS124" s="364">
        <v>0</v>
      </c>
      <c r="DT124" s="364">
        <v>0</v>
      </c>
      <c r="DU124" s="364">
        <v>0</v>
      </c>
      <c r="DV124" s="364">
        <v>0</v>
      </c>
      <c r="DW124" s="364">
        <v>0</v>
      </c>
      <c r="DX124" s="365">
        <v>3</v>
      </c>
      <c r="DY124" s="366">
        <v>0</v>
      </c>
      <c r="DZ124" s="367">
        <v>0</v>
      </c>
      <c r="EA124" s="367">
        <v>0</v>
      </c>
      <c r="EB124" s="368">
        <v>9</v>
      </c>
      <c r="EC124" s="367">
        <v>0</v>
      </c>
      <c r="ED124" s="369">
        <v>1</v>
      </c>
      <c r="EE124" s="370">
        <v>0</v>
      </c>
      <c r="EF124" s="367">
        <v>0</v>
      </c>
      <c r="EG124" s="367">
        <v>0</v>
      </c>
      <c r="EH124" s="367">
        <v>2</v>
      </c>
      <c r="EI124" s="367">
        <v>0</v>
      </c>
      <c r="EJ124" s="367">
        <v>0</v>
      </c>
      <c r="EK124" s="367">
        <v>0</v>
      </c>
      <c r="EL124" s="367">
        <v>0</v>
      </c>
      <c r="EM124" s="367">
        <v>0</v>
      </c>
      <c r="EN124" s="367"/>
      <c r="EO124" s="367"/>
      <c r="EP124" s="367"/>
      <c r="EQ124" s="367"/>
      <c r="ER124" s="367"/>
      <c r="ES124" s="367"/>
      <c r="ET124" s="369">
        <f t="shared" si="28"/>
        <v>2</v>
      </c>
      <c r="EU124" s="367">
        <v>0</v>
      </c>
      <c r="EV124" s="367">
        <v>2</v>
      </c>
      <c r="EW124" s="367">
        <v>1</v>
      </c>
      <c r="EX124" s="367">
        <v>0</v>
      </c>
      <c r="EY124" s="367">
        <v>0</v>
      </c>
      <c r="EZ124" s="367">
        <v>0</v>
      </c>
      <c r="FA124" s="367">
        <v>0</v>
      </c>
      <c r="FB124" s="367">
        <v>0</v>
      </c>
      <c r="FC124" s="367">
        <v>0</v>
      </c>
      <c r="FD124" s="367"/>
      <c r="FE124" s="367"/>
      <c r="FF124" s="367"/>
      <c r="FG124" s="367"/>
      <c r="FH124" s="367"/>
      <c r="FI124" s="367"/>
      <c r="FJ124" s="367">
        <f t="shared" si="29"/>
        <v>3</v>
      </c>
      <c r="FK124" s="371">
        <f t="shared" si="30"/>
        <v>0</v>
      </c>
      <c r="FL124" s="371">
        <f t="shared" si="31"/>
        <v>0</v>
      </c>
      <c r="FM124" s="372"/>
    </row>
    <row r="125" spans="1:169" x14ac:dyDescent="0.25">
      <c r="A125" s="380">
        <v>40410</v>
      </c>
      <c r="B125" s="380" t="s">
        <v>19</v>
      </c>
      <c r="C125" s="380" t="s">
        <v>131</v>
      </c>
      <c r="D125" s="380" t="s">
        <v>375</v>
      </c>
      <c r="E125" s="374">
        <v>5993</v>
      </c>
      <c r="F125" s="358">
        <v>1</v>
      </c>
      <c r="G125" s="359" t="s">
        <v>470</v>
      </c>
      <c r="H125" s="360">
        <v>0</v>
      </c>
      <c r="I125" s="360">
        <v>0</v>
      </c>
      <c r="J125" s="361">
        <f>2+1/3</f>
        <v>2.3333333333333335</v>
      </c>
      <c r="K125" s="360">
        <v>1</v>
      </c>
      <c r="L125" s="360">
        <v>2</v>
      </c>
      <c r="M125" s="360">
        <v>2</v>
      </c>
      <c r="N125" s="360">
        <v>3</v>
      </c>
      <c r="O125" s="360">
        <v>1</v>
      </c>
      <c r="P125" s="360">
        <v>1</v>
      </c>
      <c r="Q125" s="360">
        <v>0</v>
      </c>
      <c r="R125" s="360">
        <v>10</v>
      </c>
      <c r="S125" s="360">
        <v>44</v>
      </c>
      <c r="T125" s="360">
        <v>26</v>
      </c>
      <c r="U125" s="360">
        <v>0</v>
      </c>
      <c r="V125" s="362">
        <v>0</v>
      </c>
      <c r="W125" s="376">
        <v>0</v>
      </c>
      <c r="X125" s="376">
        <v>1</v>
      </c>
      <c r="Y125" s="376">
        <v>0</v>
      </c>
      <c r="Z125" s="376">
        <v>0</v>
      </c>
      <c r="AA125" s="376">
        <v>0</v>
      </c>
      <c r="AB125" s="377">
        <f>6+2/3</f>
        <v>6.666666666666667</v>
      </c>
      <c r="AC125" s="376">
        <v>6</v>
      </c>
      <c r="AD125" s="376">
        <v>4</v>
      </c>
      <c r="AE125" s="376">
        <v>4</v>
      </c>
      <c r="AF125" s="376">
        <v>0</v>
      </c>
      <c r="AG125" s="376">
        <v>3</v>
      </c>
      <c r="AH125" s="376">
        <v>0</v>
      </c>
      <c r="AI125" s="376">
        <v>0</v>
      </c>
      <c r="AJ125" s="376">
        <v>26</v>
      </c>
      <c r="AK125" s="376">
        <v>105</v>
      </c>
      <c r="AL125" s="376">
        <v>75</v>
      </c>
      <c r="AM125" s="363" t="s">
        <v>441</v>
      </c>
      <c r="AN125" s="364">
        <v>5</v>
      </c>
      <c r="AO125" s="364">
        <v>1</v>
      </c>
      <c r="AP125" s="364">
        <v>1</v>
      </c>
      <c r="AQ125" s="364">
        <v>0</v>
      </c>
      <c r="AR125" s="364">
        <v>0</v>
      </c>
      <c r="AS125" s="364">
        <v>2</v>
      </c>
      <c r="AT125" s="364">
        <v>0</v>
      </c>
      <c r="AU125" s="364">
        <v>0</v>
      </c>
      <c r="AV125" s="365">
        <v>3</v>
      </c>
      <c r="AW125" s="363" t="s">
        <v>402</v>
      </c>
      <c r="AX125" s="364">
        <v>4</v>
      </c>
      <c r="AY125" s="364">
        <v>0</v>
      </c>
      <c r="AZ125" s="364">
        <v>2</v>
      </c>
      <c r="BA125" s="364">
        <v>1</v>
      </c>
      <c r="BB125" s="364">
        <v>1</v>
      </c>
      <c r="BC125" s="364">
        <v>0</v>
      </c>
      <c r="BD125" s="364">
        <v>0</v>
      </c>
      <c r="BE125" s="364">
        <v>0</v>
      </c>
      <c r="BF125" s="365">
        <v>2</v>
      </c>
      <c r="BG125" s="363" t="s">
        <v>650</v>
      </c>
      <c r="BH125" s="364">
        <v>4</v>
      </c>
      <c r="BI125" s="364">
        <v>0</v>
      </c>
      <c r="BJ125" s="364">
        <v>0</v>
      </c>
      <c r="BK125" s="364">
        <v>1</v>
      </c>
      <c r="BL125" s="364">
        <v>1</v>
      </c>
      <c r="BM125" s="364">
        <v>2</v>
      </c>
      <c r="BN125" s="364">
        <v>0</v>
      </c>
      <c r="BO125" s="364">
        <v>0</v>
      </c>
      <c r="BP125" s="365">
        <v>0</v>
      </c>
      <c r="BQ125" s="363" t="s">
        <v>446</v>
      </c>
      <c r="BR125" s="364">
        <v>4</v>
      </c>
      <c r="BS125" s="364">
        <v>0</v>
      </c>
      <c r="BT125" s="364">
        <v>1</v>
      </c>
      <c r="BU125" s="364">
        <v>0</v>
      </c>
      <c r="BV125" s="364">
        <v>1</v>
      </c>
      <c r="BW125" s="364">
        <v>1</v>
      </c>
      <c r="BX125" s="364">
        <v>0</v>
      </c>
      <c r="BY125" s="364">
        <v>0</v>
      </c>
      <c r="BZ125" s="365">
        <v>1</v>
      </c>
      <c r="CA125" s="363" t="s">
        <v>448</v>
      </c>
      <c r="CB125" s="364">
        <v>5</v>
      </c>
      <c r="CC125" s="364">
        <v>1</v>
      </c>
      <c r="CD125" s="364">
        <v>3</v>
      </c>
      <c r="CE125" s="364">
        <v>1</v>
      </c>
      <c r="CF125" s="364">
        <v>0</v>
      </c>
      <c r="CG125" s="364">
        <v>0</v>
      </c>
      <c r="CH125" s="364">
        <v>0</v>
      </c>
      <c r="CI125" s="364">
        <v>0</v>
      </c>
      <c r="CJ125" s="365">
        <v>6</v>
      </c>
      <c r="CK125" s="363" t="s">
        <v>496</v>
      </c>
      <c r="CL125" s="364">
        <v>4</v>
      </c>
      <c r="CM125" s="364">
        <v>0</v>
      </c>
      <c r="CN125" s="364">
        <v>0</v>
      </c>
      <c r="CO125" s="364">
        <v>0</v>
      </c>
      <c r="CP125" s="364">
        <v>1</v>
      </c>
      <c r="CQ125" s="364">
        <v>0</v>
      </c>
      <c r="CR125" s="364">
        <v>0</v>
      </c>
      <c r="CS125" s="364">
        <v>0</v>
      </c>
      <c r="CT125" s="365">
        <v>0</v>
      </c>
      <c r="CU125" s="363" t="s">
        <v>364</v>
      </c>
      <c r="CV125" s="364">
        <v>4</v>
      </c>
      <c r="CW125" s="364">
        <v>2</v>
      </c>
      <c r="CX125" s="364">
        <v>2</v>
      </c>
      <c r="CY125" s="364">
        <v>0</v>
      </c>
      <c r="CZ125" s="364">
        <v>1</v>
      </c>
      <c r="DA125" s="364">
        <v>1</v>
      </c>
      <c r="DB125" s="364">
        <v>0</v>
      </c>
      <c r="DC125" s="364">
        <v>0</v>
      </c>
      <c r="DD125" s="365">
        <v>2</v>
      </c>
      <c r="DE125" s="363" t="s">
        <v>639</v>
      </c>
      <c r="DF125" s="364">
        <v>4</v>
      </c>
      <c r="DG125" s="364">
        <v>1</v>
      </c>
      <c r="DH125" s="364">
        <v>0</v>
      </c>
      <c r="DI125" s="364">
        <v>0</v>
      </c>
      <c r="DJ125" s="364">
        <v>0</v>
      </c>
      <c r="DK125" s="364">
        <v>0</v>
      </c>
      <c r="DL125" s="364">
        <v>1</v>
      </c>
      <c r="DM125" s="364">
        <v>0</v>
      </c>
      <c r="DN125" s="365">
        <v>0</v>
      </c>
      <c r="DO125" s="363" t="s">
        <v>449</v>
      </c>
      <c r="DP125" s="364">
        <v>2</v>
      </c>
      <c r="DQ125" s="364">
        <v>0</v>
      </c>
      <c r="DR125" s="364">
        <v>1</v>
      </c>
      <c r="DS125" s="364">
        <v>2</v>
      </c>
      <c r="DT125" s="364">
        <v>2</v>
      </c>
      <c r="DU125" s="364">
        <v>0</v>
      </c>
      <c r="DV125" s="364">
        <v>0</v>
      </c>
      <c r="DW125" s="364">
        <v>0</v>
      </c>
      <c r="DX125" s="365">
        <v>1</v>
      </c>
      <c r="DY125" s="366">
        <v>2</v>
      </c>
      <c r="DZ125" s="367">
        <v>3</v>
      </c>
      <c r="EA125" s="367">
        <v>0</v>
      </c>
      <c r="EB125" s="368">
        <v>7</v>
      </c>
      <c r="EC125" s="367">
        <v>1</v>
      </c>
      <c r="ED125" s="369">
        <v>0</v>
      </c>
      <c r="EE125" s="370">
        <v>0</v>
      </c>
      <c r="EF125" s="367">
        <v>0</v>
      </c>
      <c r="EG125" s="367">
        <v>1</v>
      </c>
      <c r="EH125" s="367">
        <v>0</v>
      </c>
      <c r="EI125" s="367">
        <v>1</v>
      </c>
      <c r="EJ125" s="367">
        <v>3</v>
      </c>
      <c r="EK125" s="367">
        <v>0</v>
      </c>
      <c r="EL125" s="367">
        <v>0</v>
      </c>
      <c r="EM125" s="367">
        <v>0</v>
      </c>
      <c r="EN125" s="367"/>
      <c r="EO125" s="367"/>
      <c r="EP125" s="367"/>
      <c r="EQ125" s="367"/>
      <c r="ER125" s="367"/>
      <c r="ES125" s="367"/>
      <c r="ET125" s="369">
        <f t="shared" si="28"/>
        <v>5</v>
      </c>
      <c r="EU125" s="367">
        <v>0</v>
      </c>
      <c r="EV125" s="367">
        <v>2</v>
      </c>
      <c r="EW125" s="367">
        <v>0</v>
      </c>
      <c r="EX125" s="367">
        <v>0</v>
      </c>
      <c r="EY125" s="367">
        <v>0</v>
      </c>
      <c r="EZ125" s="367">
        <v>0</v>
      </c>
      <c r="FA125" s="367">
        <v>4</v>
      </c>
      <c r="FB125" s="367">
        <v>0</v>
      </c>
      <c r="FC125" s="367">
        <v>0</v>
      </c>
      <c r="FD125" s="367"/>
      <c r="FE125" s="367"/>
      <c r="FF125" s="367"/>
      <c r="FG125" s="367"/>
      <c r="FH125" s="367"/>
      <c r="FI125" s="367"/>
      <c r="FJ125" s="367">
        <f t="shared" si="29"/>
        <v>6</v>
      </c>
      <c r="FK125" s="371">
        <f t="shared" si="30"/>
        <v>0</v>
      </c>
      <c r="FL125" s="371">
        <f t="shared" si="31"/>
        <v>0</v>
      </c>
      <c r="FM125" s="372"/>
    </row>
    <row r="126" spans="1:169" x14ac:dyDescent="0.25">
      <c r="A126" s="380">
        <v>40411</v>
      </c>
      <c r="B126" s="380" t="s">
        <v>19</v>
      </c>
      <c r="C126" s="380" t="s">
        <v>131</v>
      </c>
      <c r="D126" s="380" t="s">
        <v>375</v>
      </c>
      <c r="E126" s="374">
        <v>6593</v>
      </c>
      <c r="F126" s="358">
        <v>2</v>
      </c>
      <c r="G126" s="359" t="s">
        <v>440</v>
      </c>
      <c r="H126" s="360">
        <v>0</v>
      </c>
      <c r="I126" s="360">
        <v>1</v>
      </c>
      <c r="J126" s="361">
        <v>3</v>
      </c>
      <c r="K126" s="360">
        <v>4</v>
      </c>
      <c r="L126" s="360">
        <v>6</v>
      </c>
      <c r="M126" s="360">
        <v>6</v>
      </c>
      <c r="N126" s="360">
        <v>5</v>
      </c>
      <c r="O126" s="360">
        <v>1</v>
      </c>
      <c r="P126" s="360">
        <v>2</v>
      </c>
      <c r="Q126" s="360">
        <v>0</v>
      </c>
      <c r="R126" s="360">
        <v>18</v>
      </c>
      <c r="S126" s="360">
        <v>63</v>
      </c>
      <c r="T126" s="360">
        <v>33</v>
      </c>
      <c r="U126" s="360">
        <v>0</v>
      </c>
      <c r="V126" s="362">
        <v>0</v>
      </c>
      <c r="W126" s="376">
        <v>0</v>
      </c>
      <c r="X126" s="376">
        <v>0</v>
      </c>
      <c r="Y126" s="376">
        <v>0</v>
      </c>
      <c r="Z126" s="376">
        <v>0</v>
      </c>
      <c r="AA126" s="376">
        <v>0</v>
      </c>
      <c r="AB126" s="377">
        <v>6</v>
      </c>
      <c r="AC126" s="376">
        <v>4</v>
      </c>
      <c r="AD126" s="376">
        <v>0</v>
      </c>
      <c r="AE126" s="376">
        <v>0</v>
      </c>
      <c r="AF126" s="376">
        <v>2</v>
      </c>
      <c r="AG126" s="376">
        <v>5</v>
      </c>
      <c r="AH126" s="376">
        <v>0</v>
      </c>
      <c r="AI126" s="376">
        <v>0</v>
      </c>
      <c r="AJ126" s="376">
        <v>22</v>
      </c>
      <c r="AK126" s="376">
        <v>96</v>
      </c>
      <c r="AL126" s="376">
        <v>58</v>
      </c>
      <c r="AM126" s="363" t="s">
        <v>441</v>
      </c>
      <c r="AN126" s="364">
        <v>4</v>
      </c>
      <c r="AO126" s="364">
        <v>0</v>
      </c>
      <c r="AP126" s="364">
        <v>1</v>
      </c>
      <c r="AQ126" s="364">
        <v>1</v>
      </c>
      <c r="AR126" s="364">
        <v>0</v>
      </c>
      <c r="AS126" s="364">
        <v>0</v>
      </c>
      <c r="AT126" s="364">
        <v>0</v>
      </c>
      <c r="AU126" s="364">
        <v>0</v>
      </c>
      <c r="AV126" s="365">
        <v>1</v>
      </c>
      <c r="AW126" s="363" t="s">
        <v>402</v>
      </c>
      <c r="AX126" s="364">
        <v>4</v>
      </c>
      <c r="AY126" s="364">
        <v>0</v>
      </c>
      <c r="AZ126" s="364">
        <v>1</v>
      </c>
      <c r="BA126" s="364">
        <v>0</v>
      </c>
      <c r="BB126" s="364">
        <v>0</v>
      </c>
      <c r="BC126" s="364">
        <v>0</v>
      </c>
      <c r="BD126" s="364">
        <v>0</v>
      </c>
      <c r="BE126" s="364">
        <v>0</v>
      </c>
      <c r="BF126" s="365">
        <v>1</v>
      </c>
      <c r="BG126" s="363" t="s">
        <v>446</v>
      </c>
      <c r="BH126" s="364">
        <v>4</v>
      </c>
      <c r="BI126" s="364">
        <v>0</v>
      </c>
      <c r="BJ126" s="364">
        <v>0</v>
      </c>
      <c r="BK126" s="364">
        <v>0</v>
      </c>
      <c r="BL126" s="364">
        <v>0</v>
      </c>
      <c r="BM126" s="364">
        <v>0</v>
      </c>
      <c r="BN126" s="364">
        <v>0</v>
      </c>
      <c r="BO126" s="364">
        <v>0</v>
      </c>
      <c r="BP126" s="365">
        <v>0</v>
      </c>
      <c r="BQ126" s="363" t="s">
        <v>496</v>
      </c>
      <c r="BR126" s="364">
        <v>4</v>
      </c>
      <c r="BS126" s="364">
        <v>0</v>
      </c>
      <c r="BT126" s="364">
        <v>0</v>
      </c>
      <c r="BU126" s="364">
        <v>0</v>
      </c>
      <c r="BV126" s="364">
        <v>0</v>
      </c>
      <c r="BW126" s="364">
        <v>2</v>
      </c>
      <c r="BX126" s="364">
        <v>0</v>
      </c>
      <c r="BY126" s="364">
        <v>0</v>
      </c>
      <c r="BZ126" s="365">
        <v>0</v>
      </c>
      <c r="CA126" s="363" t="s">
        <v>448</v>
      </c>
      <c r="CB126" s="364">
        <v>4</v>
      </c>
      <c r="CC126" s="364">
        <v>0</v>
      </c>
      <c r="CD126" s="364">
        <v>0</v>
      </c>
      <c r="CE126" s="364">
        <v>0</v>
      </c>
      <c r="CF126" s="364">
        <v>0</v>
      </c>
      <c r="CG126" s="364">
        <v>2</v>
      </c>
      <c r="CH126" s="364">
        <v>0</v>
      </c>
      <c r="CI126" s="364">
        <v>0</v>
      </c>
      <c r="CJ126" s="365">
        <v>0</v>
      </c>
      <c r="CK126" s="363" t="s">
        <v>366</v>
      </c>
      <c r="CL126" s="364">
        <v>3</v>
      </c>
      <c r="CM126" s="364">
        <v>0</v>
      </c>
      <c r="CN126" s="364">
        <v>0</v>
      </c>
      <c r="CO126" s="364">
        <v>0</v>
      </c>
      <c r="CP126" s="364">
        <v>0</v>
      </c>
      <c r="CQ126" s="364">
        <v>1</v>
      </c>
      <c r="CR126" s="364">
        <v>0</v>
      </c>
      <c r="CS126" s="364">
        <v>0</v>
      </c>
      <c r="CT126" s="365">
        <v>0</v>
      </c>
      <c r="CU126" s="363" t="s">
        <v>364</v>
      </c>
      <c r="CV126" s="364">
        <v>2</v>
      </c>
      <c r="CW126" s="364">
        <v>1</v>
      </c>
      <c r="CX126" s="364">
        <v>1</v>
      </c>
      <c r="CY126" s="364">
        <v>0</v>
      </c>
      <c r="CZ126" s="364">
        <v>1</v>
      </c>
      <c r="DA126" s="364">
        <v>0</v>
      </c>
      <c r="DB126" s="364">
        <v>0</v>
      </c>
      <c r="DC126" s="364">
        <v>0</v>
      </c>
      <c r="DD126" s="365">
        <v>1</v>
      </c>
      <c r="DE126" s="363" t="s">
        <v>449</v>
      </c>
      <c r="DF126" s="364">
        <v>3</v>
      </c>
      <c r="DG126" s="364">
        <v>0</v>
      </c>
      <c r="DH126" s="364">
        <v>1</v>
      </c>
      <c r="DI126" s="364">
        <v>0</v>
      </c>
      <c r="DJ126" s="364">
        <v>0</v>
      </c>
      <c r="DK126" s="364">
        <v>1</v>
      </c>
      <c r="DL126" s="364">
        <v>0</v>
      </c>
      <c r="DM126" s="364">
        <v>0</v>
      </c>
      <c r="DN126" s="365">
        <v>2</v>
      </c>
      <c r="DO126" s="363" t="s">
        <v>442</v>
      </c>
      <c r="DP126" s="364">
        <v>3</v>
      </c>
      <c r="DQ126" s="364">
        <v>0</v>
      </c>
      <c r="DR126" s="364">
        <v>0</v>
      </c>
      <c r="DS126" s="364">
        <v>0</v>
      </c>
      <c r="DT126" s="364">
        <v>0</v>
      </c>
      <c r="DU126" s="364">
        <v>2</v>
      </c>
      <c r="DV126" s="364">
        <v>0</v>
      </c>
      <c r="DW126" s="364">
        <v>0</v>
      </c>
      <c r="DX126" s="365">
        <v>0</v>
      </c>
      <c r="DY126" s="366">
        <v>7</v>
      </c>
      <c r="DZ126" s="367">
        <v>0</v>
      </c>
      <c r="EA126" s="367">
        <v>0</v>
      </c>
      <c r="EB126" s="368">
        <v>2</v>
      </c>
      <c r="EC126" s="367">
        <v>0</v>
      </c>
      <c r="ED126" s="369">
        <v>0</v>
      </c>
      <c r="EE126" s="370">
        <v>0</v>
      </c>
      <c r="EF126" s="367">
        <v>0</v>
      </c>
      <c r="EG126" s="367">
        <v>0</v>
      </c>
      <c r="EH126" s="367">
        <v>0</v>
      </c>
      <c r="EI126" s="367">
        <v>0</v>
      </c>
      <c r="EJ126" s="367">
        <v>0</v>
      </c>
      <c r="EK126" s="367">
        <v>0</v>
      </c>
      <c r="EL126" s="367">
        <v>1</v>
      </c>
      <c r="EM126" s="367">
        <v>0</v>
      </c>
      <c r="EN126" s="367"/>
      <c r="EO126" s="367"/>
      <c r="EP126" s="367"/>
      <c r="EQ126" s="367"/>
      <c r="ER126" s="367"/>
      <c r="ES126" s="367"/>
      <c r="ET126" s="369">
        <f t="shared" ref="ET126:ET133" si="32">SUM(EE126:ES126)</f>
        <v>1</v>
      </c>
      <c r="EU126" s="367">
        <v>0</v>
      </c>
      <c r="EV126" s="367">
        <v>2</v>
      </c>
      <c r="EW126" s="367">
        <v>4</v>
      </c>
      <c r="EX126" s="367">
        <v>0</v>
      </c>
      <c r="EY126" s="367">
        <v>0</v>
      </c>
      <c r="EZ126" s="367">
        <v>0</v>
      </c>
      <c r="FA126" s="367">
        <v>0</v>
      </c>
      <c r="FB126" s="367">
        <v>0</v>
      </c>
      <c r="FC126" s="367">
        <v>0</v>
      </c>
      <c r="FD126" s="367"/>
      <c r="FE126" s="367"/>
      <c r="FF126" s="367"/>
      <c r="FG126" s="367"/>
      <c r="FH126" s="367"/>
      <c r="FI126" s="367"/>
      <c r="FJ126" s="367">
        <f t="shared" ref="FJ126:FJ133" si="33">SUM(EU126:FI126)</f>
        <v>6</v>
      </c>
      <c r="FK126" s="371">
        <f t="shared" ref="FK126:FK133" si="34">((SUM(L126,AD126))-(FJ126))</f>
        <v>0</v>
      </c>
      <c r="FL126" s="371">
        <f t="shared" ref="FL126:FL133" si="35">((SUM(AO126,AY126,BI126,BS126,CC126,CM126,CW126,DG126,DQ126))-(ET126))</f>
        <v>0</v>
      </c>
      <c r="FM126" s="372"/>
    </row>
    <row r="127" spans="1:169" x14ac:dyDescent="0.25">
      <c r="A127" s="380">
        <v>40412</v>
      </c>
      <c r="B127" s="380" t="s">
        <v>19</v>
      </c>
      <c r="C127" s="380" t="s">
        <v>129</v>
      </c>
      <c r="D127" s="380" t="s">
        <v>375</v>
      </c>
      <c r="E127" s="374">
        <v>1875</v>
      </c>
      <c r="F127" s="358">
        <v>3</v>
      </c>
      <c r="G127" s="359" t="s">
        <v>669</v>
      </c>
      <c r="H127" s="360">
        <v>1</v>
      </c>
      <c r="I127" s="360">
        <v>0</v>
      </c>
      <c r="J127" s="361">
        <v>5</v>
      </c>
      <c r="K127" s="360">
        <v>1</v>
      </c>
      <c r="L127" s="360">
        <v>0</v>
      </c>
      <c r="M127" s="360">
        <v>0</v>
      </c>
      <c r="N127" s="360">
        <v>0</v>
      </c>
      <c r="O127" s="360">
        <v>4</v>
      </c>
      <c r="P127" s="360">
        <v>0</v>
      </c>
      <c r="Q127" s="360">
        <v>0</v>
      </c>
      <c r="R127" s="360">
        <v>16</v>
      </c>
      <c r="S127" s="360">
        <v>55</v>
      </c>
      <c r="T127" s="360">
        <v>39</v>
      </c>
      <c r="U127" s="360">
        <v>0</v>
      </c>
      <c r="V127" s="362">
        <v>0</v>
      </c>
      <c r="W127" s="376">
        <v>0</v>
      </c>
      <c r="X127" s="376">
        <v>0</v>
      </c>
      <c r="Y127" s="376">
        <v>0</v>
      </c>
      <c r="Z127" s="376">
        <v>0</v>
      </c>
      <c r="AA127" s="376">
        <v>0</v>
      </c>
      <c r="AB127" s="377">
        <v>4</v>
      </c>
      <c r="AC127" s="376">
        <v>2</v>
      </c>
      <c r="AD127" s="376">
        <v>2</v>
      </c>
      <c r="AE127" s="376">
        <v>1</v>
      </c>
      <c r="AF127" s="376">
        <v>3</v>
      </c>
      <c r="AG127" s="376">
        <v>6</v>
      </c>
      <c r="AH127" s="376">
        <v>1</v>
      </c>
      <c r="AI127" s="376">
        <v>0</v>
      </c>
      <c r="AJ127" s="376">
        <v>18</v>
      </c>
      <c r="AK127" s="376">
        <v>84</v>
      </c>
      <c r="AL127" s="376">
        <v>49</v>
      </c>
      <c r="AM127" s="363" t="s">
        <v>441</v>
      </c>
      <c r="AN127" s="364">
        <v>5</v>
      </c>
      <c r="AO127" s="364">
        <v>1</v>
      </c>
      <c r="AP127" s="364">
        <v>1</v>
      </c>
      <c r="AQ127" s="364">
        <v>1</v>
      </c>
      <c r="AR127" s="364">
        <v>0</v>
      </c>
      <c r="AS127" s="364">
        <v>0</v>
      </c>
      <c r="AT127" s="364">
        <v>0</v>
      </c>
      <c r="AU127" s="364">
        <v>0</v>
      </c>
      <c r="AV127" s="365">
        <v>1</v>
      </c>
      <c r="AW127" s="363" t="s">
        <v>402</v>
      </c>
      <c r="AX127" s="364">
        <v>4</v>
      </c>
      <c r="AY127" s="364">
        <v>2</v>
      </c>
      <c r="AZ127" s="364">
        <v>2</v>
      </c>
      <c r="BA127" s="364">
        <v>0</v>
      </c>
      <c r="BB127" s="364">
        <v>1</v>
      </c>
      <c r="BC127" s="364">
        <v>0</v>
      </c>
      <c r="BD127" s="364">
        <v>0</v>
      </c>
      <c r="BE127" s="364">
        <v>0</v>
      </c>
      <c r="BF127" s="365">
        <v>2</v>
      </c>
      <c r="BG127" s="363" t="s">
        <v>650</v>
      </c>
      <c r="BH127" s="364">
        <v>4</v>
      </c>
      <c r="BI127" s="364">
        <v>0</v>
      </c>
      <c r="BJ127" s="364">
        <v>0</v>
      </c>
      <c r="BK127" s="364">
        <v>1</v>
      </c>
      <c r="BL127" s="364">
        <v>0</v>
      </c>
      <c r="BM127" s="364">
        <v>0</v>
      </c>
      <c r="BN127" s="364">
        <v>0</v>
      </c>
      <c r="BO127" s="364">
        <v>1</v>
      </c>
      <c r="BP127" s="365">
        <v>0</v>
      </c>
      <c r="BQ127" s="363" t="s">
        <v>446</v>
      </c>
      <c r="BR127" s="364">
        <v>4</v>
      </c>
      <c r="BS127" s="364">
        <v>2</v>
      </c>
      <c r="BT127" s="364">
        <v>4</v>
      </c>
      <c r="BU127" s="364">
        <v>5</v>
      </c>
      <c r="BV127" s="364">
        <v>1</v>
      </c>
      <c r="BW127" s="364">
        <v>0</v>
      </c>
      <c r="BX127" s="364">
        <v>0</v>
      </c>
      <c r="BY127" s="364">
        <v>0</v>
      </c>
      <c r="BZ127" s="365">
        <v>7</v>
      </c>
      <c r="CA127" s="363" t="s">
        <v>448</v>
      </c>
      <c r="CB127" s="364">
        <v>5</v>
      </c>
      <c r="CC127" s="364">
        <v>0</v>
      </c>
      <c r="CD127" s="364">
        <v>1</v>
      </c>
      <c r="CE127" s="364">
        <v>0</v>
      </c>
      <c r="CF127" s="364">
        <v>0</v>
      </c>
      <c r="CG127" s="364">
        <v>2</v>
      </c>
      <c r="CH127" s="364">
        <v>0</v>
      </c>
      <c r="CI127" s="364">
        <v>0</v>
      </c>
      <c r="CJ127" s="365">
        <v>1</v>
      </c>
      <c r="CK127" s="363" t="s">
        <v>496</v>
      </c>
      <c r="CL127" s="364">
        <v>4</v>
      </c>
      <c r="CM127" s="364">
        <v>0</v>
      </c>
      <c r="CN127" s="364">
        <v>0</v>
      </c>
      <c r="CO127" s="364">
        <v>0</v>
      </c>
      <c r="CP127" s="364">
        <v>0</v>
      </c>
      <c r="CQ127" s="364">
        <v>2</v>
      </c>
      <c r="CR127" s="364">
        <v>0</v>
      </c>
      <c r="CS127" s="364">
        <v>0</v>
      </c>
      <c r="CT127" s="365">
        <v>0</v>
      </c>
      <c r="CU127" s="363" t="s">
        <v>364</v>
      </c>
      <c r="CV127" s="364">
        <v>4</v>
      </c>
      <c r="CW127" s="364">
        <v>1</v>
      </c>
      <c r="CX127" s="364">
        <v>1</v>
      </c>
      <c r="CY127" s="364">
        <v>0</v>
      </c>
      <c r="CZ127" s="364">
        <v>0</v>
      </c>
      <c r="DA127" s="364">
        <v>2</v>
      </c>
      <c r="DB127" s="364">
        <v>0</v>
      </c>
      <c r="DC127" s="364">
        <v>0</v>
      </c>
      <c r="DD127" s="365">
        <v>3</v>
      </c>
      <c r="DE127" s="363" t="s">
        <v>483</v>
      </c>
      <c r="DF127" s="364">
        <v>3</v>
      </c>
      <c r="DG127" s="364">
        <v>1</v>
      </c>
      <c r="DH127" s="364">
        <v>2</v>
      </c>
      <c r="DI127" s="364">
        <v>1</v>
      </c>
      <c r="DJ127" s="364">
        <v>0</v>
      </c>
      <c r="DK127" s="364">
        <v>0</v>
      </c>
      <c r="DL127" s="364">
        <v>1</v>
      </c>
      <c r="DM127" s="364">
        <v>0</v>
      </c>
      <c r="DN127" s="365">
        <v>3</v>
      </c>
      <c r="DO127" s="363" t="s">
        <v>442</v>
      </c>
      <c r="DP127" s="364">
        <v>3</v>
      </c>
      <c r="DQ127" s="364">
        <v>2</v>
      </c>
      <c r="DR127" s="364">
        <v>2</v>
      </c>
      <c r="DS127" s="364">
        <v>1</v>
      </c>
      <c r="DT127" s="364">
        <v>0</v>
      </c>
      <c r="DU127" s="364">
        <v>0</v>
      </c>
      <c r="DV127" s="364">
        <v>1</v>
      </c>
      <c r="DW127" s="364">
        <v>0</v>
      </c>
      <c r="DX127" s="365">
        <v>2</v>
      </c>
      <c r="DY127" s="366">
        <v>1</v>
      </c>
      <c r="DZ127" s="367">
        <v>0</v>
      </c>
      <c r="EA127" s="367">
        <v>0</v>
      </c>
      <c r="EB127" s="368">
        <v>7</v>
      </c>
      <c r="EC127" s="367">
        <v>2</v>
      </c>
      <c r="ED127" s="369">
        <v>0</v>
      </c>
      <c r="EE127" s="370">
        <v>0</v>
      </c>
      <c r="EF127" s="367">
        <v>1</v>
      </c>
      <c r="EG127" s="367">
        <v>2</v>
      </c>
      <c r="EH127" s="367">
        <v>3</v>
      </c>
      <c r="EI127" s="367">
        <v>0</v>
      </c>
      <c r="EJ127" s="367">
        <v>2</v>
      </c>
      <c r="EK127" s="367">
        <v>1</v>
      </c>
      <c r="EL127" s="367">
        <v>0</v>
      </c>
      <c r="EM127" s="367"/>
      <c r="EN127" s="367"/>
      <c r="EO127" s="367"/>
      <c r="EP127" s="367"/>
      <c r="EQ127" s="367"/>
      <c r="ER127" s="367"/>
      <c r="ES127" s="367"/>
      <c r="ET127" s="369">
        <f t="shared" si="32"/>
        <v>9</v>
      </c>
      <c r="EU127" s="367">
        <v>0</v>
      </c>
      <c r="EV127" s="367">
        <v>0</v>
      </c>
      <c r="EW127" s="367">
        <v>0</v>
      </c>
      <c r="EX127" s="367">
        <v>0</v>
      </c>
      <c r="EY127" s="367">
        <v>0</v>
      </c>
      <c r="EZ127" s="367">
        <v>0</v>
      </c>
      <c r="FA127" s="367">
        <v>1</v>
      </c>
      <c r="FB127" s="367">
        <v>0</v>
      </c>
      <c r="FC127" s="367">
        <v>1</v>
      </c>
      <c r="FD127" s="367"/>
      <c r="FE127" s="367"/>
      <c r="FF127" s="367"/>
      <c r="FG127" s="367"/>
      <c r="FH127" s="367"/>
      <c r="FI127" s="367"/>
      <c r="FJ127" s="367">
        <f t="shared" si="33"/>
        <v>2</v>
      </c>
      <c r="FK127" s="371">
        <f t="shared" si="34"/>
        <v>0</v>
      </c>
      <c r="FL127" s="371">
        <f t="shared" si="35"/>
        <v>0</v>
      </c>
      <c r="FM127" s="372"/>
    </row>
    <row r="128" spans="1:169" x14ac:dyDescent="0.25">
      <c r="A128" s="380">
        <v>40413</v>
      </c>
      <c r="B128" s="380" t="s">
        <v>133</v>
      </c>
      <c r="C128" s="380" t="s">
        <v>129</v>
      </c>
      <c r="D128" s="380" t="s">
        <v>452</v>
      </c>
      <c r="E128" s="374">
        <v>595</v>
      </c>
      <c r="F128" s="358">
        <v>4</v>
      </c>
      <c r="G128" s="359" t="s">
        <v>368</v>
      </c>
      <c r="H128" s="360">
        <v>0</v>
      </c>
      <c r="I128" s="360">
        <v>0</v>
      </c>
      <c r="J128" s="361">
        <f>3+2/3</f>
        <v>3.6666666666666665</v>
      </c>
      <c r="K128" s="360">
        <v>5</v>
      </c>
      <c r="L128" s="360">
        <v>5</v>
      </c>
      <c r="M128" s="360">
        <v>3</v>
      </c>
      <c r="N128" s="360">
        <v>5</v>
      </c>
      <c r="O128" s="360">
        <v>0</v>
      </c>
      <c r="P128" s="360">
        <v>1</v>
      </c>
      <c r="Q128" s="360">
        <v>0</v>
      </c>
      <c r="R128" s="360">
        <v>22</v>
      </c>
      <c r="S128" s="360">
        <v>88</v>
      </c>
      <c r="T128" s="360">
        <v>50</v>
      </c>
      <c r="U128" s="360">
        <v>3</v>
      </c>
      <c r="V128" s="362">
        <v>0</v>
      </c>
      <c r="W128" s="376">
        <v>1</v>
      </c>
      <c r="X128" s="376">
        <v>0</v>
      </c>
      <c r="Y128" s="376">
        <v>1</v>
      </c>
      <c r="Z128" s="376">
        <v>1</v>
      </c>
      <c r="AA128" s="376">
        <v>0</v>
      </c>
      <c r="AB128" s="377">
        <f>5+1/3</f>
        <v>5.333333333333333</v>
      </c>
      <c r="AC128" s="376">
        <v>0</v>
      </c>
      <c r="AD128" s="376">
        <v>0</v>
      </c>
      <c r="AE128" s="376">
        <v>0</v>
      </c>
      <c r="AF128" s="376">
        <v>3</v>
      </c>
      <c r="AG128" s="376">
        <v>4</v>
      </c>
      <c r="AH128" s="376">
        <v>0</v>
      </c>
      <c r="AI128" s="376">
        <v>0</v>
      </c>
      <c r="AJ128" s="376">
        <v>18</v>
      </c>
      <c r="AK128" s="376">
        <v>73</v>
      </c>
      <c r="AL128" s="376">
        <v>43</v>
      </c>
      <c r="AM128" s="363" t="s">
        <v>441</v>
      </c>
      <c r="AN128" s="364">
        <v>4</v>
      </c>
      <c r="AO128" s="364">
        <v>1</v>
      </c>
      <c r="AP128" s="364">
        <v>1</v>
      </c>
      <c r="AQ128" s="364">
        <v>0</v>
      </c>
      <c r="AR128" s="364">
        <v>1</v>
      </c>
      <c r="AS128" s="364">
        <v>0</v>
      </c>
      <c r="AT128" s="364">
        <v>0</v>
      </c>
      <c r="AU128" s="364">
        <v>0</v>
      </c>
      <c r="AV128" s="365">
        <v>1</v>
      </c>
      <c r="AW128" s="363" t="s">
        <v>402</v>
      </c>
      <c r="AX128" s="364">
        <v>2</v>
      </c>
      <c r="AY128" s="364">
        <v>1</v>
      </c>
      <c r="AZ128" s="364">
        <v>0</v>
      </c>
      <c r="BA128" s="364">
        <v>1</v>
      </c>
      <c r="BB128" s="364">
        <v>2</v>
      </c>
      <c r="BC128" s="364">
        <v>1</v>
      </c>
      <c r="BD128" s="364">
        <v>0</v>
      </c>
      <c r="BE128" s="364">
        <v>1</v>
      </c>
      <c r="BF128" s="365">
        <v>0</v>
      </c>
      <c r="BG128" s="363" t="s">
        <v>650</v>
      </c>
      <c r="BH128" s="364">
        <v>5</v>
      </c>
      <c r="BI128" s="364">
        <v>0</v>
      </c>
      <c r="BJ128" s="364">
        <v>1</v>
      </c>
      <c r="BK128" s="364">
        <v>0</v>
      </c>
      <c r="BL128" s="364">
        <v>0</v>
      </c>
      <c r="BM128" s="364">
        <v>2</v>
      </c>
      <c r="BN128" s="364">
        <v>0</v>
      </c>
      <c r="BO128" s="364">
        <v>0</v>
      </c>
      <c r="BP128" s="365">
        <v>1</v>
      </c>
      <c r="BQ128" s="363" t="s">
        <v>446</v>
      </c>
      <c r="BR128" s="364">
        <v>5</v>
      </c>
      <c r="BS128" s="364">
        <v>1</v>
      </c>
      <c r="BT128" s="364">
        <v>1</v>
      </c>
      <c r="BU128" s="364">
        <v>0</v>
      </c>
      <c r="BV128" s="364">
        <v>0</v>
      </c>
      <c r="BW128" s="364">
        <v>1</v>
      </c>
      <c r="BX128" s="364">
        <v>0</v>
      </c>
      <c r="BY128" s="364">
        <v>0</v>
      </c>
      <c r="BZ128" s="365">
        <v>1</v>
      </c>
      <c r="CA128" s="363" t="s">
        <v>448</v>
      </c>
      <c r="CB128" s="364">
        <v>2</v>
      </c>
      <c r="CC128" s="364">
        <v>0</v>
      </c>
      <c r="CD128" s="364">
        <v>0</v>
      </c>
      <c r="CE128" s="364">
        <v>1</v>
      </c>
      <c r="CF128" s="364">
        <v>1</v>
      </c>
      <c r="CG128" s="364">
        <v>2</v>
      </c>
      <c r="CH128" s="364">
        <v>0</v>
      </c>
      <c r="CI128" s="364">
        <v>1</v>
      </c>
      <c r="CJ128" s="365">
        <v>0</v>
      </c>
      <c r="CK128" s="363" t="s">
        <v>364</v>
      </c>
      <c r="CL128" s="364">
        <v>3</v>
      </c>
      <c r="CM128" s="364">
        <v>1</v>
      </c>
      <c r="CN128" s="364">
        <v>1</v>
      </c>
      <c r="CO128" s="364">
        <v>0</v>
      </c>
      <c r="CP128" s="364">
        <v>1</v>
      </c>
      <c r="CQ128" s="364">
        <v>0</v>
      </c>
      <c r="CR128" s="364">
        <v>0</v>
      </c>
      <c r="CS128" s="364">
        <v>0</v>
      </c>
      <c r="CT128" s="365">
        <v>1</v>
      </c>
      <c r="CU128" s="363" t="s">
        <v>483</v>
      </c>
      <c r="CV128" s="364">
        <v>4</v>
      </c>
      <c r="CW128" s="364">
        <v>1</v>
      </c>
      <c r="CX128" s="364">
        <v>1</v>
      </c>
      <c r="CY128" s="364">
        <v>4</v>
      </c>
      <c r="CZ128" s="364">
        <v>0</v>
      </c>
      <c r="DA128" s="364">
        <v>1</v>
      </c>
      <c r="DB128" s="364">
        <v>0</v>
      </c>
      <c r="DC128" s="364">
        <v>0</v>
      </c>
      <c r="DD128" s="365">
        <v>4</v>
      </c>
      <c r="DE128" s="363" t="s">
        <v>639</v>
      </c>
      <c r="DF128" s="364">
        <v>3</v>
      </c>
      <c r="DG128" s="364">
        <v>0</v>
      </c>
      <c r="DH128" s="364">
        <v>0</v>
      </c>
      <c r="DI128" s="364">
        <v>0</v>
      </c>
      <c r="DJ128" s="364">
        <v>1</v>
      </c>
      <c r="DK128" s="364">
        <v>2</v>
      </c>
      <c r="DL128" s="364">
        <v>0</v>
      </c>
      <c r="DM128" s="364">
        <v>0</v>
      </c>
      <c r="DN128" s="365">
        <v>0</v>
      </c>
      <c r="DO128" s="363" t="s">
        <v>442</v>
      </c>
      <c r="DP128" s="364">
        <v>2</v>
      </c>
      <c r="DQ128" s="364">
        <v>1</v>
      </c>
      <c r="DR128" s="364">
        <v>0</v>
      </c>
      <c r="DS128" s="364">
        <v>0</v>
      </c>
      <c r="DT128" s="364">
        <v>2</v>
      </c>
      <c r="DU128" s="364">
        <v>0</v>
      </c>
      <c r="DV128" s="364">
        <v>0</v>
      </c>
      <c r="DW128" s="364">
        <v>0</v>
      </c>
      <c r="DX128" s="365">
        <v>0</v>
      </c>
      <c r="DY128" s="366">
        <v>0</v>
      </c>
      <c r="DZ128" s="367">
        <v>0</v>
      </c>
      <c r="EA128" s="367">
        <v>0</v>
      </c>
      <c r="EB128" s="368">
        <v>9</v>
      </c>
      <c r="EC128" s="367">
        <v>1</v>
      </c>
      <c r="ED128" s="369">
        <v>0</v>
      </c>
      <c r="EE128" s="370">
        <v>5</v>
      </c>
      <c r="EF128" s="367">
        <v>1</v>
      </c>
      <c r="EG128" s="367">
        <v>0</v>
      </c>
      <c r="EH128" s="367">
        <v>0</v>
      </c>
      <c r="EI128" s="367">
        <v>0</v>
      </c>
      <c r="EJ128" s="367">
        <v>0</v>
      </c>
      <c r="EK128" s="367">
        <v>0</v>
      </c>
      <c r="EL128" s="367">
        <v>0</v>
      </c>
      <c r="EM128" s="367">
        <v>0</v>
      </c>
      <c r="EN128" s="367"/>
      <c r="EO128" s="367"/>
      <c r="EP128" s="367"/>
      <c r="EQ128" s="367"/>
      <c r="ER128" s="367"/>
      <c r="ES128" s="367"/>
      <c r="ET128" s="369">
        <f t="shared" si="32"/>
        <v>6</v>
      </c>
      <c r="EU128" s="367">
        <v>0</v>
      </c>
      <c r="EV128" s="367">
        <v>0</v>
      </c>
      <c r="EW128" s="367">
        <v>2</v>
      </c>
      <c r="EX128" s="367">
        <v>3</v>
      </c>
      <c r="EY128" s="367">
        <v>0</v>
      </c>
      <c r="EZ128" s="367">
        <v>0</v>
      </c>
      <c r="FA128" s="367">
        <v>0</v>
      </c>
      <c r="FB128" s="367">
        <v>0</v>
      </c>
      <c r="FC128" s="367">
        <v>0</v>
      </c>
      <c r="FD128" s="367"/>
      <c r="FE128" s="367"/>
      <c r="FF128" s="367"/>
      <c r="FG128" s="367"/>
      <c r="FH128" s="367"/>
      <c r="FI128" s="367"/>
      <c r="FJ128" s="367">
        <f t="shared" si="33"/>
        <v>5</v>
      </c>
      <c r="FK128" s="371">
        <f t="shared" si="34"/>
        <v>0</v>
      </c>
      <c r="FL128" s="371">
        <f t="shared" si="35"/>
        <v>0</v>
      </c>
      <c r="FM128" s="372"/>
    </row>
    <row r="129" spans="1:169" x14ac:dyDescent="0.25">
      <c r="A129" s="380">
        <v>40414</v>
      </c>
      <c r="B129" s="380" t="s">
        <v>133</v>
      </c>
      <c r="C129" s="380" t="s">
        <v>129</v>
      </c>
      <c r="D129" s="380" t="s">
        <v>452</v>
      </c>
      <c r="E129" s="374">
        <v>828</v>
      </c>
      <c r="F129" s="358">
        <v>5</v>
      </c>
      <c r="G129" s="359" t="s">
        <v>424</v>
      </c>
      <c r="H129" s="360">
        <v>1</v>
      </c>
      <c r="I129" s="360">
        <v>0</v>
      </c>
      <c r="J129" s="361">
        <v>6</v>
      </c>
      <c r="K129" s="360">
        <v>2</v>
      </c>
      <c r="L129" s="360">
        <v>0</v>
      </c>
      <c r="M129" s="360">
        <v>0</v>
      </c>
      <c r="N129" s="360">
        <v>4</v>
      </c>
      <c r="O129" s="360">
        <v>7</v>
      </c>
      <c r="P129" s="360">
        <v>0</v>
      </c>
      <c r="Q129" s="360">
        <v>0</v>
      </c>
      <c r="R129" s="360">
        <v>23</v>
      </c>
      <c r="S129" s="360">
        <v>89</v>
      </c>
      <c r="T129" s="360">
        <v>50</v>
      </c>
      <c r="U129" s="360">
        <v>0</v>
      </c>
      <c r="V129" s="362">
        <v>0</v>
      </c>
      <c r="W129" s="376">
        <v>0</v>
      </c>
      <c r="X129" s="376">
        <v>0</v>
      </c>
      <c r="Y129" s="376">
        <v>0</v>
      </c>
      <c r="Z129" s="376">
        <v>0</v>
      </c>
      <c r="AA129" s="376">
        <v>0</v>
      </c>
      <c r="AB129" s="377">
        <v>3</v>
      </c>
      <c r="AC129" s="376">
        <v>2</v>
      </c>
      <c r="AD129" s="376">
        <v>0</v>
      </c>
      <c r="AE129" s="376">
        <v>0</v>
      </c>
      <c r="AF129" s="376">
        <v>2</v>
      </c>
      <c r="AG129" s="376">
        <v>1</v>
      </c>
      <c r="AH129" s="376">
        <v>0</v>
      </c>
      <c r="AI129" s="376">
        <v>0</v>
      </c>
      <c r="AJ129" s="376">
        <v>13</v>
      </c>
      <c r="AK129" s="376">
        <v>53</v>
      </c>
      <c r="AL129" s="376">
        <v>31</v>
      </c>
      <c r="AM129" s="363" t="s">
        <v>441</v>
      </c>
      <c r="AN129" s="364">
        <v>4</v>
      </c>
      <c r="AO129" s="364">
        <v>0</v>
      </c>
      <c r="AP129" s="364">
        <v>0</v>
      </c>
      <c r="AQ129" s="364">
        <v>0</v>
      </c>
      <c r="AR129" s="364">
        <v>0</v>
      </c>
      <c r="AS129" s="364">
        <v>2</v>
      </c>
      <c r="AT129" s="364">
        <v>0</v>
      </c>
      <c r="AU129" s="364">
        <v>0</v>
      </c>
      <c r="AV129" s="365">
        <v>0</v>
      </c>
      <c r="AW129" s="363" t="s">
        <v>402</v>
      </c>
      <c r="AX129" s="364">
        <v>5</v>
      </c>
      <c r="AY129" s="364">
        <v>0</v>
      </c>
      <c r="AZ129" s="364">
        <v>2</v>
      </c>
      <c r="BA129" s="364">
        <v>0</v>
      </c>
      <c r="BB129" s="364">
        <v>0</v>
      </c>
      <c r="BC129" s="364">
        <v>1</v>
      </c>
      <c r="BD129" s="364">
        <v>0</v>
      </c>
      <c r="BE129" s="364">
        <v>0</v>
      </c>
      <c r="BF129" s="365">
        <v>2</v>
      </c>
      <c r="BG129" s="363" t="s">
        <v>650</v>
      </c>
      <c r="BH129" s="364">
        <v>5</v>
      </c>
      <c r="BI129" s="364">
        <v>0</v>
      </c>
      <c r="BJ129" s="364">
        <v>0</v>
      </c>
      <c r="BK129" s="364">
        <v>0</v>
      </c>
      <c r="BL129" s="364">
        <v>0</v>
      </c>
      <c r="BM129" s="364">
        <v>0</v>
      </c>
      <c r="BN129" s="364">
        <v>0</v>
      </c>
      <c r="BO129" s="364">
        <v>0</v>
      </c>
      <c r="BP129" s="365">
        <v>0</v>
      </c>
      <c r="BQ129" s="363" t="s">
        <v>446</v>
      </c>
      <c r="BR129" s="364">
        <v>3</v>
      </c>
      <c r="BS129" s="364">
        <v>1</v>
      </c>
      <c r="BT129" s="364">
        <v>1</v>
      </c>
      <c r="BU129" s="364">
        <v>0</v>
      </c>
      <c r="BV129" s="364">
        <v>2</v>
      </c>
      <c r="BW129" s="364">
        <v>0</v>
      </c>
      <c r="BX129" s="364">
        <v>0</v>
      </c>
      <c r="BY129" s="364">
        <v>0</v>
      </c>
      <c r="BZ129" s="365">
        <v>1</v>
      </c>
      <c r="CA129" s="363" t="s">
        <v>448</v>
      </c>
      <c r="CB129" s="364">
        <v>4</v>
      </c>
      <c r="CC129" s="364">
        <v>2</v>
      </c>
      <c r="CD129" s="364">
        <v>2</v>
      </c>
      <c r="CE129" s="364">
        <v>0</v>
      </c>
      <c r="CF129" s="364">
        <v>0</v>
      </c>
      <c r="CG129" s="364">
        <v>1</v>
      </c>
      <c r="CH129" s="364">
        <v>0</v>
      </c>
      <c r="CI129" s="364">
        <v>0</v>
      </c>
      <c r="CJ129" s="365">
        <v>3</v>
      </c>
      <c r="CK129" s="363" t="s">
        <v>496</v>
      </c>
      <c r="CL129" s="364">
        <v>3</v>
      </c>
      <c r="CM129" s="364">
        <v>1</v>
      </c>
      <c r="CN129" s="364">
        <v>1</v>
      </c>
      <c r="CO129" s="364">
        <v>1</v>
      </c>
      <c r="CP129" s="364">
        <v>1</v>
      </c>
      <c r="CQ129" s="364">
        <v>1</v>
      </c>
      <c r="CR129" s="364">
        <v>0</v>
      </c>
      <c r="CS129" s="364">
        <v>0</v>
      </c>
      <c r="CT129" s="365">
        <v>1</v>
      </c>
      <c r="CU129" s="363" t="s">
        <v>364</v>
      </c>
      <c r="CV129" s="364">
        <v>4</v>
      </c>
      <c r="CW129" s="364">
        <v>2</v>
      </c>
      <c r="CX129" s="364">
        <v>2</v>
      </c>
      <c r="CY129" s="364">
        <v>2</v>
      </c>
      <c r="CZ129" s="364">
        <v>0</v>
      </c>
      <c r="DA129" s="364">
        <v>1</v>
      </c>
      <c r="DB129" s="364">
        <v>0</v>
      </c>
      <c r="DC129" s="364">
        <v>0</v>
      </c>
      <c r="DD129" s="365">
        <v>5</v>
      </c>
      <c r="DE129" s="363" t="s">
        <v>483</v>
      </c>
      <c r="DF129" s="364">
        <v>4</v>
      </c>
      <c r="DG129" s="364">
        <v>0</v>
      </c>
      <c r="DH129" s="364">
        <v>1</v>
      </c>
      <c r="DI129" s="364">
        <v>1</v>
      </c>
      <c r="DJ129" s="364">
        <v>0</v>
      </c>
      <c r="DK129" s="364">
        <v>0</v>
      </c>
      <c r="DL129" s="364">
        <v>0</v>
      </c>
      <c r="DM129" s="364">
        <v>0</v>
      </c>
      <c r="DN129" s="365">
        <v>2</v>
      </c>
      <c r="DO129" s="363" t="s">
        <v>639</v>
      </c>
      <c r="DP129" s="364">
        <v>4</v>
      </c>
      <c r="DQ129" s="364">
        <v>1</v>
      </c>
      <c r="DR129" s="364">
        <v>1</v>
      </c>
      <c r="DS129" s="364">
        <v>3</v>
      </c>
      <c r="DT129" s="364">
        <v>0</v>
      </c>
      <c r="DU129" s="364">
        <v>1</v>
      </c>
      <c r="DV129" s="364">
        <v>0</v>
      </c>
      <c r="DW129" s="364">
        <v>0</v>
      </c>
      <c r="DX129" s="365">
        <v>4</v>
      </c>
      <c r="DY129" s="366">
        <v>0</v>
      </c>
      <c r="DZ129" s="367">
        <v>0</v>
      </c>
      <c r="EA129" s="367">
        <v>0</v>
      </c>
      <c r="EB129" s="368">
        <v>9</v>
      </c>
      <c r="EC129" s="367">
        <v>0</v>
      </c>
      <c r="ED129" s="369">
        <v>0</v>
      </c>
      <c r="EE129" s="370">
        <v>0</v>
      </c>
      <c r="EF129" s="367">
        <v>0</v>
      </c>
      <c r="EG129" s="367">
        <v>0</v>
      </c>
      <c r="EH129" s="367">
        <v>2</v>
      </c>
      <c r="EI129" s="367">
        <v>0</v>
      </c>
      <c r="EJ129" s="367">
        <v>4</v>
      </c>
      <c r="EK129" s="367">
        <v>0</v>
      </c>
      <c r="EL129" s="367">
        <v>1</v>
      </c>
      <c r="EM129" s="367">
        <v>0</v>
      </c>
      <c r="EN129" s="367"/>
      <c r="EO129" s="367"/>
      <c r="EP129" s="367"/>
      <c r="EQ129" s="367"/>
      <c r="ER129" s="367"/>
      <c r="ES129" s="367"/>
      <c r="ET129" s="369">
        <f t="shared" si="32"/>
        <v>7</v>
      </c>
      <c r="EU129" s="367">
        <v>0</v>
      </c>
      <c r="EV129" s="367">
        <v>0</v>
      </c>
      <c r="EW129" s="367">
        <v>0</v>
      </c>
      <c r="EX129" s="367">
        <v>0</v>
      </c>
      <c r="EY129" s="367">
        <v>0</v>
      </c>
      <c r="EZ129" s="367">
        <v>0</v>
      </c>
      <c r="FA129" s="367">
        <v>0</v>
      </c>
      <c r="FB129" s="367">
        <v>0</v>
      </c>
      <c r="FC129" s="367">
        <v>0</v>
      </c>
      <c r="FD129" s="367"/>
      <c r="FE129" s="367"/>
      <c r="FF129" s="367"/>
      <c r="FG129" s="367"/>
      <c r="FH129" s="367"/>
      <c r="FI129" s="367"/>
      <c r="FJ129" s="367">
        <f t="shared" si="33"/>
        <v>0</v>
      </c>
      <c r="FK129" s="371">
        <f t="shared" si="34"/>
        <v>0</v>
      </c>
      <c r="FL129" s="371">
        <f t="shared" si="35"/>
        <v>0</v>
      </c>
      <c r="FM129" s="372"/>
    </row>
    <row r="130" spans="1:169" x14ac:dyDescent="0.25">
      <c r="A130" s="380">
        <v>40415</v>
      </c>
      <c r="B130" s="380" t="s">
        <v>133</v>
      </c>
      <c r="C130" s="380" t="s">
        <v>131</v>
      </c>
      <c r="D130" s="380" t="s">
        <v>452</v>
      </c>
      <c r="E130" s="374">
        <v>504</v>
      </c>
      <c r="F130" s="358">
        <v>1</v>
      </c>
      <c r="G130" s="359" t="s">
        <v>470</v>
      </c>
      <c r="H130" s="360">
        <v>0</v>
      </c>
      <c r="I130" s="360">
        <v>1</v>
      </c>
      <c r="J130" s="361">
        <v>6</v>
      </c>
      <c r="K130" s="360">
        <v>5</v>
      </c>
      <c r="L130" s="360">
        <v>4</v>
      </c>
      <c r="M130" s="360">
        <v>4</v>
      </c>
      <c r="N130" s="360">
        <v>2</v>
      </c>
      <c r="O130" s="360">
        <v>13</v>
      </c>
      <c r="P130" s="360">
        <v>0</v>
      </c>
      <c r="Q130" s="360">
        <v>1</v>
      </c>
      <c r="R130" s="360">
        <v>26</v>
      </c>
      <c r="S130" s="360">
        <v>99</v>
      </c>
      <c r="T130" s="360">
        <v>63</v>
      </c>
      <c r="U130" s="360">
        <v>0</v>
      </c>
      <c r="V130" s="362">
        <v>0</v>
      </c>
      <c r="W130" s="376">
        <v>0</v>
      </c>
      <c r="X130" s="376">
        <v>0</v>
      </c>
      <c r="Y130" s="376">
        <v>0</v>
      </c>
      <c r="Z130" s="376">
        <v>0</v>
      </c>
      <c r="AA130" s="376">
        <v>0</v>
      </c>
      <c r="AB130" s="377">
        <v>2</v>
      </c>
      <c r="AC130" s="376">
        <v>2</v>
      </c>
      <c r="AD130" s="376">
        <v>1</v>
      </c>
      <c r="AE130" s="376">
        <v>1</v>
      </c>
      <c r="AF130" s="376">
        <v>0</v>
      </c>
      <c r="AG130" s="376">
        <v>1</v>
      </c>
      <c r="AH130" s="376">
        <v>0</v>
      </c>
      <c r="AI130" s="376">
        <v>0</v>
      </c>
      <c r="AJ130" s="376">
        <v>8</v>
      </c>
      <c r="AK130" s="376">
        <v>27</v>
      </c>
      <c r="AL130" s="376">
        <v>18</v>
      </c>
      <c r="AM130" s="363" t="s">
        <v>441</v>
      </c>
      <c r="AN130" s="364">
        <v>5</v>
      </c>
      <c r="AO130" s="364">
        <v>0</v>
      </c>
      <c r="AP130" s="364">
        <v>0</v>
      </c>
      <c r="AQ130" s="364">
        <v>0</v>
      </c>
      <c r="AR130" s="364">
        <v>0</v>
      </c>
      <c r="AS130" s="364">
        <v>0</v>
      </c>
      <c r="AT130" s="364">
        <v>0</v>
      </c>
      <c r="AU130" s="364">
        <v>0</v>
      </c>
      <c r="AV130" s="365">
        <v>0</v>
      </c>
      <c r="AW130" s="363" t="s">
        <v>402</v>
      </c>
      <c r="AX130" s="364">
        <v>4</v>
      </c>
      <c r="AY130" s="364">
        <v>1</v>
      </c>
      <c r="AZ130" s="364">
        <v>3</v>
      </c>
      <c r="BA130" s="364">
        <v>0</v>
      </c>
      <c r="BB130" s="364">
        <v>0</v>
      </c>
      <c r="BC130" s="364">
        <v>0</v>
      </c>
      <c r="BD130" s="364">
        <v>1</v>
      </c>
      <c r="BE130" s="364">
        <v>0</v>
      </c>
      <c r="BF130" s="365">
        <v>3</v>
      </c>
      <c r="BG130" s="363" t="s">
        <v>448</v>
      </c>
      <c r="BH130" s="364">
        <v>5</v>
      </c>
      <c r="BI130" s="364">
        <v>1</v>
      </c>
      <c r="BJ130" s="364">
        <v>1</v>
      </c>
      <c r="BK130" s="364">
        <v>0</v>
      </c>
      <c r="BL130" s="364">
        <v>0</v>
      </c>
      <c r="BM130" s="364">
        <v>1</v>
      </c>
      <c r="BN130" s="364">
        <v>0</v>
      </c>
      <c r="BO130" s="364">
        <v>0</v>
      </c>
      <c r="BP130" s="365">
        <v>1</v>
      </c>
      <c r="BQ130" s="363" t="s">
        <v>496</v>
      </c>
      <c r="BR130" s="364">
        <v>5</v>
      </c>
      <c r="BS130" s="364">
        <v>0</v>
      </c>
      <c r="BT130" s="364">
        <v>1</v>
      </c>
      <c r="BU130" s="364">
        <v>0</v>
      </c>
      <c r="BV130" s="364">
        <v>0</v>
      </c>
      <c r="BW130" s="364">
        <v>4</v>
      </c>
      <c r="BX130" s="364">
        <v>0</v>
      </c>
      <c r="BY130" s="364">
        <v>0</v>
      </c>
      <c r="BZ130" s="365">
        <v>1</v>
      </c>
      <c r="CA130" s="363" t="s">
        <v>650</v>
      </c>
      <c r="CB130" s="364">
        <v>5</v>
      </c>
      <c r="CC130" s="364">
        <v>1</v>
      </c>
      <c r="CD130" s="364">
        <v>2</v>
      </c>
      <c r="CE130" s="364">
        <v>0</v>
      </c>
      <c r="CF130" s="364">
        <v>0</v>
      </c>
      <c r="CG130" s="364">
        <v>0</v>
      </c>
      <c r="CH130" s="364">
        <v>0</v>
      </c>
      <c r="CI130" s="364">
        <v>0</v>
      </c>
      <c r="CJ130" s="365">
        <v>2</v>
      </c>
      <c r="CK130" s="363" t="s">
        <v>364</v>
      </c>
      <c r="CL130" s="364">
        <v>2</v>
      </c>
      <c r="CM130" s="364">
        <v>0</v>
      </c>
      <c r="CN130" s="364">
        <v>0</v>
      </c>
      <c r="CO130" s="364">
        <v>1</v>
      </c>
      <c r="CP130" s="364">
        <v>3</v>
      </c>
      <c r="CQ130" s="364">
        <v>2</v>
      </c>
      <c r="CR130" s="364">
        <v>0</v>
      </c>
      <c r="CS130" s="364">
        <v>0</v>
      </c>
      <c r="CT130" s="365">
        <v>0</v>
      </c>
      <c r="CU130" s="363" t="s">
        <v>483</v>
      </c>
      <c r="CV130" s="364">
        <v>3</v>
      </c>
      <c r="CW130" s="364">
        <v>0</v>
      </c>
      <c r="CX130" s="364">
        <v>0</v>
      </c>
      <c r="CY130" s="364">
        <v>1</v>
      </c>
      <c r="CZ130" s="364">
        <v>2</v>
      </c>
      <c r="DA130" s="364">
        <v>3</v>
      </c>
      <c r="DB130" s="364">
        <v>0</v>
      </c>
      <c r="DC130" s="364">
        <v>0</v>
      </c>
      <c r="DD130" s="365">
        <v>0</v>
      </c>
      <c r="DE130" s="363" t="s">
        <v>639</v>
      </c>
      <c r="DF130" s="364">
        <v>4</v>
      </c>
      <c r="DG130" s="364">
        <v>0</v>
      </c>
      <c r="DH130" s="364">
        <v>1</v>
      </c>
      <c r="DI130" s="364">
        <v>1</v>
      </c>
      <c r="DJ130" s="364">
        <v>1</v>
      </c>
      <c r="DK130" s="364">
        <v>1</v>
      </c>
      <c r="DL130" s="364">
        <v>0</v>
      </c>
      <c r="DM130" s="364">
        <v>0</v>
      </c>
      <c r="DN130" s="365">
        <v>1</v>
      </c>
      <c r="DO130" s="363" t="s">
        <v>442</v>
      </c>
      <c r="DP130" s="364">
        <v>4</v>
      </c>
      <c r="DQ130" s="364">
        <v>0</v>
      </c>
      <c r="DR130" s="364">
        <v>0</v>
      </c>
      <c r="DS130" s="364">
        <v>0</v>
      </c>
      <c r="DT130" s="364">
        <v>0</v>
      </c>
      <c r="DU130" s="364">
        <v>2</v>
      </c>
      <c r="DV130" s="364">
        <v>0</v>
      </c>
      <c r="DW130" s="364">
        <v>0</v>
      </c>
      <c r="DX130" s="365">
        <v>0</v>
      </c>
      <c r="DY130" s="366">
        <v>2</v>
      </c>
      <c r="DZ130" s="367">
        <v>0</v>
      </c>
      <c r="EA130" s="367">
        <v>0</v>
      </c>
      <c r="EB130" s="368">
        <v>7</v>
      </c>
      <c r="EC130" s="367">
        <v>2</v>
      </c>
      <c r="ED130" s="369">
        <v>0</v>
      </c>
      <c r="EE130" s="370">
        <v>0</v>
      </c>
      <c r="EF130" s="367">
        <v>0</v>
      </c>
      <c r="EG130" s="367">
        <v>2</v>
      </c>
      <c r="EH130" s="367">
        <v>0</v>
      </c>
      <c r="EI130" s="367">
        <v>1</v>
      </c>
      <c r="EJ130" s="367">
        <v>0</v>
      </c>
      <c r="EK130" s="367">
        <v>0</v>
      </c>
      <c r="EL130" s="367">
        <v>0</v>
      </c>
      <c r="EM130" s="367">
        <v>0</v>
      </c>
      <c r="EN130" s="367"/>
      <c r="EO130" s="367"/>
      <c r="EP130" s="367"/>
      <c r="EQ130" s="367"/>
      <c r="ER130" s="367"/>
      <c r="ES130" s="367"/>
      <c r="ET130" s="369">
        <f t="shared" si="32"/>
        <v>3</v>
      </c>
      <c r="EU130" s="367">
        <v>3</v>
      </c>
      <c r="EV130" s="367">
        <v>0</v>
      </c>
      <c r="EW130" s="367">
        <v>0</v>
      </c>
      <c r="EX130" s="367">
        <v>0</v>
      </c>
      <c r="EY130" s="367">
        <v>0</v>
      </c>
      <c r="EZ130" s="367">
        <v>1</v>
      </c>
      <c r="FA130" s="367">
        <v>0</v>
      </c>
      <c r="FB130" s="367">
        <v>1</v>
      </c>
      <c r="FC130" s="367"/>
      <c r="FD130" s="367"/>
      <c r="FE130" s="367"/>
      <c r="FF130" s="367"/>
      <c r="FG130" s="367"/>
      <c r="FH130" s="367"/>
      <c r="FI130" s="367"/>
      <c r="FJ130" s="367">
        <f t="shared" si="33"/>
        <v>5</v>
      </c>
      <c r="FK130" s="371">
        <f t="shared" si="34"/>
        <v>0</v>
      </c>
      <c r="FL130" s="371">
        <f t="shared" si="35"/>
        <v>0</v>
      </c>
      <c r="FM130" s="372"/>
    </row>
    <row r="131" spans="1:169" x14ac:dyDescent="0.25">
      <c r="A131" s="380">
        <v>40416</v>
      </c>
      <c r="B131" s="380" t="s">
        <v>19</v>
      </c>
      <c r="C131" s="380" t="s">
        <v>129</v>
      </c>
      <c r="D131" s="380" t="s">
        <v>380</v>
      </c>
      <c r="E131" s="374">
        <v>3110</v>
      </c>
      <c r="F131" s="358">
        <v>2</v>
      </c>
      <c r="G131" s="359" t="s">
        <v>670</v>
      </c>
      <c r="H131" s="360">
        <v>0</v>
      </c>
      <c r="I131" s="360">
        <v>0</v>
      </c>
      <c r="J131" s="361">
        <v>4</v>
      </c>
      <c r="K131" s="360">
        <v>1</v>
      </c>
      <c r="L131" s="360">
        <v>0</v>
      </c>
      <c r="M131" s="360">
        <v>0</v>
      </c>
      <c r="N131" s="360">
        <v>2</v>
      </c>
      <c r="O131" s="360">
        <v>2</v>
      </c>
      <c r="P131" s="360">
        <v>0</v>
      </c>
      <c r="Q131" s="360">
        <v>0</v>
      </c>
      <c r="R131" s="360">
        <v>15</v>
      </c>
      <c r="S131" s="360">
        <v>25</v>
      </c>
      <c r="T131" s="360">
        <v>17</v>
      </c>
      <c r="U131" s="360">
        <v>1</v>
      </c>
      <c r="V131" s="362">
        <v>0</v>
      </c>
      <c r="W131" s="376">
        <v>1</v>
      </c>
      <c r="X131" s="376">
        <v>0</v>
      </c>
      <c r="Y131" s="376">
        <v>0</v>
      </c>
      <c r="Z131" s="376">
        <v>1</v>
      </c>
      <c r="AA131" s="376">
        <v>0</v>
      </c>
      <c r="AB131" s="377">
        <v>5</v>
      </c>
      <c r="AC131" s="376">
        <v>3</v>
      </c>
      <c r="AD131" s="376">
        <v>0</v>
      </c>
      <c r="AE131" s="376">
        <v>0</v>
      </c>
      <c r="AF131" s="376">
        <v>1</v>
      </c>
      <c r="AG131" s="376">
        <v>5</v>
      </c>
      <c r="AH131" s="376">
        <v>0</v>
      </c>
      <c r="AI131" s="376">
        <v>0</v>
      </c>
      <c r="AJ131" s="376">
        <v>17</v>
      </c>
      <c r="AK131" s="376">
        <v>51</v>
      </c>
      <c r="AL131" s="376">
        <v>34</v>
      </c>
      <c r="AM131" s="363" t="s">
        <v>441</v>
      </c>
      <c r="AN131" s="364">
        <v>4</v>
      </c>
      <c r="AO131" s="364">
        <v>0</v>
      </c>
      <c r="AP131" s="364">
        <v>0</v>
      </c>
      <c r="AQ131" s="364">
        <v>0</v>
      </c>
      <c r="AR131" s="364">
        <v>0</v>
      </c>
      <c r="AS131" s="364">
        <v>2</v>
      </c>
      <c r="AT131" s="364">
        <v>0</v>
      </c>
      <c r="AU131" s="364">
        <v>0</v>
      </c>
      <c r="AV131" s="365">
        <v>0</v>
      </c>
      <c r="AW131" s="363" t="s">
        <v>402</v>
      </c>
      <c r="AX131" s="364">
        <v>4</v>
      </c>
      <c r="AY131" s="364">
        <v>0</v>
      </c>
      <c r="AZ131" s="364">
        <v>0</v>
      </c>
      <c r="BA131" s="364">
        <v>0</v>
      </c>
      <c r="BB131" s="364">
        <v>0</v>
      </c>
      <c r="BC131" s="364">
        <v>0</v>
      </c>
      <c r="BD131" s="364">
        <v>0</v>
      </c>
      <c r="BE131" s="364">
        <v>0</v>
      </c>
      <c r="BF131" s="365">
        <v>0</v>
      </c>
      <c r="BG131" s="363" t="s">
        <v>650</v>
      </c>
      <c r="BH131" s="364">
        <v>4</v>
      </c>
      <c r="BI131" s="364">
        <v>1</v>
      </c>
      <c r="BJ131" s="364">
        <v>4</v>
      </c>
      <c r="BK131" s="364">
        <v>0</v>
      </c>
      <c r="BL131" s="364">
        <v>0</v>
      </c>
      <c r="BM131" s="364">
        <v>0</v>
      </c>
      <c r="BN131" s="364">
        <v>0</v>
      </c>
      <c r="BO131" s="364">
        <v>0</v>
      </c>
      <c r="BP131" s="365">
        <v>4</v>
      </c>
      <c r="BQ131" s="363" t="s">
        <v>446</v>
      </c>
      <c r="BR131" s="364">
        <v>3</v>
      </c>
      <c r="BS131" s="364">
        <v>0</v>
      </c>
      <c r="BT131" s="364">
        <v>1</v>
      </c>
      <c r="BU131" s="364">
        <v>0</v>
      </c>
      <c r="BV131" s="364">
        <v>1</v>
      </c>
      <c r="BW131" s="364">
        <v>2</v>
      </c>
      <c r="BX131" s="364">
        <v>0</v>
      </c>
      <c r="BY131" s="364">
        <v>0</v>
      </c>
      <c r="BZ131" s="365">
        <v>1</v>
      </c>
      <c r="CA131" s="363" t="s">
        <v>448</v>
      </c>
      <c r="CB131" s="364">
        <v>4</v>
      </c>
      <c r="CC131" s="364">
        <v>1</v>
      </c>
      <c r="CD131" s="364">
        <v>1</v>
      </c>
      <c r="CE131" s="364">
        <v>0</v>
      </c>
      <c r="CF131" s="364">
        <v>0</v>
      </c>
      <c r="CG131" s="364">
        <v>3</v>
      </c>
      <c r="CH131" s="364">
        <v>0</v>
      </c>
      <c r="CI131" s="364">
        <v>0</v>
      </c>
      <c r="CJ131" s="365">
        <v>1</v>
      </c>
      <c r="CK131" s="363" t="s">
        <v>496</v>
      </c>
      <c r="CL131" s="364">
        <v>4</v>
      </c>
      <c r="CM131" s="364">
        <v>0</v>
      </c>
      <c r="CN131" s="364">
        <v>2</v>
      </c>
      <c r="CO131" s="364">
        <v>0</v>
      </c>
      <c r="CP131" s="364">
        <v>0</v>
      </c>
      <c r="CQ131" s="364">
        <v>0</v>
      </c>
      <c r="CR131" s="364">
        <v>0</v>
      </c>
      <c r="CS131" s="364">
        <v>0</v>
      </c>
      <c r="CT131" s="365">
        <v>2</v>
      </c>
      <c r="CU131" s="363" t="s">
        <v>366</v>
      </c>
      <c r="CV131" s="364">
        <v>3</v>
      </c>
      <c r="CW131" s="364">
        <v>0</v>
      </c>
      <c r="CX131" s="364">
        <v>0</v>
      </c>
      <c r="CY131" s="364">
        <v>0</v>
      </c>
      <c r="CZ131" s="364">
        <v>0</v>
      </c>
      <c r="DA131" s="364">
        <v>2</v>
      </c>
      <c r="DB131" s="364">
        <v>0</v>
      </c>
      <c r="DC131" s="364">
        <v>0</v>
      </c>
      <c r="DD131" s="365">
        <v>0</v>
      </c>
      <c r="DE131" s="363" t="s">
        <v>639</v>
      </c>
      <c r="DF131" s="364">
        <v>2</v>
      </c>
      <c r="DG131" s="364">
        <v>0</v>
      </c>
      <c r="DH131" s="364">
        <v>1</v>
      </c>
      <c r="DI131" s="364">
        <v>2</v>
      </c>
      <c r="DJ131" s="364">
        <v>1</v>
      </c>
      <c r="DK131" s="364">
        <v>0</v>
      </c>
      <c r="DL131" s="364">
        <v>0</v>
      </c>
      <c r="DM131" s="364">
        <v>0</v>
      </c>
      <c r="DN131" s="365">
        <v>1</v>
      </c>
      <c r="DO131" s="363" t="s">
        <v>442</v>
      </c>
      <c r="DP131" s="364">
        <v>2</v>
      </c>
      <c r="DQ131" s="364">
        <v>0</v>
      </c>
      <c r="DR131" s="364">
        <v>0</v>
      </c>
      <c r="DS131" s="364">
        <v>0</v>
      </c>
      <c r="DT131" s="364">
        <v>1</v>
      </c>
      <c r="DU131" s="364">
        <v>0</v>
      </c>
      <c r="DV131" s="364">
        <v>0</v>
      </c>
      <c r="DW131" s="364">
        <v>0</v>
      </c>
      <c r="DX131" s="365">
        <v>0</v>
      </c>
      <c r="DY131" s="366">
        <f>2+1/3</f>
        <v>2.3333333333333335</v>
      </c>
      <c r="DZ131" s="367">
        <v>1</v>
      </c>
      <c r="EA131" s="367">
        <v>1</v>
      </c>
      <c r="EB131" s="368">
        <f>5+2/3</f>
        <v>5.666666666666667</v>
      </c>
      <c r="EC131" s="367">
        <v>0</v>
      </c>
      <c r="ED131" s="369">
        <v>0</v>
      </c>
      <c r="EE131" s="370">
        <v>0</v>
      </c>
      <c r="EF131" s="367">
        <v>0</v>
      </c>
      <c r="EG131" s="367">
        <v>0</v>
      </c>
      <c r="EH131" s="367">
        <v>2</v>
      </c>
      <c r="EI131" s="367">
        <v>0</v>
      </c>
      <c r="EJ131" s="367">
        <v>0</v>
      </c>
      <c r="EK131" s="367">
        <v>0</v>
      </c>
      <c r="EL131" s="367">
        <v>0</v>
      </c>
      <c r="EM131" s="367"/>
      <c r="EN131" s="367"/>
      <c r="EO131" s="367"/>
      <c r="EP131" s="367"/>
      <c r="EQ131" s="367"/>
      <c r="ER131" s="367"/>
      <c r="ES131" s="367"/>
      <c r="ET131" s="369">
        <f t="shared" si="32"/>
        <v>2</v>
      </c>
      <c r="EU131" s="367">
        <v>0</v>
      </c>
      <c r="EV131" s="367">
        <v>0</v>
      </c>
      <c r="EW131" s="367">
        <v>0</v>
      </c>
      <c r="EX131" s="367">
        <v>0</v>
      </c>
      <c r="EY131" s="367">
        <v>0</v>
      </c>
      <c r="EZ131" s="367">
        <v>0</v>
      </c>
      <c r="FA131" s="367">
        <v>0</v>
      </c>
      <c r="FB131" s="367">
        <v>0</v>
      </c>
      <c r="FC131" s="367">
        <v>0</v>
      </c>
      <c r="FD131" s="367"/>
      <c r="FE131" s="367"/>
      <c r="FF131" s="367"/>
      <c r="FG131" s="367"/>
      <c r="FH131" s="367"/>
      <c r="FI131" s="367"/>
      <c r="FJ131" s="367">
        <f t="shared" si="33"/>
        <v>0</v>
      </c>
      <c r="FK131" s="371">
        <f t="shared" si="34"/>
        <v>0</v>
      </c>
      <c r="FL131" s="371">
        <f t="shared" si="35"/>
        <v>0</v>
      </c>
      <c r="FM131" s="372"/>
    </row>
    <row r="132" spans="1:169" x14ac:dyDescent="0.25">
      <c r="A132" s="380">
        <v>40417</v>
      </c>
      <c r="B132" s="380" t="s">
        <v>19</v>
      </c>
      <c r="C132" s="380" t="s">
        <v>129</v>
      </c>
      <c r="D132" s="380" t="s">
        <v>380</v>
      </c>
      <c r="E132" s="374">
        <v>6455</v>
      </c>
      <c r="F132" s="358">
        <v>3</v>
      </c>
      <c r="G132" s="359" t="s">
        <v>669</v>
      </c>
      <c r="H132" s="360">
        <v>0</v>
      </c>
      <c r="I132" s="360">
        <v>0</v>
      </c>
      <c r="J132" s="361">
        <v>4</v>
      </c>
      <c r="K132" s="360">
        <v>7</v>
      </c>
      <c r="L132" s="360">
        <v>3</v>
      </c>
      <c r="M132" s="360">
        <v>3</v>
      </c>
      <c r="N132" s="360">
        <v>1</v>
      </c>
      <c r="O132" s="360">
        <v>4</v>
      </c>
      <c r="P132" s="360">
        <v>0</v>
      </c>
      <c r="Q132" s="360">
        <v>0</v>
      </c>
      <c r="R132" s="360">
        <v>20</v>
      </c>
      <c r="S132" s="360">
        <v>67</v>
      </c>
      <c r="T132" s="360">
        <v>44</v>
      </c>
      <c r="U132" s="360">
        <v>0</v>
      </c>
      <c r="V132" s="362">
        <v>0</v>
      </c>
      <c r="W132" s="376">
        <v>1</v>
      </c>
      <c r="X132" s="376">
        <v>0</v>
      </c>
      <c r="Y132" s="376">
        <v>0</v>
      </c>
      <c r="Z132" s="376">
        <v>1</v>
      </c>
      <c r="AA132" s="376">
        <v>0</v>
      </c>
      <c r="AB132" s="377">
        <v>5</v>
      </c>
      <c r="AC132" s="376">
        <v>6</v>
      </c>
      <c r="AD132" s="376">
        <v>2</v>
      </c>
      <c r="AE132" s="376">
        <v>2</v>
      </c>
      <c r="AF132" s="376">
        <v>0</v>
      </c>
      <c r="AG132" s="376">
        <v>3</v>
      </c>
      <c r="AH132" s="376">
        <v>1</v>
      </c>
      <c r="AI132" s="376">
        <v>0</v>
      </c>
      <c r="AJ132" s="376">
        <v>21</v>
      </c>
      <c r="AK132" s="376">
        <v>65</v>
      </c>
      <c r="AL132" s="376">
        <v>39</v>
      </c>
      <c r="AM132" s="363" t="s">
        <v>441</v>
      </c>
      <c r="AN132" s="364">
        <v>5</v>
      </c>
      <c r="AO132" s="364">
        <v>1</v>
      </c>
      <c r="AP132" s="364">
        <v>0</v>
      </c>
      <c r="AQ132" s="364">
        <v>0</v>
      </c>
      <c r="AR132" s="364">
        <v>0</v>
      </c>
      <c r="AS132" s="364">
        <v>1</v>
      </c>
      <c r="AT132" s="364">
        <v>0</v>
      </c>
      <c r="AU132" s="364">
        <v>0</v>
      </c>
      <c r="AV132" s="365">
        <v>0</v>
      </c>
      <c r="AW132" s="363" t="s">
        <v>402</v>
      </c>
      <c r="AX132" s="364">
        <v>3</v>
      </c>
      <c r="AY132" s="364">
        <v>2</v>
      </c>
      <c r="AZ132" s="364">
        <v>1</v>
      </c>
      <c r="BA132" s="364">
        <v>0</v>
      </c>
      <c r="BB132" s="364">
        <v>2</v>
      </c>
      <c r="BC132" s="364">
        <v>0</v>
      </c>
      <c r="BD132" s="364">
        <v>0</v>
      </c>
      <c r="BE132" s="364">
        <v>0</v>
      </c>
      <c r="BF132" s="365">
        <v>2</v>
      </c>
      <c r="BG132" s="363" t="s">
        <v>650</v>
      </c>
      <c r="BH132" s="364">
        <v>5</v>
      </c>
      <c r="BI132" s="364">
        <v>2</v>
      </c>
      <c r="BJ132" s="364">
        <v>3</v>
      </c>
      <c r="BK132" s="364">
        <v>2</v>
      </c>
      <c r="BL132" s="364">
        <v>0</v>
      </c>
      <c r="BM132" s="364">
        <v>1</v>
      </c>
      <c r="BN132" s="364">
        <v>0</v>
      </c>
      <c r="BO132" s="364">
        <v>0</v>
      </c>
      <c r="BP132" s="365">
        <v>3</v>
      </c>
      <c r="BQ132" s="363" t="s">
        <v>446</v>
      </c>
      <c r="BR132" s="364">
        <v>4</v>
      </c>
      <c r="BS132" s="364">
        <v>2</v>
      </c>
      <c r="BT132" s="364">
        <v>1</v>
      </c>
      <c r="BU132" s="364">
        <v>2</v>
      </c>
      <c r="BV132" s="364">
        <v>1</v>
      </c>
      <c r="BW132" s="364">
        <v>1</v>
      </c>
      <c r="BX132" s="364">
        <v>0</v>
      </c>
      <c r="BY132" s="364">
        <v>0</v>
      </c>
      <c r="BZ132" s="365">
        <v>4</v>
      </c>
      <c r="CA132" s="363" t="s">
        <v>448</v>
      </c>
      <c r="CB132" s="364">
        <v>5</v>
      </c>
      <c r="CC132" s="364">
        <v>2</v>
      </c>
      <c r="CD132" s="364">
        <v>3</v>
      </c>
      <c r="CE132" s="364">
        <v>3</v>
      </c>
      <c r="CF132" s="364">
        <v>0</v>
      </c>
      <c r="CG132" s="364">
        <v>2</v>
      </c>
      <c r="CH132" s="364">
        <v>0</v>
      </c>
      <c r="CI132" s="364">
        <v>0</v>
      </c>
      <c r="CJ132" s="365">
        <v>3</v>
      </c>
      <c r="CK132" s="363" t="s">
        <v>496</v>
      </c>
      <c r="CL132" s="364">
        <v>5</v>
      </c>
      <c r="CM132" s="364">
        <v>1</v>
      </c>
      <c r="CN132" s="364">
        <v>2</v>
      </c>
      <c r="CO132" s="364">
        <v>2</v>
      </c>
      <c r="CP132" s="364">
        <v>0</v>
      </c>
      <c r="CQ132" s="364">
        <v>2</v>
      </c>
      <c r="CR132" s="364">
        <v>0</v>
      </c>
      <c r="CS132" s="364">
        <v>0</v>
      </c>
      <c r="CT132" s="365">
        <v>3</v>
      </c>
      <c r="CU132" s="363" t="s">
        <v>364</v>
      </c>
      <c r="CV132" s="364">
        <v>4</v>
      </c>
      <c r="CW132" s="364">
        <v>0</v>
      </c>
      <c r="CX132" s="364">
        <v>0</v>
      </c>
      <c r="CY132" s="364">
        <v>0</v>
      </c>
      <c r="CZ132" s="364">
        <v>1</v>
      </c>
      <c r="DA132" s="364">
        <v>1</v>
      </c>
      <c r="DB132" s="364">
        <v>0</v>
      </c>
      <c r="DC132" s="364">
        <v>0</v>
      </c>
      <c r="DD132" s="365">
        <v>0</v>
      </c>
      <c r="DE132" s="363" t="s">
        <v>449</v>
      </c>
      <c r="DF132" s="364">
        <v>3</v>
      </c>
      <c r="DG132" s="364">
        <v>2</v>
      </c>
      <c r="DH132" s="364">
        <v>1</v>
      </c>
      <c r="DI132" s="364">
        <v>3</v>
      </c>
      <c r="DJ132" s="364">
        <v>1</v>
      </c>
      <c r="DK132" s="364">
        <v>0</v>
      </c>
      <c r="DL132" s="364">
        <v>0</v>
      </c>
      <c r="DM132" s="364">
        <v>0</v>
      </c>
      <c r="DN132" s="365">
        <v>4</v>
      </c>
      <c r="DO132" s="363" t="s">
        <v>639</v>
      </c>
      <c r="DP132" s="364">
        <v>2</v>
      </c>
      <c r="DQ132" s="364">
        <v>0</v>
      </c>
      <c r="DR132" s="364">
        <v>0</v>
      </c>
      <c r="DS132" s="364">
        <v>0</v>
      </c>
      <c r="DT132" s="364">
        <v>1</v>
      </c>
      <c r="DU132" s="364">
        <v>0</v>
      </c>
      <c r="DV132" s="364">
        <v>0</v>
      </c>
      <c r="DW132" s="364">
        <v>0</v>
      </c>
      <c r="DX132" s="365">
        <v>0</v>
      </c>
      <c r="DY132" s="366">
        <v>5</v>
      </c>
      <c r="DZ132" s="367">
        <v>1</v>
      </c>
      <c r="EA132" s="367">
        <v>0</v>
      </c>
      <c r="EB132" s="368">
        <v>3</v>
      </c>
      <c r="EC132" s="367">
        <v>0</v>
      </c>
      <c r="ED132" s="369">
        <v>0</v>
      </c>
      <c r="EE132" s="370">
        <v>0</v>
      </c>
      <c r="EF132" s="367">
        <v>3</v>
      </c>
      <c r="EG132" s="367">
        <v>2</v>
      </c>
      <c r="EH132" s="367">
        <v>0</v>
      </c>
      <c r="EI132" s="367">
        <v>2</v>
      </c>
      <c r="EJ132" s="367">
        <v>5</v>
      </c>
      <c r="EK132" s="367">
        <v>0</v>
      </c>
      <c r="EL132" s="367">
        <v>0</v>
      </c>
      <c r="EM132" s="367"/>
      <c r="EN132" s="367"/>
      <c r="EO132" s="367"/>
      <c r="EP132" s="367"/>
      <c r="EQ132" s="367"/>
      <c r="ER132" s="367"/>
      <c r="ES132" s="367"/>
      <c r="ET132" s="369">
        <f t="shared" si="32"/>
        <v>12</v>
      </c>
      <c r="EU132" s="367">
        <v>0</v>
      </c>
      <c r="EV132" s="367">
        <v>0</v>
      </c>
      <c r="EW132" s="367">
        <v>0</v>
      </c>
      <c r="EX132" s="367">
        <v>3</v>
      </c>
      <c r="EY132" s="367">
        <v>2</v>
      </c>
      <c r="EZ132" s="367">
        <v>0</v>
      </c>
      <c r="FA132" s="367">
        <v>0</v>
      </c>
      <c r="FB132" s="367">
        <v>0</v>
      </c>
      <c r="FC132" s="367">
        <v>0</v>
      </c>
      <c r="FD132" s="367"/>
      <c r="FE132" s="367"/>
      <c r="FF132" s="367"/>
      <c r="FG132" s="367"/>
      <c r="FH132" s="367"/>
      <c r="FI132" s="367"/>
      <c r="FJ132" s="367">
        <f t="shared" si="33"/>
        <v>5</v>
      </c>
      <c r="FK132" s="371">
        <f t="shared" si="34"/>
        <v>0</v>
      </c>
      <c r="FL132" s="371">
        <f t="shared" si="35"/>
        <v>0</v>
      </c>
      <c r="FM132" s="372"/>
    </row>
    <row r="133" spans="1:169" x14ac:dyDescent="0.25">
      <c r="A133" s="380">
        <v>40418</v>
      </c>
      <c r="B133" s="380" t="s">
        <v>19</v>
      </c>
      <c r="C133" s="380" t="s">
        <v>129</v>
      </c>
      <c r="D133" s="380" t="s">
        <v>380</v>
      </c>
      <c r="E133" s="374">
        <v>5768</v>
      </c>
      <c r="F133" s="358">
        <v>4</v>
      </c>
      <c r="G133" s="359" t="s">
        <v>368</v>
      </c>
      <c r="H133" s="360">
        <v>1</v>
      </c>
      <c r="I133" s="360">
        <v>0</v>
      </c>
      <c r="J133" s="361">
        <v>6</v>
      </c>
      <c r="K133" s="360">
        <v>4</v>
      </c>
      <c r="L133" s="360">
        <v>0</v>
      </c>
      <c r="M133" s="360">
        <v>0</v>
      </c>
      <c r="N133" s="360">
        <v>2</v>
      </c>
      <c r="O133" s="360">
        <v>3</v>
      </c>
      <c r="P133" s="360">
        <v>0</v>
      </c>
      <c r="Q133" s="360">
        <v>2</v>
      </c>
      <c r="R133" s="360">
        <v>25</v>
      </c>
      <c r="S133" s="360">
        <v>83</v>
      </c>
      <c r="T133" s="360">
        <v>51</v>
      </c>
      <c r="U133" s="360">
        <v>0</v>
      </c>
      <c r="V133" s="362">
        <v>0</v>
      </c>
      <c r="W133" s="376">
        <v>0</v>
      </c>
      <c r="X133" s="376">
        <v>0</v>
      </c>
      <c r="Y133" s="376">
        <v>1</v>
      </c>
      <c r="Z133" s="376">
        <v>1</v>
      </c>
      <c r="AA133" s="376">
        <v>0</v>
      </c>
      <c r="AB133" s="377">
        <v>3</v>
      </c>
      <c r="AC133" s="376">
        <v>4</v>
      </c>
      <c r="AD133" s="376">
        <v>3</v>
      </c>
      <c r="AE133" s="376">
        <v>3</v>
      </c>
      <c r="AF133" s="376">
        <v>5</v>
      </c>
      <c r="AG133" s="376">
        <v>0</v>
      </c>
      <c r="AH133" s="376">
        <v>0</v>
      </c>
      <c r="AI133" s="376">
        <v>0</v>
      </c>
      <c r="AJ133" s="376">
        <v>17</v>
      </c>
      <c r="AK133" s="376">
        <v>73</v>
      </c>
      <c r="AL133" s="376">
        <v>33</v>
      </c>
      <c r="AM133" s="363" t="s">
        <v>441</v>
      </c>
      <c r="AN133" s="364">
        <v>3</v>
      </c>
      <c r="AO133" s="364">
        <v>1</v>
      </c>
      <c r="AP133" s="364">
        <v>0</v>
      </c>
      <c r="AQ133" s="364">
        <v>0</v>
      </c>
      <c r="AR133" s="364">
        <v>0</v>
      </c>
      <c r="AS133" s="364">
        <v>0</v>
      </c>
      <c r="AT133" s="364">
        <v>1</v>
      </c>
      <c r="AU133" s="364">
        <v>0</v>
      </c>
      <c r="AV133" s="365">
        <v>0</v>
      </c>
      <c r="AW133" s="363" t="s">
        <v>402</v>
      </c>
      <c r="AX133" s="364">
        <v>3</v>
      </c>
      <c r="AY133" s="364">
        <v>2</v>
      </c>
      <c r="AZ133" s="364">
        <v>1</v>
      </c>
      <c r="BA133" s="364">
        <v>0</v>
      </c>
      <c r="BB133" s="364">
        <v>1</v>
      </c>
      <c r="BC133" s="364">
        <v>0</v>
      </c>
      <c r="BD133" s="364">
        <v>0</v>
      </c>
      <c r="BE133" s="364">
        <v>0</v>
      </c>
      <c r="BF133" s="365">
        <v>1</v>
      </c>
      <c r="BG133" s="363" t="s">
        <v>650</v>
      </c>
      <c r="BH133" s="364">
        <v>4</v>
      </c>
      <c r="BI133" s="364">
        <v>1</v>
      </c>
      <c r="BJ133" s="364">
        <v>2</v>
      </c>
      <c r="BK133" s="364">
        <v>3</v>
      </c>
      <c r="BL133" s="364">
        <v>0</v>
      </c>
      <c r="BM133" s="364">
        <v>0</v>
      </c>
      <c r="BN133" s="364">
        <v>0</v>
      </c>
      <c r="BO133" s="364">
        <v>0</v>
      </c>
      <c r="BP133" s="365">
        <v>5</v>
      </c>
      <c r="BQ133" s="363" t="s">
        <v>496</v>
      </c>
      <c r="BR133" s="364">
        <v>4</v>
      </c>
      <c r="BS133" s="364">
        <v>0</v>
      </c>
      <c r="BT133" s="364">
        <v>0</v>
      </c>
      <c r="BU133" s="364">
        <v>1</v>
      </c>
      <c r="BV133" s="364">
        <v>0</v>
      </c>
      <c r="BW133" s="364">
        <v>2</v>
      </c>
      <c r="BX133" s="364">
        <v>0</v>
      </c>
      <c r="BY133" s="364">
        <v>0</v>
      </c>
      <c r="BZ133" s="365">
        <v>0</v>
      </c>
      <c r="CA133" s="363" t="s">
        <v>448</v>
      </c>
      <c r="CB133" s="364">
        <v>4</v>
      </c>
      <c r="CC133" s="364">
        <v>0</v>
      </c>
      <c r="CD133" s="364">
        <v>1</v>
      </c>
      <c r="CE133" s="364">
        <v>0</v>
      </c>
      <c r="CF133" s="364">
        <v>0</v>
      </c>
      <c r="CG133" s="364">
        <v>0</v>
      </c>
      <c r="CH133" s="364">
        <v>0</v>
      </c>
      <c r="CI133" s="364">
        <v>0</v>
      </c>
      <c r="CJ133" s="365">
        <v>1</v>
      </c>
      <c r="CK133" s="363" t="s">
        <v>364</v>
      </c>
      <c r="CL133" s="364">
        <v>4</v>
      </c>
      <c r="CM133" s="364">
        <v>0</v>
      </c>
      <c r="CN133" s="364">
        <v>1</v>
      </c>
      <c r="CO133" s="364">
        <v>0</v>
      </c>
      <c r="CP133" s="364">
        <v>0</v>
      </c>
      <c r="CQ133" s="364">
        <v>1</v>
      </c>
      <c r="CR133" s="364">
        <v>0</v>
      </c>
      <c r="CS133" s="364">
        <v>0</v>
      </c>
      <c r="CT133" s="365">
        <v>1</v>
      </c>
      <c r="CU133" s="363" t="s">
        <v>366</v>
      </c>
      <c r="CV133" s="364">
        <v>4</v>
      </c>
      <c r="CW133" s="364">
        <v>1</v>
      </c>
      <c r="CX133" s="364">
        <v>1</v>
      </c>
      <c r="CY133" s="364">
        <v>1</v>
      </c>
      <c r="CZ133" s="364">
        <v>0</v>
      </c>
      <c r="DA133" s="364">
        <v>1</v>
      </c>
      <c r="DB133" s="364">
        <v>0</v>
      </c>
      <c r="DC133" s="364">
        <v>0</v>
      </c>
      <c r="DD133" s="365">
        <v>4</v>
      </c>
      <c r="DE133" s="363" t="s">
        <v>449</v>
      </c>
      <c r="DF133" s="364">
        <v>3</v>
      </c>
      <c r="DG133" s="364">
        <v>1</v>
      </c>
      <c r="DH133" s="364">
        <v>1</v>
      </c>
      <c r="DI133" s="364">
        <v>0</v>
      </c>
      <c r="DJ133" s="364">
        <v>0</v>
      </c>
      <c r="DK133" s="364">
        <v>1</v>
      </c>
      <c r="DL133" s="364">
        <v>0</v>
      </c>
      <c r="DM133" s="364">
        <v>0</v>
      </c>
      <c r="DN133" s="365">
        <v>1</v>
      </c>
      <c r="DO133" s="363" t="s">
        <v>442</v>
      </c>
      <c r="DP133" s="364">
        <v>3</v>
      </c>
      <c r="DQ133" s="364">
        <v>0</v>
      </c>
      <c r="DR133" s="364">
        <v>1</v>
      </c>
      <c r="DS133" s="364">
        <v>0</v>
      </c>
      <c r="DT133" s="364">
        <v>0</v>
      </c>
      <c r="DU133" s="364">
        <v>1</v>
      </c>
      <c r="DV133" s="364">
        <v>0</v>
      </c>
      <c r="DW133" s="364">
        <v>0</v>
      </c>
      <c r="DX133" s="365">
        <v>1</v>
      </c>
      <c r="DY133" s="366">
        <f>0+1/3</f>
        <v>0.33333333333333331</v>
      </c>
      <c r="DZ133" s="367">
        <v>0</v>
      </c>
      <c r="EA133" s="367">
        <v>0</v>
      </c>
      <c r="EB133" s="368">
        <f>7+2/3</f>
        <v>7.666666666666667</v>
      </c>
      <c r="EC133" s="367">
        <v>0</v>
      </c>
      <c r="ED133" s="369">
        <v>0</v>
      </c>
      <c r="EE133" s="370">
        <v>2</v>
      </c>
      <c r="EF133" s="367">
        <v>0</v>
      </c>
      <c r="EG133" s="367">
        <v>0</v>
      </c>
      <c r="EH133" s="367">
        <v>0</v>
      </c>
      <c r="EI133" s="367">
        <v>0</v>
      </c>
      <c r="EJ133" s="367">
        <v>0</v>
      </c>
      <c r="EK133" s="367">
        <v>4</v>
      </c>
      <c r="EL133" s="367">
        <v>0</v>
      </c>
      <c r="EM133" s="367"/>
      <c r="EN133" s="367"/>
      <c r="EO133" s="367"/>
      <c r="EP133" s="367"/>
      <c r="EQ133" s="367"/>
      <c r="ER133" s="367"/>
      <c r="ES133" s="367"/>
      <c r="ET133" s="369">
        <f t="shared" si="32"/>
        <v>6</v>
      </c>
      <c r="EU133" s="367">
        <v>0</v>
      </c>
      <c r="EV133" s="367">
        <v>0</v>
      </c>
      <c r="EW133" s="367">
        <v>0</v>
      </c>
      <c r="EX133" s="367">
        <v>0</v>
      </c>
      <c r="EY133" s="367">
        <v>0</v>
      </c>
      <c r="EZ133" s="367">
        <v>0</v>
      </c>
      <c r="FA133" s="367">
        <v>0</v>
      </c>
      <c r="FB133" s="367">
        <v>0</v>
      </c>
      <c r="FC133" s="367">
        <v>3</v>
      </c>
      <c r="FD133" s="367"/>
      <c r="FE133" s="367"/>
      <c r="FF133" s="367"/>
      <c r="FG133" s="367"/>
      <c r="FH133" s="367"/>
      <c r="FI133" s="367"/>
      <c r="FJ133" s="367">
        <f t="shared" si="33"/>
        <v>3</v>
      </c>
      <c r="FK133" s="371">
        <f t="shared" si="34"/>
        <v>0</v>
      </c>
      <c r="FL133" s="371">
        <f t="shared" si="35"/>
        <v>0</v>
      </c>
      <c r="FM133" s="372"/>
    </row>
    <row r="134" spans="1:169" x14ac:dyDescent="0.25">
      <c r="A134" s="380">
        <v>40419</v>
      </c>
      <c r="B134" s="380" t="s">
        <v>19</v>
      </c>
      <c r="C134" s="380" t="s">
        <v>129</v>
      </c>
      <c r="D134" s="380" t="s">
        <v>380</v>
      </c>
      <c r="E134" s="374">
        <v>1942</v>
      </c>
      <c r="F134" s="358">
        <v>5</v>
      </c>
      <c r="G134" s="359" t="s">
        <v>424</v>
      </c>
      <c r="H134" s="360">
        <v>1</v>
      </c>
      <c r="I134" s="360">
        <v>0</v>
      </c>
      <c r="J134" s="361">
        <v>7</v>
      </c>
      <c r="K134" s="360">
        <v>4</v>
      </c>
      <c r="L134" s="360">
        <v>1</v>
      </c>
      <c r="M134" s="360">
        <v>1</v>
      </c>
      <c r="N134" s="360">
        <v>2</v>
      </c>
      <c r="O134" s="360">
        <v>10</v>
      </c>
      <c r="P134" s="360">
        <v>1</v>
      </c>
      <c r="Q134" s="360">
        <v>0</v>
      </c>
      <c r="R134" s="360">
        <v>27</v>
      </c>
      <c r="S134" s="360">
        <v>94</v>
      </c>
      <c r="T134" s="360">
        <v>64</v>
      </c>
      <c r="U134" s="360">
        <v>0</v>
      </c>
      <c r="V134" s="362">
        <v>0</v>
      </c>
      <c r="W134" s="376">
        <v>0</v>
      </c>
      <c r="X134" s="376">
        <v>0</v>
      </c>
      <c r="Y134" s="376">
        <v>0</v>
      </c>
      <c r="Z134" s="376">
        <v>0</v>
      </c>
      <c r="AA134" s="376">
        <v>0</v>
      </c>
      <c r="AB134" s="377">
        <v>2</v>
      </c>
      <c r="AC134" s="376">
        <v>2</v>
      </c>
      <c r="AD134" s="376">
        <v>0</v>
      </c>
      <c r="AE134" s="376">
        <v>0</v>
      </c>
      <c r="AF134" s="376">
        <v>0</v>
      </c>
      <c r="AG134" s="376">
        <v>3</v>
      </c>
      <c r="AH134" s="376">
        <v>0</v>
      </c>
      <c r="AI134" s="376">
        <v>0</v>
      </c>
      <c r="AJ134" s="376">
        <v>8</v>
      </c>
      <c r="AK134" s="376">
        <v>29</v>
      </c>
      <c r="AL134" s="376">
        <v>20</v>
      </c>
      <c r="AM134" s="363" t="s">
        <v>441</v>
      </c>
      <c r="AN134" s="364">
        <v>5</v>
      </c>
      <c r="AO134" s="364">
        <v>1</v>
      </c>
      <c r="AP134" s="364">
        <v>3</v>
      </c>
      <c r="AQ134" s="364">
        <v>0</v>
      </c>
      <c r="AR134" s="364">
        <v>0</v>
      </c>
      <c r="AS134" s="364">
        <v>0</v>
      </c>
      <c r="AT134" s="364">
        <v>0</v>
      </c>
      <c r="AU134" s="364">
        <v>0</v>
      </c>
      <c r="AV134" s="365">
        <v>4</v>
      </c>
      <c r="AW134" s="363" t="s">
        <v>402</v>
      </c>
      <c r="AX134" s="364">
        <v>5</v>
      </c>
      <c r="AY134" s="364">
        <v>0</v>
      </c>
      <c r="AZ134" s="364">
        <v>0</v>
      </c>
      <c r="BA134" s="364">
        <v>0</v>
      </c>
      <c r="BB134" s="364">
        <v>0</v>
      </c>
      <c r="BC134" s="364">
        <v>1</v>
      </c>
      <c r="BD134" s="364">
        <v>0</v>
      </c>
      <c r="BE134" s="364">
        <v>0</v>
      </c>
      <c r="BF134" s="365">
        <v>0</v>
      </c>
      <c r="BG134" s="363" t="s">
        <v>650</v>
      </c>
      <c r="BH134" s="364">
        <v>2</v>
      </c>
      <c r="BI134" s="364">
        <v>3</v>
      </c>
      <c r="BJ134" s="364">
        <v>0</v>
      </c>
      <c r="BK134" s="364">
        <v>0</v>
      </c>
      <c r="BL134" s="364">
        <v>3</v>
      </c>
      <c r="BM134" s="364">
        <v>2</v>
      </c>
      <c r="BN134" s="364">
        <v>0</v>
      </c>
      <c r="BO134" s="364">
        <v>0</v>
      </c>
      <c r="BP134" s="365">
        <v>0</v>
      </c>
      <c r="BQ134" s="363" t="s">
        <v>496</v>
      </c>
      <c r="BR134" s="364">
        <v>3</v>
      </c>
      <c r="BS134" s="364">
        <v>2</v>
      </c>
      <c r="BT134" s="364">
        <v>2</v>
      </c>
      <c r="BU134" s="364">
        <v>0</v>
      </c>
      <c r="BV134" s="364">
        <v>1</v>
      </c>
      <c r="BW134" s="364">
        <v>0</v>
      </c>
      <c r="BX134" s="364">
        <v>0</v>
      </c>
      <c r="BY134" s="364">
        <v>0</v>
      </c>
      <c r="BZ134" s="365">
        <v>2</v>
      </c>
      <c r="CA134" s="363" t="s">
        <v>448</v>
      </c>
      <c r="CB134" s="364">
        <v>4</v>
      </c>
      <c r="CC134" s="364">
        <v>2</v>
      </c>
      <c r="CD134" s="364">
        <v>3</v>
      </c>
      <c r="CE134" s="364">
        <v>3</v>
      </c>
      <c r="CF134" s="364">
        <v>0</v>
      </c>
      <c r="CG134" s="364">
        <v>0</v>
      </c>
      <c r="CH134" s="364">
        <v>0</v>
      </c>
      <c r="CI134" s="364">
        <v>0</v>
      </c>
      <c r="CJ134" s="365">
        <v>4</v>
      </c>
      <c r="CK134" s="363" t="s">
        <v>364</v>
      </c>
      <c r="CL134" s="364">
        <v>3</v>
      </c>
      <c r="CM134" s="364">
        <v>2</v>
      </c>
      <c r="CN134" s="364">
        <v>2</v>
      </c>
      <c r="CO134" s="364">
        <v>5</v>
      </c>
      <c r="CP134" s="364">
        <v>0</v>
      </c>
      <c r="CQ134" s="364">
        <v>0</v>
      </c>
      <c r="CR134" s="364">
        <v>0</v>
      </c>
      <c r="CS134" s="364">
        <v>1</v>
      </c>
      <c r="CT134" s="365">
        <v>6</v>
      </c>
      <c r="CU134" s="363" t="s">
        <v>366</v>
      </c>
      <c r="CV134" s="364">
        <v>2</v>
      </c>
      <c r="CW134" s="364">
        <v>0</v>
      </c>
      <c r="CX134" s="364">
        <v>0</v>
      </c>
      <c r="CY134" s="364">
        <v>1</v>
      </c>
      <c r="CZ134" s="364">
        <v>0</v>
      </c>
      <c r="DA134" s="364">
        <v>1</v>
      </c>
      <c r="DB134" s="364">
        <v>1</v>
      </c>
      <c r="DC134" s="364">
        <v>1</v>
      </c>
      <c r="DD134" s="365">
        <v>0</v>
      </c>
      <c r="DE134" s="363" t="s">
        <v>483</v>
      </c>
      <c r="DF134" s="364">
        <v>3</v>
      </c>
      <c r="DG134" s="364">
        <v>0</v>
      </c>
      <c r="DH134" s="364">
        <v>0</v>
      </c>
      <c r="DI134" s="364">
        <v>1</v>
      </c>
      <c r="DJ134" s="364">
        <v>0</v>
      </c>
      <c r="DK134" s="364">
        <v>1</v>
      </c>
      <c r="DL134" s="364">
        <v>0</v>
      </c>
      <c r="DM134" s="364">
        <v>1</v>
      </c>
      <c r="DN134" s="365">
        <v>0</v>
      </c>
      <c r="DO134" s="363" t="s">
        <v>442</v>
      </c>
      <c r="DP134" s="364">
        <v>4</v>
      </c>
      <c r="DQ134" s="364">
        <v>0</v>
      </c>
      <c r="DR134" s="364">
        <v>1</v>
      </c>
      <c r="DS134" s="364">
        <v>0</v>
      </c>
      <c r="DT134" s="364">
        <v>0</v>
      </c>
      <c r="DU134" s="364">
        <v>1</v>
      </c>
      <c r="DV134" s="364">
        <v>0</v>
      </c>
      <c r="DW134" s="364">
        <v>0</v>
      </c>
      <c r="DX134" s="365">
        <v>1</v>
      </c>
      <c r="DY134" s="366">
        <v>2</v>
      </c>
      <c r="DZ134" s="367">
        <v>0</v>
      </c>
      <c r="EA134" s="367">
        <v>0</v>
      </c>
      <c r="EB134" s="368">
        <v>6</v>
      </c>
      <c r="EC134" s="367">
        <v>0</v>
      </c>
      <c r="ED134" s="369">
        <v>0</v>
      </c>
      <c r="EE134" s="370">
        <v>4</v>
      </c>
      <c r="EF134" s="367">
        <v>0</v>
      </c>
      <c r="EG134" s="367">
        <v>4</v>
      </c>
      <c r="EH134" s="367">
        <v>2</v>
      </c>
      <c r="EI134" s="367">
        <v>0</v>
      </c>
      <c r="EJ134" s="367">
        <v>0</v>
      </c>
      <c r="EK134" s="367">
        <v>0</v>
      </c>
      <c r="EL134" s="367">
        <v>0</v>
      </c>
      <c r="EM134" s="367"/>
      <c r="EN134" s="367"/>
      <c r="EO134" s="367"/>
      <c r="EP134" s="367"/>
      <c r="EQ134" s="367"/>
      <c r="ER134" s="367"/>
      <c r="ES134" s="367"/>
      <c r="ET134" s="369">
        <f t="shared" ref="ET134:ET141" si="36">SUM(EE134:ES134)</f>
        <v>10</v>
      </c>
      <c r="EU134" s="367">
        <v>0</v>
      </c>
      <c r="EV134" s="367">
        <v>0</v>
      </c>
      <c r="EW134" s="367">
        <v>0</v>
      </c>
      <c r="EX134" s="367">
        <v>0</v>
      </c>
      <c r="EY134" s="367">
        <v>0</v>
      </c>
      <c r="EZ134" s="367">
        <v>0</v>
      </c>
      <c r="FA134" s="367">
        <v>1</v>
      </c>
      <c r="FB134" s="367">
        <v>0</v>
      </c>
      <c r="FC134" s="367">
        <v>0</v>
      </c>
      <c r="FD134" s="367"/>
      <c r="FE134" s="367"/>
      <c r="FF134" s="367"/>
      <c r="FG134" s="367"/>
      <c r="FH134" s="367"/>
      <c r="FI134" s="367"/>
      <c r="FJ134" s="367">
        <f t="shared" ref="FJ134:FJ141" si="37">SUM(EU134:FI134)</f>
        <v>1</v>
      </c>
      <c r="FK134" s="371">
        <f t="shared" ref="FK134:FK141" si="38">((SUM(L134,AD134))-(FJ134))</f>
        <v>0</v>
      </c>
      <c r="FL134" s="371">
        <f t="shared" ref="FL134:FL141" si="39">((SUM(AO134,AY134,BI134,BS134,CC134,CM134,CW134,DG134,DQ134))-(ET134))</f>
        <v>0</v>
      </c>
      <c r="FM134" s="372"/>
    </row>
    <row r="135" spans="1:169" x14ac:dyDescent="0.25">
      <c r="A135" s="380">
        <v>40421</v>
      </c>
      <c r="B135" s="380" t="s">
        <v>19</v>
      </c>
      <c r="C135" s="380" t="s">
        <v>129</v>
      </c>
      <c r="D135" s="380" t="s">
        <v>452</v>
      </c>
      <c r="E135" s="374">
        <v>2387</v>
      </c>
      <c r="F135" s="358">
        <v>1</v>
      </c>
      <c r="G135" s="359" t="s">
        <v>470</v>
      </c>
      <c r="H135" s="360">
        <v>1</v>
      </c>
      <c r="I135" s="360">
        <v>0</v>
      </c>
      <c r="J135" s="361">
        <v>6</v>
      </c>
      <c r="K135" s="360">
        <v>2</v>
      </c>
      <c r="L135" s="360">
        <v>1</v>
      </c>
      <c r="M135" s="360">
        <v>1</v>
      </c>
      <c r="N135" s="360">
        <v>1</v>
      </c>
      <c r="O135" s="360">
        <v>5</v>
      </c>
      <c r="P135" s="360">
        <v>0</v>
      </c>
      <c r="Q135" s="360">
        <v>0</v>
      </c>
      <c r="R135" s="360">
        <v>20</v>
      </c>
      <c r="S135" s="360">
        <v>93</v>
      </c>
      <c r="T135" s="360">
        <v>65</v>
      </c>
      <c r="U135" s="360">
        <v>0</v>
      </c>
      <c r="V135" s="362">
        <v>0</v>
      </c>
      <c r="W135" s="376">
        <v>0</v>
      </c>
      <c r="X135" s="376">
        <v>0</v>
      </c>
      <c r="Y135" s="376">
        <v>1</v>
      </c>
      <c r="Z135" s="376">
        <v>1</v>
      </c>
      <c r="AA135" s="376">
        <v>0</v>
      </c>
      <c r="AB135" s="377">
        <v>3</v>
      </c>
      <c r="AC135" s="376">
        <v>2</v>
      </c>
      <c r="AD135" s="376">
        <v>1</v>
      </c>
      <c r="AE135" s="376">
        <v>1</v>
      </c>
      <c r="AF135" s="376">
        <v>2</v>
      </c>
      <c r="AG135" s="376">
        <v>3</v>
      </c>
      <c r="AH135" s="376">
        <v>0</v>
      </c>
      <c r="AI135" s="376">
        <v>0</v>
      </c>
      <c r="AJ135" s="376">
        <v>13</v>
      </c>
      <c r="AK135" s="376">
        <v>54</v>
      </c>
      <c r="AL135" s="376">
        <v>29</v>
      </c>
      <c r="AM135" s="363" t="s">
        <v>441</v>
      </c>
      <c r="AN135" s="364">
        <v>4</v>
      </c>
      <c r="AO135" s="364">
        <v>0</v>
      </c>
      <c r="AP135" s="364">
        <v>2</v>
      </c>
      <c r="AQ135" s="364">
        <v>2</v>
      </c>
      <c r="AR135" s="364">
        <v>0</v>
      </c>
      <c r="AS135" s="364">
        <v>0</v>
      </c>
      <c r="AT135" s="364">
        <v>0</v>
      </c>
      <c r="AU135" s="364">
        <v>0</v>
      </c>
      <c r="AV135" s="365">
        <v>2</v>
      </c>
      <c r="AW135" s="363" t="s">
        <v>402</v>
      </c>
      <c r="AX135" s="364">
        <v>4</v>
      </c>
      <c r="AY135" s="364">
        <v>0</v>
      </c>
      <c r="AZ135" s="364">
        <v>1</v>
      </c>
      <c r="BA135" s="364">
        <v>0</v>
      </c>
      <c r="BB135" s="364">
        <v>0</v>
      </c>
      <c r="BC135" s="364">
        <v>1</v>
      </c>
      <c r="BD135" s="364">
        <v>0</v>
      </c>
      <c r="BE135" s="364">
        <v>0</v>
      </c>
      <c r="BF135" s="365">
        <v>1</v>
      </c>
      <c r="BG135" s="363" t="s">
        <v>650</v>
      </c>
      <c r="BH135" s="364">
        <v>3</v>
      </c>
      <c r="BI135" s="364">
        <v>1</v>
      </c>
      <c r="BJ135" s="364">
        <v>1</v>
      </c>
      <c r="BK135" s="364">
        <v>0</v>
      </c>
      <c r="BL135" s="364">
        <v>1</v>
      </c>
      <c r="BM135" s="364">
        <v>2</v>
      </c>
      <c r="BN135" s="364">
        <v>0</v>
      </c>
      <c r="BO135" s="364">
        <v>0</v>
      </c>
      <c r="BP135" s="365">
        <v>3</v>
      </c>
      <c r="BQ135" s="363" t="s">
        <v>496</v>
      </c>
      <c r="BR135" s="364">
        <v>4</v>
      </c>
      <c r="BS135" s="364">
        <v>0</v>
      </c>
      <c r="BT135" s="364">
        <v>1</v>
      </c>
      <c r="BU135" s="364">
        <v>1</v>
      </c>
      <c r="BV135" s="364">
        <v>0</v>
      </c>
      <c r="BW135" s="364">
        <v>2</v>
      </c>
      <c r="BX135" s="364">
        <v>0</v>
      </c>
      <c r="BY135" s="364">
        <v>0</v>
      </c>
      <c r="BZ135" s="365">
        <v>2</v>
      </c>
      <c r="CA135" s="363" t="s">
        <v>448</v>
      </c>
      <c r="CB135" s="364">
        <v>3</v>
      </c>
      <c r="CC135" s="364">
        <v>0</v>
      </c>
      <c r="CD135" s="364">
        <v>0</v>
      </c>
      <c r="CE135" s="364">
        <v>0</v>
      </c>
      <c r="CF135" s="364">
        <v>0</v>
      </c>
      <c r="CG135" s="364">
        <v>3</v>
      </c>
      <c r="CH135" s="364">
        <v>0</v>
      </c>
      <c r="CI135" s="364">
        <v>0</v>
      </c>
      <c r="CJ135" s="365">
        <v>0</v>
      </c>
      <c r="CK135" s="363" t="s">
        <v>364</v>
      </c>
      <c r="CL135" s="364">
        <v>3</v>
      </c>
      <c r="CM135" s="364">
        <v>1</v>
      </c>
      <c r="CN135" s="364">
        <v>1</v>
      </c>
      <c r="CO135" s="364">
        <v>0</v>
      </c>
      <c r="CP135" s="364">
        <v>0</v>
      </c>
      <c r="CQ135" s="364">
        <v>1</v>
      </c>
      <c r="CR135" s="364">
        <v>0</v>
      </c>
      <c r="CS135" s="364">
        <v>0</v>
      </c>
      <c r="CT135" s="365">
        <v>1</v>
      </c>
      <c r="CU135" s="363" t="s">
        <v>366</v>
      </c>
      <c r="CV135" s="364">
        <v>3</v>
      </c>
      <c r="CW135" s="364">
        <v>1</v>
      </c>
      <c r="CX135" s="364">
        <v>2</v>
      </c>
      <c r="CY135" s="364">
        <v>0</v>
      </c>
      <c r="CZ135" s="364">
        <v>0</v>
      </c>
      <c r="DA135" s="364">
        <v>0</v>
      </c>
      <c r="DB135" s="364">
        <v>0</v>
      </c>
      <c r="DC135" s="364">
        <v>0</v>
      </c>
      <c r="DD135" s="365">
        <v>2</v>
      </c>
      <c r="DE135" s="363" t="s">
        <v>449</v>
      </c>
      <c r="DF135" s="364">
        <v>3</v>
      </c>
      <c r="DG135" s="364">
        <v>0</v>
      </c>
      <c r="DH135" s="364">
        <v>1</v>
      </c>
      <c r="DI135" s="364">
        <v>0</v>
      </c>
      <c r="DJ135" s="364">
        <v>0</v>
      </c>
      <c r="DK135" s="364">
        <v>1</v>
      </c>
      <c r="DL135" s="364">
        <v>0</v>
      </c>
      <c r="DM135" s="364">
        <v>0</v>
      </c>
      <c r="DN135" s="365">
        <v>1</v>
      </c>
      <c r="DO135" s="363" t="s">
        <v>442</v>
      </c>
      <c r="DP135" s="364">
        <v>3</v>
      </c>
      <c r="DQ135" s="364">
        <v>0</v>
      </c>
      <c r="DR135" s="364">
        <v>0</v>
      </c>
      <c r="DS135" s="364">
        <v>0</v>
      </c>
      <c r="DT135" s="364">
        <v>0</v>
      </c>
      <c r="DU135" s="364">
        <v>1</v>
      </c>
      <c r="DV135" s="364">
        <v>0</v>
      </c>
      <c r="DW135" s="364">
        <v>0</v>
      </c>
      <c r="DX135" s="365">
        <v>0</v>
      </c>
      <c r="DY135" s="366">
        <v>0</v>
      </c>
      <c r="DZ135" s="367">
        <v>0</v>
      </c>
      <c r="EA135" s="367">
        <v>0</v>
      </c>
      <c r="EB135" s="368">
        <v>8</v>
      </c>
      <c r="EC135" s="367">
        <v>0</v>
      </c>
      <c r="ED135" s="369">
        <v>2</v>
      </c>
      <c r="EE135" s="370">
        <v>1</v>
      </c>
      <c r="EF135" s="367">
        <v>2</v>
      </c>
      <c r="EG135" s="367">
        <v>0</v>
      </c>
      <c r="EH135" s="367">
        <v>0</v>
      </c>
      <c r="EI135" s="367">
        <v>0</v>
      </c>
      <c r="EJ135" s="367">
        <v>0</v>
      </c>
      <c r="EK135" s="367">
        <v>0</v>
      </c>
      <c r="EL135" s="367">
        <v>0</v>
      </c>
      <c r="EM135" s="367"/>
      <c r="EN135" s="367"/>
      <c r="EO135" s="367"/>
      <c r="EP135" s="367"/>
      <c r="EQ135" s="367"/>
      <c r="ER135" s="367"/>
      <c r="ES135" s="367"/>
      <c r="ET135" s="369">
        <f t="shared" si="36"/>
        <v>3</v>
      </c>
      <c r="EU135" s="367">
        <v>0</v>
      </c>
      <c r="EV135" s="367">
        <v>1</v>
      </c>
      <c r="EW135" s="367">
        <v>0</v>
      </c>
      <c r="EX135" s="367">
        <v>0</v>
      </c>
      <c r="EY135" s="367">
        <v>0</v>
      </c>
      <c r="EZ135" s="367">
        <v>0</v>
      </c>
      <c r="FA135" s="367">
        <v>1</v>
      </c>
      <c r="FB135" s="367">
        <v>0</v>
      </c>
      <c r="FC135" s="367">
        <v>0</v>
      </c>
      <c r="FD135" s="367"/>
      <c r="FE135" s="367"/>
      <c r="FF135" s="367"/>
      <c r="FG135" s="367"/>
      <c r="FH135" s="367"/>
      <c r="FI135" s="367"/>
      <c r="FJ135" s="367">
        <f t="shared" si="37"/>
        <v>2</v>
      </c>
      <c r="FK135" s="371">
        <f t="shared" si="38"/>
        <v>0</v>
      </c>
      <c r="FL135" s="371">
        <f t="shared" si="39"/>
        <v>0</v>
      </c>
      <c r="FM135" s="372"/>
    </row>
    <row r="136" spans="1:169" x14ac:dyDescent="0.25">
      <c r="A136" s="380">
        <v>40422</v>
      </c>
      <c r="B136" s="380" t="s">
        <v>19</v>
      </c>
      <c r="C136" s="380" t="s">
        <v>131</v>
      </c>
      <c r="D136" s="380" t="s">
        <v>452</v>
      </c>
      <c r="E136" s="374">
        <v>3019</v>
      </c>
      <c r="F136" s="358">
        <v>2</v>
      </c>
      <c r="G136" s="359" t="s">
        <v>670</v>
      </c>
      <c r="H136" s="360">
        <v>0</v>
      </c>
      <c r="I136" s="360">
        <v>1</v>
      </c>
      <c r="J136" s="361">
        <v>3</v>
      </c>
      <c r="K136" s="360">
        <v>6</v>
      </c>
      <c r="L136" s="360">
        <v>4</v>
      </c>
      <c r="M136" s="360">
        <v>4</v>
      </c>
      <c r="N136" s="360">
        <v>0</v>
      </c>
      <c r="O136" s="360">
        <v>4</v>
      </c>
      <c r="P136" s="360">
        <v>0</v>
      </c>
      <c r="Q136" s="360">
        <v>0</v>
      </c>
      <c r="R136" s="360">
        <v>15</v>
      </c>
      <c r="S136" s="360">
        <v>65</v>
      </c>
      <c r="T136" s="360">
        <v>40</v>
      </c>
      <c r="U136" s="360">
        <v>0</v>
      </c>
      <c r="V136" s="362">
        <v>0</v>
      </c>
      <c r="W136" s="376">
        <v>0</v>
      </c>
      <c r="X136" s="376">
        <v>0</v>
      </c>
      <c r="Y136" s="376">
        <v>0</v>
      </c>
      <c r="Z136" s="376">
        <v>0</v>
      </c>
      <c r="AA136" s="376">
        <v>0</v>
      </c>
      <c r="AB136" s="377">
        <v>6</v>
      </c>
      <c r="AC136" s="376">
        <v>9</v>
      </c>
      <c r="AD136" s="376">
        <v>6</v>
      </c>
      <c r="AE136" s="376">
        <v>5</v>
      </c>
      <c r="AF136" s="376">
        <v>1</v>
      </c>
      <c r="AG136" s="376">
        <v>2</v>
      </c>
      <c r="AH136" s="376">
        <v>2</v>
      </c>
      <c r="AI136" s="376">
        <v>1</v>
      </c>
      <c r="AJ136" s="376">
        <v>30</v>
      </c>
      <c r="AK136" s="376">
        <v>87</v>
      </c>
      <c r="AL136" s="376">
        <v>55</v>
      </c>
      <c r="AM136" s="363" t="s">
        <v>441</v>
      </c>
      <c r="AN136" s="364">
        <v>5</v>
      </c>
      <c r="AO136" s="364">
        <v>0</v>
      </c>
      <c r="AP136" s="364">
        <v>1</v>
      </c>
      <c r="AQ136" s="364">
        <v>0</v>
      </c>
      <c r="AR136" s="364">
        <v>0</v>
      </c>
      <c r="AS136" s="364">
        <v>0</v>
      </c>
      <c r="AT136" s="364">
        <v>0</v>
      </c>
      <c r="AU136" s="364">
        <v>0</v>
      </c>
      <c r="AV136" s="365">
        <v>1</v>
      </c>
      <c r="AW136" s="363" t="s">
        <v>402</v>
      </c>
      <c r="AX136" s="364">
        <v>5</v>
      </c>
      <c r="AY136" s="364">
        <v>1</v>
      </c>
      <c r="AZ136" s="364">
        <v>3</v>
      </c>
      <c r="BA136" s="364">
        <v>2</v>
      </c>
      <c r="BB136" s="364">
        <v>0</v>
      </c>
      <c r="BC136" s="364">
        <v>2</v>
      </c>
      <c r="BD136" s="364">
        <v>0</v>
      </c>
      <c r="BE136" s="364">
        <v>0</v>
      </c>
      <c r="BF136" s="365">
        <v>5</v>
      </c>
      <c r="BG136" s="363" t="s">
        <v>650</v>
      </c>
      <c r="BH136" s="364">
        <v>5</v>
      </c>
      <c r="BI136" s="364">
        <v>0</v>
      </c>
      <c r="BJ136" s="364">
        <v>1</v>
      </c>
      <c r="BK136" s="364">
        <v>1</v>
      </c>
      <c r="BL136" s="364">
        <v>0</v>
      </c>
      <c r="BM136" s="364">
        <v>1</v>
      </c>
      <c r="BN136" s="364">
        <v>0</v>
      </c>
      <c r="BO136" s="364">
        <v>0</v>
      </c>
      <c r="BP136" s="365">
        <v>2</v>
      </c>
      <c r="BQ136" s="363" t="s">
        <v>496</v>
      </c>
      <c r="BR136" s="364">
        <v>4</v>
      </c>
      <c r="BS136" s="364">
        <v>0</v>
      </c>
      <c r="BT136" s="364">
        <v>1</v>
      </c>
      <c r="BU136" s="364">
        <v>0</v>
      </c>
      <c r="BV136" s="364">
        <v>0</v>
      </c>
      <c r="BW136" s="364">
        <v>1</v>
      </c>
      <c r="BX136" s="364">
        <v>0</v>
      </c>
      <c r="BY136" s="364">
        <v>0</v>
      </c>
      <c r="BZ136" s="365">
        <v>1</v>
      </c>
      <c r="CA136" s="363" t="s">
        <v>448</v>
      </c>
      <c r="CB136" s="364">
        <v>3</v>
      </c>
      <c r="CC136" s="364">
        <v>0</v>
      </c>
      <c r="CD136" s="364">
        <v>0</v>
      </c>
      <c r="CE136" s="364">
        <v>0</v>
      </c>
      <c r="CF136" s="364">
        <v>1</v>
      </c>
      <c r="CG136" s="364">
        <v>2</v>
      </c>
      <c r="CH136" s="364">
        <v>0</v>
      </c>
      <c r="CI136" s="364">
        <v>0</v>
      </c>
      <c r="CJ136" s="365">
        <v>0</v>
      </c>
      <c r="CK136" s="363" t="s">
        <v>364</v>
      </c>
      <c r="CL136" s="364">
        <v>4</v>
      </c>
      <c r="CM136" s="364">
        <v>0</v>
      </c>
      <c r="CN136" s="364">
        <v>0</v>
      </c>
      <c r="CO136" s="364">
        <v>0</v>
      </c>
      <c r="CP136" s="364">
        <v>0</v>
      </c>
      <c r="CQ136" s="364">
        <v>1</v>
      </c>
      <c r="CR136" s="364">
        <v>0</v>
      </c>
      <c r="CS136" s="364">
        <v>0</v>
      </c>
      <c r="CT136" s="365">
        <v>0</v>
      </c>
      <c r="CU136" s="363" t="s">
        <v>366</v>
      </c>
      <c r="CV136" s="364">
        <v>3</v>
      </c>
      <c r="CW136" s="364">
        <v>0</v>
      </c>
      <c r="CX136" s="364">
        <v>1</v>
      </c>
      <c r="CY136" s="364">
        <v>0</v>
      </c>
      <c r="CZ136" s="364">
        <v>1</v>
      </c>
      <c r="DA136" s="364">
        <v>1</v>
      </c>
      <c r="DB136" s="364">
        <v>0</v>
      </c>
      <c r="DC136" s="364">
        <v>0</v>
      </c>
      <c r="DD136" s="365">
        <v>1</v>
      </c>
      <c r="DE136" s="363" t="s">
        <v>449</v>
      </c>
      <c r="DF136" s="364">
        <v>4</v>
      </c>
      <c r="DG136" s="364">
        <v>2</v>
      </c>
      <c r="DH136" s="364">
        <v>1</v>
      </c>
      <c r="DI136" s="364">
        <v>0</v>
      </c>
      <c r="DJ136" s="364">
        <v>0</v>
      </c>
      <c r="DK136" s="364">
        <v>1</v>
      </c>
      <c r="DL136" s="364">
        <v>0</v>
      </c>
      <c r="DM136" s="364">
        <v>0</v>
      </c>
      <c r="DN136" s="365">
        <v>2</v>
      </c>
      <c r="DO136" s="363" t="s">
        <v>442</v>
      </c>
      <c r="DP136" s="364">
        <v>4</v>
      </c>
      <c r="DQ136" s="364">
        <v>1</v>
      </c>
      <c r="DR136" s="364">
        <v>1</v>
      </c>
      <c r="DS136" s="364">
        <v>1</v>
      </c>
      <c r="DT136" s="364">
        <v>0</v>
      </c>
      <c r="DU136" s="364">
        <v>0</v>
      </c>
      <c r="DV136" s="364">
        <v>0</v>
      </c>
      <c r="DW136" s="364">
        <v>0</v>
      </c>
      <c r="DX136" s="365">
        <v>1</v>
      </c>
      <c r="DY136" s="366">
        <v>1</v>
      </c>
      <c r="DZ136" s="367">
        <v>0</v>
      </c>
      <c r="EA136" s="367">
        <v>0</v>
      </c>
      <c r="EB136" s="368">
        <v>8</v>
      </c>
      <c r="EC136" s="367">
        <v>0</v>
      </c>
      <c r="ED136" s="369">
        <v>0</v>
      </c>
      <c r="EE136" s="370">
        <v>0</v>
      </c>
      <c r="EF136" s="367">
        <v>0</v>
      </c>
      <c r="EG136" s="367">
        <v>0</v>
      </c>
      <c r="EH136" s="367">
        <v>0</v>
      </c>
      <c r="EI136" s="367">
        <v>1</v>
      </c>
      <c r="EJ136" s="367">
        <v>0</v>
      </c>
      <c r="EK136" s="367">
        <v>0</v>
      </c>
      <c r="EL136" s="367">
        <v>1</v>
      </c>
      <c r="EM136" s="367">
        <v>2</v>
      </c>
      <c r="EN136" s="367"/>
      <c r="EO136" s="367"/>
      <c r="EP136" s="367"/>
      <c r="EQ136" s="367"/>
      <c r="ER136" s="367"/>
      <c r="ES136" s="367"/>
      <c r="ET136" s="369">
        <f t="shared" si="36"/>
        <v>4</v>
      </c>
      <c r="EU136" s="367">
        <v>0</v>
      </c>
      <c r="EV136" s="367">
        <v>4</v>
      </c>
      <c r="EW136" s="367">
        <v>0</v>
      </c>
      <c r="EX136" s="367">
        <v>0</v>
      </c>
      <c r="EY136" s="367">
        <v>1</v>
      </c>
      <c r="EZ136" s="367">
        <v>5</v>
      </c>
      <c r="FA136" s="367">
        <v>0</v>
      </c>
      <c r="FB136" s="367">
        <v>0</v>
      </c>
      <c r="FC136" s="367">
        <v>0</v>
      </c>
      <c r="FD136" s="367"/>
      <c r="FE136" s="367"/>
      <c r="FF136" s="367"/>
      <c r="FG136" s="367"/>
      <c r="FH136" s="367"/>
      <c r="FI136" s="367"/>
      <c r="FJ136" s="367">
        <f t="shared" si="37"/>
        <v>10</v>
      </c>
      <c r="FK136" s="371">
        <f t="shared" si="38"/>
        <v>0</v>
      </c>
      <c r="FL136" s="371">
        <f t="shared" si="39"/>
        <v>0</v>
      </c>
      <c r="FM136" s="372"/>
    </row>
    <row r="137" spans="1:169" x14ac:dyDescent="0.25">
      <c r="A137" s="380">
        <v>40423</v>
      </c>
      <c r="B137" s="380" t="s">
        <v>19</v>
      </c>
      <c r="C137" s="380" t="s">
        <v>129</v>
      </c>
      <c r="D137" s="380" t="s">
        <v>452</v>
      </c>
      <c r="E137" s="374">
        <v>6488</v>
      </c>
      <c r="F137" s="358">
        <v>3</v>
      </c>
      <c r="G137" s="359" t="s">
        <v>669</v>
      </c>
      <c r="H137" s="360">
        <v>0</v>
      </c>
      <c r="I137" s="360">
        <v>0</v>
      </c>
      <c r="J137" s="361">
        <v>5</v>
      </c>
      <c r="K137" s="360">
        <v>3</v>
      </c>
      <c r="L137" s="360">
        <v>1</v>
      </c>
      <c r="M137" s="360">
        <v>1</v>
      </c>
      <c r="N137" s="360">
        <v>0</v>
      </c>
      <c r="O137" s="360">
        <v>6</v>
      </c>
      <c r="P137" s="360">
        <v>0</v>
      </c>
      <c r="Q137" s="360">
        <v>2</v>
      </c>
      <c r="R137" s="360">
        <v>19</v>
      </c>
      <c r="S137" s="360">
        <v>67</v>
      </c>
      <c r="T137" s="360">
        <v>52</v>
      </c>
      <c r="U137" s="360">
        <v>0</v>
      </c>
      <c r="V137" s="362">
        <v>0</v>
      </c>
      <c r="W137" s="376">
        <v>1</v>
      </c>
      <c r="X137" s="376">
        <v>0</v>
      </c>
      <c r="Y137" s="376">
        <v>1</v>
      </c>
      <c r="Z137" s="376">
        <v>1</v>
      </c>
      <c r="AA137" s="376">
        <v>1</v>
      </c>
      <c r="AB137" s="377">
        <v>4</v>
      </c>
      <c r="AC137" s="376">
        <v>4</v>
      </c>
      <c r="AD137" s="376">
        <v>2</v>
      </c>
      <c r="AE137" s="376">
        <v>2</v>
      </c>
      <c r="AF137" s="376">
        <v>3</v>
      </c>
      <c r="AG137" s="376">
        <v>2</v>
      </c>
      <c r="AH137" s="376">
        <v>0</v>
      </c>
      <c r="AI137" s="376">
        <v>1</v>
      </c>
      <c r="AJ137" s="376">
        <v>19</v>
      </c>
      <c r="AK137" s="376">
        <v>66</v>
      </c>
      <c r="AL137" s="376">
        <v>39</v>
      </c>
      <c r="AM137" s="363" t="s">
        <v>402</v>
      </c>
      <c r="AN137" s="364">
        <v>2</v>
      </c>
      <c r="AO137" s="364">
        <v>1</v>
      </c>
      <c r="AP137" s="364">
        <v>1</v>
      </c>
      <c r="AQ137" s="364">
        <v>1</v>
      </c>
      <c r="AR137" s="364">
        <v>3</v>
      </c>
      <c r="AS137" s="364">
        <v>0</v>
      </c>
      <c r="AT137" s="364">
        <v>0</v>
      </c>
      <c r="AU137" s="364">
        <v>0</v>
      </c>
      <c r="AV137" s="365">
        <v>1</v>
      </c>
      <c r="AW137" s="363" t="s">
        <v>639</v>
      </c>
      <c r="AX137" s="364">
        <v>4</v>
      </c>
      <c r="AY137" s="364">
        <v>0</v>
      </c>
      <c r="AZ137" s="364">
        <v>0</v>
      </c>
      <c r="BA137" s="364">
        <v>0</v>
      </c>
      <c r="BB137" s="364">
        <v>0</v>
      </c>
      <c r="BC137" s="364">
        <v>0</v>
      </c>
      <c r="BD137" s="364">
        <v>0</v>
      </c>
      <c r="BE137" s="364">
        <v>0</v>
      </c>
      <c r="BF137" s="365">
        <v>0</v>
      </c>
      <c r="BG137" s="363" t="s">
        <v>650</v>
      </c>
      <c r="BH137" s="364">
        <v>3</v>
      </c>
      <c r="BI137" s="364">
        <v>0</v>
      </c>
      <c r="BJ137" s="364">
        <v>1</v>
      </c>
      <c r="BK137" s="364">
        <v>1</v>
      </c>
      <c r="BL137" s="364">
        <v>2</v>
      </c>
      <c r="BM137" s="364">
        <v>0</v>
      </c>
      <c r="BN137" s="364">
        <v>0</v>
      </c>
      <c r="BO137" s="364">
        <v>0</v>
      </c>
      <c r="BP137" s="365">
        <v>1</v>
      </c>
      <c r="BQ137" s="363" t="s">
        <v>496</v>
      </c>
      <c r="BR137" s="364">
        <v>5</v>
      </c>
      <c r="BS137" s="364">
        <v>1</v>
      </c>
      <c r="BT137" s="364">
        <v>2</v>
      </c>
      <c r="BU137" s="364">
        <v>1</v>
      </c>
      <c r="BV137" s="364">
        <v>0</v>
      </c>
      <c r="BW137" s="364">
        <v>1</v>
      </c>
      <c r="BX137" s="364">
        <v>0</v>
      </c>
      <c r="BY137" s="364">
        <v>0</v>
      </c>
      <c r="BZ137" s="365">
        <v>5</v>
      </c>
      <c r="CA137" s="363" t="s">
        <v>448</v>
      </c>
      <c r="CB137" s="364">
        <v>5</v>
      </c>
      <c r="CC137" s="364">
        <v>1</v>
      </c>
      <c r="CD137" s="364">
        <v>2</v>
      </c>
      <c r="CE137" s="364">
        <v>0</v>
      </c>
      <c r="CF137" s="364">
        <v>0</v>
      </c>
      <c r="CG137" s="364">
        <v>2</v>
      </c>
      <c r="CH137" s="364">
        <v>0</v>
      </c>
      <c r="CI137" s="364">
        <v>0</v>
      </c>
      <c r="CJ137" s="365">
        <v>4</v>
      </c>
      <c r="CK137" s="363" t="s">
        <v>364</v>
      </c>
      <c r="CL137" s="364">
        <v>3</v>
      </c>
      <c r="CM137" s="364">
        <v>0</v>
      </c>
      <c r="CN137" s="364">
        <v>1</v>
      </c>
      <c r="CO137" s="364">
        <v>1</v>
      </c>
      <c r="CP137" s="364">
        <v>1</v>
      </c>
      <c r="CQ137" s="364">
        <v>1</v>
      </c>
      <c r="CR137" s="364">
        <v>0</v>
      </c>
      <c r="CS137" s="364">
        <v>0</v>
      </c>
      <c r="CT137" s="365">
        <v>1</v>
      </c>
      <c r="CU137" s="363" t="s">
        <v>366</v>
      </c>
      <c r="CV137" s="364">
        <v>3</v>
      </c>
      <c r="CW137" s="364">
        <v>0</v>
      </c>
      <c r="CX137" s="364">
        <v>0</v>
      </c>
      <c r="CY137" s="364">
        <v>1</v>
      </c>
      <c r="CZ137" s="364">
        <v>1</v>
      </c>
      <c r="DA137" s="364">
        <v>1</v>
      </c>
      <c r="DB137" s="364">
        <v>0</v>
      </c>
      <c r="DC137" s="364">
        <v>1</v>
      </c>
      <c r="DD137" s="365">
        <v>0</v>
      </c>
      <c r="DE137" s="363" t="s">
        <v>483</v>
      </c>
      <c r="DF137" s="364">
        <v>3</v>
      </c>
      <c r="DG137" s="364">
        <v>2</v>
      </c>
      <c r="DH137" s="364">
        <v>1</v>
      </c>
      <c r="DI137" s="364">
        <v>0</v>
      </c>
      <c r="DJ137" s="364">
        <v>0</v>
      </c>
      <c r="DK137" s="364">
        <v>1</v>
      </c>
      <c r="DL137" s="364">
        <v>1</v>
      </c>
      <c r="DM137" s="364">
        <v>0</v>
      </c>
      <c r="DN137" s="365">
        <v>1</v>
      </c>
      <c r="DO137" s="363" t="s">
        <v>442</v>
      </c>
      <c r="DP137" s="364">
        <v>1</v>
      </c>
      <c r="DQ137" s="364">
        <v>1</v>
      </c>
      <c r="DR137" s="364">
        <v>0</v>
      </c>
      <c r="DS137" s="364">
        <v>0</v>
      </c>
      <c r="DT137" s="364">
        <v>2</v>
      </c>
      <c r="DU137" s="364">
        <v>0</v>
      </c>
      <c r="DV137" s="364">
        <v>1</v>
      </c>
      <c r="DW137" s="364">
        <v>0</v>
      </c>
      <c r="DX137" s="365">
        <v>0</v>
      </c>
      <c r="DY137" s="366">
        <f>0+2/3</f>
        <v>0.66666666666666663</v>
      </c>
      <c r="DZ137" s="367">
        <v>0</v>
      </c>
      <c r="EA137" s="367">
        <v>0</v>
      </c>
      <c r="EB137" s="368">
        <f>7+1/3</f>
        <v>7.333333333333333</v>
      </c>
      <c r="EC137" s="367">
        <v>0</v>
      </c>
      <c r="ED137" s="369">
        <v>1</v>
      </c>
      <c r="EE137" s="370">
        <v>0</v>
      </c>
      <c r="EF137" s="367">
        <v>2</v>
      </c>
      <c r="EG137" s="367">
        <v>1</v>
      </c>
      <c r="EH137" s="367">
        <v>0</v>
      </c>
      <c r="EI137" s="367">
        <v>0</v>
      </c>
      <c r="EJ137" s="367">
        <v>0</v>
      </c>
      <c r="EK137" s="367">
        <v>0</v>
      </c>
      <c r="EL137" s="367">
        <v>3</v>
      </c>
      <c r="EM137" s="367"/>
      <c r="EN137" s="367"/>
      <c r="EO137" s="367"/>
      <c r="EP137" s="367"/>
      <c r="EQ137" s="367"/>
      <c r="ER137" s="367"/>
      <c r="ES137" s="367"/>
      <c r="ET137" s="369">
        <f t="shared" si="36"/>
        <v>6</v>
      </c>
      <c r="EU137" s="367">
        <v>0</v>
      </c>
      <c r="EV137" s="367">
        <v>1</v>
      </c>
      <c r="EW137" s="367">
        <v>0</v>
      </c>
      <c r="EX137" s="367">
        <v>0</v>
      </c>
      <c r="EY137" s="367">
        <v>0</v>
      </c>
      <c r="EZ137" s="367">
        <v>0</v>
      </c>
      <c r="FA137" s="367">
        <v>2</v>
      </c>
      <c r="FB137" s="367">
        <v>0</v>
      </c>
      <c r="FC137" s="367">
        <v>0</v>
      </c>
      <c r="FD137" s="367"/>
      <c r="FE137" s="367"/>
      <c r="FF137" s="367"/>
      <c r="FG137" s="367"/>
      <c r="FH137" s="367"/>
      <c r="FI137" s="367"/>
      <c r="FJ137" s="367">
        <f t="shared" si="37"/>
        <v>3</v>
      </c>
      <c r="FK137" s="371">
        <f t="shared" si="38"/>
        <v>0</v>
      </c>
      <c r="FL137" s="371">
        <f t="shared" si="39"/>
        <v>0</v>
      </c>
      <c r="FM137" s="372"/>
    </row>
    <row r="138" spans="1:169" x14ac:dyDescent="0.25">
      <c r="A138" s="380">
        <v>40424</v>
      </c>
      <c r="B138" s="380" t="s">
        <v>133</v>
      </c>
      <c r="C138" s="380" t="s">
        <v>131</v>
      </c>
      <c r="D138" s="380" t="s">
        <v>451</v>
      </c>
      <c r="E138" s="374">
        <v>7524</v>
      </c>
      <c r="F138" s="358">
        <v>4</v>
      </c>
      <c r="G138" s="359" t="s">
        <v>368</v>
      </c>
      <c r="H138" s="360">
        <v>0</v>
      </c>
      <c r="I138" s="360">
        <v>1</v>
      </c>
      <c r="J138" s="361">
        <v>6</v>
      </c>
      <c r="K138" s="360">
        <v>4</v>
      </c>
      <c r="L138" s="360">
        <v>2</v>
      </c>
      <c r="M138" s="360">
        <v>2</v>
      </c>
      <c r="N138" s="360">
        <v>4</v>
      </c>
      <c r="O138" s="360">
        <v>4</v>
      </c>
      <c r="P138" s="360">
        <v>0</v>
      </c>
      <c r="Q138" s="360">
        <v>0</v>
      </c>
      <c r="R138" s="360">
        <v>25</v>
      </c>
      <c r="S138" s="360">
        <v>94</v>
      </c>
      <c r="T138" s="360">
        <v>56</v>
      </c>
      <c r="U138" s="360">
        <v>0</v>
      </c>
      <c r="V138" s="362">
        <v>0</v>
      </c>
      <c r="W138" s="376">
        <v>0</v>
      </c>
      <c r="X138" s="376">
        <v>0</v>
      </c>
      <c r="Y138" s="376">
        <v>0</v>
      </c>
      <c r="Z138" s="376">
        <v>0</v>
      </c>
      <c r="AA138" s="376">
        <v>0</v>
      </c>
      <c r="AB138" s="377">
        <v>2</v>
      </c>
      <c r="AC138" s="376">
        <v>1</v>
      </c>
      <c r="AD138" s="376">
        <v>1</v>
      </c>
      <c r="AE138" s="376">
        <v>0</v>
      </c>
      <c r="AF138" s="376">
        <v>1</v>
      </c>
      <c r="AG138" s="376">
        <v>1</v>
      </c>
      <c r="AH138" s="376">
        <v>0</v>
      </c>
      <c r="AI138" s="376">
        <v>0</v>
      </c>
      <c r="AJ138" s="376">
        <v>8</v>
      </c>
      <c r="AK138" s="376">
        <v>28</v>
      </c>
      <c r="AL138" s="376">
        <v>18</v>
      </c>
      <c r="AM138" s="363" t="s">
        <v>402</v>
      </c>
      <c r="AN138" s="364">
        <v>3</v>
      </c>
      <c r="AO138" s="364">
        <v>0</v>
      </c>
      <c r="AP138" s="364">
        <v>0</v>
      </c>
      <c r="AQ138" s="364">
        <v>0</v>
      </c>
      <c r="AR138" s="364">
        <v>1</v>
      </c>
      <c r="AS138" s="364">
        <v>1</v>
      </c>
      <c r="AT138" s="364">
        <v>0</v>
      </c>
      <c r="AU138" s="364">
        <v>0</v>
      </c>
      <c r="AV138" s="365">
        <v>0</v>
      </c>
      <c r="AW138" s="363" t="s">
        <v>364</v>
      </c>
      <c r="AX138" s="364">
        <v>4</v>
      </c>
      <c r="AY138" s="364">
        <v>0</v>
      </c>
      <c r="AZ138" s="364">
        <v>0</v>
      </c>
      <c r="BA138" s="364">
        <v>0</v>
      </c>
      <c r="BB138" s="364">
        <v>0</v>
      </c>
      <c r="BC138" s="364">
        <v>1</v>
      </c>
      <c r="BD138" s="364">
        <v>0</v>
      </c>
      <c r="BE138" s="364">
        <v>0</v>
      </c>
      <c r="BF138" s="365">
        <v>0</v>
      </c>
      <c r="BG138" s="363" t="s">
        <v>650</v>
      </c>
      <c r="BH138" s="364">
        <v>3</v>
      </c>
      <c r="BI138" s="364">
        <v>0</v>
      </c>
      <c r="BJ138" s="364">
        <v>1</v>
      </c>
      <c r="BK138" s="364">
        <v>0</v>
      </c>
      <c r="BL138" s="364">
        <v>1</v>
      </c>
      <c r="BM138" s="364">
        <v>1</v>
      </c>
      <c r="BN138" s="364">
        <v>0</v>
      </c>
      <c r="BO138" s="364">
        <v>0</v>
      </c>
      <c r="BP138" s="365">
        <v>1</v>
      </c>
      <c r="BQ138" s="363" t="s">
        <v>496</v>
      </c>
      <c r="BR138" s="364">
        <v>4</v>
      </c>
      <c r="BS138" s="364">
        <v>0</v>
      </c>
      <c r="BT138" s="364">
        <v>0</v>
      </c>
      <c r="BU138" s="364">
        <v>0</v>
      </c>
      <c r="BV138" s="364">
        <v>0</v>
      </c>
      <c r="BW138" s="364">
        <v>2</v>
      </c>
      <c r="BX138" s="364">
        <v>0</v>
      </c>
      <c r="BY138" s="364">
        <v>0</v>
      </c>
      <c r="BZ138" s="365">
        <v>0</v>
      </c>
      <c r="CA138" s="363" t="s">
        <v>448</v>
      </c>
      <c r="CB138" s="364">
        <v>4</v>
      </c>
      <c r="CC138" s="364">
        <v>0</v>
      </c>
      <c r="CD138" s="364">
        <v>0</v>
      </c>
      <c r="CE138" s="364">
        <v>0</v>
      </c>
      <c r="CF138" s="364">
        <v>0</v>
      </c>
      <c r="CG138" s="364">
        <v>2</v>
      </c>
      <c r="CH138" s="364">
        <v>0</v>
      </c>
      <c r="CI138" s="364">
        <v>0</v>
      </c>
      <c r="CJ138" s="365">
        <v>0</v>
      </c>
      <c r="CK138" s="363" t="s">
        <v>366</v>
      </c>
      <c r="CL138" s="364">
        <v>3</v>
      </c>
      <c r="CM138" s="364">
        <v>0</v>
      </c>
      <c r="CN138" s="364">
        <v>1</v>
      </c>
      <c r="CO138" s="364">
        <v>0</v>
      </c>
      <c r="CP138" s="364">
        <v>1</v>
      </c>
      <c r="CQ138" s="364">
        <v>1</v>
      </c>
      <c r="CR138" s="364">
        <v>0</v>
      </c>
      <c r="CS138" s="364">
        <v>0</v>
      </c>
      <c r="CT138" s="365">
        <v>1</v>
      </c>
      <c r="CU138" s="363" t="s">
        <v>483</v>
      </c>
      <c r="CV138" s="364">
        <v>4</v>
      </c>
      <c r="CW138" s="364">
        <v>0</v>
      </c>
      <c r="CX138" s="364">
        <v>0</v>
      </c>
      <c r="CY138" s="364">
        <v>0</v>
      </c>
      <c r="CZ138" s="364">
        <v>0</v>
      </c>
      <c r="DA138" s="364">
        <v>2</v>
      </c>
      <c r="DB138" s="364">
        <v>0</v>
      </c>
      <c r="DC138" s="364">
        <v>0</v>
      </c>
      <c r="DD138" s="365">
        <v>0</v>
      </c>
      <c r="DE138" s="363" t="s">
        <v>639</v>
      </c>
      <c r="DF138" s="364">
        <v>3</v>
      </c>
      <c r="DG138" s="364">
        <v>0</v>
      </c>
      <c r="DH138" s="364">
        <v>2</v>
      </c>
      <c r="DI138" s="364">
        <v>0</v>
      </c>
      <c r="DJ138" s="364">
        <v>0</v>
      </c>
      <c r="DK138" s="364">
        <v>0</v>
      </c>
      <c r="DL138" s="364">
        <v>0</v>
      </c>
      <c r="DM138" s="364">
        <v>0</v>
      </c>
      <c r="DN138" s="365">
        <v>0</v>
      </c>
      <c r="DO138" s="363" t="s">
        <v>442</v>
      </c>
      <c r="DP138" s="364">
        <v>3</v>
      </c>
      <c r="DQ138" s="364">
        <v>0</v>
      </c>
      <c r="DR138" s="364">
        <v>1</v>
      </c>
      <c r="DS138" s="364">
        <v>0</v>
      </c>
      <c r="DT138" s="364">
        <v>0</v>
      </c>
      <c r="DU138" s="364">
        <v>0</v>
      </c>
      <c r="DV138" s="364">
        <v>0</v>
      </c>
      <c r="DW138" s="364">
        <v>0</v>
      </c>
      <c r="DX138" s="365">
        <v>1</v>
      </c>
      <c r="DY138" s="366">
        <v>2</v>
      </c>
      <c r="DZ138" s="367">
        <v>0</v>
      </c>
      <c r="EA138" s="367">
        <v>0</v>
      </c>
      <c r="EB138" s="368">
        <v>7</v>
      </c>
      <c r="EC138" s="367">
        <v>1</v>
      </c>
      <c r="ED138" s="369">
        <v>1</v>
      </c>
      <c r="EE138" s="370">
        <v>0</v>
      </c>
      <c r="EF138" s="367">
        <v>0</v>
      </c>
      <c r="EG138" s="367">
        <v>0</v>
      </c>
      <c r="EH138" s="367">
        <v>0</v>
      </c>
      <c r="EI138" s="367">
        <v>0</v>
      </c>
      <c r="EJ138" s="367">
        <v>0</v>
      </c>
      <c r="EK138" s="367">
        <v>0</v>
      </c>
      <c r="EL138" s="367">
        <v>0</v>
      </c>
      <c r="EM138" s="367">
        <v>0</v>
      </c>
      <c r="EN138" s="367"/>
      <c r="EO138" s="367"/>
      <c r="EP138" s="367"/>
      <c r="EQ138" s="367"/>
      <c r="ER138" s="367"/>
      <c r="ES138" s="367"/>
      <c r="ET138" s="369">
        <f t="shared" si="36"/>
        <v>0</v>
      </c>
      <c r="EU138" s="367">
        <v>0</v>
      </c>
      <c r="EV138" s="367">
        <v>0</v>
      </c>
      <c r="EW138" s="367">
        <v>0</v>
      </c>
      <c r="EX138" s="367">
        <v>0</v>
      </c>
      <c r="EY138" s="367">
        <v>0</v>
      </c>
      <c r="EZ138" s="367">
        <v>2</v>
      </c>
      <c r="FA138" s="367">
        <v>0</v>
      </c>
      <c r="FB138" s="367">
        <v>1</v>
      </c>
      <c r="FC138" s="367"/>
      <c r="FD138" s="367"/>
      <c r="FE138" s="367"/>
      <c r="FF138" s="367"/>
      <c r="FG138" s="367"/>
      <c r="FH138" s="367"/>
      <c r="FI138" s="367"/>
      <c r="FJ138" s="367">
        <f t="shared" si="37"/>
        <v>3</v>
      </c>
      <c r="FK138" s="371">
        <f t="shared" si="38"/>
        <v>0</v>
      </c>
      <c r="FL138" s="371">
        <f t="shared" si="39"/>
        <v>0</v>
      </c>
      <c r="FM138" s="372"/>
    </row>
    <row r="139" spans="1:169" x14ac:dyDescent="0.25">
      <c r="A139" s="380">
        <v>40425</v>
      </c>
      <c r="B139" s="380" t="s">
        <v>133</v>
      </c>
      <c r="C139" s="380" t="s">
        <v>131</v>
      </c>
      <c r="D139" s="380" t="s">
        <v>451</v>
      </c>
      <c r="E139" s="374">
        <v>5255</v>
      </c>
      <c r="F139" s="358">
        <v>5</v>
      </c>
      <c r="G139" s="359" t="s">
        <v>424</v>
      </c>
      <c r="H139" s="360">
        <v>0</v>
      </c>
      <c r="I139" s="360">
        <v>0</v>
      </c>
      <c r="J139" s="361">
        <v>5</v>
      </c>
      <c r="K139" s="360">
        <v>10</v>
      </c>
      <c r="L139" s="360">
        <v>4</v>
      </c>
      <c r="M139" s="360">
        <v>4</v>
      </c>
      <c r="N139" s="360">
        <v>1</v>
      </c>
      <c r="O139" s="360">
        <v>6</v>
      </c>
      <c r="P139" s="360">
        <v>0</v>
      </c>
      <c r="Q139" s="360">
        <v>0</v>
      </c>
      <c r="R139" s="360">
        <v>24</v>
      </c>
      <c r="S139" s="360">
        <v>100</v>
      </c>
      <c r="T139" s="360">
        <v>64</v>
      </c>
      <c r="U139" s="360">
        <v>0</v>
      </c>
      <c r="V139" s="362">
        <v>0</v>
      </c>
      <c r="W139" s="376">
        <v>0</v>
      </c>
      <c r="X139" s="376">
        <v>1</v>
      </c>
      <c r="Y139" s="376">
        <v>0</v>
      </c>
      <c r="Z139" s="376">
        <v>0</v>
      </c>
      <c r="AA139" s="376">
        <v>1</v>
      </c>
      <c r="AB139" s="377">
        <f>3+2/3</f>
        <v>3.6666666666666665</v>
      </c>
      <c r="AC139" s="376">
        <v>4</v>
      </c>
      <c r="AD139" s="376">
        <v>5</v>
      </c>
      <c r="AE139" s="376">
        <v>5</v>
      </c>
      <c r="AF139" s="376">
        <v>9</v>
      </c>
      <c r="AG139" s="376">
        <v>2</v>
      </c>
      <c r="AH139" s="376">
        <v>0</v>
      </c>
      <c r="AI139" s="376">
        <v>1</v>
      </c>
      <c r="AJ139" s="376">
        <v>25</v>
      </c>
      <c r="AK139" s="376">
        <v>109</v>
      </c>
      <c r="AL139" s="376">
        <v>51</v>
      </c>
      <c r="AM139" s="363" t="s">
        <v>441</v>
      </c>
      <c r="AN139" s="364">
        <v>3</v>
      </c>
      <c r="AO139" s="364">
        <v>1</v>
      </c>
      <c r="AP139" s="364">
        <v>0</v>
      </c>
      <c r="AQ139" s="364">
        <v>0</v>
      </c>
      <c r="AR139" s="364">
        <v>1</v>
      </c>
      <c r="AS139" s="364">
        <v>0</v>
      </c>
      <c r="AT139" s="364">
        <v>1</v>
      </c>
      <c r="AU139" s="364">
        <v>0</v>
      </c>
      <c r="AV139" s="365">
        <v>0</v>
      </c>
      <c r="AW139" s="363" t="s">
        <v>402</v>
      </c>
      <c r="AX139" s="364">
        <v>4</v>
      </c>
      <c r="AY139" s="364">
        <v>0</v>
      </c>
      <c r="AZ139" s="364">
        <v>1</v>
      </c>
      <c r="BA139" s="364">
        <v>2</v>
      </c>
      <c r="BB139" s="364">
        <v>0</v>
      </c>
      <c r="BC139" s="364">
        <v>3</v>
      </c>
      <c r="BD139" s="364">
        <v>0</v>
      </c>
      <c r="BE139" s="364">
        <v>1</v>
      </c>
      <c r="BF139" s="365">
        <v>2</v>
      </c>
      <c r="BG139" s="363" t="s">
        <v>650</v>
      </c>
      <c r="BH139" s="364">
        <v>4</v>
      </c>
      <c r="BI139" s="364">
        <v>0</v>
      </c>
      <c r="BJ139" s="364">
        <v>1</v>
      </c>
      <c r="BK139" s="364">
        <v>0</v>
      </c>
      <c r="BL139" s="364">
        <v>1</v>
      </c>
      <c r="BM139" s="364">
        <v>1</v>
      </c>
      <c r="BN139" s="364">
        <v>0</v>
      </c>
      <c r="BO139" s="364">
        <v>0</v>
      </c>
      <c r="BP139" s="365">
        <v>1</v>
      </c>
      <c r="BQ139" s="363" t="s">
        <v>496</v>
      </c>
      <c r="BR139" s="364">
        <v>5</v>
      </c>
      <c r="BS139" s="364">
        <v>0</v>
      </c>
      <c r="BT139" s="364">
        <v>2</v>
      </c>
      <c r="BU139" s="364">
        <v>1</v>
      </c>
      <c r="BV139" s="364">
        <v>0</v>
      </c>
      <c r="BW139" s="364">
        <v>0</v>
      </c>
      <c r="BX139" s="364">
        <v>0</v>
      </c>
      <c r="BY139" s="364">
        <v>0</v>
      </c>
      <c r="BZ139" s="365">
        <v>2</v>
      </c>
      <c r="CA139" s="363" t="s">
        <v>448</v>
      </c>
      <c r="CB139" s="364">
        <v>4</v>
      </c>
      <c r="CC139" s="364">
        <v>1</v>
      </c>
      <c r="CD139" s="364">
        <v>1</v>
      </c>
      <c r="CE139" s="364">
        <v>0</v>
      </c>
      <c r="CF139" s="364">
        <v>1</v>
      </c>
      <c r="CG139" s="364">
        <v>1</v>
      </c>
      <c r="CH139" s="364">
        <v>0</v>
      </c>
      <c r="CI139" s="364">
        <v>0</v>
      </c>
      <c r="CJ139" s="365">
        <v>2</v>
      </c>
      <c r="CK139" s="363" t="s">
        <v>364</v>
      </c>
      <c r="CL139" s="364">
        <v>5</v>
      </c>
      <c r="CM139" s="364">
        <v>1</v>
      </c>
      <c r="CN139" s="364">
        <v>3</v>
      </c>
      <c r="CO139" s="364">
        <v>1</v>
      </c>
      <c r="CP139" s="364">
        <v>0</v>
      </c>
      <c r="CQ139" s="364">
        <v>0</v>
      </c>
      <c r="CR139" s="364">
        <v>0</v>
      </c>
      <c r="CS139" s="364">
        <v>0</v>
      </c>
      <c r="CT139" s="365">
        <v>6</v>
      </c>
      <c r="CU139" s="363" t="s">
        <v>366</v>
      </c>
      <c r="CV139" s="364">
        <v>5</v>
      </c>
      <c r="CW139" s="364">
        <v>1</v>
      </c>
      <c r="CX139" s="364">
        <v>1</v>
      </c>
      <c r="CY139" s="364">
        <v>1</v>
      </c>
      <c r="CZ139" s="364">
        <v>0</v>
      </c>
      <c r="DA139" s="364">
        <v>1</v>
      </c>
      <c r="DB139" s="364">
        <v>0</v>
      </c>
      <c r="DC139" s="364">
        <v>0</v>
      </c>
      <c r="DD139" s="365">
        <v>2</v>
      </c>
      <c r="DE139" s="363" t="s">
        <v>449</v>
      </c>
      <c r="DF139" s="364">
        <v>4</v>
      </c>
      <c r="DG139" s="364">
        <v>2</v>
      </c>
      <c r="DH139" s="364">
        <v>2</v>
      </c>
      <c r="DI139" s="364">
        <v>1</v>
      </c>
      <c r="DJ139" s="364">
        <v>0</v>
      </c>
      <c r="DK139" s="364">
        <v>2</v>
      </c>
      <c r="DL139" s="364">
        <v>0</v>
      </c>
      <c r="DM139" s="364">
        <v>0</v>
      </c>
      <c r="DN139" s="365">
        <v>5</v>
      </c>
      <c r="DO139" s="363" t="s">
        <v>639</v>
      </c>
      <c r="DP139" s="364">
        <v>4</v>
      </c>
      <c r="DQ139" s="364">
        <v>2</v>
      </c>
      <c r="DR139" s="364">
        <v>2</v>
      </c>
      <c r="DS139" s="364">
        <v>1</v>
      </c>
      <c r="DT139" s="364">
        <v>0</v>
      </c>
      <c r="DU139" s="364">
        <v>0</v>
      </c>
      <c r="DV139" s="364">
        <v>0</v>
      </c>
      <c r="DW139" s="364">
        <v>0</v>
      </c>
      <c r="DX139" s="365">
        <v>2</v>
      </c>
      <c r="DY139" s="366">
        <v>0</v>
      </c>
      <c r="DZ139" s="367">
        <v>0</v>
      </c>
      <c r="EA139" s="367">
        <v>0</v>
      </c>
      <c r="EB139" s="368">
        <v>9</v>
      </c>
      <c r="EC139" s="367">
        <v>0</v>
      </c>
      <c r="ED139" s="369">
        <v>0</v>
      </c>
      <c r="EE139" s="370">
        <v>0</v>
      </c>
      <c r="EF139" s="367">
        <v>2</v>
      </c>
      <c r="EG139" s="367">
        <v>0</v>
      </c>
      <c r="EH139" s="367">
        <v>4</v>
      </c>
      <c r="EI139" s="367">
        <v>0</v>
      </c>
      <c r="EJ139" s="367">
        <v>0</v>
      </c>
      <c r="EK139" s="367">
        <v>1</v>
      </c>
      <c r="EL139" s="367">
        <v>1</v>
      </c>
      <c r="EM139" s="367">
        <v>0</v>
      </c>
      <c r="EN139" s="367"/>
      <c r="EO139" s="367"/>
      <c r="EP139" s="367"/>
      <c r="EQ139" s="367"/>
      <c r="ER139" s="367"/>
      <c r="ES139" s="367"/>
      <c r="ET139" s="369">
        <f t="shared" si="36"/>
        <v>8</v>
      </c>
      <c r="EU139" s="367">
        <v>0</v>
      </c>
      <c r="EV139" s="367">
        <v>0</v>
      </c>
      <c r="EW139" s="367">
        <v>3</v>
      </c>
      <c r="EX139" s="367">
        <v>0</v>
      </c>
      <c r="EY139" s="367">
        <v>1</v>
      </c>
      <c r="EZ139" s="367">
        <v>4</v>
      </c>
      <c r="FA139" s="367">
        <v>0</v>
      </c>
      <c r="FB139" s="367">
        <v>0</v>
      </c>
      <c r="FC139" s="367">
        <v>1</v>
      </c>
      <c r="FD139" s="367"/>
      <c r="FE139" s="367"/>
      <c r="FF139" s="367"/>
      <c r="FG139" s="367"/>
      <c r="FH139" s="367"/>
      <c r="FI139" s="367"/>
      <c r="FJ139" s="367">
        <f t="shared" si="37"/>
        <v>9</v>
      </c>
      <c r="FK139" s="371">
        <f t="shared" si="38"/>
        <v>0</v>
      </c>
      <c r="FL139" s="371">
        <f t="shared" si="39"/>
        <v>0</v>
      </c>
      <c r="FM139" s="372"/>
    </row>
    <row r="140" spans="1:169" x14ac:dyDescent="0.25">
      <c r="A140" s="380">
        <v>40426</v>
      </c>
      <c r="B140" s="380" t="s">
        <v>133</v>
      </c>
      <c r="C140" s="380" t="s">
        <v>129</v>
      </c>
      <c r="D140" s="380" t="s">
        <v>451</v>
      </c>
      <c r="E140" s="374">
        <v>7548</v>
      </c>
      <c r="F140" s="358">
        <v>1</v>
      </c>
      <c r="G140" s="359" t="s">
        <v>470</v>
      </c>
      <c r="H140" s="360">
        <v>0</v>
      </c>
      <c r="I140" s="360">
        <v>0</v>
      </c>
      <c r="J140" s="361">
        <v>6</v>
      </c>
      <c r="K140" s="360">
        <v>4</v>
      </c>
      <c r="L140" s="360">
        <v>0</v>
      </c>
      <c r="M140" s="360">
        <v>0</v>
      </c>
      <c r="N140" s="360">
        <v>2</v>
      </c>
      <c r="O140" s="360">
        <v>10</v>
      </c>
      <c r="P140" s="360">
        <v>0</v>
      </c>
      <c r="Q140" s="360">
        <v>0</v>
      </c>
      <c r="R140" s="360">
        <v>22</v>
      </c>
      <c r="S140" s="360">
        <v>95</v>
      </c>
      <c r="T140" s="360">
        <v>57</v>
      </c>
      <c r="U140" s="360">
        <v>0</v>
      </c>
      <c r="V140" s="362">
        <v>0</v>
      </c>
      <c r="W140" s="376">
        <v>1</v>
      </c>
      <c r="X140" s="376">
        <v>0</v>
      </c>
      <c r="Y140" s="376">
        <v>0</v>
      </c>
      <c r="Z140" s="376">
        <v>1</v>
      </c>
      <c r="AA140" s="376">
        <v>0</v>
      </c>
      <c r="AB140" s="377">
        <v>4</v>
      </c>
      <c r="AC140" s="376">
        <v>2</v>
      </c>
      <c r="AD140" s="376">
        <v>0</v>
      </c>
      <c r="AE140" s="376">
        <v>0</v>
      </c>
      <c r="AF140" s="376">
        <v>1</v>
      </c>
      <c r="AG140" s="376">
        <v>1</v>
      </c>
      <c r="AH140" s="376">
        <v>0</v>
      </c>
      <c r="AI140" s="376">
        <v>0</v>
      </c>
      <c r="AJ140" s="376">
        <v>14</v>
      </c>
      <c r="AK140" s="376">
        <v>65</v>
      </c>
      <c r="AL140" s="376">
        <v>41</v>
      </c>
      <c r="AM140" s="363" t="s">
        <v>402</v>
      </c>
      <c r="AN140" s="364">
        <v>4</v>
      </c>
      <c r="AO140" s="364">
        <v>0</v>
      </c>
      <c r="AP140" s="364">
        <v>0</v>
      </c>
      <c r="AQ140" s="364">
        <v>0</v>
      </c>
      <c r="AR140" s="364">
        <v>0</v>
      </c>
      <c r="AS140" s="364">
        <v>2</v>
      </c>
      <c r="AT140" s="364">
        <v>0</v>
      </c>
      <c r="AU140" s="364">
        <v>0</v>
      </c>
      <c r="AV140" s="365">
        <v>0</v>
      </c>
      <c r="AW140" s="363" t="s">
        <v>364</v>
      </c>
      <c r="AX140" s="364">
        <v>4</v>
      </c>
      <c r="AY140" s="364">
        <v>0</v>
      </c>
      <c r="AZ140" s="364">
        <v>1</v>
      </c>
      <c r="BA140" s="364">
        <v>0</v>
      </c>
      <c r="BB140" s="364">
        <v>0</v>
      </c>
      <c r="BC140" s="364">
        <v>1</v>
      </c>
      <c r="BD140" s="364">
        <v>0</v>
      </c>
      <c r="BE140" s="364">
        <v>0</v>
      </c>
      <c r="BF140" s="365">
        <v>1</v>
      </c>
      <c r="BG140" s="363" t="s">
        <v>650</v>
      </c>
      <c r="BH140" s="364">
        <v>4</v>
      </c>
      <c r="BI140" s="364">
        <v>0</v>
      </c>
      <c r="BJ140" s="364">
        <v>1</v>
      </c>
      <c r="BK140" s="364">
        <v>0</v>
      </c>
      <c r="BL140" s="364">
        <v>0</v>
      </c>
      <c r="BM140" s="364">
        <v>1</v>
      </c>
      <c r="BN140" s="364">
        <v>0</v>
      </c>
      <c r="BO140" s="364">
        <v>0</v>
      </c>
      <c r="BP140" s="365">
        <v>1</v>
      </c>
      <c r="BQ140" s="363" t="s">
        <v>496</v>
      </c>
      <c r="BR140" s="364">
        <v>4</v>
      </c>
      <c r="BS140" s="364">
        <v>0</v>
      </c>
      <c r="BT140" s="364">
        <v>0</v>
      </c>
      <c r="BU140" s="364">
        <v>0</v>
      </c>
      <c r="BV140" s="364">
        <v>0</v>
      </c>
      <c r="BW140" s="364">
        <v>0</v>
      </c>
      <c r="BX140" s="364">
        <v>0</v>
      </c>
      <c r="BY140" s="364">
        <v>0</v>
      </c>
      <c r="BZ140" s="365">
        <v>0</v>
      </c>
      <c r="CA140" s="363" t="s">
        <v>448</v>
      </c>
      <c r="CB140" s="364">
        <v>4</v>
      </c>
      <c r="CC140" s="364">
        <v>0</v>
      </c>
      <c r="CD140" s="364">
        <v>1</v>
      </c>
      <c r="CE140" s="364">
        <v>0</v>
      </c>
      <c r="CF140" s="364">
        <v>0</v>
      </c>
      <c r="CG140" s="364">
        <v>0</v>
      </c>
      <c r="CH140" s="364">
        <v>0</v>
      </c>
      <c r="CI140" s="364">
        <v>0</v>
      </c>
      <c r="CJ140" s="365">
        <v>2</v>
      </c>
      <c r="CK140" s="363" t="s">
        <v>366</v>
      </c>
      <c r="CL140" s="364">
        <v>3</v>
      </c>
      <c r="CM140" s="364">
        <v>0</v>
      </c>
      <c r="CN140" s="364">
        <v>0</v>
      </c>
      <c r="CO140" s="364">
        <v>0</v>
      </c>
      <c r="CP140" s="364">
        <v>1</v>
      </c>
      <c r="CQ140" s="364">
        <v>2</v>
      </c>
      <c r="CR140" s="364">
        <v>0</v>
      </c>
      <c r="CS140" s="364">
        <v>0</v>
      </c>
      <c r="CT140" s="365">
        <v>0</v>
      </c>
      <c r="CU140" s="363" t="s">
        <v>483</v>
      </c>
      <c r="CV140" s="364">
        <v>4</v>
      </c>
      <c r="CW140" s="364">
        <v>1</v>
      </c>
      <c r="CX140" s="364">
        <v>1</v>
      </c>
      <c r="CY140" s="364">
        <v>1</v>
      </c>
      <c r="CZ140" s="364">
        <v>0</v>
      </c>
      <c r="DA140" s="364">
        <v>2</v>
      </c>
      <c r="DB140" s="364">
        <v>0</v>
      </c>
      <c r="DC140" s="364">
        <v>0</v>
      </c>
      <c r="DD140" s="365">
        <v>4</v>
      </c>
      <c r="DE140" s="363" t="s">
        <v>639</v>
      </c>
      <c r="DF140" s="364">
        <v>4</v>
      </c>
      <c r="DG140" s="364">
        <v>0</v>
      </c>
      <c r="DH140" s="364">
        <v>1</v>
      </c>
      <c r="DI140" s="364">
        <v>0</v>
      </c>
      <c r="DJ140" s="364">
        <v>0</v>
      </c>
      <c r="DK140" s="364">
        <v>1</v>
      </c>
      <c r="DL140" s="364">
        <v>0</v>
      </c>
      <c r="DM140" s="364">
        <v>0</v>
      </c>
      <c r="DN140" s="365">
        <v>2</v>
      </c>
      <c r="DO140" s="363" t="s">
        <v>442</v>
      </c>
      <c r="DP140" s="364">
        <v>3</v>
      </c>
      <c r="DQ140" s="364">
        <v>0</v>
      </c>
      <c r="DR140" s="364">
        <v>0</v>
      </c>
      <c r="DS140" s="364">
        <v>0</v>
      </c>
      <c r="DT140" s="364">
        <v>1</v>
      </c>
      <c r="DU140" s="364">
        <v>1</v>
      </c>
      <c r="DV140" s="364">
        <v>0</v>
      </c>
      <c r="DW140" s="364">
        <v>0</v>
      </c>
      <c r="DX140" s="365">
        <v>0</v>
      </c>
      <c r="DY140" s="366">
        <f>1+2/3</f>
        <v>1.6666666666666665</v>
      </c>
      <c r="DZ140" s="367">
        <v>0</v>
      </c>
      <c r="EA140" s="367">
        <v>0</v>
      </c>
      <c r="EB140" s="368">
        <f>8+1/3</f>
        <v>8.3333333333333339</v>
      </c>
      <c r="EC140" s="367">
        <v>0</v>
      </c>
      <c r="ED140" s="369">
        <v>0</v>
      </c>
      <c r="EE140" s="370">
        <v>0</v>
      </c>
      <c r="EF140" s="367">
        <v>0</v>
      </c>
      <c r="EG140" s="367">
        <v>0</v>
      </c>
      <c r="EH140" s="367">
        <v>0</v>
      </c>
      <c r="EI140" s="367">
        <v>0</v>
      </c>
      <c r="EJ140" s="367">
        <v>0</v>
      </c>
      <c r="EK140" s="367">
        <v>0</v>
      </c>
      <c r="EL140" s="367">
        <v>0</v>
      </c>
      <c r="EM140" s="367">
        <v>0</v>
      </c>
      <c r="EN140" s="367">
        <v>1</v>
      </c>
      <c r="EO140" s="367"/>
      <c r="EP140" s="367"/>
      <c r="EQ140" s="367"/>
      <c r="ER140" s="367"/>
      <c r="ES140" s="367"/>
      <c r="ET140" s="369">
        <f t="shared" si="36"/>
        <v>1</v>
      </c>
      <c r="EU140" s="367">
        <v>0</v>
      </c>
      <c r="EV140" s="367">
        <v>0</v>
      </c>
      <c r="EW140" s="367">
        <v>0</v>
      </c>
      <c r="EX140" s="367">
        <v>0</v>
      </c>
      <c r="EY140" s="367">
        <v>0</v>
      </c>
      <c r="EZ140" s="367">
        <v>0</v>
      </c>
      <c r="FA140" s="367">
        <v>0</v>
      </c>
      <c r="FB140" s="367">
        <v>0</v>
      </c>
      <c r="FC140" s="367">
        <v>0</v>
      </c>
      <c r="FD140" s="367">
        <v>0</v>
      </c>
      <c r="FE140" s="367"/>
      <c r="FF140" s="367"/>
      <c r="FG140" s="367"/>
      <c r="FH140" s="367"/>
      <c r="FI140" s="367"/>
      <c r="FJ140" s="367">
        <f t="shared" si="37"/>
        <v>0</v>
      </c>
      <c r="FK140" s="371">
        <f t="shared" si="38"/>
        <v>0</v>
      </c>
      <c r="FL140" s="371">
        <f t="shared" si="39"/>
        <v>0</v>
      </c>
      <c r="FM140" s="372"/>
    </row>
    <row r="141" spans="1:169" x14ac:dyDescent="0.25">
      <c r="A141" s="380">
        <v>40427</v>
      </c>
      <c r="B141" s="380" t="s">
        <v>133</v>
      </c>
      <c r="C141" s="380" t="s">
        <v>131</v>
      </c>
      <c r="D141" s="380" t="s">
        <v>451</v>
      </c>
      <c r="E141" s="374">
        <v>4162</v>
      </c>
      <c r="F141" s="358">
        <v>2</v>
      </c>
      <c r="G141" s="359" t="s">
        <v>438</v>
      </c>
      <c r="H141" s="360">
        <v>0</v>
      </c>
      <c r="I141" s="360">
        <v>0</v>
      </c>
      <c r="J141" s="361">
        <v>2</v>
      </c>
      <c r="K141" s="360">
        <v>1</v>
      </c>
      <c r="L141" s="360">
        <v>0</v>
      </c>
      <c r="M141" s="360">
        <v>0</v>
      </c>
      <c r="N141" s="360">
        <v>1</v>
      </c>
      <c r="O141" s="360">
        <v>2</v>
      </c>
      <c r="P141" s="360">
        <v>0</v>
      </c>
      <c r="Q141" s="360">
        <v>0</v>
      </c>
      <c r="R141" s="360">
        <v>8</v>
      </c>
      <c r="S141" s="360">
        <v>39</v>
      </c>
      <c r="T141" s="360">
        <v>25</v>
      </c>
      <c r="U141" s="360">
        <v>0</v>
      </c>
      <c r="V141" s="362">
        <v>0</v>
      </c>
      <c r="W141" s="376">
        <v>0</v>
      </c>
      <c r="X141" s="376">
        <v>1</v>
      </c>
      <c r="Y141" s="376">
        <v>0</v>
      </c>
      <c r="Z141" s="376">
        <v>0</v>
      </c>
      <c r="AA141" s="376">
        <v>1</v>
      </c>
      <c r="AB141" s="377">
        <v>6</v>
      </c>
      <c r="AC141" s="376">
        <v>8</v>
      </c>
      <c r="AD141" s="376">
        <v>7</v>
      </c>
      <c r="AE141" s="376">
        <v>5</v>
      </c>
      <c r="AF141" s="376">
        <v>2</v>
      </c>
      <c r="AG141" s="376">
        <v>3</v>
      </c>
      <c r="AH141" s="376">
        <v>0</v>
      </c>
      <c r="AI141" s="376">
        <v>0</v>
      </c>
      <c r="AJ141" s="376">
        <v>28</v>
      </c>
      <c r="AK141" s="376">
        <v>101</v>
      </c>
      <c r="AL141" s="376">
        <v>60</v>
      </c>
      <c r="AM141" s="363" t="s">
        <v>402</v>
      </c>
      <c r="AN141" s="364">
        <v>3</v>
      </c>
      <c r="AO141" s="364">
        <v>1</v>
      </c>
      <c r="AP141" s="364">
        <v>0</v>
      </c>
      <c r="AQ141" s="364">
        <v>0</v>
      </c>
      <c r="AR141" s="364">
        <v>2</v>
      </c>
      <c r="AS141" s="364">
        <v>0</v>
      </c>
      <c r="AT141" s="364">
        <v>0</v>
      </c>
      <c r="AU141" s="364">
        <v>0</v>
      </c>
      <c r="AV141" s="365">
        <v>0</v>
      </c>
      <c r="AW141" s="363" t="s">
        <v>364</v>
      </c>
      <c r="AX141" s="364">
        <v>4</v>
      </c>
      <c r="AY141" s="364">
        <v>2</v>
      </c>
      <c r="AZ141" s="364">
        <v>1</v>
      </c>
      <c r="BA141" s="364">
        <v>2</v>
      </c>
      <c r="BB141" s="364">
        <v>1</v>
      </c>
      <c r="BC141" s="364">
        <v>1</v>
      </c>
      <c r="BD141" s="364">
        <v>0</v>
      </c>
      <c r="BE141" s="364">
        <v>0</v>
      </c>
      <c r="BF141" s="365">
        <v>4</v>
      </c>
      <c r="BG141" s="363" t="s">
        <v>650</v>
      </c>
      <c r="BH141" s="364">
        <v>5</v>
      </c>
      <c r="BI141" s="364">
        <v>1</v>
      </c>
      <c r="BJ141" s="364">
        <v>1</v>
      </c>
      <c r="BK141" s="364">
        <v>0</v>
      </c>
      <c r="BL141" s="364">
        <v>0</v>
      </c>
      <c r="BM141" s="364">
        <v>1</v>
      </c>
      <c r="BN141" s="364">
        <v>0</v>
      </c>
      <c r="BO141" s="364">
        <v>0</v>
      </c>
      <c r="BP141" s="365">
        <v>1</v>
      </c>
      <c r="BQ141" s="363" t="s">
        <v>496</v>
      </c>
      <c r="BR141" s="364">
        <v>5</v>
      </c>
      <c r="BS141" s="364">
        <v>1</v>
      </c>
      <c r="BT141" s="364">
        <v>1</v>
      </c>
      <c r="BU141" s="364">
        <v>3</v>
      </c>
      <c r="BV141" s="364">
        <v>0</v>
      </c>
      <c r="BW141" s="364">
        <v>1</v>
      </c>
      <c r="BX141" s="364">
        <v>0</v>
      </c>
      <c r="BY141" s="364">
        <v>0</v>
      </c>
      <c r="BZ141" s="365">
        <v>4</v>
      </c>
      <c r="CA141" s="363" t="s">
        <v>448</v>
      </c>
      <c r="CB141" s="364">
        <v>5</v>
      </c>
      <c r="CC141" s="364">
        <v>0</v>
      </c>
      <c r="CD141" s="364">
        <v>2</v>
      </c>
      <c r="CE141" s="364">
        <v>0</v>
      </c>
      <c r="CF141" s="364">
        <v>0</v>
      </c>
      <c r="CG141" s="364">
        <v>0</v>
      </c>
      <c r="CH141" s="364">
        <v>0</v>
      </c>
      <c r="CI141" s="364">
        <v>0</v>
      </c>
      <c r="CJ141" s="365">
        <v>2</v>
      </c>
      <c r="CK141" s="363" t="s">
        <v>366</v>
      </c>
      <c r="CL141" s="364">
        <v>2</v>
      </c>
      <c r="CM141" s="364">
        <v>0</v>
      </c>
      <c r="CN141" s="364">
        <v>1</v>
      </c>
      <c r="CO141" s="364">
        <v>1</v>
      </c>
      <c r="CP141" s="364">
        <v>2</v>
      </c>
      <c r="CQ141" s="364">
        <v>1</v>
      </c>
      <c r="CR141" s="364">
        <v>0</v>
      </c>
      <c r="CS141" s="364">
        <v>0</v>
      </c>
      <c r="CT141" s="365">
        <v>1</v>
      </c>
      <c r="CU141" s="363" t="s">
        <v>449</v>
      </c>
      <c r="CV141" s="364">
        <v>4</v>
      </c>
      <c r="CW141" s="364">
        <v>0</v>
      </c>
      <c r="CX141" s="364">
        <v>0</v>
      </c>
      <c r="CY141" s="364">
        <v>0</v>
      </c>
      <c r="CZ141" s="364">
        <v>0</v>
      </c>
      <c r="DA141" s="364">
        <v>2</v>
      </c>
      <c r="DB141" s="364">
        <v>0</v>
      </c>
      <c r="DC141" s="364">
        <v>0</v>
      </c>
      <c r="DD141" s="365">
        <v>0</v>
      </c>
      <c r="DE141" s="363" t="s">
        <v>639</v>
      </c>
      <c r="DF141" s="364">
        <v>3</v>
      </c>
      <c r="DG141" s="364">
        <v>0</v>
      </c>
      <c r="DH141" s="364">
        <v>1</v>
      </c>
      <c r="DI141" s="364">
        <v>0</v>
      </c>
      <c r="DJ141" s="364">
        <v>1</v>
      </c>
      <c r="DK141" s="364">
        <v>1</v>
      </c>
      <c r="DL141" s="364">
        <v>0</v>
      </c>
      <c r="DM141" s="364">
        <v>0</v>
      </c>
      <c r="DN141" s="365">
        <v>2</v>
      </c>
      <c r="DO141" s="363" t="s">
        <v>442</v>
      </c>
      <c r="DP141" s="364">
        <v>4</v>
      </c>
      <c r="DQ141" s="364">
        <v>1</v>
      </c>
      <c r="DR141" s="364">
        <v>1</v>
      </c>
      <c r="DS141" s="364">
        <v>0</v>
      </c>
      <c r="DT141" s="364">
        <v>0</v>
      </c>
      <c r="DU141" s="364">
        <v>2</v>
      </c>
      <c r="DV141" s="364">
        <v>0</v>
      </c>
      <c r="DW141" s="364">
        <v>0</v>
      </c>
      <c r="DX141" s="365">
        <v>3</v>
      </c>
      <c r="DY141" s="366">
        <v>0</v>
      </c>
      <c r="DZ141" s="367">
        <v>0</v>
      </c>
      <c r="EA141" s="367">
        <v>0</v>
      </c>
      <c r="EB141" s="368">
        <v>9</v>
      </c>
      <c r="EC141" s="367">
        <v>0</v>
      </c>
      <c r="ED141" s="369">
        <v>0</v>
      </c>
      <c r="EE141" s="370">
        <v>2</v>
      </c>
      <c r="EF141" s="367">
        <v>2</v>
      </c>
      <c r="EG141" s="367">
        <v>0</v>
      </c>
      <c r="EH141" s="367">
        <v>2</v>
      </c>
      <c r="EI141" s="367">
        <v>0</v>
      </c>
      <c r="EJ141" s="367">
        <v>0</v>
      </c>
      <c r="EK141" s="367">
        <v>0</v>
      </c>
      <c r="EL141" s="367">
        <v>0</v>
      </c>
      <c r="EM141" s="367">
        <v>0</v>
      </c>
      <c r="EN141" s="367"/>
      <c r="EO141" s="367"/>
      <c r="EP141" s="367"/>
      <c r="EQ141" s="367"/>
      <c r="ER141" s="367"/>
      <c r="ES141" s="367"/>
      <c r="ET141" s="369">
        <f t="shared" si="36"/>
        <v>6</v>
      </c>
      <c r="EU141" s="367">
        <v>0</v>
      </c>
      <c r="EV141" s="367">
        <v>0</v>
      </c>
      <c r="EW141" s="367">
        <v>2</v>
      </c>
      <c r="EX141" s="367">
        <v>3</v>
      </c>
      <c r="EY141" s="367">
        <v>0</v>
      </c>
      <c r="EZ141" s="367">
        <v>0</v>
      </c>
      <c r="FA141" s="367">
        <v>0</v>
      </c>
      <c r="FB141" s="367">
        <v>2</v>
      </c>
      <c r="FC141" s="367"/>
      <c r="FD141" s="367"/>
      <c r="FE141" s="367"/>
      <c r="FF141" s="367"/>
      <c r="FG141" s="367"/>
      <c r="FH141" s="367"/>
      <c r="FI141" s="367"/>
      <c r="FJ141" s="367">
        <f t="shared" si="37"/>
        <v>7</v>
      </c>
      <c r="FK141" s="371">
        <f t="shared" si="38"/>
        <v>0</v>
      </c>
      <c r="FL141" s="371">
        <f t="shared" si="39"/>
        <v>0</v>
      </c>
      <c r="FM141" s="372" t="s">
        <v>678</v>
      </c>
    </row>
    <row r="142" spans="1:169" x14ac:dyDescent="0.25">
      <c r="A142" s="373">
        <f>SUBTOTAL(103,Table127[Date])</f>
        <v>138</v>
      </c>
      <c r="B142" s="373"/>
      <c r="C142" s="373"/>
      <c r="D142" s="373"/>
      <c r="E142" s="374">
        <f>SUBTOTAL(109,Table127[Att])</f>
        <v>469511</v>
      </c>
      <c r="F142" s="374"/>
      <c r="G142" s="375" t="s">
        <v>34</v>
      </c>
      <c r="H142" s="376">
        <f>SUBTOTAL(109,Table127[S-W])</f>
        <v>34</v>
      </c>
      <c r="I142" s="376">
        <f>SUBTOTAL(109,Table127[S-L])</f>
        <v>43</v>
      </c>
      <c r="J142" s="377">
        <f>SUBTOTAL(109,Table127[S-IP])</f>
        <v>695.66666666666663</v>
      </c>
      <c r="K142" s="376">
        <f>SUBTOTAL(109,Table127[S-H])</f>
        <v>694</v>
      </c>
      <c r="L142" s="376">
        <f>SUBTOTAL(109,Table127[S-R])</f>
        <v>348</v>
      </c>
      <c r="M142" s="376">
        <f>SUBTOTAL(109,Table127[S-ER])</f>
        <v>294</v>
      </c>
      <c r="N142" s="376">
        <f>SUBTOTAL(109,Table127[S-BB])</f>
        <v>275</v>
      </c>
      <c r="O142" s="376">
        <f>SUBTOTAL(109,Table127[S-SO])</f>
        <v>605</v>
      </c>
      <c r="P142" s="376">
        <f>SUBTOTAL(109,Table127[S-HR])</f>
        <v>45</v>
      </c>
      <c r="Q142" s="376">
        <f>SUBTOTAL(109,Table127[S-HBP])</f>
        <v>28</v>
      </c>
      <c r="R142" s="376">
        <f>SUBTOTAL(109,Table127[S-BF])</f>
        <v>3001</v>
      </c>
      <c r="S142" s="376">
        <f>SUBTOTAL(109,Table127[S-Pit])</f>
        <v>11253</v>
      </c>
      <c r="T142" s="376">
        <f>SUBTOTAL(109,Table127[S-Str])</f>
        <v>7019</v>
      </c>
      <c r="U142" s="376">
        <f>SUBTOTAL(109,Table127[IRL])</f>
        <v>70</v>
      </c>
      <c r="V142" s="376">
        <f>SUBTOTAL(109,Table127[IRS])</f>
        <v>15</v>
      </c>
      <c r="W142" s="376">
        <f>SUBTOTAL(109,Table127[B-W])</f>
        <v>38</v>
      </c>
      <c r="X142" s="376">
        <f>SUBTOTAL(109,Table127[B-L])</f>
        <v>23</v>
      </c>
      <c r="Y142" s="376">
        <f>SUBTOTAL(109,Table127[Hld])</f>
        <v>29</v>
      </c>
      <c r="Z142" s="376">
        <f>SUBTOTAL(109,Table127[Sv])</f>
        <v>40</v>
      </c>
      <c r="AA142" s="376">
        <f>SUBTOTAL(109,Table127[BS])</f>
        <v>20</v>
      </c>
      <c r="AB142" s="377">
        <f>SUBTOTAL(109,Table127[B-IP])</f>
        <v>525.33333333333337</v>
      </c>
      <c r="AC142" s="376">
        <f>SUBTOTAL(109,Table127[B-H])</f>
        <v>532</v>
      </c>
      <c r="AD142" s="376">
        <f>SUBTOTAL(109,Table127[B-R])</f>
        <v>252</v>
      </c>
      <c r="AE142" s="376">
        <f>SUBTOTAL(109,Table127[B-ER])</f>
        <v>227</v>
      </c>
      <c r="AF142" s="376">
        <f>SUBTOTAL(109,Table127[B-BB])</f>
        <v>203</v>
      </c>
      <c r="AG142" s="376">
        <f>SUBTOTAL(109,Table127[B-SO])</f>
        <v>440</v>
      </c>
      <c r="AH142" s="376">
        <f>SUBTOTAL(109,Table127[B-HR])</f>
        <v>44</v>
      </c>
      <c r="AI142" s="376">
        <f>SUBTOTAL(109,Table127[B-HBP])</f>
        <v>25</v>
      </c>
      <c r="AJ142" s="376">
        <f>SUBTOTAL(109,Table127[B-BF])</f>
        <v>2293</v>
      </c>
      <c r="AK142" s="376">
        <f>SUBTOTAL(109,Table127[B-Pit])</f>
        <v>8410</v>
      </c>
      <c r="AL142" s="376">
        <f>SUBTOTAL(109,Table127[B-Str])</f>
        <v>5213</v>
      </c>
      <c r="AM142" s="375" t="str">
        <f>INDEX(Table127[Starter1],MODE(MATCH(Table127[Starter1],Table127[Starter1],0)))</f>
        <v>Salem, E</v>
      </c>
      <c r="AN142" s="374">
        <f>SUBTOTAL(109,Table127[AB1])</f>
        <v>561</v>
      </c>
      <c r="AO142" s="374">
        <f>SUBTOTAL(109,Table127[R1])</f>
        <v>71</v>
      </c>
      <c r="AP142" s="374">
        <f>SUBTOTAL(109,Table127[H1])</f>
        <v>132</v>
      </c>
      <c r="AQ142" s="374">
        <f>SUBTOTAL(109,Table127[RBI1])</f>
        <v>39</v>
      </c>
      <c r="AR142" s="374">
        <f>SUBTOTAL(109,Table127[BB1])</f>
        <v>60</v>
      </c>
      <c r="AS142" s="374">
        <f>SUBTOTAL(109,Table127[SO1])</f>
        <v>80</v>
      </c>
      <c r="AT142" s="374">
        <f>SUBTOTAL(109,Table127[HBP1])</f>
        <v>10</v>
      </c>
      <c r="AU142" s="374">
        <f>SUBTOTAL(109,Table127[SF1])</f>
        <v>1</v>
      </c>
      <c r="AV142" s="374">
        <f>SUBTOTAL(109,Table127[TB1])</f>
        <v>172</v>
      </c>
      <c r="AW142" s="375" t="str">
        <f>INDEX(Table127[Starter2],MODE(MATCH(Table127[Starter2],Table127[Starter2],0)))</f>
        <v>Eldridge, R</v>
      </c>
      <c r="AX142" s="374">
        <f>SUBTOTAL(109,Table127[AB2])</f>
        <v>545</v>
      </c>
      <c r="AY142" s="374">
        <f>SUBTOTAL(109,Table127[R2])</f>
        <v>66</v>
      </c>
      <c r="AZ142" s="374">
        <f>SUBTOTAL(109,Table127[H2])</f>
        <v>137</v>
      </c>
      <c r="BA142" s="374">
        <f>SUBTOTAL(109,Table127[RBI2])</f>
        <v>42</v>
      </c>
      <c r="BB142" s="374">
        <f>SUBTOTAL(109,Table127[BB2])</f>
        <v>63</v>
      </c>
      <c r="BC142" s="374">
        <f>SUBTOTAL(109,Table127[SO2])</f>
        <v>84</v>
      </c>
      <c r="BD142" s="374">
        <f>SUBTOTAL(109,Table127[HBP2])</f>
        <v>3</v>
      </c>
      <c r="BE142" s="374">
        <f>SUBTOTAL(109,Table127[SF2])</f>
        <v>6</v>
      </c>
      <c r="BF142" s="374">
        <f>SUBTOTAL(109,Table127[TB2])</f>
        <v>186</v>
      </c>
      <c r="BG142" s="375" t="str">
        <f>INDEX(Table127[Starter3],MODE(MATCH(Table127[Starter3],Table127[Starter3],0)))</f>
        <v>Ashley, N</v>
      </c>
      <c r="BH142" s="374">
        <f>SUBTOTAL(109,Table127[AB3])</f>
        <v>535</v>
      </c>
      <c r="BI142" s="374">
        <f>SUBTOTAL(109,Table127[R3])</f>
        <v>66</v>
      </c>
      <c r="BJ142" s="374">
        <f>SUBTOTAL(109,Table127[H3])</f>
        <v>130</v>
      </c>
      <c r="BK142" s="374">
        <f>SUBTOTAL(109,Table127[RBI3])</f>
        <v>58</v>
      </c>
      <c r="BL142" s="374">
        <f>SUBTOTAL(109,Table127[BB3])</f>
        <v>65</v>
      </c>
      <c r="BM142" s="374">
        <f>SUBTOTAL(109,Table127[SO3])</f>
        <v>116</v>
      </c>
      <c r="BN142" s="374">
        <f>SUBTOTAL(109,Table127[HBP3])</f>
        <v>8</v>
      </c>
      <c r="BO142" s="374">
        <f>SUBTOTAL(109,Table127[SF3])</f>
        <v>5</v>
      </c>
      <c r="BP142" s="374">
        <f>SUBTOTAL(109,Table127[TB3])</f>
        <v>184</v>
      </c>
      <c r="BQ142" s="375" t="str">
        <f>INDEX(Table127[Starter4],MODE(MATCH(Table127[Starter4],Table127[Starter4],0)))</f>
        <v>Wrigley, H</v>
      </c>
      <c r="BR142" s="374">
        <f>SUBTOTAL(109,Table127[AB4])</f>
        <v>534</v>
      </c>
      <c r="BS142" s="374">
        <f>SUBTOTAL(109,Table127[R4])</f>
        <v>67</v>
      </c>
      <c r="BT142" s="374">
        <f>SUBTOTAL(109,Table127[H4])</f>
        <v>127</v>
      </c>
      <c r="BU142" s="374">
        <f>SUBTOTAL(109,Table127[RBI4])</f>
        <v>82</v>
      </c>
      <c r="BV142" s="374">
        <f>SUBTOTAL(109,Table127[BB4])</f>
        <v>51</v>
      </c>
      <c r="BW142" s="374">
        <f>SUBTOTAL(109,Table127[SO4])</f>
        <v>136</v>
      </c>
      <c r="BX142" s="374">
        <f>SUBTOTAL(109,Table127[HBP4])</f>
        <v>7</v>
      </c>
      <c r="BY142" s="374">
        <f>SUBTOTAL(109,Table127[SF4])</f>
        <v>8</v>
      </c>
      <c r="BZ142" s="374">
        <f>SUBTOTAL(109,Table127[TB4])</f>
        <v>203</v>
      </c>
      <c r="CA142" s="375" t="str">
        <f>INDEX(Table127[Starter5],MODE(MATCH(Table127[Starter5],Table127[Starter5],0)))</f>
        <v>Anderson, L</v>
      </c>
      <c r="CB142" s="374">
        <f>SUBTOTAL(109,Table127[AB5])</f>
        <v>516</v>
      </c>
      <c r="CC142" s="374">
        <f>SUBTOTAL(109,Table127[R5])</f>
        <v>70</v>
      </c>
      <c r="CD142" s="374">
        <f>SUBTOTAL(109,Table127[H5])</f>
        <v>122</v>
      </c>
      <c r="CE142" s="374">
        <f>SUBTOTAL(109,Table127[RBI5])</f>
        <v>66</v>
      </c>
      <c r="CF142" s="374">
        <f>SUBTOTAL(109,Table127[BB5])</f>
        <v>48</v>
      </c>
      <c r="CG142" s="374">
        <f>SUBTOTAL(109,Table127[SO5])</f>
        <v>121</v>
      </c>
      <c r="CH142" s="374">
        <f>SUBTOTAL(109,Table127[HBP5])</f>
        <v>11</v>
      </c>
      <c r="CI142" s="374">
        <f>SUBTOTAL(109,Table127[SF5])</f>
        <v>4</v>
      </c>
      <c r="CJ142" s="374">
        <f>SUBTOTAL(109,Table127[TB5])</f>
        <v>190</v>
      </c>
      <c r="CK142" s="375" t="str">
        <f>INDEX(Table127[Starter6],MODE(MATCH(Table127[Starter6],Table127[Starter6],0)))</f>
        <v>Fields, M</v>
      </c>
      <c r="CL142" s="374">
        <f>SUBTOTAL(109,Table127[AB6])</f>
        <v>497</v>
      </c>
      <c r="CM142" s="374">
        <f>SUBTOTAL(109,Table127[R6])</f>
        <v>75</v>
      </c>
      <c r="CN142" s="374">
        <f>SUBTOTAL(109,Table127[H6])</f>
        <v>133</v>
      </c>
      <c r="CO142" s="374">
        <f>SUBTOTAL(109,Table127[RBI6])</f>
        <v>68</v>
      </c>
      <c r="CP142" s="374">
        <f>SUBTOTAL(109,Table127[BB6])</f>
        <v>61</v>
      </c>
      <c r="CQ142" s="374">
        <f>SUBTOTAL(109,Table127[SO6])</f>
        <v>123</v>
      </c>
      <c r="CR142" s="374">
        <f>SUBTOTAL(109,Table127[HBP6])</f>
        <v>1</v>
      </c>
      <c r="CS142" s="374">
        <f>SUBTOTAL(109,Table127[SF6])</f>
        <v>3</v>
      </c>
      <c r="CT142" s="374">
        <f>SUBTOTAL(109,Table127[TB6])</f>
        <v>200</v>
      </c>
      <c r="CU142" s="375" t="str">
        <f>INDEX(Table127[Starter7],MODE(MATCH(Table127[Starter7],Table127[Starter7],0)))</f>
        <v>Matulia, J</v>
      </c>
      <c r="CV142" s="374">
        <f>SUBTOTAL(109,Table127[AB7])</f>
        <v>487</v>
      </c>
      <c r="CW142" s="374">
        <f>SUBTOTAL(109,Table127[R7])</f>
        <v>56</v>
      </c>
      <c r="CX142" s="374">
        <f>SUBTOTAL(109,Table127[H7])</f>
        <v>105</v>
      </c>
      <c r="CY142" s="374">
        <f>SUBTOTAL(109,Table127[RBI7])</f>
        <v>58</v>
      </c>
      <c r="CZ142" s="374">
        <f>SUBTOTAL(109,Table127[BB7])</f>
        <v>48</v>
      </c>
      <c r="DA142" s="374">
        <f>SUBTOTAL(109,Table127[SO7])</f>
        <v>131</v>
      </c>
      <c r="DB142" s="374">
        <f>SUBTOTAL(109,Table127[HBP7])</f>
        <v>9</v>
      </c>
      <c r="DC142" s="374">
        <f>SUBTOTAL(109,Table127[SF7])</f>
        <v>5</v>
      </c>
      <c r="DD142" s="374">
        <f>SUBTOTAL(109,Table127[TB7])</f>
        <v>173</v>
      </c>
      <c r="DE142" s="375" t="str">
        <f>INDEX(Table127[Starter8],MODE(MATCH(Table127[Starter8],Table127[Starter8],0)))</f>
        <v>Albernaz, C</v>
      </c>
      <c r="DF142" s="374">
        <f>SUBTOTAL(109,Table127[AB8])</f>
        <v>473</v>
      </c>
      <c r="DG142" s="374">
        <f>SUBTOTAL(109,Table127[R8])</f>
        <v>58</v>
      </c>
      <c r="DH142" s="374">
        <f>SUBTOTAL(109,Table127[H8])</f>
        <v>135</v>
      </c>
      <c r="DI142" s="374">
        <f>SUBTOTAL(109,Table127[RBI8])</f>
        <v>58</v>
      </c>
      <c r="DJ142" s="374">
        <f>SUBTOTAL(109,Table127[BB8])</f>
        <v>39</v>
      </c>
      <c r="DK142" s="374">
        <f>SUBTOTAL(109,Table127[SO8])</f>
        <v>95</v>
      </c>
      <c r="DL142" s="374">
        <f>SUBTOTAL(109,Table127[HBP8])</f>
        <v>9</v>
      </c>
      <c r="DM142" s="374">
        <f>SUBTOTAL(109,Table127[SF8])</f>
        <v>3</v>
      </c>
      <c r="DN142" s="374">
        <f>SUBTOTAL(109,Table127[TB8])</f>
        <v>186</v>
      </c>
      <c r="DO142" s="375" t="str">
        <f>INDEX(Table127[Starter9],MODE(MATCH(Table127[Starter9],Table127[Starter9],0)))</f>
        <v>Matulia, J</v>
      </c>
      <c r="DP142" s="374">
        <f>SUBTOTAL(109,Table127[AB9])</f>
        <v>460</v>
      </c>
      <c r="DQ142" s="374">
        <f>SUBTOTAL(109,Table127[R9])</f>
        <v>56</v>
      </c>
      <c r="DR142" s="374">
        <f>SUBTOTAL(109,Table127[H9])</f>
        <v>123</v>
      </c>
      <c r="DS142" s="374">
        <f>SUBTOTAL(109,Table127[RBI9])</f>
        <v>58</v>
      </c>
      <c r="DT142" s="374">
        <f>SUBTOTAL(109,Table127[BB9])</f>
        <v>41</v>
      </c>
      <c r="DU142" s="374">
        <f>SUBTOTAL(109,Table127[SO9])</f>
        <v>83</v>
      </c>
      <c r="DV142" s="374">
        <f>SUBTOTAL(109,Table127[HBP9])</f>
        <v>6</v>
      </c>
      <c r="DW142" s="374">
        <f>SUBTOTAL(109,Table127[SF9])</f>
        <v>4</v>
      </c>
      <c r="DX142" s="374">
        <f>SUBTOTAL(109,Table127[TB9])</f>
        <v>176</v>
      </c>
      <c r="DY142" s="377">
        <f>SUBTOTAL(109,Table127[IVL])</f>
        <v>340.33333333333337</v>
      </c>
      <c r="DZ142" s="376">
        <f>SUBTOTAL(109,Table127[SVL])</f>
        <v>24</v>
      </c>
      <c r="EA142" s="376">
        <f>SUBTOTAL(109,Table127[CVL])</f>
        <v>13</v>
      </c>
      <c r="EB142" s="377">
        <f>SUBTOTAL(109,Table127[IVR])</f>
        <v>876.66666666666686</v>
      </c>
      <c r="EC142" s="376">
        <f>SUBTOTAL(109,Table127[SVR])</f>
        <v>61</v>
      </c>
      <c r="ED142" s="376">
        <f>SUBTOTAL(109,Table127[CVR])</f>
        <v>27</v>
      </c>
      <c r="EE142" s="376">
        <f>SUBTOTAL(109,Table127[RI1])</f>
        <v>67</v>
      </c>
      <c r="EF142" s="376">
        <f>SUBTOTAL(109,Table127[RI2])</f>
        <v>62</v>
      </c>
      <c r="EG142" s="376">
        <f>SUBTOTAL(109,Table127[RI3])</f>
        <v>74</v>
      </c>
      <c r="EH142" s="376">
        <f>SUBTOTAL(109,Table127[RI4])</f>
        <v>75</v>
      </c>
      <c r="EI142" s="376">
        <f>SUBTOTAL(109,Table127[RI5])</f>
        <v>61</v>
      </c>
      <c r="EJ142" s="376">
        <f>SUBTOTAL(109,Table127[RI6])</f>
        <v>69</v>
      </c>
      <c r="EK142" s="376">
        <f>SUBTOTAL(109,Table127[RI7])</f>
        <v>73</v>
      </c>
      <c r="EL142" s="376">
        <f>SUBTOTAL(109,Table127[RI8])</f>
        <v>55</v>
      </c>
      <c r="EM142" s="376">
        <f>SUBTOTAL(109,Table127[RI9])</f>
        <v>37</v>
      </c>
      <c r="EN142" s="376">
        <f>SUBTOTAL(109,Table127[RI10])</f>
        <v>8</v>
      </c>
      <c r="EO142" s="376">
        <f>SUBTOTAL(109,Table127[RI11])</f>
        <v>1</v>
      </c>
      <c r="EP142" s="376">
        <f>SUBTOTAL(109,Table127[RI12])</f>
        <v>0</v>
      </c>
      <c r="EQ142" s="376">
        <f>SUBTOTAL(109,Table127[RI13])</f>
        <v>1</v>
      </c>
      <c r="ER142" s="376">
        <f>SUBTOTAL(109,Table127[RI14])</f>
        <v>1</v>
      </c>
      <c r="ES142" s="376">
        <f>SUBTOTAL(109,Table127[RI15])</f>
        <v>1</v>
      </c>
      <c r="ET142" s="376">
        <f>SUBTOTAL(109,Table127[RT])</f>
        <v>585</v>
      </c>
      <c r="EU142" s="376">
        <f>SUBTOTAL(109,Table127[OI1])</f>
        <v>69</v>
      </c>
      <c r="EV142" s="376">
        <f>SUBTOTAL(109,Table127[OI2])</f>
        <v>58</v>
      </c>
      <c r="EW142" s="376">
        <f>SUBTOTAL(109,Table127[OI3])</f>
        <v>79</v>
      </c>
      <c r="EX142" s="376">
        <f>SUBTOTAL(109,Table127[OI4])</f>
        <v>82</v>
      </c>
      <c r="EY142" s="376">
        <f>SUBTOTAL(109,Table127[OI5])</f>
        <v>69</v>
      </c>
      <c r="EZ142" s="376">
        <f>SUBTOTAL(109,Table127[OI6])</f>
        <v>55</v>
      </c>
      <c r="FA142" s="376">
        <f>SUBTOTAL(109,Table127[OI7])</f>
        <v>71</v>
      </c>
      <c r="FB142" s="376">
        <f>SUBTOTAL(109,Table127[OI8])</f>
        <v>48</v>
      </c>
      <c r="FC142" s="376">
        <f>SUBTOTAL(109,Table127[OI9])</f>
        <v>53</v>
      </c>
      <c r="FD142" s="376">
        <f>SUBTOTAL(109,Table127[OI10])</f>
        <v>5</v>
      </c>
      <c r="FE142" s="376">
        <f>SUBTOTAL(109,Table127[OI11])</f>
        <v>1</v>
      </c>
      <c r="FF142" s="376">
        <f>SUBTOTAL(109,Table127[OI12])</f>
        <v>4</v>
      </c>
      <c r="FG142" s="376">
        <f>SUBTOTAL(109,Table127[OI13])</f>
        <v>6</v>
      </c>
      <c r="FH142" s="376">
        <f>SUBTOTAL(109,Table127[OI14])</f>
        <v>0</v>
      </c>
      <c r="FI142" s="376">
        <f>SUBTOTAL(109,Table127[OI15])</f>
        <v>0</v>
      </c>
      <c r="FJ142" s="376">
        <f>SUBTOTAL(109,Table127[OT])</f>
        <v>600</v>
      </c>
      <c r="FK142" s="378"/>
      <c r="FL142" s="378"/>
      <c r="FM142" s="379"/>
    </row>
    <row r="143" spans="1:169" x14ac:dyDescent="0.25">
      <c r="A143" s="81" t="s">
        <v>227</v>
      </c>
      <c r="B143" s="53"/>
      <c r="C143" s="53"/>
      <c r="D143" s="53"/>
      <c r="E143" s="4">
        <f>MAX(Table127[Att])</f>
        <v>8448</v>
      </c>
      <c r="F143" s="54"/>
      <c r="G143" s="80"/>
      <c r="H143" s="80"/>
      <c r="I143" s="80"/>
      <c r="J143" s="5">
        <f>MAX(Table127[S-IP])</f>
        <v>8</v>
      </c>
      <c r="K143" s="6">
        <f>MAX(Table127[S-H])</f>
        <v>10</v>
      </c>
      <c r="L143" s="6">
        <f>MAX(Table127[S-R])</f>
        <v>8</v>
      </c>
      <c r="M143" s="6">
        <f>MAX(Table127[S-ER])</f>
        <v>8</v>
      </c>
      <c r="N143" s="6">
        <f>MAX(Table127[S-BB])</f>
        <v>6</v>
      </c>
      <c r="O143" s="6">
        <f>MAX(Table127[S-SO])</f>
        <v>13</v>
      </c>
      <c r="P143" s="6">
        <f>MAX(Table127[S-HR])</f>
        <v>2</v>
      </c>
      <c r="Q143" s="6">
        <f>MAX(Table127[S-HBP])</f>
        <v>2</v>
      </c>
      <c r="R143" s="6">
        <f>MAX(Table127[S-BF])</f>
        <v>32</v>
      </c>
      <c r="S143" s="6">
        <f>MAX(Table127[S-Pit])</f>
        <v>111</v>
      </c>
      <c r="T143" s="6">
        <f>MAX(Table127[S-Str])</f>
        <v>69</v>
      </c>
      <c r="U143" s="6">
        <f>MAX(Table127[IRL])</f>
        <v>3</v>
      </c>
      <c r="V143" s="6">
        <f>MAX(Table127[IRS])</f>
        <v>2</v>
      </c>
      <c r="W143" s="80"/>
      <c r="X143" s="80"/>
      <c r="Y143" s="80"/>
      <c r="Z143" s="80"/>
      <c r="AA143" s="80"/>
      <c r="AB143" s="5">
        <f>MAX(Table127[B-IP])</f>
        <v>9</v>
      </c>
      <c r="AC143" s="6">
        <f>MAX(Table127[B-H])</f>
        <v>12</v>
      </c>
      <c r="AD143" s="6">
        <f>MAX(Table127[B-R])</f>
        <v>9</v>
      </c>
      <c r="AE143" s="6">
        <f>MAX(Table127[B-ER])</f>
        <v>9</v>
      </c>
      <c r="AF143" s="6">
        <f>MAX(Table127[B-BB])</f>
        <v>9</v>
      </c>
      <c r="AG143" s="6">
        <f>MAX(Table127[B-SO])</f>
        <v>10</v>
      </c>
      <c r="AH143" s="6">
        <f>MAX(Table127[B-HR])</f>
        <v>3</v>
      </c>
      <c r="AI143" s="6">
        <f>MAX(Table127[B-HBP])</f>
        <v>1</v>
      </c>
      <c r="AJ143" s="6">
        <f>MAX(Table127[B-BF])</f>
        <v>40</v>
      </c>
      <c r="AK143" s="6">
        <f>MAX(Table127[B-Pit])</f>
        <v>150</v>
      </c>
      <c r="AL143" s="6">
        <f>MAX(Table127[B-Str])</f>
        <v>94</v>
      </c>
      <c r="AM143" s="80"/>
      <c r="AN143" s="6">
        <f>MAX(Table127[AB1])</f>
        <v>7</v>
      </c>
      <c r="AO143" s="6">
        <f>MAX(Table127[R1])</f>
        <v>3</v>
      </c>
      <c r="AP143" s="6">
        <f>MAX(Table127[H1])</f>
        <v>4</v>
      </c>
      <c r="AQ143" s="6">
        <f>MAX(Table127[RBI1])</f>
        <v>3</v>
      </c>
      <c r="AR143" s="6">
        <f>MAX(Table127[BB1])</f>
        <v>3</v>
      </c>
      <c r="AS143" s="6">
        <f>MAX(Table127[SO1])</f>
        <v>3</v>
      </c>
      <c r="AT143" s="6">
        <f>MAX(Table127[HBP1])</f>
        <v>2</v>
      </c>
      <c r="AU143" s="6">
        <f>MAX(Table127[SF1])</f>
        <v>1</v>
      </c>
      <c r="AV143" s="6">
        <f>MAX(Table127[TB1])</f>
        <v>5</v>
      </c>
      <c r="AW143" s="80"/>
      <c r="AX143" s="6">
        <f>MAX(Table127[AB2])</f>
        <v>6</v>
      </c>
      <c r="AY143" s="6">
        <f>MAX(Table127[R2])</f>
        <v>3</v>
      </c>
      <c r="AZ143" s="6">
        <f>MAX(Table127[H2])</f>
        <v>4</v>
      </c>
      <c r="BA143" s="6">
        <f>MAX(Table127[RBI2])</f>
        <v>2</v>
      </c>
      <c r="BB143" s="6">
        <f>MAX(Table127[BB2])</f>
        <v>3</v>
      </c>
      <c r="BC143" s="6">
        <f>MAX(Table127[SO2])</f>
        <v>3</v>
      </c>
      <c r="BD143" s="6">
        <f>MAX(Table127[HBP2])</f>
        <v>1</v>
      </c>
      <c r="BE143" s="6">
        <f>MAX(Table127[SF2])</f>
        <v>1</v>
      </c>
      <c r="BF143" s="6">
        <f>MAX(Table127[TB2])</f>
        <v>7</v>
      </c>
      <c r="BG143" s="80"/>
      <c r="BH143" s="6">
        <f>MAX(Table127[AB3])</f>
        <v>7</v>
      </c>
      <c r="BI143" s="6">
        <f>MAX(Table127[R3])</f>
        <v>3</v>
      </c>
      <c r="BJ143" s="6">
        <f>MAX(Table127[H3])</f>
        <v>4</v>
      </c>
      <c r="BK143" s="6">
        <f>MAX(Table127[RBI3])</f>
        <v>3</v>
      </c>
      <c r="BL143" s="6">
        <f>MAX(Table127[BB3])</f>
        <v>3</v>
      </c>
      <c r="BM143" s="6">
        <f>MAX(Table127[SO3])</f>
        <v>3</v>
      </c>
      <c r="BN143" s="6">
        <f>MAX(Table127[HBP3])</f>
        <v>2</v>
      </c>
      <c r="BO143" s="6">
        <f>MAX(Table127[SF3])</f>
        <v>1</v>
      </c>
      <c r="BP143" s="6">
        <f>MAX(Table127[TB3])</f>
        <v>7</v>
      </c>
      <c r="BQ143" s="80"/>
      <c r="BR143" s="6">
        <f>MAX(Table127[AB4])</f>
        <v>6</v>
      </c>
      <c r="BS143" s="6">
        <f>MAX(Table127[R4])</f>
        <v>3</v>
      </c>
      <c r="BT143" s="6">
        <f>MAX(Table127[H4])</f>
        <v>4</v>
      </c>
      <c r="BU143" s="6">
        <f>MAX(Table127[RBI4])</f>
        <v>5</v>
      </c>
      <c r="BV143" s="6">
        <f>MAX(Table127[BB4])</f>
        <v>3</v>
      </c>
      <c r="BW143" s="6">
        <f>MAX(Table127[SO4])</f>
        <v>4</v>
      </c>
      <c r="BX143" s="6">
        <f>MAX(Table127[HBP4])</f>
        <v>1</v>
      </c>
      <c r="BY143" s="6">
        <f>MAX(Table127[SF4])</f>
        <v>2</v>
      </c>
      <c r="BZ143" s="6">
        <f>MAX(Table127[TB4])</f>
        <v>9</v>
      </c>
      <c r="CA143" s="80"/>
      <c r="CB143" s="6">
        <f>MAX(Table127[AB5])</f>
        <v>7</v>
      </c>
      <c r="CC143" s="6">
        <f>MAX(Table127[R5])</f>
        <v>4</v>
      </c>
      <c r="CD143" s="6">
        <f>MAX(Table127[H5])</f>
        <v>3</v>
      </c>
      <c r="CE143" s="6">
        <f>MAX(Table127[RBI5])</f>
        <v>5</v>
      </c>
      <c r="CF143" s="6">
        <f>MAX(Table127[BB5])</f>
        <v>2</v>
      </c>
      <c r="CG143" s="6">
        <f>MAX(Table127[SO5])</f>
        <v>3</v>
      </c>
      <c r="CH143" s="6">
        <f>MAX(Table127[HBP5])</f>
        <v>1</v>
      </c>
      <c r="CI143" s="6">
        <f>MAX(Table127[SF5])</f>
        <v>1</v>
      </c>
      <c r="CJ143" s="6">
        <f>MAX(Table127[TB5])</f>
        <v>8</v>
      </c>
      <c r="CK143" s="80"/>
      <c r="CL143" s="6">
        <f>MAX(Table127[AB6])</f>
        <v>7</v>
      </c>
      <c r="CM143" s="6">
        <f>MAX(Table127[R6])</f>
        <v>3</v>
      </c>
      <c r="CN143" s="6">
        <f>MAX(Table127[H6])</f>
        <v>3</v>
      </c>
      <c r="CO143" s="6">
        <f>MAX(Table127[RBI6])</f>
        <v>5</v>
      </c>
      <c r="CP143" s="6">
        <f>MAX(Table127[BB6])</f>
        <v>3</v>
      </c>
      <c r="CQ143" s="6">
        <f>MAX(Table127[SO6])</f>
        <v>3</v>
      </c>
      <c r="CR143" s="6">
        <f>MAX(Table127[HBP6])</f>
        <v>1</v>
      </c>
      <c r="CS143" s="6">
        <f>MAX(Table127[SF6])</f>
        <v>1</v>
      </c>
      <c r="CT143" s="6">
        <f>MAX(Table127[TB6])</f>
        <v>7</v>
      </c>
      <c r="CU143" s="80"/>
      <c r="CV143" s="6">
        <f>MAX(Table127[AB7])</f>
        <v>6</v>
      </c>
      <c r="CW143" s="6">
        <f>MAX(Table127[R7])</f>
        <v>3</v>
      </c>
      <c r="CX143" s="6">
        <f>MAX(Table127[H7])</f>
        <v>3</v>
      </c>
      <c r="CY143" s="6">
        <f>MAX(Table127[RBI7])</f>
        <v>4</v>
      </c>
      <c r="CZ143" s="6">
        <f>MAX(Table127[BB7])</f>
        <v>2</v>
      </c>
      <c r="DA143" s="6">
        <f>MAX(Table127[SO7])</f>
        <v>4</v>
      </c>
      <c r="DB143" s="6">
        <f>MAX(Table127[HBP7])</f>
        <v>1</v>
      </c>
      <c r="DC143" s="6">
        <f>MAX(Table127[SF7])</f>
        <v>1</v>
      </c>
      <c r="DD143" s="6">
        <f>MAX(Table127[TB7])</f>
        <v>7</v>
      </c>
      <c r="DE143" s="80"/>
      <c r="DF143" s="6">
        <f>MAX(Table127[AB8])</f>
        <v>6</v>
      </c>
      <c r="DG143" s="6">
        <f>MAX(Table127[R8])</f>
        <v>2</v>
      </c>
      <c r="DH143" s="6">
        <f>MAX(Table127[H8])</f>
        <v>4</v>
      </c>
      <c r="DI143" s="6">
        <f>MAX(Table127[RBI8])</f>
        <v>3</v>
      </c>
      <c r="DJ143" s="6">
        <f>MAX(Table127[BB8])</f>
        <v>2</v>
      </c>
      <c r="DK143" s="6">
        <f>MAX(Table127[SO8])</f>
        <v>3</v>
      </c>
      <c r="DL143" s="6">
        <f>MAX(Table127[HBP8])</f>
        <v>1</v>
      </c>
      <c r="DM143" s="6">
        <f>MAX(Table127[SF8])</f>
        <v>1</v>
      </c>
      <c r="DN143" s="6">
        <f>MAX(Table127[TB8])</f>
        <v>6</v>
      </c>
      <c r="DO143" s="80"/>
      <c r="DP143" s="6">
        <f>MAX(Table127[AB9])</f>
        <v>6</v>
      </c>
      <c r="DQ143" s="6">
        <f>MAX(Table127[R9])</f>
        <v>2</v>
      </c>
      <c r="DR143" s="6">
        <f>MAX(Table127[H9])</f>
        <v>4</v>
      </c>
      <c r="DS143" s="6">
        <f>MAX(Table127[RBI9])</f>
        <v>4</v>
      </c>
      <c r="DT143" s="6">
        <f>MAX(Table127[BB9])</f>
        <v>2</v>
      </c>
      <c r="DU143" s="6">
        <f>MAX(Table127[SO9])</f>
        <v>3</v>
      </c>
      <c r="DV143" s="6">
        <f>MAX(Table127[HBP9])</f>
        <v>1</v>
      </c>
      <c r="DW143" s="6">
        <f>MAX(Table127[SF9])</f>
        <v>2</v>
      </c>
      <c r="DX143" s="6">
        <f>MAX(Table127[TB9])</f>
        <v>6</v>
      </c>
      <c r="DY143" s="5">
        <f>MAX(Table127[IVL])</f>
        <v>9</v>
      </c>
      <c r="DZ143" s="6">
        <f>MAX(Table127[SVL])</f>
        <v>3</v>
      </c>
      <c r="EA143" s="6">
        <f>MAX(Table127[CVL])</f>
        <v>2</v>
      </c>
      <c r="EB143" s="5">
        <f>MAX(Table127[IVR])</f>
        <v>11</v>
      </c>
      <c r="EC143" s="6">
        <f>MAX(Table127[SVR])</f>
        <v>4</v>
      </c>
      <c r="ED143" s="6">
        <f>MAX(Table127[CVR])</f>
        <v>2</v>
      </c>
      <c r="EE143" s="6">
        <f>MAX(Table127[RI1])</f>
        <v>5</v>
      </c>
      <c r="EF143" s="6">
        <f>MAX(Table127[RI2])</f>
        <v>8</v>
      </c>
      <c r="EG143" s="6">
        <f>MAX(Table127[RI3])</f>
        <v>4</v>
      </c>
      <c r="EH143" s="6">
        <f>MAX(Table127[RI4])</f>
        <v>6</v>
      </c>
      <c r="EI143" s="6">
        <f>MAX(Table127[RI5])</f>
        <v>7</v>
      </c>
      <c r="EJ143" s="6">
        <f>MAX(Table127[RI6])</f>
        <v>5</v>
      </c>
      <c r="EK143" s="6">
        <f>MAX(Table127[RI7])</f>
        <v>4</v>
      </c>
      <c r="EL143" s="6">
        <f>MAX(Table127[RI8])</f>
        <v>5</v>
      </c>
      <c r="EM143" s="6">
        <f>MAX(Table127[RI9])</f>
        <v>4</v>
      </c>
      <c r="EN143" s="6">
        <f>MAX(Table127[RI10])</f>
        <v>3</v>
      </c>
      <c r="EO143" s="6">
        <f>MAX(Table127[RI11])</f>
        <v>1</v>
      </c>
      <c r="EP143" s="6">
        <f>MAX(Table127[RI12])</f>
        <v>0</v>
      </c>
      <c r="EQ143" s="6">
        <f>MAX(Table127[RI13])</f>
        <v>1</v>
      </c>
      <c r="ER143" s="6">
        <f>MAX(Table127[RI14])</f>
        <v>1</v>
      </c>
      <c r="ES143" s="6">
        <f>MAX(Table127[RI15])</f>
        <v>1</v>
      </c>
      <c r="ET143" s="6">
        <f>MAX(Table127[RT])</f>
        <v>13</v>
      </c>
      <c r="EU143" s="6">
        <f>MAX(Table127[OI1])</f>
        <v>4</v>
      </c>
      <c r="EV143" s="6">
        <f>MAX(Table127[OI2])</f>
        <v>4</v>
      </c>
      <c r="EW143" s="6">
        <f>MAX(Table127[OI3])</f>
        <v>6</v>
      </c>
      <c r="EX143" s="6">
        <f>MAX(Table127[OI4])</f>
        <v>11</v>
      </c>
      <c r="EY143" s="6">
        <f>MAX(Table127[OI5])</f>
        <v>6</v>
      </c>
      <c r="EZ143" s="6">
        <f>MAX(Table127[OI6])</f>
        <v>7</v>
      </c>
      <c r="FA143" s="6">
        <f>MAX(Table127[OI7])</f>
        <v>6</v>
      </c>
      <c r="FB143" s="6">
        <f>MAX(Table127[OI8])</f>
        <v>5</v>
      </c>
      <c r="FC143" s="6">
        <f>MAX(Table127[OI9])</f>
        <v>3</v>
      </c>
      <c r="FD143" s="6">
        <f>MAX(Table127[OI10])</f>
        <v>2</v>
      </c>
      <c r="FE143" s="6">
        <f>MAX(Table127[OI11])</f>
        <v>1</v>
      </c>
      <c r="FF143" s="6">
        <f>MAX(Table127[OI12])</f>
        <v>3</v>
      </c>
      <c r="FG143" s="6">
        <f>MAX(Table127[OI13])</f>
        <v>5</v>
      </c>
      <c r="FH143" s="6">
        <f>MAX(Table127[OI14])</f>
        <v>0</v>
      </c>
      <c r="FI143" s="6">
        <f>MAX(Table127[OI15])</f>
        <v>0</v>
      </c>
      <c r="FJ143" s="6">
        <f>MAX(Table127[OT])</f>
        <v>15</v>
      </c>
      <c r="FM143" s="55" t="s">
        <v>227</v>
      </c>
    </row>
    <row r="144" spans="1:169" x14ac:dyDescent="0.25">
      <c r="A144" s="81" t="s">
        <v>228</v>
      </c>
      <c r="B144" s="53"/>
      <c r="C144" s="53"/>
      <c r="D144" s="53"/>
      <c r="E144" s="4">
        <f>QUARTILE(Table127[Att],3)</f>
        <v>5111</v>
      </c>
      <c r="F144" s="54"/>
      <c r="G144" s="80"/>
      <c r="H144" s="80"/>
      <c r="I144" s="80"/>
      <c r="J144" s="5">
        <f>QUARTILE(Table127[S-IP],3)</f>
        <v>6</v>
      </c>
      <c r="K144" s="6">
        <f>QUARTILE(Table127[S-H],3)</f>
        <v>7</v>
      </c>
      <c r="L144" s="6">
        <f>QUARTILE(Table127[S-R],3)</f>
        <v>4</v>
      </c>
      <c r="M144" s="6">
        <f>QUARTILE(Table127[S-ER],3)</f>
        <v>4</v>
      </c>
      <c r="N144" s="6">
        <f>QUARTILE(Table127[S-BB],3)</f>
        <v>3</v>
      </c>
      <c r="O144" s="6">
        <f>QUARTILE(Table127[S-SO],3)</f>
        <v>6</v>
      </c>
      <c r="P144" s="6">
        <f>QUARTILE(Table127[S-HR],3)</f>
        <v>1</v>
      </c>
      <c r="Q144" s="6">
        <f>QUARTILE(Table127[S-HBP],3)</f>
        <v>0</v>
      </c>
      <c r="R144" s="6">
        <f>QUARTILE(Table127[S-BF],3)</f>
        <v>25</v>
      </c>
      <c r="S144" s="6">
        <f>QUARTILE(Table127[S-Pit],3)</f>
        <v>94</v>
      </c>
      <c r="T144" s="6">
        <f>QUARTILE(Table127[S-Str],3)</f>
        <v>59</v>
      </c>
      <c r="U144" s="6">
        <f>QUARTILE(Table127[IRL],3)</f>
        <v>1</v>
      </c>
      <c r="V144" s="6">
        <f>QUARTILE(Table127[IRS],3)</f>
        <v>0</v>
      </c>
      <c r="W144" s="80"/>
      <c r="X144" s="80"/>
      <c r="Y144" s="80"/>
      <c r="Z144" s="80"/>
      <c r="AA144" s="80"/>
      <c r="AB144" s="5">
        <f>QUARTILE(Table127[B-IP],3)</f>
        <v>5</v>
      </c>
      <c r="AC144" s="6">
        <f>QUARTILE(Table127[B-H],3)</f>
        <v>5.75</v>
      </c>
      <c r="AD144" s="6">
        <f>QUARTILE(Table127[B-R],3)</f>
        <v>2</v>
      </c>
      <c r="AE144" s="6">
        <f>QUARTILE(Table127[B-ER],3)</f>
        <v>2</v>
      </c>
      <c r="AF144" s="6">
        <f>QUARTILE(Table127[B-BB],3)</f>
        <v>2</v>
      </c>
      <c r="AG144" s="6">
        <f>QUARTILE(Table127[B-SO],3)</f>
        <v>4</v>
      </c>
      <c r="AH144" s="6">
        <f>QUARTILE(Table127[B-HR],3)</f>
        <v>0.75</v>
      </c>
      <c r="AI144" s="6">
        <f>QUARTILE(Table127[B-HBP],3)</f>
        <v>0</v>
      </c>
      <c r="AJ144" s="6">
        <f>QUARTILE(Table127[B-BF],3)</f>
        <v>21</v>
      </c>
      <c r="AK144" s="6">
        <f>QUARTILE(Table127[B-Pit],3)</f>
        <v>81.75</v>
      </c>
      <c r="AL144" s="6">
        <f>QUARTILE(Table127[B-Str],3)</f>
        <v>50.75</v>
      </c>
      <c r="AM144" s="80"/>
      <c r="AN144" s="6">
        <f>QUARTILE(Table127[AB1],3)</f>
        <v>5</v>
      </c>
      <c r="AO144" s="6">
        <f>QUARTILE(Table127[R1],3)</f>
        <v>1</v>
      </c>
      <c r="AP144" s="6">
        <f>QUARTILE(Table127[H1],3)</f>
        <v>2</v>
      </c>
      <c r="AQ144" s="6">
        <f>QUARTILE(Table127[RBI1],3)</f>
        <v>0</v>
      </c>
      <c r="AR144" s="6">
        <f>QUARTILE(Table127[BB1],3)</f>
        <v>1</v>
      </c>
      <c r="AS144" s="6">
        <f>QUARTILE(Table127[SO1],3)</f>
        <v>1</v>
      </c>
      <c r="AT144" s="6">
        <f>QUARTILE(Table127[HBP1],3)</f>
        <v>0</v>
      </c>
      <c r="AU144" s="6">
        <f>QUARTILE(Table127[SF1],3)</f>
        <v>0</v>
      </c>
      <c r="AV144" s="6">
        <f>QUARTILE(Table127[TB1],3)</f>
        <v>2</v>
      </c>
      <c r="AW144" s="80"/>
      <c r="AX144" s="6">
        <f>QUARTILE(Table127[AB2],3)</f>
        <v>5</v>
      </c>
      <c r="AY144" s="6">
        <f>QUARTILE(Table127[R2],3)</f>
        <v>1</v>
      </c>
      <c r="AZ144" s="6">
        <f>QUARTILE(Table127[H2],3)</f>
        <v>2</v>
      </c>
      <c r="BA144" s="6">
        <f>QUARTILE(Table127[RBI2],3)</f>
        <v>0</v>
      </c>
      <c r="BB144" s="6">
        <f>QUARTILE(Table127[BB2],3)</f>
        <v>1</v>
      </c>
      <c r="BC144" s="6">
        <f>QUARTILE(Table127[SO2],3)</f>
        <v>1</v>
      </c>
      <c r="BD144" s="6">
        <f>QUARTILE(Table127[HBP2],3)</f>
        <v>0</v>
      </c>
      <c r="BE144" s="6">
        <f>QUARTILE(Table127[SF2],3)</f>
        <v>0</v>
      </c>
      <c r="BF144" s="6">
        <f>QUARTILE(Table127[TB2],3)</f>
        <v>2</v>
      </c>
      <c r="BG144" s="80"/>
      <c r="BH144" s="6">
        <f>QUARTILE(Table127[AB3],3)</f>
        <v>4</v>
      </c>
      <c r="BI144" s="6">
        <f>QUARTILE(Table127[R3],3)</f>
        <v>1</v>
      </c>
      <c r="BJ144" s="6">
        <f>QUARTILE(Table127[H3],3)</f>
        <v>1</v>
      </c>
      <c r="BK144" s="6">
        <f>QUARTILE(Table127[RBI3],3)</f>
        <v>1</v>
      </c>
      <c r="BL144" s="6">
        <f>QUARTILE(Table127[BB3],3)</f>
        <v>1</v>
      </c>
      <c r="BM144" s="6">
        <f>QUARTILE(Table127[SO3],3)</f>
        <v>1</v>
      </c>
      <c r="BN144" s="6">
        <f>QUARTILE(Table127[HBP3],3)</f>
        <v>0</v>
      </c>
      <c r="BO144" s="6">
        <f>QUARTILE(Table127[SF3],3)</f>
        <v>0</v>
      </c>
      <c r="BP144" s="6">
        <f>QUARTILE(Table127[TB3],3)</f>
        <v>2</v>
      </c>
      <c r="BQ144" s="80"/>
      <c r="BR144" s="6">
        <f>QUARTILE(Table127[AB4],3)</f>
        <v>4</v>
      </c>
      <c r="BS144" s="6">
        <f>QUARTILE(Table127[R4],3)</f>
        <v>1</v>
      </c>
      <c r="BT144" s="6">
        <f>QUARTILE(Table127[H4],3)</f>
        <v>1</v>
      </c>
      <c r="BU144" s="6">
        <f>QUARTILE(Table127[RBI4],3)</f>
        <v>1</v>
      </c>
      <c r="BV144" s="6">
        <f>QUARTILE(Table127[BB4],3)</f>
        <v>1</v>
      </c>
      <c r="BW144" s="6">
        <f>QUARTILE(Table127[SO4],3)</f>
        <v>2</v>
      </c>
      <c r="BX144" s="6">
        <f>QUARTILE(Table127[HBP4],3)</f>
        <v>0</v>
      </c>
      <c r="BY144" s="6">
        <f>QUARTILE(Table127[SF4],3)</f>
        <v>0</v>
      </c>
      <c r="BZ144" s="6">
        <f>QUARTILE(Table127[TB4],3)</f>
        <v>2</v>
      </c>
      <c r="CA144" s="80"/>
      <c r="CB144" s="6">
        <f>QUARTILE(Table127[AB5],3)</f>
        <v>4</v>
      </c>
      <c r="CC144" s="6">
        <f>QUARTILE(Table127[R5],3)</f>
        <v>1</v>
      </c>
      <c r="CD144" s="6">
        <f>QUARTILE(Table127[H5],3)</f>
        <v>1</v>
      </c>
      <c r="CE144" s="6">
        <f>QUARTILE(Table127[RBI5],3)</f>
        <v>1</v>
      </c>
      <c r="CF144" s="6">
        <f>QUARTILE(Table127[BB5],3)</f>
        <v>1</v>
      </c>
      <c r="CG144" s="6">
        <f>QUARTILE(Table127[SO5],3)</f>
        <v>1.75</v>
      </c>
      <c r="CH144" s="6">
        <f>QUARTILE(Table127[HBP5],3)</f>
        <v>0</v>
      </c>
      <c r="CI144" s="6">
        <f>QUARTILE(Table127[SF5],3)</f>
        <v>0</v>
      </c>
      <c r="CJ144" s="6">
        <f>QUARTILE(Table127[TB5],3)</f>
        <v>2</v>
      </c>
      <c r="CK144" s="80"/>
      <c r="CL144" s="6">
        <f>QUARTILE(Table127[AB6],3)</f>
        <v>4</v>
      </c>
      <c r="CM144" s="6">
        <f>QUARTILE(Table127[R6],3)</f>
        <v>1</v>
      </c>
      <c r="CN144" s="6">
        <f>QUARTILE(Table127[H6],3)</f>
        <v>2</v>
      </c>
      <c r="CO144" s="6">
        <f>QUARTILE(Table127[RBI6],3)</f>
        <v>1</v>
      </c>
      <c r="CP144" s="6">
        <f>QUARTILE(Table127[BB6],3)</f>
        <v>1</v>
      </c>
      <c r="CQ144" s="6">
        <f>QUARTILE(Table127[SO6],3)</f>
        <v>1</v>
      </c>
      <c r="CR144" s="6">
        <f>QUARTILE(Table127[HBP6],3)</f>
        <v>0</v>
      </c>
      <c r="CS144" s="6">
        <f>QUARTILE(Table127[SF6],3)</f>
        <v>0</v>
      </c>
      <c r="CT144" s="6">
        <f>QUARTILE(Table127[TB6],3)</f>
        <v>2</v>
      </c>
      <c r="CU144" s="80"/>
      <c r="CV144" s="6">
        <f>QUARTILE(Table127[AB7],3)</f>
        <v>4</v>
      </c>
      <c r="CW144" s="6">
        <f>QUARTILE(Table127[R7],3)</f>
        <v>1</v>
      </c>
      <c r="CX144" s="6">
        <f>QUARTILE(Table127[H7],3)</f>
        <v>1</v>
      </c>
      <c r="CY144" s="6">
        <f>QUARTILE(Table127[RBI7],3)</f>
        <v>1</v>
      </c>
      <c r="CZ144" s="6">
        <f>QUARTILE(Table127[BB7],3)</f>
        <v>1</v>
      </c>
      <c r="DA144" s="6">
        <f>QUARTILE(Table127[SO7],3)</f>
        <v>1</v>
      </c>
      <c r="DB144" s="6">
        <f>QUARTILE(Table127[HBP7],3)</f>
        <v>0</v>
      </c>
      <c r="DC144" s="6">
        <f>QUARTILE(Table127[SF7],3)</f>
        <v>0</v>
      </c>
      <c r="DD144" s="6">
        <f>QUARTILE(Table127[TB7],3)</f>
        <v>2</v>
      </c>
      <c r="DE144" s="80"/>
      <c r="DF144" s="6">
        <f>QUARTILE(Table127[AB8],3)</f>
        <v>4</v>
      </c>
      <c r="DG144" s="6">
        <f>QUARTILE(Table127[R8],3)</f>
        <v>1</v>
      </c>
      <c r="DH144" s="6">
        <f>QUARTILE(Table127[H8],3)</f>
        <v>1</v>
      </c>
      <c r="DI144" s="6">
        <f>QUARTILE(Table127[RBI8],3)</f>
        <v>1</v>
      </c>
      <c r="DJ144" s="6">
        <f>QUARTILE(Table127[BB8],3)</f>
        <v>1</v>
      </c>
      <c r="DK144" s="6">
        <f>QUARTILE(Table127[SO8],3)</f>
        <v>1</v>
      </c>
      <c r="DL144" s="6">
        <f>QUARTILE(Table127[HBP8],3)</f>
        <v>0</v>
      </c>
      <c r="DM144" s="6">
        <f>QUARTILE(Table127[SF8],3)</f>
        <v>0</v>
      </c>
      <c r="DN144" s="6">
        <f>QUARTILE(Table127[TB8],3)</f>
        <v>2</v>
      </c>
      <c r="DO144" s="80"/>
      <c r="DP144" s="6">
        <f>QUARTILE(Table127[AB9],3)</f>
        <v>4</v>
      </c>
      <c r="DQ144" s="6">
        <f>QUARTILE(Table127[R9],3)</f>
        <v>1</v>
      </c>
      <c r="DR144" s="6">
        <f>QUARTILE(Table127[H9],3)</f>
        <v>1</v>
      </c>
      <c r="DS144" s="6">
        <f>QUARTILE(Table127[RBI9],3)</f>
        <v>1</v>
      </c>
      <c r="DT144" s="6">
        <f>QUARTILE(Table127[BB9],3)</f>
        <v>0</v>
      </c>
      <c r="DU144" s="6">
        <f>QUARTILE(Table127[SO9],3)</f>
        <v>1</v>
      </c>
      <c r="DV144" s="6">
        <f>QUARTILE(Table127[HBP9],3)</f>
        <v>0</v>
      </c>
      <c r="DW144" s="6">
        <f>QUARTILE(Table127[SF9],3)</f>
        <v>0</v>
      </c>
      <c r="DX144" s="6">
        <f>QUARTILE(Table127[TB9],3)</f>
        <v>2</v>
      </c>
      <c r="DY144" s="5">
        <f>QUARTILE(Table127[IVL],3)</f>
        <v>5</v>
      </c>
      <c r="DZ144" s="6">
        <f>QUARTILE(Table127[SVL],3)</f>
        <v>0</v>
      </c>
      <c r="EA144" s="6">
        <f>QUARTILE(Table127[CVL],3)</f>
        <v>0</v>
      </c>
      <c r="EB144" s="5">
        <f>QUARTILE(Table127[IVR],3)</f>
        <v>8.25</v>
      </c>
      <c r="EC144" s="6">
        <f>QUARTILE(Table127[SVR],3)</f>
        <v>1</v>
      </c>
      <c r="ED144" s="6">
        <f>QUARTILE(Table127[CVR],3)</f>
        <v>0</v>
      </c>
      <c r="EE144" s="6">
        <f>QUARTILE(Table127[RI1],3)</f>
        <v>1</v>
      </c>
      <c r="EF144" s="6">
        <f>QUARTILE(Table127[RI2],3)</f>
        <v>0</v>
      </c>
      <c r="EG144" s="6">
        <f>QUARTILE(Table127[RI3],3)</f>
        <v>1</v>
      </c>
      <c r="EH144" s="6">
        <f>QUARTILE(Table127[RI4],3)</f>
        <v>1</v>
      </c>
      <c r="EI144" s="6">
        <f>QUARTILE(Table127[RI5],3)</f>
        <v>0</v>
      </c>
      <c r="EJ144" s="6">
        <f>QUARTILE(Table127[RI6],3)</f>
        <v>1</v>
      </c>
      <c r="EK144" s="6">
        <f>QUARTILE(Table127[RI7],3)</f>
        <v>1</v>
      </c>
      <c r="EL144" s="6">
        <f>QUARTILE(Table127[RI8],3)</f>
        <v>1</v>
      </c>
      <c r="EM144" s="6">
        <f>QUARTILE(Table127[RI9],3)</f>
        <v>0</v>
      </c>
      <c r="EN144" s="6">
        <f>QUARTILE(Table127[RI10],3)</f>
        <v>1</v>
      </c>
      <c r="EO144" s="6">
        <f>QUARTILE(Table127[RI11],3)</f>
        <v>0</v>
      </c>
      <c r="EP144" s="6">
        <f>QUARTILE(Table127[RI12],3)</f>
        <v>0</v>
      </c>
      <c r="EQ144" s="6">
        <f>QUARTILE(Table127[RI13],3)</f>
        <v>0.5</v>
      </c>
      <c r="ER144" s="6">
        <f>QUARTILE(Table127[RI14],3)</f>
        <v>0.75</v>
      </c>
      <c r="ES144" s="6">
        <f>QUARTILE(Table127[RI15],3)</f>
        <v>1</v>
      </c>
      <c r="ET144" s="6">
        <f>QUARTILE(Table127[RT],3)</f>
        <v>6</v>
      </c>
      <c r="EU144" s="6">
        <f>QUARTILE(Table127[OI1],3)</f>
        <v>1</v>
      </c>
      <c r="EV144" s="6">
        <f>QUARTILE(Table127[OI2],3)</f>
        <v>0.75</v>
      </c>
      <c r="EW144" s="6">
        <f>QUARTILE(Table127[OI3],3)</f>
        <v>1</v>
      </c>
      <c r="EX144" s="6">
        <f>QUARTILE(Table127[OI4],3)</f>
        <v>0</v>
      </c>
      <c r="EY144" s="6">
        <f>QUARTILE(Table127[OI5],3)</f>
        <v>0</v>
      </c>
      <c r="EZ144" s="6">
        <f>QUARTILE(Table127[OI6],3)</f>
        <v>0</v>
      </c>
      <c r="FA144" s="6">
        <f>QUARTILE(Table127[OI7],3)</f>
        <v>1</v>
      </c>
      <c r="FB144" s="6">
        <f>QUARTILE(Table127[OI8],3)</f>
        <v>1</v>
      </c>
      <c r="FC144" s="6">
        <f>QUARTILE(Table127[OI9],3)</f>
        <v>1</v>
      </c>
      <c r="FD144" s="6">
        <f>QUARTILE(Table127[OI10],3)</f>
        <v>0</v>
      </c>
      <c r="FE144" s="6">
        <f>QUARTILE(Table127[OI11],3)</f>
        <v>0</v>
      </c>
      <c r="FF144" s="6">
        <f>QUARTILE(Table127[OI12],3)</f>
        <v>1</v>
      </c>
      <c r="FG144" s="6">
        <f>QUARTILE(Table127[OI13],3)</f>
        <v>3</v>
      </c>
      <c r="FH144" s="6">
        <f>QUARTILE(Table127[OI14],3)</f>
        <v>0</v>
      </c>
      <c r="FI144" s="6">
        <f>QUARTILE(Table127[OI15],3)</f>
        <v>0</v>
      </c>
      <c r="FJ144" s="6">
        <f>QUARTILE(Table127[OT],3)</f>
        <v>6</v>
      </c>
      <c r="FM144" s="55" t="s">
        <v>228</v>
      </c>
    </row>
    <row r="145" spans="1:169" x14ac:dyDescent="0.25">
      <c r="A145" s="81" t="s">
        <v>229</v>
      </c>
      <c r="B145" s="53"/>
      <c r="C145" s="53"/>
      <c r="D145" s="53"/>
      <c r="E145" s="4">
        <f>MEDIAN(Table127[Att])</f>
        <v>2856</v>
      </c>
      <c r="F145" s="54"/>
      <c r="G145" s="80"/>
      <c r="H145" s="80"/>
      <c r="I145" s="80"/>
      <c r="J145" s="5">
        <f>MEDIAN(Table127[S-IP])</f>
        <v>5</v>
      </c>
      <c r="K145" s="6">
        <f>MEDIAN(Table127[S-H])</f>
        <v>5</v>
      </c>
      <c r="L145" s="6">
        <f>MEDIAN(Table127[S-R])</f>
        <v>2</v>
      </c>
      <c r="M145" s="6">
        <f>MEDIAN(Table127[S-ER])</f>
        <v>2</v>
      </c>
      <c r="N145" s="6">
        <f>MEDIAN(Table127[S-BB])</f>
        <v>2</v>
      </c>
      <c r="O145" s="6">
        <f>MEDIAN(Table127[S-SO])</f>
        <v>4</v>
      </c>
      <c r="P145" s="6">
        <f>MEDIAN(Table127[S-HR])</f>
        <v>0</v>
      </c>
      <c r="Q145" s="6">
        <f>MEDIAN(Table127[S-HBP])</f>
        <v>0</v>
      </c>
      <c r="R145" s="6">
        <f>MEDIAN(Table127[S-BF])</f>
        <v>22</v>
      </c>
      <c r="S145" s="6">
        <f>MEDIAN(Table127[S-Pit])</f>
        <v>84</v>
      </c>
      <c r="T145" s="6">
        <f>MEDIAN(Table127[S-Str])</f>
        <v>52</v>
      </c>
      <c r="U145" s="6">
        <f>MEDIAN(Table127[IRL])</f>
        <v>0</v>
      </c>
      <c r="V145" s="6">
        <f>MEDIAN(Table127[IRS])</f>
        <v>0</v>
      </c>
      <c r="W145" s="80"/>
      <c r="X145" s="80"/>
      <c r="Y145" s="80"/>
      <c r="Z145" s="80"/>
      <c r="AA145" s="80"/>
      <c r="AB145" s="5">
        <f>MEDIAN(Table127[B-IP])</f>
        <v>3.833333333333333</v>
      </c>
      <c r="AC145" s="6">
        <f>MEDIAN(Table127[B-H])</f>
        <v>4</v>
      </c>
      <c r="AD145" s="6">
        <f>MEDIAN(Table127[B-R])</f>
        <v>1</v>
      </c>
      <c r="AE145" s="6">
        <f>MEDIAN(Table127[B-ER])</f>
        <v>1</v>
      </c>
      <c r="AF145" s="6">
        <f>MEDIAN(Table127[B-BB])</f>
        <v>1</v>
      </c>
      <c r="AG145" s="6">
        <f>MEDIAN(Table127[B-SO])</f>
        <v>3</v>
      </c>
      <c r="AH145" s="6">
        <f>MEDIAN(Table127[B-HR])</f>
        <v>0</v>
      </c>
      <c r="AI145" s="6">
        <f>MEDIAN(Table127[B-HBP])</f>
        <v>0</v>
      </c>
      <c r="AJ145" s="6">
        <f>MEDIAN(Table127[B-BF])</f>
        <v>16</v>
      </c>
      <c r="AK145" s="6">
        <f>MEDIAN(Table127[B-Pit])</f>
        <v>56</v>
      </c>
      <c r="AL145" s="6">
        <f>MEDIAN(Table127[B-Str])</f>
        <v>35.5</v>
      </c>
      <c r="AM145" s="80"/>
      <c r="AN145" s="6">
        <f>MEDIAN(Table127[AB1])</f>
        <v>4</v>
      </c>
      <c r="AO145" s="6">
        <f>MEDIAN(Table127[R1])</f>
        <v>0</v>
      </c>
      <c r="AP145" s="6">
        <f>MEDIAN(Table127[H1])</f>
        <v>1</v>
      </c>
      <c r="AQ145" s="6">
        <f>MEDIAN(Table127[RBI1])</f>
        <v>0</v>
      </c>
      <c r="AR145" s="6">
        <f>MEDIAN(Table127[BB1])</f>
        <v>0</v>
      </c>
      <c r="AS145" s="6">
        <f>MEDIAN(Table127[SO1])</f>
        <v>0</v>
      </c>
      <c r="AT145" s="6">
        <f>MEDIAN(Table127[HBP1])</f>
        <v>0</v>
      </c>
      <c r="AU145" s="6">
        <f>MEDIAN(Table127[SF1])</f>
        <v>0</v>
      </c>
      <c r="AV145" s="6">
        <f>MEDIAN(Table127[TB1])</f>
        <v>1</v>
      </c>
      <c r="AW145" s="80"/>
      <c r="AX145" s="6">
        <f>MEDIAN(Table127[AB2])</f>
        <v>4</v>
      </c>
      <c r="AY145" s="6">
        <f>MEDIAN(Table127[R2])</f>
        <v>0</v>
      </c>
      <c r="AZ145" s="6">
        <f>MEDIAN(Table127[H2])</f>
        <v>1</v>
      </c>
      <c r="BA145" s="6">
        <f>MEDIAN(Table127[RBI2])</f>
        <v>0</v>
      </c>
      <c r="BB145" s="6">
        <f>MEDIAN(Table127[BB2])</f>
        <v>0</v>
      </c>
      <c r="BC145" s="6">
        <f>MEDIAN(Table127[SO2])</f>
        <v>1</v>
      </c>
      <c r="BD145" s="6">
        <f>MEDIAN(Table127[HBP2])</f>
        <v>0</v>
      </c>
      <c r="BE145" s="6">
        <f>MEDIAN(Table127[SF2])</f>
        <v>0</v>
      </c>
      <c r="BF145" s="6">
        <f>MEDIAN(Table127[TB2])</f>
        <v>1</v>
      </c>
      <c r="BG145" s="80"/>
      <c r="BH145" s="6">
        <f>MEDIAN(Table127[AB3])</f>
        <v>4</v>
      </c>
      <c r="BI145" s="6">
        <f>MEDIAN(Table127[R3])</f>
        <v>0</v>
      </c>
      <c r="BJ145" s="6">
        <f>MEDIAN(Table127[H3])</f>
        <v>1</v>
      </c>
      <c r="BK145" s="6">
        <f>MEDIAN(Table127[RBI3])</f>
        <v>0</v>
      </c>
      <c r="BL145" s="6">
        <f>MEDIAN(Table127[BB3])</f>
        <v>0</v>
      </c>
      <c r="BM145" s="6">
        <f>MEDIAN(Table127[SO3])</f>
        <v>1</v>
      </c>
      <c r="BN145" s="6">
        <f>MEDIAN(Table127[HBP3])</f>
        <v>0</v>
      </c>
      <c r="BO145" s="6">
        <f>MEDIAN(Table127[SF3])</f>
        <v>0</v>
      </c>
      <c r="BP145" s="6">
        <f>MEDIAN(Table127[TB3])</f>
        <v>1</v>
      </c>
      <c r="BQ145" s="80"/>
      <c r="BR145" s="6">
        <f>MEDIAN(Table127[AB4])</f>
        <v>4</v>
      </c>
      <c r="BS145" s="6">
        <f>MEDIAN(Table127[R4])</f>
        <v>0</v>
      </c>
      <c r="BT145" s="6">
        <f>MEDIAN(Table127[H4])</f>
        <v>1</v>
      </c>
      <c r="BU145" s="6">
        <f>MEDIAN(Table127[RBI4])</f>
        <v>0</v>
      </c>
      <c r="BV145" s="6">
        <f>MEDIAN(Table127[BB4])</f>
        <v>0</v>
      </c>
      <c r="BW145" s="6">
        <f>MEDIAN(Table127[SO4])</f>
        <v>1</v>
      </c>
      <c r="BX145" s="6">
        <f>MEDIAN(Table127[HBP4])</f>
        <v>0</v>
      </c>
      <c r="BY145" s="6">
        <f>MEDIAN(Table127[SF4])</f>
        <v>0</v>
      </c>
      <c r="BZ145" s="6">
        <f>MEDIAN(Table127[TB4])</f>
        <v>1</v>
      </c>
      <c r="CA145" s="80"/>
      <c r="CB145" s="6">
        <f>MEDIAN(Table127[AB5])</f>
        <v>4</v>
      </c>
      <c r="CC145" s="6">
        <f>MEDIAN(Table127[R5])</f>
        <v>0</v>
      </c>
      <c r="CD145" s="6">
        <f>MEDIAN(Table127[H5])</f>
        <v>1</v>
      </c>
      <c r="CE145" s="6">
        <f>MEDIAN(Table127[RBI5])</f>
        <v>0</v>
      </c>
      <c r="CF145" s="6">
        <f>MEDIAN(Table127[BB5])</f>
        <v>0</v>
      </c>
      <c r="CG145" s="6">
        <f>MEDIAN(Table127[SO5])</f>
        <v>1</v>
      </c>
      <c r="CH145" s="6">
        <f>MEDIAN(Table127[HBP5])</f>
        <v>0</v>
      </c>
      <c r="CI145" s="6">
        <f>MEDIAN(Table127[SF5])</f>
        <v>0</v>
      </c>
      <c r="CJ145" s="6">
        <f>MEDIAN(Table127[TB5])</f>
        <v>1</v>
      </c>
      <c r="CK145" s="80"/>
      <c r="CL145" s="6">
        <f>MEDIAN(Table127[AB6])</f>
        <v>4</v>
      </c>
      <c r="CM145" s="6">
        <f>MEDIAN(Table127[R6])</f>
        <v>0</v>
      </c>
      <c r="CN145" s="6">
        <f>MEDIAN(Table127[H6])</f>
        <v>1</v>
      </c>
      <c r="CO145" s="6">
        <f>MEDIAN(Table127[RBI6])</f>
        <v>0</v>
      </c>
      <c r="CP145" s="6">
        <f>MEDIAN(Table127[BB6])</f>
        <v>0</v>
      </c>
      <c r="CQ145" s="6">
        <f>MEDIAN(Table127[SO6])</f>
        <v>1</v>
      </c>
      <c r="CR145" s="6">
        <f>MEDIAN(Table127[HBP6])</f>
        <v>0</v>
      </c>
      <c r="CS145" s="6">
        <f>MEDIAN(Table127[SF6])</f>
        <v>0</v>
      </c>
      <c r="CT145" s="6">
        <f>MEDIAN(Table127[TB6])</f>
        <v>1</v>
      </c>
      <c r="CU145" s="80"/>
      <c r="CV145" s="6">
        <f>MEDIAN(Table127[AB7])</f>
        <v>4</v>
      </c>
      <c r="CW145" s="6">
        <f>MEDIAN(Table127[R7])</f>
        <v>0</v>
      </c>
      <c r="CX145" s="6">
        <f>MEDIAN(Table127[H7])</f>
        <v>1</v>
      </c>
      <c r="CY145" s="6">
        <f>MEDIAN(Table127[RBI7])</f>
        <v>0</v>
      </c>
      <c r="CZ145" s="6">
        <f>MEDIAN(Table127[BB7])</f>
        <v>0</v>
      </c>
      <c r="DA145" s="6">
        <f>MEDIAN(Table127[SO7])</f>
        <v>1</v>
      </c>
      <c r="DB145" s="6">
        <f>MEDIAN(Table127[HBP7])</f>
        <v>0</v>
      </c>
      <c r="DC145" s="6">
        <f>MEDIAN(Table127[SF7])</f>
        <v>0</v>
      </c>
      <c r="DD145" s="6">
        <f>MEDIAN(Table127[TB7])</f>
        <v>1</v>
      </c>
      <c r="DE145" s="80"/>
      <c r="DF145" s="6">
        <f>MEDIAN(Table127[AB8])</f>
        <v>3</v>
      </c>
      <c r="DG145" s="6">
        <f>MEDIAN(Table127[R8])</f>
        <v>0</v>
      </c>
      <c r="DH145" s="6">
        <f>MEDIAN(Table127[H8])</f>
        <v>1</v>
      </c>
      <c r="DI145" s="6">
        <f>MEDIAN(Table127[RBI8])</f>
        <v>0</v>
      </c>
      <c r="DJ145" s="6">
        <f>MEDIAN(Table127[BB8])</f>
        <v>0</v>
      </c>
      <c r="DK145" s="6">
        <f>MEDIAN(Table127[SO8])</f>
        <v>1</v>
      </c>
      <c r="DL145" s="6">
        <f>MEDIAN(Table127[HBP8])</f>
        <v>0</v>
      </c>
      <c r="DM145" s="6">
        <f>MEDIAN(Table127[SF8])</f>
        <v>0</v>
      </c>
      <c r="DN145" s="6">
        <f>MEDIAN(Table127[TB8])</f>
        <v>1</v>
      </c>
      <c r="DO145" s="80"/>
      <c r="DP145" s="6">
        <f>MEDIAN(Table127[AB9])</f>
        <v>3</v>
      </c>
      <c r="DQ145" s="6">
        <f>MEDIAN(Table127[R9])</f>
        <v>0</v>
      </c>
      <c r="DR145" s="6">
        <f>MEDIAN(Table127[H9])</f>
        <v>1</v>
      </c>
      <c r="DS145" s="6">
        <f>MEDIAN(Table127[RBI9])</f>
        <v>0</v>
      </c>
      <c r="DT145" s="6">
        <f>MEDIAN(Table127[BB9])</f>
        <v>0</v>
      </c>
      <c r="DU145" s="6">
        <f>MEDIAN(Table127[SO9])</f>
        <v>0</v>
      </c>
      <c r="DV145" s="6">
        <f>MEDIAN(Table127[HBP9])</f>
        <v>0</v>
      </c>
      <c r="DW145" s="6">
        <f>MEDIAN(Table127[SF9])</f>
        <v>0</v>
      </c>
      <c r="DX145" s="6">
        <f>MEDIAN(Table127[TB9])</f>
        <v>1</v>
      </c>
      <c r="DY145" s="5">
        <f>MEDIAN(Table127[IVL])</f>
        <v>1.5</v>
      </c>
      <c r="DZ145" s="6">
        <f>MEDIAN(Table127[SVL])</f>
        <v>0</v>
      </c>
      <c r="EA145" s="6">
        <f>MEDIAN(Table127[CVL])</f>
        <v>0</v>
      </c>
      <c r="EB145" s="5">
        <f>MEDIAN(Table127[IVR])</f>
        <v>7</v>
      </c>
      <c r="EC145" s="6">
        <f>MEDIAN(Table127[SVR])</f>
        <v>0</v>
      </c>
      <c r="ED145" s="6">
        <f>MEDIAN(Table127[CVR])</f>
        <v>0</v>
      </c>
      <c r="EE145" s="6">
        <f>MEDIAN(Table127[RI1])</f>
        <v>0</v>
      </c>
      <c r="EF145" s="6">
        <f>MEDIAN(Table127[RI2])</f>
        <v>0</v>
      </c>
      <c r="EG145" s="6">
        <f>MEDIAN(Table127[RI3])</f>
        <v>0</v>
      </c>
      <c r="EH145" s="6">
        <f>MEDIAN(Table127[RI4])</f>
        <v>0</v>
      </c>
      <c r="EI145" s="6">
        <f>MEDIAN(Table127[RI5])</f>
        <v>0</v>
      </c>
      <c r="EJ145" s="6">
        <f>MEDIAN(Table127[RI6])</f>
        <v>0</v>
      </c>
      <c r="EK145" s="6">
        <f>MEDIAN(Table127[RI7])</f>
        <v>0</v>
      </c>
      <c r="EL145" s="6">
        <f>MEDIAN(Table127[RI8])</f>
        <v>0</v>
      </c>
      <c r="EM145" s="6">
        <f>MEDIAN(Table127[RI9])</f>
        <v>0</v>
      </c>
      <c r="EN145" s="6">
        <f>MEDIAN(Table127[RI10])</f>
        <v>0</v>
      </c>
      <c r="EO145" s="6">
        <f>MEDIAN(Table127[RI11])</f>
        <v>0</v>
      </c>
      <c r="EP145" s="6">
        <f>MEDIAN(Table127[RI12])</f>
        <v>0</v>
      </c>
      <c r="EQ145" s="6">
        <f>MEDIAN(Table127[RI13])</f>
        <v>0</v>
      </c>
      <c r="ER145" s="6">
        <f>MEDIAN(Table127[RI14])</f>
        <v>0.5</v>
      </c>
      <c r="ES145" s="6">
        <f>MEDIAN(Table127[RI15])</f>
        <v>1</v>
      </c>
      <c r="ET145" s="6">
        <f>MEDIAN(Table127[RT])</f>
        <v>4</v>
      </c>
      <c r="EU145" s="6">
        <f>MEDIAN(Table127[OI1])</f>
        <v>0</v>
      </c>
      <c r="EV145" s="6">
        <f>MEDIAN(Table127[OI2])</f>
        <v>0</v>
      </c>
      <c r="EW145" s="6">
        <f>MEDIAN(Table127[OI3])</f>
        <v>0</v>
      </c>
      <c r="EX145" s="6">
        <f>MEDIAN(Table127[OI4])</f>
        <v>0</v>
      </c>
      <c r="EY145" s="6">
        <f>MEDIAN(Table127[OI5])</f>
        <v>0</v>
      </c>
      <c r="EZ145" s="6">
        <f>MEDIAN(Table127[OI6])</f>
        <v>0</v>
      </c>
      <c r="FA145" s="6">
        <f>MEDIAN(Table127[OI7])</f>
        <v>0</v>
      </c>
      <c r="FB145" s="6">
        <f>MEDIAN(Table127[OI8])</f>
        <v>0</v>
      </c>
      <c r="FC145" s="6">
        <f>MEDIAN(Table127[OI9])</f>
        <v>0</v>
      </c>
      <c r="FD145" s="6">
        <f>MEDIAN(Table127[OI10])</f>
        <v>0</v>
      </c>
      <c r="FE145" s="6">
        <f>MEDIAN(Table127[OI11])</f>
        <v>0</v>
      </c>
      <c r="FF145" s="6">
        <f>MEDIAN(Table127[OI12])</f>
        <v>0</v>
      </c>
      <c r="FG145" s="6">
        <f>MEDIAN(Table127[OI13])</f>
        <v>1</v>
      </c>
      <c r="FH145" s="6">
        <f>MEDIAN(Table127[OI14])</f>
        <v>0</v>
      </c>
      <c r="FI145" s="6">
        <f>MEDIAN(Table127[OI15])</f>
        <v>0</v>
      </c>
      <c r="FJ145" s="6">
        <f>MEDIAN(Table127[OT])</f>
        <v>4</v>
      </c>
      <c r="FM145" s="55" t="s">
        <v>229</v>
      </c>
    </row>
    <row r="146" spans="1:169" x14ac:dyDescent="0.25">
      <c r="A146" s="81" t="s">
        <v>230</v>
      </c>
      <c r="B146" s="53"/>
      <c r="C146" s="53"/>
      <c r="D146" s="53"/>
      <c r="E146" s="4">
        <f>QUARTILE(Table127[Att],1)</f>
        <v>1972</v>
      </c>
      <c r="F146" s="54"/>
      <c r="G146" s="80"/>
      <c r="H146" s="80"/>
      <c r="I146" s="80"/>
      <c r="J146" s="5">
        <f>QUARTILE(Table127[S-IP],1)</f>
        <v>4</v>
      </c>
      <c r="K146" s="6">
        <f>QUARTILE(Table127[S-H],1)</f>
        <v>3</v>
      </c>
      <c r="L146" s="6">
        <f>QUARTILE(Table127[S-R],1)</f>
        <v>1</v>
      </c>
      <c r="M146" s="6">
        <f>QUARTILE(Table127[S-ER],1)</f>
        <v>0</v>
      </c>
      <c r="N146" s="6">
        <f>QUARTILE(Table127[S-BB],1)</f>
        <v>1</v>
      </c>
      <c r="O146" s="6">
        <f>QUARTILE(Table127[S-SO],1)</f>
        <v>3</v>
      </c>
      <c r="P146" s="6">
        <f>QUARTILE(Table127[S-HR],1)</f>
        <v>0</v>
      </c>
      <c r="Q146" s="6">
        <f>QUARTILE(Table127[S-HBP],1)</f>
        <v>0</v>
      </c>
      <c r="R146" s="6">
        <f>QUARTILE(Table127[S-BF],1)</f>
        <v>20</v>
      </c>
      <c r="S146" s="6">
        <f>QUARTILE(Table127[S-Pit],1)</f>
        <v>73</v>
      </c>
      <c r="T146" s="6">
        <f>QUARTILE(Table127[S-Str],1)</f>
        <v>45</v>
      </c>
      <c r="U146" s="6">
        <f>QUARTILE(Table127[IRL],1)</f>
        <v>0</v>
      </c>
      <c r="V146" s="6">
        <f>QUARTILE(Table127[IRS],1)</f>
        <v>0</v>
      </c>
      <c r="W146" s="80"/>
      <c r="X146" s="80"/>
      <c r="Y146" s="80"/>
      <c r="Z146" s="80"/>
      <c r="AA146" s="80"/>
      <c r="AB146" s="5">
        <f>QUARTILE(Table127[B-IP],1)</f>
        <v>3</v>
      </c>
      <c r="AC146" s="6">
        <f>QUARTILE(Table127[B-H],1)</f>
        <v>2</v>
      </c>
      <c r="AD146" s="6">
        <f>QUARTILE(Table127[B-R],1)</f>
        <v>0</v>
      </c>
      <c r="AE146" s="6">
        <f>QUARTILE(Table127[B-ER],1)</f>
        <v>0</v>
      </c>
      <c r="AF146" s="6">
        <f>QUARTILE(Table127[B-BB],1)</f>
        <v>0</v>
      </c>
      <c r="AG146" s="6">
        <f>QUARTILE(Table127[B-SO],1)</f>
        <v>2</v>
      </c>
      <c r="AH146" s="6">
        <f>QUARTILE(Table127[B-HR],1)</f>
        <v>0</v>
      </c>
      <c r="AI146" s="6">
        <f>QUARTILE(Table127[B-HBP],1)</f>
        <v>0</v>
      </c>
      <c r="AJ146" s="6">
        <f>QUARTILE(Table127[B-BF],1)</f>
        <v>11</v>
      </c>
      <c r="AK146" s="6">
        <f>QUARTILE(Table127[B-Pit],1)</f>
        <v>41.25</v>
      </c>
      <c r="AL146" s="6">
        <f>QUARTILE(Table127[B-Str],1)</f>
        <v>25.25</v>
      </c>
      <c r="AM146" s="80"/>
      <c r="AN146" s="6">
        <f>QUARTILE(Table127[AB1],1)</f>
        <v>3</v>
      </c>
      <c r="AO146" s="6">
        <f>QUARTILE(Table127[R1],1)</f>
        <v>0</v>
      </c>
      <c r="AP146" s="6">
        <f>QUARTILE(Table127[H1],1)</f>
        <v>0</v>
      </c>
      <c r="AQ146" s="6">
        <f>QUARTILE(Table127[RBI1],1)</f>
        <v>0</v>
      </c>
      <c r="AR146" s="6">
        <f>QUARTILE(Table127[BB1],1)</f>
        <v>0</v>
      </c>
      <c r="AS146" s="6">
        <f>QUARTILE(Table127[SO1],1)</f>
        <v>0</v>
      </c>
      <c r="AT146" s="6">
        <f>QUARTILE(Table127[HBP1],1)</f>
        <v>0</v>
      </c>
      <c r="AU146" s="6">
        <f>QUARTILE(Table127[SF1],1)</f>
        <v>0</v>
      </c>
      <c r="AV146" s="6">
        <f>QUARTILE(Table127[TB1],1)</f>
        <v>0</v>
      </c>
      <c r="AW146" s="80"/>
      <c r="AX146" s="6">
        <f>QUARTILE(Table127[AB2],1)</f>
        <v>3</v>
      </c>
      <c r="AY146" s="6">
        <f>QUARTILE(Table127[R2],1)</f>
        <v>0</v>
      </c>
      <c r="AZ146" s="6">
        <f>QUARTILE(Table127[H2],1)</f>
        <v>0</v>
      </c>
      <c r="BA146" s="6">
        <f>QUARTILE(Table127[RBI2],1)</f>
        <v>0</v>
      </c>
      <c r="BB146" s="6">
        <f>QUARTILE(Table127[BB2],1)</f>
        <v>0</v>
      </c>
      <c r="BC146" s="6">
        <f>QUARTILE(Table127[SO2],1)</f>
        <v>0</v>
      </c>
      <c r="BD146" s="6">
        <f>QUARTILE(Table127[HBP2],1)</f>
        <v>0</v>
      </c>
      <c r="BE146" s="6">
        <f>QUARTILE(Table127[SF2],1)</f>
        <v>0</v>
      </c>
      <c r="BF146" s="6">
        <f>QUARTILE(Table127[TB2],1)</f>
        <v>0</v>
      </c>
      <c r="BG146" s="80"/>
      <c r="BH146" s="6">
        <f>QUARTILE(Table127[AB3],1)</f>
        <v>3</v>
      </c>
      <c r="BI146" s="6">
        <f>QUARTILE(Table127[R3],1)</f>
        <v>0</v>
      </c>
      <c r="BJ146" s="6">
        <f>QUARTILE(Table127[H3],1)</f>
        <v>0</v>
      </c>
      <c r="BK146" s="6">
        <f>QUARTILE(Table127[RBI3],1)</f>
        <v>0</v>
      </c>
      <c r="BL146" s="6">
        <f>QUARTILE(Table127[BB3],1)</f>
        <v>0</v>
      </c>
      <c r="BM146" s="6">
        <f>QUARTILE(Table127[SO3],1)</f>
        <v>0</v>
      </c>
      <c r="BN146" s="6">
        <f>QUARTILE(Table127[HBP3],1)</f>
        <v>0</v>
      </c>
      <c r="BO146" s="6">
        <f>QUARTILE(Table127[SF3],1)</f>
        <v>0</v>
      </c>
      <c r="BP146" s="6">
        <f>QUARTILE(Table127[TB3],1)</f>
        <v>0</v>
      </c>
      <c r="BQ146" s="80"/>
      <c r="BR146" s="6">
        <f>QUARTILE(Table127[AB4],1)</f>
        <v>3</v>
      </c>
      <c r="BS146" s="6">
        <f>QUARTILE(Table127[R4],1)</f>
        <v>0</v>
      </c>
      <c r="BT146" s="6">
        <f>QUARTILE(Table127[H4],1)</f>
        <v>0</v>
      </c>
      <c r="BU146" s="6">
        <f>QUARTILE(Table127[RBI4],1)</f>
        <v>0</v>
      </c>
      <c r="BV146" s="6">
        <f>QUARTILE(Table127[BB4],1)</f>
        <v>0</v>
      </c>
      <c r="BW146" s="6">
        <f>QUARTILE(Table127[SO4],1)</f>
        <v>0</v>
      </c>
      <c r="BX146" s="6">
        <f>QUARTILE(Table127[HBP4],1)</f>
        <v>0</v>
      </c>
      <c r="BY146" s="6">
        <f>QUARTILE(Table127[SF4],1)</f>
        <v>0</v>
      </c>
      <c r="BZ146" s="6">
        <f>QUARTILE(Table127[TB4],1)</f>
        <v>0</v>
      </c>
      <c r="CA146" s="80"/>
      <c r="CB146" s="6">
        <f>QUARTILE(Table127[AB5],1)</f>
        <v>3</v>
      </c>
      <c r="CC146" s="6">
        <f>QUARTILE(Table127[R5],1)</f>
        <v>0</v>
      </c>
      <c r="CD146" s="6">
        <f>QUARTILE(Table127[H5],1)</f>
        <v>0</v>
      </c>
      <c r="CE146" s="6">
        <f>QUARTILE(Table127[RBI5],1)</f>
        <v>0</v>
      </c>
      <c r="CF146" s="6">
        <f>QUARTILE(Table127[BB5],1)</f>
        <v>0</v>
      </c>
      <c r="CG146" s="6">
        <f>QUARTILE(Table127[SO5],1)</f>
        <v>0</v>
      </c>
      <c r="CH146" s="6">
        <f>QUARTILE(Table127[HBP5],1)</f>
        <v>0</v>
      </c>
      <c r="CI146" s="6">
        <f>QUARTILE(Table127[SF5],1)</f>
        <v>0</v>
      </c>
      <c r="CJ146" s="6">
        <f>QUARTILE(Table127[TB5],1)</f>
        <v>0</v>
      </c>
      <c r="CK146" s="80"/>
      <c r="CL146" s="6">
        <f>QUARTILE(Table127[AB6],1)</f>
        <v>3</v>
      </c>
      <c r="CM146" s="6">
        <f>QUARTILE(Table127[R6],1)</f>
        <v>0</v>
      </c>
      <c r="CN146" s="6">
        <f>QUARTILE(Table127[H6],1)</f>
        <v>0</v>
      </c>
      <c r="CO146" s="6">
        <f>QUARTILE(Table127[RBI6],1)</f>
        <v>0</v>
      </c>
      <c r="CP146" s="6">
        <f>QUARTILE(Table127[BB6],1)</f>
        <v>0</v>
      </c>
      <c r="CQ146" s="6">
        <f>QUARTILE(Table127[SO6],1)</f>
        <v>0</v>
      </c>
      <c r="CR146" s="6">
        <f>QUARTILE(Table127[HBP6],1)</f>
        <v>0</v>
      </c>
      <c r="CS146" s="6">
        <f>QUARTILE(Table127[SF6],1)</f>
        <v>0</v>
      </c>
      <c r="CT146" s="6">
        <f>QUARTILE(Table127[TB6],1)</f>
        <v>0</v>
      </c>
      <c r="CU146" s="80"/>
      <c r="CV146" s="6">
        <f>QUARTILE(Table127[AB7],1)</f>
        <v>3</v>
      </c>
      <c r="CW146" s="6">
        <f>QUARTILE(Table127[R7],1)</f>
        <v>0</v>
      </c>
      <c r="CX146" s="6">
        <f>QUARTILE(Table127[H7],1)</f>
        <v>0</v>
      </c>
      <c r="CY146" s="6">
        <f>QUARTILE(Table127[RBI7],1)</f>
        <v>0</v>
      </c>
      <c r="CZ146" s="6">
        <f>QUARTILE(Table127[BB7],1)</f>
        <v>0</v>
      </c>
      <c r="DA146" s="6">
        <f>QUARTILE(Table127[SO7],1)</f>
        <v>0</v>
      </c>
      <c r="DB146" s="6">
        <f>QUARTILE(Table127[HBP7],1)</f>
        <v>0</v>
      </c>
      <c r="DC146" s="6">
        <f>QUARTILE(Table127[SF7],1)</f>
        <v>0</v>
      </c>
      <c r="DD146" s="6">
        <f>QUARTILE(Table127[TB7],1)</f>
        <v>0</v>
      </c>
      <c r="DE146" s="80"/>
      <c r="DF146" s="6">
        <f>QUARTILE(Table127[AB8],1)</f>
        <v>3</v>
      </c>
      <c r="DG146" s="6">
        <f>QUARTILE(Table127[R8],1)</f>
        <v>0</v>
      </c>
      <c r="DH146" s="6">
        <f>QUARTILE(Table127[H8],1)</f>
        <v>0</v>
      </c>
      <c r="DI146" s="6">
        <f>QUARTILE(Table127[RBI8],1)</f>
        <v>0</v>
      </c>
      <c r="DJ146" s="6">
        <f>QUARTILE(Table127[BB8],1)</f>
        <v>0</v>
      </c>
      <c r="DK146" s="6">
        <f>QUARTILE(Table127[SO8],1)</f>
        <v>0</v>
      </c>
      <c r="DL146" s="6">
        <f>QUARTILE(Table127[HBP8],1)</f>
        <v>0</v>
      </c>
      <c r="DM146" s="6">
        <f>QUARTILE(Table127[SF8],1)</f>
        <v>0</v>
      </c>
      <c r="DN146" s="6">
        <f>QUARTILE(Table127[TB8],1)</f>
        <v>0</v>
      </c>
      <c r="DO146" s="80"/>
      <c r="DP146" s="6">
        <f>QUARTILE(Table127[AB9],1)</f>
        <v>3</v>
      </c>
      <c r="DQ146" s="6">
        <f>QUARTILE(Table127[R9],1)</f>
        <v>0</v>
      </c>
      <c r="DR146" s="6">
        <f>QUARTILE(Table127[H9],1)</f>
        <v>0</v>
      </c>
      <c r="DS146" s="6">
        <f>QUARTILE(Table127[RBI9],1)</f>
        <v>0</v>
      </c>
      <c r="DT146" s="6">
        <f>QUARTILE(Table127[BB9],1)</f>
        <v>0</v>
      </c>
      <c r="DU146" s="6">
        <f>QUARTILE(Table127[SO9],1)</f>
        <v>0</v>
      </c>
      <c r="DV146" s="6">
        <f>QUARTILE(Table127[HBP9],1)</f>
        <v>0</v>
      </c>
      <c r="DW146" s="6">
        <f>QUARTILE(Table127[SF9],1)</f>
        <v>0</v>
      </c>
      <c r="DX146" s="6">
        <f>QUARTILE(Table127[TB9],1)</f>
        <v>0</v>
      </c>
      <c r="DY146" s="5">
        <f>QUARTILE(Table127[IVL],1)</f>
        <v>0</v>
      </c>
      <c r="DZ146" s="6">
        <f>QUARTILE(Table127[SVL],1)</f>
        <v>0</v>
      </c>
      <c r="EA146" s="6">
        <f>QUARTILE(Table127[CVL],1)</f>
        <v>0</v>
      </c>
      <c r="EB146" s="5">
        <f>QUARTILE(Table127[IVR],1)</f>
        <v>4.083333333333333</v>
      </c>
      <c r="EC146" s="6">
        <f>QUARTILE(Table127[SVR],1)</f>
        <v>0</v>
      </c>
      <c r="ED146" s="6">
        <f>QUARTILE(Table127[CVR],1)</f>
        <v>0</v>
      </c>
      <c r="EE146" s="6">
        <f>QUARTILE(Table127[RI1],1)</f>
        <v>0</v>
      </c>
      <c r="EF146" s="6">
        <f>QUARTILE(Table127[RI2],1)</f>
        <v>0</v>
      </c>
      <c r="EG146" s="6">
        <f>QUARTILE(Table127[RI3],1)</f>
        <v>0</v>
      </c>
      <c r="EH146" s="6">
        <f>QUARTILE(Table127[RI4],1)</f>
        <v>0</v>
      </c>
      <c r="EI146" s="6">
        <f>QUARTILE(Table127[RI5],1)</f>
        <v>0</v>
      </c>
      <c r="EJ146" s="6">
        <f>QUARTILE(Table127[RI6],1)</f>
        <v>0</v>
      </c>
      <c r="EK146" s="6">
        <f>QUARTILE(Table127[RI7],1)</f>
        <v>0</v>
      </c>
      <c r="EL146" s="6">
        <f>QUARTILE(Table127[RI8],1)</f>
        <v>0</v>
      </c>
      <c r="EM146" s="6">
        <f>QUARTILE(Table127[RI9],1)</f>
        <v>0</v>
      </c>
      <c r="EN146" s="6">
        <f>QUARTILE(Table127[RI10],1)</f>
        <v>0</v>
      </c>
      <c r="EO146" s="6">
        <f>QUARTILE(Table127[RI11],1)</f>
        <v>0</v>
      </c>
      <c r="EP146" s="6">
        <f>QUARTILE(Table127[RI12],1)</f>
        <v>0</v>
      </c>
      <c r="EQ146" s="6">
        <f>QUARTILE(Table127[RI13],1)</f>
        <v>0</v>
      </c>
      <c r="ER146" s="6">
        <f>QUARTILE(Table127[RI14],1)</f>
        <v>0.25</v>
      </c>
      <c r="ES146" s="6">
        <f>QUARTILE(Table127[RI15],1)</f>
        <v>1</v>
      </c>
      <c r="ET146" s="6">
        <f>QUARTILE(Table127[RT],1)</f>
        <v>2</v>
      </c>
      <c r="EU146" s="6">
        <f>QUARTILE(Table127[OI1],1)</f>
        <v>0</v>
      </c>
      <c r="EV146" s="6">
        <f>QUARTILE(Table127[OI2],1)</f>
        <v>0</v>
      </c>
      <c r="EW146" s="6">
        <f>QUARTILE(Table127[OI3],1)</f>
        <v>0</v>
      </c>
      <c r="EX146" s="6">
        <f>QUARTILE(Table127[OI4],1)</f>
        <v>0</v>
      </c>
      <c r="EY146" s="6">
        <f>QUARTILE(Table127[OI5],1)</f>
        <v>0</v>
      </c>
      <c r="EZ146" s="6">
        <f>QUARTILE(Table127[OI6],1)</f>
        <v>0</v>
      </c>
      <c r="FA146" s="6">
        <f>QUARTILE(Table127[OI7],1)</f>
        <v>0</v>
      </c>
      <c r="FB146" s="6">
        <f>QUARTILE(Table127[OI8],1)</f>
        <v>0</v>
      </c>
      <c r="FC146" s="6">
        <f>QUARTILE(Table127[OI9],1)</f>
        <v>0</v>
      </c>
      <c r="FD146" s="6">
        <f>QUARTILE(Table127[OI10],1)</f>
        <v>0</v>
      </c>
      <c r="FE146" s="6">
        <f>QUARTILE(Table127[OI11],1)</f>
        <v>0</v>
      </c>
      <c r="FF146" s="6">
        <f>QUARTILE(Table127[OI12],1)</f>
        <v>0</v>
      </c>
      <c r="FG146" s="6">
        <f>QUARTILE(Table127[OI13],1)</f>
        <v>0.5</v>
      </c>
      <c r="FH146" s="6">
        <f>QUARTILE(Table127[OI14],1)</f>
        <v>0</v>
      </c>
      <c r="FI146" s="6">
        <f>QUARTILE(Table127[OI15],1)</f>
        <v>0</v>
      </c>
      <c r="FJ146" s="6">
        <f>QUARTILE(Table127[OT],1)</f>
        <v>2</v>
      </c>
      <c r="FM146" s="55" t="s">
        <v>230</v>
      </c>
    </row>
    <row r="147" spans="1:169" x14ac:dyDescent="0.25">
      <c r="A147" s="81" t="s">
        <v>231</v>
      </c>
      <c r="B147" s="53"/>
      <c r="C147" s="53"/>
      <c r="D147" s="53"/>
      <c r="E147" s="4">
        <f>MIN(Table127[Att])</f>
        <v>504</v>
      </c>
      <c r="F147" s="54"/>
      <c r="G147" s="80"/>
      <c r="H147" s="80"/>
      <c r="I147" s="80"/>
      <c r="J147" s="5">
        <f>MIN(Table127[S-IP])</f>
        <v>1.3333333333333333</v>
      </c>
      <c r="K147" s="6">
        <f>MIN(Table127[S-H])</f>
        <v>0</v>
      </c>
      <c r="L147" s="6">
        <f>MIN(Table127[S-R])</f>
        <v>0</v>
      </c>
      <c r="M147" s="6">
        <f>MIN(Table127[S-ER])</f>
        <v>0</v>
      </c>
      <c r="N147" s="6">
        <f>MIN(Table127[S-BB])</f>
        <v>0</v>
      </c>
      <c r="O147" s="6">
        <f>MIN(Table127[S-SO])</f>
        <v>0</v>
      </c>
      <c r="P147" s="6">
        <f>MIN(Table127[S-HR])</f>
        <v>0</v>
      </c>
      <c r="Q147" s="6">
        <f>MIN(Table127[S-HBP])</f>
        <v>0</v>
      </c>
      <c r="R147" s="6">
        <f>MIN(Table127[S-BF])</f>
        <v>7</v>
      </c>
      <c r="S147" s="6">
        <f>MIN(Table127[S-Pit])</f>
        <v>25</v>
      </c>
      <c r="T147" s="6">
        <f>MIN(Table127[S-Str])</f>
        <v>17</v>
      </c>
      <c r="U147" s="6">
        <f>MIN(Table127[IRL])</f>
        <v>0</v>
      </c>
      <c r="V147" s="6">
        <f>MIN(Table127[IRS])</f>
        <v>0</v>
      </c>
      <c r="W147" s="80"/>
      <c r="X147" s="80"/>
      <c r="Y147" s="80"/>
      <c r="Z147" s="80"/>
      <c r="AA147" s="80"/>
      <c r="AB147" s="5">
        <f>MIN(Table127[B-IP])</f>
        <v>0.66666666666666663</v>
      </c>
      <c r="AC147" s="6">
        <f>MIN(Table127[B-H])</f>
        <v>0</v>
      </c>
      <c r="AD147" s="6">
        <f>MIN(Table127[B-R])</f>
        <v>0</v>
      </c>
      <c r="AE147" s="6">
        <f>MIN(Table127[B-ER])</f>
        <v>0</v>
      </c>
      <c r="AF147" s="6">
        <f>MIN(Table127[B-BB])</f>
        <v>0</v>
      </c>
      <c r="AG147" s="6">
        <f>MIN(Table127[B-SO])</f>
        <v>0</v>
      </c>
      <c r="AH147" s="6">
        <f>MIN(Table127[B-HR])</f>
        <v>0</v>
      </c>
      <c r="AI147" s="6">
        <f>MIN(Table127[B-HBP])</f>
        <v>0</v>
      </c>
      <c r="AJ147" s="6">
        <f>MIN(Table127[B-BF])</f>
        <v>3</v>
      </c>
      <c r="AK147" s="6">
        <f>MIN(Table127[B-Pit])</f>
        <v>7</v>
      </c>
      <c r="AL147" s="6">
        <f>MIN(Table127[B-Str])</f>
        <v>4</v>
      </c>
      <c r="AM147" s="80"/>
      <c r="AN147" s="6">
        <f>MIN(Table127[AB1])</f>
        <v>2</v>
      </c>
      <c r="AO147" s="6">
        <f>MIN(Table127[R1])</f>
        <v>0</v>
      </c>
      <c r="AP147" s="6">
        <f>MIN(Table127[H1])</f>
        <v>0</v>
      </c>
      <c r="AQ147" s="6">
        <f>MIN(Table127[RBI1])</f>
        <v>0</v>
      </c>
      <c r="AR147" s="6">
        <f>MIN(Table127[BB1])</f>
        <v>0</v>
      </c>
      <c r="AS147" s="6">
        <f>MIN(Table127[SO1])</f>
        <v>0</v>
      </c>
      <c r="AT147" s="6">
        <f>MIN(Table127[HBP1])</f>
        <v>0</v>
      </c>
      <c r="AU147" s="6">
        <f>MIN(Table127[SF1])</f>
        <v>0</v>
      </c>
      <c r="AV147" s="6">
        <f>MIN(Table127[TB1])</f>
        <v>0</v>
      </c>
      <c r="AW147" s="80"/>
      <c r="AX147" s="6">
        <f>MIN(Table127[AB2])</f>
        <v>2</v>
      </c>
      <c r="AY147" s="6">
        <f>MIN(Table127[R2])</f>
        <v>0</v>
      </c>
      <c r="AZ147" s="6">
        <f>MIN(Table127[H2])</f>
        <v>0</v>
      </c>
      <c r="BA147" s="6">
        <f>MIN(Table127[RBI2])</f>
        <v>0</v>
      </c>
      <c r="BB147" s="6">
        <f>MIN(Table127[BB2])</f>
        <v>0</v>
      </c>
      <c r="BC147" s="6">
        <f>MIN(Table127[SO2])</f>
        <v>0</v>
      </c>
      <c r="BD147" s="6">
        <f>MIN(Table127[HBP2])</f>
        <v>0</v>
      </c>
      <c r="BE147" s="6">
        <f>MIN(Table127[SF2])</f>
        <v>0</v>
      </c>
      <c r="BF147" s="6">
        <f>MIN(Table127[TB2])</f>
        <v>0</v>
      </c>
      <c r="BG147" s="80"/>
      <c r="BH147" s="6">
        <f>MIN(Table127[AB3])</f>
        <v>2</v>
      </c>
      <c r="BI147" s="6">
        <f>MIN(Table127[R3])</f>
        <v>0</v>
      </c>
      <c r="BJ147" s="6">
        <f>MIN(Table127[H3])</f>
        <v>0</v>
      </c>
      <c r="BK147" s="6">
        <f>MIN(Table127[RBI3])</f>
        <v>0</v>
      </c>
      <c r="BL147" s="6">
        <f>MIN(Table127[BB3])</f>
        <v>0</v>
      </c>
      <c r="BM147" s="6">
        <f>MIN(Table127[SO3])</f>
        <v>0</v>
      </c>
      <c r="BN147" s="6">
        <f>MIN(Table127[HBP3])</f>
        <v>0</v>
      </c>
      <c r="BO147" s="6">
        <f>MIN(Table127[SF3])</f>
        <v>0</v>
      </c>
      <c r="BP147" s="6">
        <f>MIN(Table127[TB3])</f>
        <v>0</v>
      </c>
      <c r="BQ147" s="80"/>
      <c r="BR147" s="6">
        <f>MIN(Table127[AB4])</f>
        <v>1</v>
      </c>
      <c r="BS147" s="6">
        <f>MIN(Table127[R4])</f>
        <v>0</v>
      </c>
      <c r="BT147" s="6">
        <f>MIN(Table127[H4])</f>
        <v>0</v>
      </c>
      <c r="BU147" s="6">
        <f>MIN(Table127[RBI4])</f>
        <v>0</v>
      </c>
      <c r="BV147" s="6">
        <f>MIN(Table127[BB4])</f>
        <v>0</v>
      </c>
      <c r="BW147" s="6">
        <f>MIN(Table127[SO4])</f>
        <v>0</v>
      </c>
      <c r="BX147" s="6">
        <f>MIN(Table127[HBP4])</f>
        <v>0</v>
      </c>
      <c r="BY147" s="6">
        <f>MIN(Table127[SF4])</f>
        <v>0</v>
      </c>
      <c r="BZ147" s="6">
        <f>MIN(Table127[TB4])</f>
        <v>0</v>
      </c>
      <c r="CA147" s="80"/>
      <c r="CB147" s="6">
        <f>MIN(Table127[AB5])</f>
        <v>1</v>
      </c>
      <c r="CC147" s="6">
        <f>MIN(Table127[R5])</f>
        <v>0</v>
      </c>
      <c r="CD147" s="6">
        <f>MIN(Table127[H5])</f>
        <v>0</v>
      </c>
      <c r="CE147" s="6">
        <f>MIN(Table127[RBI5])</f>
        <v>0</v>
      </c>
      <c r="CF147" s="6">
        <f>MIN(Table127[BB5])</f>
        <v>0</v>
      </c>
      <c r="CG147" s="6">
        <f>MIN(Table127[SO5])</f>
        <v>0</v>
      </c>
      <c r="CH147" s="6">
        <f>MIN(Table127[HBP5])</f>
        <v>0</v>
      </c>
      <c r="CI147" s="6">
        <f>MIN(Table127[SF5])</f>
        <v>0</v>
      </c>
      <c r="CJ147" s="6">
        <f>MIN(Table127[TB5])</f>
        <v>0</v>
      </c>
      <c r="CK147" s="80"/>
      <c r="CL147" s="6">
        <f>MIN(Table127[AB6])</f>
        <v>1</v>
      </c>
      <c r="CM147" s="6">
        <f>MIN(Table127[R6])</f>
        <v>0</v>
      </c>
      <c r="CN147" s="6">
        <f>MIN(Table127[H6])</f>
        <v>0</v>
      </c>
      <c r="CO147" s="6">
        <f>MIN(Table127[RBI6])</f>
        <v>0</v>
      </c>
      <c r="CP147" s="6">
        <f>MIN(Table127[BB6])</f>
        <v>0</v>
      </c>
      <c r="CQ147" s="6">
        <f>MIN(Table127[SO6])</f>
        <v>0</v>
      </c>
      <c r="CR147" s="6">
        <f>MIN(Table127[HBP6])</f>
        <v>0</v>
      </c>
      <c r="CS147" s="6">
        <f>MIN(Table127[SF6])</f>
        <v>0</v>
      </c>
      <c r="CT147" s="6">
        <f>MIN(Table127[TB6])</f>
        <v>0</v>
      </c>
      <c r="CU147" s="80"/>
      <c r="CV147" s="6">
        <f>MIN(Table127[AB7])</f>
        <v>2</v>
      </c>
      <c r="CW147" s="6">
        <f>MIN(Table127[R7])</f>
        <v>0</v>
      </c>
      <c r="CX147" s="6">
        <f>MIN(Table127[H7])</f>
        <v>0</v>
      </c>
      <c r="CY147" s="6">
        <f>MIN(Table127[RBI7])</f>
        <v>0</v>
      </c>
      <c r="CZ147" s="6">
        <f>MIN(Table127[BB7])</f>
        <v>0</v>
      </c>
      <c r="DA147" s="6">
        <f>MIN(Table127[SO7])</f>
        <v>0</v>
      </c>
      <c r="DB147" s="6">
        <f>MIN(Table127[HBP7])</f>
        <v>0</v>
      </c>
      <c r="DC147" s="6">
        <f>MIN(Table127[SF7])</f>
        <v>0</v>
      </c>
      <c r="DD147" s="6">
        <f>MIN(Table127[TB7])</f>
        <v>0</v>
      </c>
      <c r="DE147" s="80"/>
      <c r="DF147" s="6">
        <f>MIN(Table127[AB8])</f>
        <v>1</v>
      </c>
      <c r="DG147" s="6">
        <f>MIN(Table127[R8])</f>
        <v>0</v>
      </c>
      <c r="DH147" s="6">
        <f>MIN(Table127[H8])</f>
        <v>0</v>
      </c>
      <c r="DI147" s="6">
        <f>MIN(Table127[RBI8])</f>
        <v>0</v>
      </c>
      <c r="DJ147" s="6">
        <f>MIN(Table127[BB8])</f>
        <v>0</v>
      </c>
      <c r="DK147" s="6">
        <f>MIN(Table127[SO8])</f>
        <v>0</v>
      </c>
      <c r="DL147" s="6">
        <f>MIN(Table127[HBP8])</f>
        <v>0</v>
      </c>
      <c r="DM147" s="6">
        <f>MIN(Table127[SF8])</f>
        <v>0</v>
      </c>
      <c r="DN147" s="6">
        <f>MIN(Table127[TB8])</f>
        <v>0</v>
      </c>
      <c r="DO147" s="80"/>
      <c r="DP147" s="6">
        <f>MIN(Table127[AB9])</f>
        <v>1</v>
      </c>
      <c r="DQ147" s="6">
        <f>MIN(Table127[R9])</f>
        <v>0</v>
      </c>
      <c r="DR147" s="6">
        <f>MIN(Table127[H9])</f>
        <v>0</v>
      </c>
      <c r="DS147" s="6">
        <f>MIN(Table127[RBI9])</f>
        <v>0</v>
      </c>
      <c r="DT147" s="6">
        <f>MIN(Table127[BB9])</f>
        <v>0</v>
      </c>
      <c r="DU147" s="6">
        <f>MIN(Table127[SO9])</f>
        <v>0</v>
      </c>
      <c r="DV147" s="6">
        <f>MIN(Table127[HBP9])</f>
        <v>0</v>
      </c>
      <c r="DW147" s="6">
        <f>MIN(Table127[SF9])</f>
        <v>0</v>
      </c>
      <c r="DX147" s="6">
        <f>MIN(Table127[TB9])</f>
        <v>0</v>
      </c>
      <c r="DY147" s="5">
        <f>MIN(Table127[IVL])</f>
        <v>0</v>
      </c>
      <c r="DZ147" s="6">
        <f>MIN(Table127[SVL])</f>
        <v>0</v>
      </c>
      <c r="EA147" s="6">
        <f>MIN(Table127[CVL])</f>
        <v>0</v>
      </c>
      <c r="EB147" s="5">
        <f>MIN(Table127[IVR])</f>
        <v>0</v>
      </c>
      <c r="EC147" s="6">
        <f>MIN(Table127[SVR])</f>
        <v>0</v>
      </c>
      <c r="ED147" s="6">
        <f>MIN(Table127[CVR])</f>
        <v>0</v>
      </c>
      <c r="EE147" s="6">
        <f>MIN(Table127[RI1])</f>
        <v>0</v>
      </c>
      <c r="EF147" s="6">
        <f>MIN(Table127[RI2])</f>
        <v>0</v>
      </c>
      <c r="EG147" s="6">
        <f>MIN(Table127[RI3])</f>
        <v>0</v>
      </c>
      <c r="EH147" s="6">
        <f>MIN(Table127[RI4])</f>
        <v>0</v>
      </c>
      <c r="EI147" s="6">
        <f>MIN(Table127[RI5])</f>
        <v>0</v>
      </c>
      <c r="EJ147" s="6">
        <f>MIN(Table127[RI6])</f>
        <v>0</v>
      </c>
      <c r="EK147" s="6">
        <f>MIN(Table127[RI7])</f>
        <v>0</v>
      </c>
      <c r="EL147" s="6">
        <f>MIN(Table127[RI8])</f>
        <v>0</v>
      </c>
      <c r="EM147" s="6">
        <f>MIN(Table127[RI9])</f>
        <v>0</v>
      </c>
      <c r="EN147" s="6">
        <f>MIN(Table127[RI10])</f>
        <v>0</v>
      </c>
      <c r="EO147" s="6">
        <f>MIN(Table127[RI11])</f>
        <v>0</v>
      </c>
      <c r="EP147" s="6">
        <f>MIN(Table127[RI12])</f>
        <v>0</v>
      </c>
      <c r="EQ147" s="6">
        <f>MIN(Table127[RI13])</f>
        <v>0</v>
      </c>
      <c r="ER147" s="6">
        <f>MIN(Table127[RI14])</f>
        <v>0</v>
      </c>
      <c r="ES147" s="6">
        <f>MIN(Table127[RI15])</f>
        <v>1</v>
      </c>
      <c r="ET147" s="6">
        <f>MIN(Table127[RT])</f>
        <v>0</v>
      </c>
      <c r="EU147" s="6">
        <f>MIN(Table127[OI1])</f>
        <v>0</v>
      </c>
      <c r="EV147" s="6">
        <f>MIN(Table127[OI2])</f>
        <v>0</v>
      </c>
      <c r="EW147" s="6">
        <f>MIN(Table127[OI3])</f>
        <v>0</v>
      </c>
      <c r="EX147" s="6">
        <f>MIN(Table127[OI4])</f>
        <v>0</v>
      </c>
      <c r="EY147" s="6">
        <f>MIN(Table127[OI5])</f>
        <v>0</v>
      </c>
      <c r="EZ147" s="6">
        <f>MIN(Table127[OI6])</f>
        <v>0</v>
      </c>
      <c r="FA147" s="6">
        <f>MIN(Table127[OI7])</f>
        <v>0</v>
      </c>
      <c r="FB147" s="6">
        <f>MIN(Table127[OI8])</f>
        <v>0</v>
      </c>
      <c r="FC147" s="6">
        <f>MIN(Table127[OI9])</f>
        <v>0</v>
      </c>
      <c r="FD147" s="6">
        <f>MIN(Table127[OI10])</f>
        <v>0</v>
      </c>
      <c r="FE147" s="6">
        <f>MIN(Table127[OI11])</f>
        <v>0</v>
      </c>
      <c r="FF147" s="6">
        <f>MIN(Table127[OI12])</f>
        <v>0</v>
      </c>
      <c r="FG147" s="6">
        <f>MIN(Table127[OI13])</f>
        <v>0</v>
      </c>
      <c r="FH147" s="6">
        <f>MIN(Table127[OI14])</f>
        <v>0</v>
      </c>
      <c r="FI147" s="6">
        <f>MIN(Table127[OI15])</f>
        <v>0</v>
      </c>
      <c r="FJ147" s="6">
        <f>MIN(Table127[OT])</f>
        <v>0</v>
      </c>
      <c r="FM147" s="55" t="s">
        <v>231</v>
      </c>
    </row>
    <row r="148" spans="1:169" x14ac:dyDescent="0.25">
      <c r="A148" s="82" t="s">
        <v>232</v>
      </c>
      <c r="B148" s="90"/>
      <c r="C148" s="90"/>
      <c r="D148" s="90"/>
      <c r="E148" s="39">
        <f>STDEV(Table127[Att])</f>
        <v>2003.2645547694228</v>
      </c>
      <c r="F148" s="84"/>
      <c r="G148" s="84"/>
      <c r="H148" s="84"/>
      <c r="I148" s="84"/>
      <c r="J148" s="39">
        <f>STDEV(Table127[S-IP])</f>
        <v>1.3642717717652779</v>
      </c>
      <c r="K148" s="39">
        <f>STDEV(Table127[S-H])</f>
        <v>2.3333257771408986</v>
      </c>
      <c r="L148" s="39">
        <f>STDEV(Table127[S-R])</f>
        <v>2.1212081370406377</v>
      </c>
      <c r="M148" s="39">
        <f>STDEV(Table127[S-ER])</f>
        <v>1.9587948289310528</v>
      </c>
      <c r="N148" s="39">
        <f>STDEV(Table127[S-BB])</f>
        <v>1.3696202084876397</v>
      </c>
      <c r="O148" s="39">
        <f>STDEV(Table127[S-SO])</f>
        <v>2.5295984037404184</v>
      </c>
      <c r="P148" s="39">
        <f>STDEV(Table127[S-HR])</f>
        <v>0.55583229469744355</v>
      </c>
      <c r="Q148" s="39">
        <f>STDEV(Table127[S-HBP])</f>
        <v>0.47043108495433733</v>
      </c>
      <c r="R148" s="39">
        <f>STDEV(Table127[S-BF])</f>
        <v>4.5047608136685238</v>
      </c>
      <c r="S148" s="39">
        <f>STDEV(Table127[S-Pit])</f>
        <v>16.560051996294035</v>
      </c>
      <c r="T148" s="39">
        <f>STDEV(Table127[S-Str])</f>
        <v>11.255617918609151</v>
      </c>
      <c r="U148" s="39">
        <f>STDEV(Table127[IRL])</f>
        <v>0.79456526985041964</v>
      </c>
      <c r="V148" s="39">
        <f>STDEV(Table127[IRS])</f>
        <v>0.37601022289052821</v>
      </c>
      <c r="W148" s="84"/>
      <c r="X148" s="84"/>
      <c r="Y148" s="84"/>
      <c r="Z148" s="84"/>
      <c r="AA148" s="84"/>
      <c r="AB148" s="39">
        <f>STDEV(Table127[B-IP])</f>
        <v>1.6299167773414194</v>
      </c>
      <c r="AC148" s="39">
        <f>STDEV(Table127[B-H])</f>
        <v>2.4953993423743532</v>
      </c>
      <c r="AD148" s="39">
        <f>STDEV(Table127[B-R])</f>
        <v>1.988701823121928</v>
      </c>
      <c r="AE148" s="39">
        <f>STDEV(Table127[B-ER])</f>
        <v>1.9399778937625334</v>
      </c>
      <c r="AF148" s="39">
        <f>STDEV(Table127[B-BB])</f>
        <v>1.5669582277073208</v>
      </c>
      <c r="AG148" s="39">
        <f>STDEV(Table127[B-SO])</f>
        <v>1.9726255231454064</v>
      </c>
      <c r="AH148" s="39">
        <f>STDEV(Table127[B-HR])</f>
        <v>0.60394696009172943</v>
      </c>
      <c r="AI148" s="39">
        <f>STDEV(Table127[B-HBP])</f>
        <v>0.38655331255954384</v>
      </c>
      <c r="AJ148" s="39">
        <f>STDEV(Table127[B-BF])</f>
        <v>7.454310920258485</v>
      </c>
      <c r="AK148" s="39">
        <f>STDEV(Table127[B-Pit])</f>
        <v>28.453000846431589</v>
      </c>
      <c r="AL148" s="39">
        <f>STDEV(Table127[B-Str])</f>
        <v>17.08886952219482</v>
      </c>
      <c r="AM148" s="84"/>
      <c r="AN148" s="39">
        <f>STDEV(Table127[AB1])</f>
        <v>0.89773861670806632</v>
      </c>
      <c r="AO148" s="39">
        <f>STDEV(Table127[R1])</f>
        <v>0.68599660834616027</v>
      </c>
      <c r="AP148" s="39">
        <f>STDEV(Table127[H1])</f>
        <v>0.98061179486313066</v>
      </c>
      <c r="AQ148" s="39">
        <f>STDEV(Table127[RBI1])</f>
        <v>0.57931661772597953</v>
      </c>
      <c r="AR148" s="39">
        <f>STDEV(Table127[BB1])</f>
        <v>0.60359654117038575</v>
      </c>
      <c r="AS148" s="39">
        <f>STDEV(Table127[SO1])</f>
        <v>0.78127347103217637</v>
      </c>
      <c r="AT148" s="39">
        <f>STDEV(Table127[HBP1])</f>
        <v>0.28688310291138208</v>
      </c>
      <c r="AU148" s="39">
        <f>STDEV(Table127[SF1])</f>
        <v>8.5125653075874858E-2</v>
      </c>
      <c r="AV148" s="39">
        <f>STDEV(Table127[TB1])</f>
        <v>1.4183963094118877</v>
      </c>
      <c r="AW148" s="84"/>
      <c r="AX148" s="39">
        <f>STDEV(Table127[AB2])</f>
        <v>0.92272576030563946</v>
      </c>
      <c r="AY148" s="39">
        <f>STDEV(Table127[R2])</f>
        <v>0.7067700903741001</v>
      </c>
      <c r="AZ148" s="39">
        <f>STDEV(Table127[H2])</f>
        <v>0.9161676512149739</v>
      </c>
      <c r="BA148" s="39">
        <f>STDEV(Table127[RBI2])</f>
        <v>0.57450322116296837</v>
      </c>
      <c r="BB148" s="39">
        <f>STDEV(Table127[BB2])</f>
        <v>0.67401796871574415</v>
      </c>
      <c r="BC148" s="39">
        <f>STDEV(Table127[SO2])</f>
        <v>0.68811370865530108</v>
      </c>
      <c r="BD148" s="39">
        <f>STDEV(Table127[HBP2])</f>
        <v>0.14636178075710757</v>
      </c>
      <c r="BE148" s="39">
        <f>STDEV(Table127[SF2])</f>
        <v>0.20467404092265898</v>
      </c>
      <c r="BF148" s="39">
        <f>STDEV(Table127[TB2])</f>
        <v>1.5025631332937333</v>
      </c>
      <c r="BG148" s="84"/>
      <c r="BH148" s="39">
        <f>STDEV(Table127[AB3])</f>
        <v>0.88336531820761444</v>
      </c>
      <c r="BI148" s="39">
        <f>STDEV(Table127[R3])</f>
        <v>0.67507654396331784</v>
      </c>
      <c r="BJ148" s="39">
        <f>STDEV(Table127[H3])</f>
        <v>0.92624440612812065</v>
      </c>
      <c r="BK148" s="39">
        <f>STDEV(Table127[RBI3])</f>
        <v>0.73307266748170186</v>
      </c>
      <c r="BL148" s="39">
        <f>STDEV(Table127[BB3])</f>
        <v>0.69609996959606213</v>
      </c>
      <c r="BM148" s="39">
        <f>STDEV(Table127[SO3])</f>
        <v>0.77597479840552774</v>
      </c>
      <c r="BN148" s="39">
        <f>STDEV(Table127[HBP3])</f>
        <v>0.26383239376623779</v>
      </c>
      <c r="BO148" s="39">
        <f>STDEV(Table127[SF3])</f>
        <v>0.18754737756098072</v>
      </c>
      <c r="BP148" s="39">
        <f>STDEV(Table127[TB3])</f>
        <v>1.5299126129966789</v>
      </c>
      <c r="BQ148" s="84"/>
      <c r="BR148" s="39">
        <f>STDEV(Table127[AB4])</f>
        <v>0.86138648172474108</v>
      </c>
      <c r="BS148" s="39">
        <f>STDEV(Table127[R4])</f>
        <v>0.69655573130110748</v>
      </c>
      <c r="BT148" s="39">
        <f>STDEV(Table127[H4])</f>
        <v>0.85488373054061828</v>
      </c>
      <c r="BU148" s="39">
        <f>STDEV(Table127[RBI4])</f>
        <v>0.96385540575504158</v>
      </c>
      <c r="BV148" s="39">
        <f>STDEV(Table127[BB4])</f>
        <v>0.66262128162995981</v>
      </c>
      <c r="BW148" s="39">
        <f>STDEV(Table127[SO4])</f>
        <v>0.90405015078234929</v>
      </c>
      <c r="BX148" s="39">
        <f>STDEV(Table127[HBP4])</f>
        <v>0.22023424053135451</v>
      </c>
      <c r="BY148" s="39">
        <f>STDEV(Table127[SF4])</f>
        <v>0.26383239376623779</v>
      </c>
      <c r="BZ148" s="39">
        <f>STDEV(Table127[TB4])</f>
        <v>1.7009745123778985</v>
      </c>
      <c r="CA148" s="84"/>
      <c r="CB148" s="39">
        <f>STDEV(Table127[AB5])</f>
        <v>0.92258244207475992</v>
      </c>
      <c r="CC148" s="39">
        <f>STDEV(Table127[R5])</f>
        <v>0.71731837205287508</v>
      </c>
      <c r="CD148" s="39">
        <f>STDEV(Table127[H5])</f>
        <v>0.90475196236490829</v>
      </c>
      <c r="CE148" s="39">
        <f>STDEV(Table127[RBI5])</f>
        <v>0.8730966059235088</v>
      </c>
      <c r="CF148" s="39">
        <f>STDEV(Table127[BB5])</f>
        <v>0.61195121594892243</v>
      </c>
      <c r="CG148" s="39">
        <f>STDEV(Table127[SO5])</f>
        <v>0.87506328072091633</v>
      </c>
      <c r="CH148" s="39">
        <f>STDEV(Table127[HBP5])</f>
        <v>0.27183062037544903</v>
      </c>
      <c r="CI148" s="39">
        <f>STDEV(Table127[SF5])</f>
        <v>0.16837692273466348</v>
      </c>
      <c r="CJ148" s="39">
        <f>STDEV(Table127[TB5])</f>
        <v>1.6174364620502724</v>
      </c>
      <c r="CK148" s="84"/>
      <c r="CL148" s="39">
        <f>STDEV(Table127[AB6])</f>
        <v>0.95550540814768326</v>
      </c>
      <c r="CM148" s="39">
        <f>STDEV(Table127[R6])</f>
        <v>0.71602680308466071</v>
      </c>
      <c r="CN148" s="39">
        <f>STDEV(Table127[H6])</f>
        <v>0.93908963751984531</v>
      </c>
      <c r="CO148" s="39">
        <f>STDEV(Table127[RBI6])</f>
        <v>0.82166269751670384</v>
      </c>
      <c r="CP148" s="39">
        <f>STDEV(Table127[BB6])</f>
        <v>0.68367956747187153</v>
      </c>
      <c r="CQ148" s="39">
        <f>STDEV(Table127[SO6])</f>
        <v>0.82554810466722317</v>
      </c>
      <c r="CR148" s="39">
        <f>STDEV(Table127[HBP6])</f>
        <v>8.5125653075874858E-2</v>
      </c>
      <c r="CS148" s="39">
        <f>STDEV(Table127[SF6])</f>
        <v>0.14636178075710757</v>
      </c>
      <c r="CT148" s="39">
        <f>STDEV(Table127[TB6])</f>
        <v>1.6788615527800832</v>
      </c>
      <c r="CU148" s="84"/>
      <c r="CV148" s="39">
        <f>STDEV(Table127[AB7])</f>
        <v>0.83876890134376092</v>
      </c>
      <c r="CW148" s="39">
        <f>STDEV(Table127[R7])</f>
        <v>0.59972841979498126</v>
      </c>
      <c r="CX148" s="39">
        <f>STDEV(Table127[H7])</f>
        <v>0.77886636528956088</v>
      </c>
      <c r="CY148" s="39">
        <f>STDEV(Table127[RBI7])</f>
        <v>0.77187414543608046</v>
      </c>
      <c r="CZ148" s="39">
        <f>STDEV(Table127[BB7])</f>
        <v>0.57505536278119207</v>
      </c>
      <c r="DA148" s="39">
        <f>STDEV(Table127[SO7])</f>
        <v>0.87397459222548757</v>
      </c>
      <c r="DB148" s="39">
        <f>STDEV(Table127[HBP7])</f>
        <v>0.24780854804396069</v>
      </c>
      <c r="DC148" s="39">
        <f>STDEV(Table127[SF7])</f>
        <v>0.18754737756098072</v>
      </c>
      <c r="DD148" s="39">
        <f>STDEV(Table127[TB7])</f>
        <v>1.4800946616151227</v>
      </c>
      <c r="DE148" s="84"/>
      <c r="DF148" s="39">
        <f>STDEV(Table127[AB8])</f>
        <v>0.84480102749104824</v>
      </c>
      <c r="DG148" s="39">
        <f>STDEV(Table127[R8])</f>
        <v>0.63718809977499535</v>
      </c>
      <c r="DH148" s="39">
        <f>STDEV(Table127[H8])</f>
        <v>0.95495168452205015</v>
      </c>
      <c r="DI148" s="39">
        <f>STDEV(Table127[RBI8])</f>
        <v>0.73307266748170186</v>
      </c>
      <c r="DJ148" s="39">
        <f>STDEV(Table127[BB8])</f>
        <v>0.49801255275098877</v>
      </c>
      <c r="DK148" s="39">
        <f>STDEV(Table127[SO8])</f>
        <v>0.75261805473727061</v>
      </c>
      <c r="DL148" s="39">
        <f>STDEV(Table127[HBP8])</f>
        <v>0.24780854804396069</v>
      </c>
      <c r="DM148" s="39">
        <f>STDEV(Table127[SF8])</f>
        <v>0.14636178075710757</v>
      </c>
      <c r="DN148" s="39">
        <f>STDEV(Table127[TB8])</f>
        <v>1.458186924992682</v>
      </c>
      <c r="DO148" s="84"/>
      <c r="DP148" s="39">
        <f>STDEV(Table127[AB9])</f>
        <v>0.8740653680588788</v>
      </c>
      <c r="DQ148" s="39">
        <f>STDEV(Table127[R9])</f>
        <v>0.57487137449851722</v>
      </c>
      <c r="DR148" s="39">
        <f>STDEV(Table127[H9])</f>
        <v>0.79858252715776867</v>
      </c>
      <c r="DS148" s="39">
        <f>STDEV(Table127[RBI9])</f>
        <v>0.72304702175083502</v>
      </c>
      <c r="DT148" s="39">
        <f>STDEV(Table127[BB9])</f>
        <v>0.57196575225244828</v>
      </c>
      <c r="DU148" s="39">
        <f>STDEV(Table127[SO9])</f>
        <v>0.74028851223684133</v>
      </c>
      <c r="DV148" s="39">
        <f>STDEV(Table127[HBP9])</f>
        <v>0.20467404092265898</v>
      </c>
      <c r="DW148" s="39">
        <f>STDEV(Table127[SF9])</f>
        <v>0.20724219709214683</v>
      </c>
      <c r="DX148" s="39">
        <f>STDEV(Table127[TB9])</f>
        <v>1.4233101951305158</v>
      </c>
      <c r="DY148" s="39">
        <f>STDEV(Table127[IVL])</f>
        <v>2.6813887575689757</v>
      </c>
      <c r="DZ148" s="39">
        <f>STDEV(Table127[SVL])</f>
        <v>0.53916728818256776</v>
      </c>
      <c r="EA148" s="39">
        <f>STDEV(Table127[CVL])</f>
        <v>0.33933557146949656</v>
      </c>
      <c r="EB148" s="39">
        <f>STDEV(Table127[IVR])</f>
        <v>2.7765581440405036</v>
      </c>
      <c r="EC148" s="39">
        <f>STDEV(Table127[SVR])</f>
        <v>0.82849010444802917</v>
      </c>
      <c r="ED148" s="39">
        <f>STDEV(Table127[CVR])</f>
        <v>0.46574162901252408</v>
      </c>
      <c r="EE148" s="39">
        <f>STDEV(Table127[RI1])</f>
        <v>0.99072713285340297</v>
      </c>
      <c r="EF148" s="39">
        <f>STDEV(Table127[RI2])</f>
        <v>1.0468755304127013</v>
      </c>
      <c r="EG148" s="39">
        <f>STDEV(Table127[RI3])</f>
        <v>1.0749939418593859</v>
      </c>
      <c r="EH148" s="39">
        <f>STDEV(Table127[RI4])</f>
        <v>1.0472038906416723</v>
      </c>
      <c r="EI148" s="39">
        <f>STDEV(Table127[RI5])</f>
        <v>0.98171692250975739</v>
      </c>
      <c r="EJ148" s="39">
        <f>STDEV(Table127[RI6])</f>
        <v>0.9142026161402429</v>
      </c>
      <c r="EK148" s="39">
        <f>STDEV(Table127[RI7])</f>
        <v>0.97554395819592954</v>
      </c>
      <c r="EL148" s="39">
        <f>STDEV(Table127[RI8])</f>
        <v>0.82221681747464448</v>
      </c>
      <c r="EM148" s="39">
        <f>STDEV(Table127[RI9])</f>
        <v>0.8676940185003098</v>
      </c>
      <c r="EN148" s="39">
        <f>STDEV(Table127[RI10])</f>
        <v>0.79981615534630279</v>
      </c>
      <c r="EO148" s="39">
        <f>STDEV(Table127[RI11])</f>
        <v>0.37796447300922725</v>
      </c>
      <c r="EP148" s="39">
        <f>STDEV(Table127[RI12])</f>
        <v>0</v>
      </c>
      <c r="EQ148" s="39">
        <f>STDEV(Table127[RI13])</f>
        <v>0.57735026918962584</v>
      </c>
      <c r="ER148" s="39">
        <f>STDEV(Table127[RI14])</f>
        <v>0.70710678118654757</v>
      </c>
      <c r="ES148" s="39" t="e">
        <f>STDEV(Table127[RI15])</f>
        <v>#DIV/0!</v>
      </c>
      <c r="ET148" s="39">
        <f>STDEV(Table127[RT])</f>
        <v>2.8478557635554278</v>
      </c>
      <c r="EU148" s="39">
        <f>STDEV(Table127[OI1])</f>
        <v>0.93784969147279695</v>
      </c>
      <c r="EV148" s="39">
        <f>STDEV(Table127[OI2])</f>
        <v>0.84414336315614225</v>
      </c>
      <c r="EW148" s="39">
        <f>STDEV(Table127[OI3])</f>
        <v>1.1455256095065411</v>
      </c>
      <c r="EX148" s="39">
        <f>STDEV(Table127[OI4])</f>
        <v>1.4480678350415936</v>
      </c>
      <c r="EY148" s="39">
        <f>STDEV(Table127[OI5])</f>
        <v>1.0688010883337262</v>
      </c>
      <c r="EZ148" s="39">
        <f>STDEV(Table127[OI6])</f>
        <v>0.99296691069209253</v>
      </c>
      <c r="FA148" s="39">
        <f>STDEV(Table127[OI7])</f>
        <v>1.0668645544565767</v>
      </c>
      <c r="FB148" s="39">
        <f>STDEV(Table127[OI8])</f>
        <v>0.78608063177707355</v>
      </c>
      <c r="FC148" s="39">
        <f>STDEV(Table127[OI9])</f>
        <v>0.94767125527833118</v>
      </c>
      <c r="FD148" s="39">
        <f>STDEV(Table127[OI10])</f>
        <v>0.5878675320972554</v>
      </c>
      <c r="FE148" s="39">
        <f>STDEV(Table127[OI11])</f>
        <v>0.37796447300922725</v>
      </c>
      <c r="FF148" s="39">
        <f>STDEV(Table127[OI12])</f>
        <v>1.3038404810405297</v>
      </c>
      <c r="FG148" s="39">
        <f>STDEV(Table127[OI13])</f>
        <v>2.6457513110645907</v>
      </c>
      <c r="FH148" s="39">
        <f>STDEV(Table127[OI14])</f>
        <v>0</v>
      </c>
      <c r="FI148" s="39" t="e">
        <f>STDEV(Table127[OI15])</f>
        <v>#DIV/0!</v>
      </c>
      <c r="FJ148" s="39">
        <f>STDEV(Table127[OT])</f>
        <v>3.2435273533856961</v>
      </c>
      <c r="FM148" s="86" t="s">
        <v>232</v>
      </c>
    </row>
    <row r="149" spans="1:169" x14ac:dyDescent="0.25">
      <c r="A149" s="87" t="s">
        <v>281</v>
      </c>
      <c r="B149" s="53"/>
      <c r="C149" s="53"/>
      <c r="D149" s="53"/>
      <c r="E149" s="84">
        <f>(E152+(3*E148))</f>
        <v>9539.9515590451101</v>
      </c>
      <c r="F149" s="84"/>
      <c r="G149" s="84"/>
      <c r="H149" s="84"/>
      <c r="I149" s="84"/>
      <c r="J149" s="84">
        <f t="shared" ref="J149:V149" si="40">(J152+(3*J148))</f>
        <v>9.1338781172281998</v>
      </c>
      <c r="K149" s="84">
        <f t="shared" si="40"/>
        <v>12.028962838669074</v>
      </c>
      <c r="L149" s="84">
        <f t="shared" si="40"/>
        <v>8.8853635415566963</v>
      </c>
      <c r="M149" s="84">
        <f t="shared" si="40"/>
        <v>8.0068192694018538</v>
      </c>
      <c r="N149" s="84">
        <f t="shared" si="40"/>
        <v>6.101614248651325</v>
      </c>
      <c r="O149" s="84">
        <f t="shared" si="40"/>
        <v>11.972853182235749</v>
      </c>
      <c r="P149" s="84">
        <f t="shared" si="40"/>
        <v>1.99358384061407</v>
      </c>
      <c r="Q149" s="84">
        <f t="shared" si="40"/>
        <v>1.6141918055876496</v>
      </c>
      <c r="R149" s="84">
        <f t="shared" si="40"/>
        <v>35.260659252599773</v>
      </c>
      <c r="S149" s="84">
        <f t="shared" si="40"/>
        <v>131.22363424975168</v>
      </c>
      <c r="T149" s="84">
        <f t="shared" si="40"/>
        <v>84.629172596407159</v>
      </c>
      <c r="U149" s="84">
        <f t="shared" si="40"/>
        <v>2.8909421863628531</v>
      </c>
      <c r="V149" s="84">
        <f t="shared" si="40"/>
        <v>1.2367263208454977</v>
      </c>
      <c r="W149" s="84"/>
      <c r="X149" s="84"/>
      <c r="Y149" s="84"/>
      <c r="Z149" s="84"/>
      <c r="AA149" s="84"/>
      <c r="AB149" s="84">
        <f t="shared" ref="AB149:AL149" si="41">(AB152+(3*AB148))</f>
        <v>8.6965136170484136</v>
      </c>
      <c r="AC149" s="84">
        <f t="shared" si="41"/>
        <v>11.341270490891175</v>
      </c>
      <c r="AD149" s="84">
        <f t="shared" si="41"/>
        <v>7.7921924258875235</v>
      </c>
      <c r="AE149" s="84">
        <f t="shared" si="41"/>
        <v>7.4648612175194842</v>
      </c>
      <c r="AF149" s="84">
        <f t="shared" si="41"/>
        <v>6.1718891758755854</v>
      </c>
      <c r="AG149" s="84">
        <f t="shared" si="41"/>
        <v>9.106282366537668</v>
      </c>
      <c r="AH149" s="84">
        <f t="shared" si="41"/>
        <v>2.1306814599853334</v>
      </c>
      <c r="AI149" s="84">
        <f t="shared" si="41"/>
        <v>1.3408193579684866</v>
      </c>
      <c r="AJ149" s="84">
        <f t="shared" si="41"/>
        <v>38.978874789760965</v>
      </c>
      <c r="AK149" s="84">
        <f t="shared" si="41"/>
        <v>146.301031524802</v>
      </c>
      <c r="AL149" s="84">
        <f t="shared" si="41"/>
        <v>89.04197088542503</v>
      </c>
      <c r="AM149" s="84"/>
      <c r="AN149" s="84">
        <f t="shared" ref="AN149:AV149" si="42">(AN152+(3*AN148))</f>
        <v>6.7584332414285466</v>
      </c>
      <c r="AO149" s="84">
        <f t="shared" si="42"/>
        <v>2.5724825786616692</v>
      </c>
      <c r="AP149" s="84">
        <f t="shared" si="42"/>
        <v>3.8983571237198271</v>
      </c>
      <c r="AQ149" s="84">
        <f t="shared" si="42"/>
        <v>2.0205585488301123</v>
      </c>
      <c r="AR149" s="84">
        <f t="shared" si="42"/>
        <v>2.2455722322068095</v>
      </c>
      <c r="AS149" s="84">
        <f t="shared" si="42"/>
        <v>2.9235305580240651</v>
      </c>
      <c r="AT149" s="84">
        <f t="shared" si="42"/>
        <v>0.93311307685008826</v>
      </c>
      <c r="AU149" s="84">
        <f t="shared" si="42"/>
        <v>0.26262333603921878</v>
      </c>
      <c r="AV149" s="84">
        <f t="shared" si="42"/>
        <v>5.5015657398298661</v>
      </c>
      <c r="AW149" s="84"/>
      <c r="AX149" s="84">
        <f t="shared" ref="AX149:BF149" si="43">(AX152+(3*AX148))</f>
        <v>6.7174526432357595</v>
      </c>
      <c r="AY149" s="84">
        <f t="shared" si="43"/>
        <v>2.5985711406875178</v>
      </c>
      <c r="AZ149" s="84">
        <f t="shared" si="43"/>
        <v>3.7412565768333272</v>
      </c>
      <c r="BA149" s="84">
        <f t="shared" si="43"/>
        <v>2.0278574895758616</v>
      </c>
      <c r="BB149" s="84">
        <f t="shared" si="43"/>
        <v>2.478575645277667</v>
      </c>
      <c r="BC149" s="84">
        <f t="shared" si="43"/>
        <v>2.6730367781398163</v>
      </c>
      <c r="BD149" s="84">
        <f t="shared" si="43"/>
        <v>0.46082447270610527</v>
      </c>
      <c r="BE149" s="84">
        <f t="shared" si="43"/>
        <v>0.65750038363754215</v>
      </c>
      <c r="BF149" s="84">
        <f t="shared" si="43"/>
        <v>5.8555154868377208</v>
      </c>
      <c r="BG149" s="84"/>
      <c r="BH149" s="84">
        <f t="shared" ref="BH149:BP149" si="44">(BH152+(3*BH148))</f>
        <v>6.5269075488257418</v>
      </c>
      <c r="BI149" s="84">
        <f t="shared" si="44"/>
        <v>2.5034905014551709</v>
      </c>
      <c r="BJ149" s="84">
        <f t="shared" si="44"/>
        <v>3.7207622038916082</v>
      </c>
      <c r="BK149" s="84">
        <f t="shared" si="44"/>
        <v>2.6195078575175694</v>
      </c>
      <c r="BL149" s="84">
        <f t="shared" si="44"/>
        <v>2.5593144015418092</v>
      </c>
      <c r="BM149" s="84">
        <f t="shared" si="44"/>
        <v>3.1685041053615111</v>
      </c>
      <c r="BN149" s="84">
        <f t="shared" si="44"/>
        <v>0.84946819579146704</v>
      </c>
      <c r="BO149" s="84">
        <f t="shared" si="44"/>
        <v>0.59887401674091323</v>
      </c>
      <c r="BP149" s="84">
        <f t="shared" si="44"/>
        <v>5.92307117232337</v>
      </c>
      <c r="BQ149" s="84"/>
      <c r="BR149" s="84">
        <f t="shared" ref="BR149:BZ149" si="45">(BR152+(3*BR148))</f>
        <v>6.4537246625655271</v>
      </c>
      <c r="BS149" s="84">
        <f t="shared" si="45"/>
        <v>2.5751744402801338</v>
      </c>
      <c r="BT149" s="84">
        <f t="shared" si="45"/>
        <v>3.4849410466943187</v>
      </c>
      <c r="BU149" s="84">
        <f t="shared" si="45"/>
        <v>3.4857691158158493</v>
      </c>
      <c r="BV149" s="84">
        <f t="shared" si="45"/>
        <v>2.3574290622811835</v>
      </c>
      <c r="BW149" s="84">
        <f t="shared" si="45"/>
        <v>3.6976576987238596</v>
      </c>
      <c r="BX149" s="84">
        <f t="shared" si="45"/>
        <v>0.71142735927522294</v>
      </c>
      <c r="BY149" s="84">
        <f t="shared" si="45"/>
        <v>0.84946819579146704</v>
      </c>
      <c r="BZ149" s="84">
        <f t="shared" si="45"/>
        <v>6.5739380298873185</v>
      </c>
      <c r="CA149" s="84"/>
      <c r="CB149" s="84">
        <f t="shared" ref="CB149:CJ149" si="46">(CB152+(3*CB148))</f>
        <v>6.5068777610068889</v>
      </c>
      <c r="CC149" s="84">
        <f t="shared" si="46"/>
        <v>2.6592014929702192</v>
      </c>
      <c r="CD149" s="84">
        <f t="shared" si="46"/>
        <v>3.5983138581092176</v>
      </c>
      <c r="CE149" s="84">
        <f t="shared" si="46"/>
        <v>3.0975506873357435</v>
      </c>
      <c r="CF149" s="84">
        <f t="shared" si="46"/>
        <v>2.183679734803289</v>
      </c>
      <c r="CG149" s="84">
        <f t="shared" si="46"/>
        <v>3.5020014363656475</v>
      </c>
      <c r="CH149" s="84">
        <f t="shared" si="46"/>
        <v>0.89520200605388334</v>
      </c>
      <c r="CI149" s="84">
        <f t="shared" si="46"/>
        <v>0.53411627545036733</v>
      </c>
      <c r="CJ149" s="84">
        <f t="shared" si="46"/>
        <v>6.2291209803537155</v>
      </c>
      <c r="CK149" s="84"/>
      <c r="CL149" s="84">
        <f t="shared" ref="CL149:CT149" si="47">(CL152+(3*CL148))</f>
        <v>6.4679654998053682</v>
      </c>
      <c r="CM149" s="84">
        <f t="shared" si="47"/>
        <v>2.6915586701235474</v>
      </c>
      <c r="CN149" s="84">
        <f t="shared" si="47"/>
        <v>3.7810370285015646</v>
      </c>
      <c r="CO149" s="84">
        <f t="shared" si="47"/>
        <v>2.9577417157385173</v>
      </c>
      <c r="CP149" s="84">
        <f t="shared" si="47"/>
        <v>2.4930676879228613</v>
      </c>
      <c r="CQ149" s="84">
        <f t="shared" si="47"/>
        <v>3.3679486618277563</v>
      </c>
      <c r="CR149" s="84">
        <f t="shared" si="47"/>
        <v>0.26262333603921878</v>
      </c>
      <c r="CS149" s="84">
        <f t="shared" si="47"/>
        <v>0.46082447270610527</v>
      </c>
      <c r="CT149" s="84">
        <f t="shared" si="47"/>
        <v>6.4858600206590902</v>
      </c>
      <c r="CU149" s="84"/>
      <c r="CV149" s="84">
        <f t="shared" ref="CV149:DD149" si="48">(CV152+(3*CV148))</f>
        <v>6.0452922112776601</v>
      </c>
      <c r="CW149" s="84">
        <f t="shared" si="48"/>
        <v>2.2049823608342192</v>
      </c>
      <c r="CX149" s="84">
        <f t="shared" si="48"/>
        <v>3.097468661086074</v>
      </c>
      <c r="CY149" s="84">
        <f t="shared" si="48"/>
        <v>2.7359122913807052</v>
      </c>
      <c r="CZ149" s="84">
        <f t="shared" si="48"/>
        <v>2.0729921753000982</v>
      </c>
      <c r="DA149" s="84">
        <f t="shared" si="48"/>
        <v>3.5711991389953033</v>
      </c>
      <c r="DB149" s="84">
        <f t="shared" si="48"/>
        <v>0.80864303543622984</v>
      </c>
      <c r="DC149" s="84">
        <f t="shared" si="48"/>
        <v>0.59887401674091323</v>
      </c>
      <c r="DD149" s="84">
        <f t="shared" si="48"/>
        <v>5.6939071732511648</v>
      </c>
      <c r="DE149" s="84"/>
      <c r="DF149" s="84">
        <f t="shared" ref="DF149:DN149" si="49">(DF152+(3*DF148))</f>
        <v>5.9619393143572026</v>
      </c>
      <c r="DG149" s="84">
        <f t="shared" si="49"/>
        <v>2.3318541543974498</v>
      </c>
      <c r="DH149" s="84">
        <f t="shared" si="49"/>
        <v>3.8431159231313679</v>
      </c>
      <c r="DI149" s="84">
        <f t="shared" si="49"/>
        <v>2.6195078575175694</v>
      </c>
      <c r="DJ149" s="84">
        <f t="shared" si="49"/>
        <v>1.7766463539051403</v>
      </c>
      <c r="DK149" s="84">
        <f t="shared" si="49"/>
        <v>2.946259961313261</v>
      </c>
      <c r="DL149" s="84">
        <f t="shared" si="49"/>
        <v>0.80864303543622984</v>
      </c>
      <c r="DM149" s="84">
        <f t="shared" si="49"/>
        <v>0.46082447270610527</v>
      </c>
      <c r="DN149" s="84">
        <f t="shared" si="49"/>
        <v>5.7223868619345675</v>
      </c>
      <c r="DO149" s="84"/>
      <c r="DP149" s="84">
        <f t="shared" ref="DP149:FJ149" si="50">(DP152+(3*DP148))</f>
        <v>5.9555294375099699</v>
      </c>
      <c r="DQ149" s="84">
        <f t="shared" si="50"/>
        <v>2.1304112249448268</v>
      </c>
      <c r="DR149" s="84">
        <f t="shared" si="50"/>
        <v>3.2870519292993929</v>
      </c>
      <c r="DS149" s="84">
        <f t="shared" si="50"/>
        <v>2.5894309203249688</v>
      </c>
      <c r="DT149" s="84">
        <f t="shared" si="50"/>
        <v>2.012998706032707</v>
      </c>
      <c r="DU149" s="84">
        <f t="shared" si="50"/>
        <v>2.8223148120728427</v>
      </c>
      <c r="DV149" s="84">
        <f t="shared" si="50"/>
        <v>0.65750038363754215</v>
      </c>
      <c r="DW149" s="84">
        <f t="shared" si="50"/>
        <v>0.65071209852281731</v>
      </c>
      <c r="DX149" s="84">
        <f t="shared" si="50"/>
        <v>5.5452929042321273</v>
      </c>
      <c r="DY149" s="84">
        <f t="shared" si="50"/>
        <v>10.510349847586156</v>
      </c>
      <c r="DZ149" s="84">
        <f t="shared" si="50"/>
        <v>1.7914149080259643</v>
      </c>
      <c r="EA149" s="84">
        <f t="shared" si="50"/>
        <v>1.1122096129592143</v>
      </c>
      <c r="EB149" s="84">
        <f t="shared" si="50"/>
        <v>14.682331436952431</v>
      </c>
      <c r="EC149" s="84">
        <f t="shared" si="50"/>
        <v>2.927499298851334</v>
      </c>
      <c r="ED149" s="84">
        <f t="shared" si="50"/>
        <v>1.5928770609506158</v>
      </c>
      <c r="EE149" s="84">
        <f t="shared" si="50"/>
        <v>3.4576886449370203</v>
      </c>
      <c r="EF149" s="84">
        <f t="shared" si="50"/>
        <v>3.5899019535569447</v>
      </c>
      <c r="EG149" s="84">
        <f t="shared" si="50"/>
        <v>3.7612137096361287</v>
      </c>
      <c r="EH149" s="84">
        <f t="shared" si="50"/>
        <v>3.6850899327945825</v>
      </c>
      <c r="EI149" s="84">
        <f t="shared" si="50"/>
        <v>3.3871797530365186</v>
      </c>
      <c r="EJ149" s="84">
        <f t="shared" si="50"/>
        <v>3.2426078484207288</v>
      </c>
      <c r="EK149" s="84">
        <f t="shared" si="50"/>
        <v>3.4673726153285291</v>
      </c>
      <c r="EL149" s="84">
        <f t="shared" si="50"/>
        <v>2.8997213185656658</v>
      </c>
      <c r="EM149" s="84">
        <f t="shared" si="50"/>
        <v>2.9806330759090924</v>
      </c>
      <c r="EN149" s="84">
        <f t="shared" si="50"/>
        <v>2.8700367013330261</v>
      </c>
      <c r="EO149" s="84">
        <f t="shared" si="50"/>
        <v>1.2767505618848245</v>
      </c>
      <c r="EP149" s="84">
        <f t="shared" si="50"/>
        <v>0</v>
      </c>
      <c r="EQ149" s="84">
        <f t="shared" si="50"/>
        <v>2.0653841409022111</v>
      </c>
      <c r="ER149" s="84">
        <f t="shared" ref="ER149:ES149" si="51">(ER152+(3*ER148))</f>
        <v>2.6213203435596428</v>
      </c>
      <c r="ES149" s="84" t="e">
        <f t="shared" si="51"/>
        <v>#DIV/0!</v>
      </c>
      <c r="ET149" s="84">
        <f t="shared" si="50"/>
        <v>12.782697725448891</v>
      </c>
      <c r="EU149" s="84">
        <f t="shared" si="50"/>
        <v>3.3135490744183906</v>
      </c>
      <c r="EV149" s="84">
        <f t="shared" si="50"/>
        <v>2.9527199445408905</v>
      </c>
      <c r="EW149" s="84">
        <f t="shared" si="50"/>
        <v>4.0090405966355656</v>
      </c>
      <c r="EX149" s="84">
        <f t="shared" si="50"/>
        <v>4.938406403675506</v>
      </c>
      <c r="EY149" s="84">
        <f t="shared" si="50"/>
        <v>3.7064032650011787</v>
      </c>
      <c r="EZ149" s="84">
        <f t="shared" si="50"/>
        <v>3.3774514567139589</v>
      </c>
      <c r="FA149" s="84">
        <f t="shared" si="50"/>
        <v>3.7304444096383871</v>
      </c>
      <c r="FB149" s="84">
        <f t="shared" si="50"/>
        <v>2.7361946512367323</v>
      </c>
      <c r="FC149" s="84">
        <f t="shared" si="50"/>
        <v>3.3730137658349939</v>
      </c>
      <c r="FD149" s="84">
        <f t="shared" si="50"/>
        <v>2.0577202433505897</v>
      </c>
      <c r="FE149" s="84">
        <f t="shared" si="50"/>
        <v>1.2767505618848245</v>
      </c>
      <c r="FF149" s="84">
        <f t="shared" si="50"/>
        <v>4.7115214431215895</v>
      </c>
      <c r="FG149" s="84">
        <f t="shared" si="50"/>
        <v>9.937253933193773</v>
      </c>
      <c r="FH149" s="84">
        <f t="shared" ref="FH149:FI149" si="52">(FH152+(3*FH148))</f>
        <v>0</v>
      </c>
      <c r="FI149" s="84" t="e">
        <f t="shared" si="52"/>
        <v>#DIV/0!</v>
      </c>
      <c r="FJ149" s="84">
        <f t="shared" si="50"/>
        <v>14.07840814711361</v>
      </c>
      <c r="FM149" s="88" t="s">
        <v>281</v>
      </c>
    </row>
    <row r="150" spans="1:169" x14ac:dyDescent="0.25">
      <c r="A150" s="87" t="s">
        <v>280</v>
      </c>
      <c r="B150" s="53"/>
      <c r="C150" s="53"/>
      <c r="D150" s="53"/>
      <c r="E150" s="84">
        <f>(E152+(2*E148))</f>
        <v>7536.6870042756873</v>
      </c>
      <c r="F150" s="84"/>
      <c r="G150" s="84"/>
      <c r="H150" s="84"/>
      <c r="I150" s="84"/>
      <c r="J150" s="84">
        <f t="shared" ref="J150:V150" si="53">(J152+(2*J148))</f>
        <v>7.7696063454629227</v>
      </c>
      <c r="K150" s="84">
        <f t="shared" si="53"/>
        <v>9.6956370615281742</v>
      </c>
      <c r="L150" s="84">
        <f t="shared" si="53"/>
        <v>6.7641554045160586</v>
      </c>
      <c r="M150" s="84">
        <f t="shared" si="53"/>
        <v>6.048024440470801</v>
      </c>
      <c r="N150" s="84">
        <f t="shared" si="53"/>
        <v>4.7319940401636851</v>
      </c>
      <c r="O150" s="84">
        <f t="shared" si="53"/>
        <v>9.44325477849533</v>
      </c>
      <c r="P150" s="84">
        <f t="shared" si="53"/>
        <v>1.4377515459166261</v>
      </c>
      <c r="Q150" s="84">
        <f t="shared" si="53"/>
        <v>1.1437607206333125</v>
      </c>
      <c r="R150" s="84">
        <f t="shared" si="53"/>
        <v>30.755898438931251</v>
      </c>
      <c r="S150" s="84">
        <f t="shared" si="53"/>
        <v>114.66358225345763</v>
      </c>
      <c r="T150" s="84">
        <f t="shared" si="53"/>
        <v>73.373554677798012</v>
      </c>
      <c r="U150" s="84">
        <f t="shared" si="53"/>
        <v>2.0963769165124333</v>
      </c>
      <c r="V150" s="84">
        <f t="shared" si="53"/>
        <v>0.86071609795496951</v>
      </c>
      <c r="W150" s="84"/>
      <c r="X150" s="84"/>
      <c r="Y150" s="84"/>
      <c r="Z150" s="84"/>
      <c r="AA150" s="84"/>
      <c r="AB150" s="84">
        <f t="shared" ref="AB150:AL150" si="54">(AB152+(2*AB148))</f>
        <v>7.0665968397069943</v>
      </c>
      <c r="AC150" s="84">
        <f t="shared" si="54"/>
        <v>8.8458711485168227</v>
      </c>
      <c r="AD150" s="84">
        <f t="shared" si="54"/>
        <v>5.8034906027655948</v>
      </c>
      <c r="AE150" s="84">
        <f t="shared" si="54"/>
        <v>5.524883323756951</v>
      </c>
      <c r="AF150" s="84">
        <f t="shared" si="54"/>
        <v>4.6049309481682652</v>
      </c>
      <c r="AG150" s="84">
        <f t="shared" si="54"/>
        <v>7.133656843392262</v>
      </c>
      <c r="AH150" s="84">
        <f t="shared" si="54"/>
        <v>1.5267344998936037</v>
      </c>
      <c r="AI150" s="84">
        <f t="shared" si="54"/>
        <v>0.95426604540894278</v>
      </c>
      <c r="AJ150" s="84">
        <f t="shared" si="54"/>
        <v>31.524563869502479</v>
      </c>
      <c r="AK150" s="84">
        <f t="shared" si="54"/>
        <v>117.84803067837043</v>
      </c>
      <c r="AL150" s="84">
        <f t="shared" si="54"/>
        <v>71.953101363230218</v>
      </c>
      <c r="AM150" s="84"/>
      <c r="AN150" s="84">
        <f t="shared" ref="AN150:AV150" si="55">(AN152+(2*AN148))</f>
        <v>5.8606946247204803</v>
      </c>
      <c r="AO150" s="84">
        <f t="shared" si="55"/>
        <v>1.8864859703155088</v>
      </c>
      <c r="AP150" s="84">
        <f t="shared" si="55"/>
        <v>2.9177453288566961</v>
      </c>
      <c r="AQ150" s="84">
        <f t="shared" si="55"/>
        <v>1.4412419311041329</v>
      </c>
      <c r="AR150" s="84">
        <f t="shared" si="55"/>
        <v>1.6419756910364236</v>
      </c>
      <c r="AS150" s="84">
        <f t="shared" si="55"/>
        <v>2.1422570869918891</v>
      </c>
      <c r="AT150" s="84">
        <f t="shared" si="55"/>
        <v>0.64622997393870618</v>
      </c>
      <c r="AU150" s="84">
        <f t="shared" si="55"/>
        <v>0.17749768296334392</v>
      </c>
      <c r="AV150" s="84">
        <f t="shared" si="55"/>
        <v>4.0831694304179784</v>
      </c>
      <c r="AW150" s="84"/>
      <c r="AX150" s="84">
        <f t="shared" ref="AX150:BF150" si="56">(AX152+(2*AX148))</f>
        <v>5.7947268829301199</v>
      </c>
      <c r="AY150" s="84">
        <f t="shared" si="56"/>
        <v>1.8918010503134175</v>
      </c>
      <c r="AZ150" s="84">
        <f t="shared" si="56"/>
        <v>2.8250889256183536</v>
      </c>
      <c r="BA150" s="84">
        <f t="shared" si="56"/>
        <v>1.4533542684128933</v>
      </c>
      <c r="BB150" s="84">
        <f t="shared" si="56"/>
        <v>1.8045576765619231</v>
      </c>
      <c r="BC150" s="84">
        <f t="shared" si="56"/>
        <v>1.9849230694845152</v>
      </c>
      <c r="BD150" s="84">
        <f t="shared" si="56"/>
        <v>0.31446269194899773</v>
      </c>
      <c r="BE150" s="84">
        <f t="shared" si="56"/>
        <v>0.4528263427148832</v>
      </c>
      <c r="BF150" s="84">
        <f t="shared" si="56"/>
        <v>4.352952353543988</v>
      </c>
      <c r="BG150" s="84"/>
      <c r="BH150" s="84">
        <f t="shared" ref="BH150:BP150" si="57">(BH152+(2*BH148))</f>
        <v>5.6435422306181273</v>
      </c>
      <c r="BI150" s="84">
        <f t="shared" si="57"/>
        <v>1.8284139574918532</v>
      </c>
      <c r="BJ150" s="84">
        <f t="shared" si="57"/>
        <v>2.7945177977634876</v>
      </c>
      <c r="BK150" s="84">
        <f t="shared" si="57"/>
        <v>1.8864351900358676</v>
      </c>
      <c r="BL150" s="84">
        <f t="shared" si="57"/>
        <v>1.8632144319457473</v>
      </c>
      <c r="BM150" s="84">
        <f t="shared" si="57"/>
        <v>2.392529306955983</v>
      </c>
      <c r="BN150" s="84">
        <f t="shared" si="57"/>
        <v>0.58563580202522925</v>
      </c>
      <c r="BO150" s="84">
        <f t="shared" si="57"/>
        <v>0.41132663917993245</v>
      </c>
      <c r="BP150" s="84">
        <f t="shared" si="57"/>
        <v>4.3931585593266913</v>
      </c>
      <c r="BQ150" s="84"/>
      <c r="BR150" s="84">
        <f t="shared" ref="BR150:BZ150" si="58">(BR152+(2*BR148))</f>
        <v>5.5923381808407866</v>
      </c>
      <c r="BS150" s="84">
        <f t="shared" si="58"/>
        <v>1.8786187089790265</v>
      </c>
      <c r="BT150" s="84">
        <f t="shared" si="58"/>
        <v>2.6300573161537004</v>
      </c>
      <c r="BU150" s="84">
        <f t="shared" si="58"/>
        <v>2.521913710060808</v>
      </c>
      <c r="BV150" s="84">
        <f t="shared" si="58"/>
        <v>1.6948077806512241</v>
      </c>
      <c r="BW150" s="84">
        <f t="shared" si="58"/>
        <v>2.7936075479415101</v>
      </c>
      <c r="BX150" s="84">
        <f t="shared" si="58"/>
        <v>0.49119311874386845</v>
      </c>
      <c r="BY150" s="84">
        <f t="shared" si="58"/>
        <v>0.58563580202522925</v>
      </c>
      <c r="BZ150" s="84">
        <f t="shared" si="58"/>
        <v>4.8729635175094206</v>
      </c>
      <c r="CA150" s="84"/>
      <c r="CB150" s="84">
        <f t="shared" ref="CB150:CJ150" si="59">(CB152+(2*CB148))</f>
        <v>5.5842953189321287</v>
      </c>
      <c r="CC150" s="84">
        <f t="shared" si="59"/>
        <v>1.9418831209173444</v>
      </c>
      <c r="CD150" s="84">
        <f t="shared" si="59"/>
        <v>2.6935618957443093</v>
      </c>
      <c r="CE150" s="84">
        <f t="shared" si="59"/>
        <v>2.2244540814122349</v>
      </c>
      <c r="CF150" s="84">
        <f t="shared" si="59"/>
        <v>1.5717285188543666</v>
      </c>
      <c r="CG150" s="84">
        <f t="shared" si="59"/>
        <v>2.6269381556447313</v>
      </c>
      <c r="CH150" s="84">
        <f t="shared" si="59"/>
        <v>0.62337138567843431</v>
      </c>
      <c r="CI150" s="84">
        <f t="shared" si="59"/>
        <v>0.36573935271570379</v>
      </c>
      <c r="CJ150" s="84">
        <f t="shared" si="59"/>
        <v>4.6116845183034432</v>
      </c>
      <c r="CK150" s="84"/>
      <c r="CL150" s="84">
        <f t="shared" ref="CL150:CT150" si="60">(CL152+(2*CL148))</f>
        <v>5.5124600916576849</v>
      </c>
      <c r="CM150" s="84">
        <f t="shared" si="60"/>
        <v>1.9755318670388866</v>
      </c>
      <c r="CN150" s="84">
        <f t="shared" si="60"/>
        <v>2.8419473909817197</v>
      </c>
      <c r="CO150" s="84">
        <f t="shared" si="60"/>
        <v>2.1360790182218135</v>
      </c>
      <c r="CP150" s="84">
        <f t="shared" si="60"/>
        <v>1.8093881204509894</v>
      </c>
      <c r="CQ150" s="84">
        <f t="shared" si="60"/>
        <v>2.5424005571605335</v>
      </c>
      <c r="CR150" s="84">
        <f t="shared" si="60"/>
        <v>0.17749768296334392</v>
      </c>
      <c r="CS150" s="84">
        <f t="shared" si="60"/>
        <v>0.31446269194899773</v>
      </c>
      <c r="CT150" s="84">
        <f t="shared" si="60"/>
        <v>4.8069984678790068</v>
      </c>
      <c r="CU150" s="84"/>
      <c r="CV150" s="84">
        <f t="shared" ref="CV150:DD150" si="61">(CV152+(2*CV148))</f>
        <v>5.2065233099338988</v>
      </c>
      <c r="CW150" s="84">
        <f t="shared" si="61"/>
        <v>1.6052539410392379</v>
      </c>
      <c r="CX150" s="84">
        <f t="shared" si="61"/>
        <v>2.3186022957965129</v>
      </c>
      <c r="CY150" s="84">
        <f t="shared" si="61"/>
        <v>1.9640381459446248</v>
      </c>
      <c r="CZ150" s="84">
        <f t="shared" si="61"/>
        <v>1.4979368125189059</v>
      </c>
      <c r="DA150" s="84">
        <f t="shared" si="61"/>
        <v>2.6972245467698155</v>
      </c>
      <c r="DB150" s="84">
        <f t="shared" si="61"/>
        <v>0.56083448739226915</v>
      </c>
      <c r="DC150" s="84">
        <f t="shared" si="61"/>
        <v>0.41132663917993245</v>
      </c>
      <c r="DD150" s="84">
        <f t="shared" si="61"/>
        <v>4.2138125116360428</v>
      </c>
      <c r="DE150" s="84"/>
      <c r="DF150" s="84">
        <f t="shared" ref="DF150:DN150" si="62">(DF152+(2*DF148))</f>
        <v>5.1171382868661546</v>
      </c>
      <c r="DG150" s="84">
        <f t="shared" si="62"/>
        <v>1.6946660546224543</v>
      </c>
      <c r="DH150" s="84">
        <f t="shared" si="62"/>
        <v>2.8881642386093178</v>
      </c>
      <c r="DI150" s="84">
        <f t="shared" si="62"/>
        <v>1.8864351900358676</v>
      </c>
      <c r="DJ150" s="84">
        <f t="shared" si="62"/>
        <v>1.2786338011541514</v>
      </c>
      <c r="DK150" s="84">
        <f t="shared" si="62"/>
        <v>2.1936419065759907</v>
      </c>
      <c r="DL150" s="84">
        <f t="shared" si="62"/>
        <v>0.56083448739226915</v>
      </c>
      <c r="DM150" s="84">
        <f t="shared" si="62"/>
        <v>0.31446269194899773</v>
      </c>
      <c r="DN150" s="84">
        <f t="shared" si="62"/>
        <v>4.2641999369418855</v>
      </c>
      <c r="DO150" s="84"/>
      <c r="DP150" s="84">
        <f t="shared" ref="DP150:FJ150" si="63">(DP152+(2*DP148))</f>
        <v>5.0814640694510906</v>
      </c>
      <c r="DQ150" s="84">
        <f t="shared" si="63"/>
        <v>1.5555398504463098</v>
      </c>
      <c r="DR150" s="84">
        <f t="shared" si="63"/>
        <v>2.4884694021416243</v>
      </c>
      <c r="DS150" s="84">
        <f t="shared" si="63"/>
        <v>1.8663838985741337</v>
      </c>
      <c r="DT150" s="84">
        <f t="shared" si="63"/>
        <v>1.4410329537802589</v>
      </c>
      <c r="DU150" s="84">
        <f t="shared" si="63"/>
        <v>2.0820262998360013</v>
      </c>
      <c r="DV150" s="84">
        <f t="shared" si="63"/>
        <v>0.4528263427148832</v>
      </c>
      <c r="DW150" s="84">
        <f t="shared" si="63"/>
        <v>0.4434699014306705</v>
      </c>
      <c r="DX150" s="84">
        <f t="shared" si="63"/>
        <v>4.1219827091016112</v>
      </c>
      <c r="DY150" s="84">
        <f t="shared" si="63"/>
        <v>7.8289610900171791</v>
      </c>
      <c r="DZ150" s="84">
        <f t="shared" si="63"/>
        <v>1.2522476198433963</v>
      </c>
      <c r="EA150" s="84">
        <f t="shared" si="63"/>
        <v>0.77287404148971772</v>
      </c>
      <c r="EB150" s="84">
        <f t="shared" si="63"/>
        <v>11.905773292911928</v>
      </c>
      <c r="EC150" s="84">
        <f t="shared" si="63"/>
        <v>2.0990091944033047</v>
      </c>
      <c r="ED150" s="84">
        <f t="shared" si="63"/>
        <v>1.1271354319380917</v>
      </c>
      <c r="EE150" s="84">
        <f t="shared" si="63"/>
        <v>2.4669615120836177</v>
      </c>
      <c r="EF150" s="84">
        <f t="shared" si="63"/>
        <v>2.5430264231442434</v>
      </c>
      <c r="EG150" s="84">
        <f t="shared" si="63"/>
        <v>2.686219767776743</v>
      </c>
      <c r="EH150" s="84">
        <f t="shared" si="63"/>
        <v>2.6378860421529096</v>
      </c>
      <c r="EI150" s="84">
        <f t="shared" si="63"/>
        <v>2.4054628305267611</v>
      </c>
      <c r="EJ150" s="84">
        <f t="shared" si="63"/>
        <v>2.3284052322804856</v>
      </c>
      <c r="EK150" s="84">
        <f t="shared" si="63"/>
        <v>2.4918286571325998</v>
      </c>
      <c r="EL150" s="84">
        <f t="shared" si="63"/>
        <v>2.0775045010910214</v>
      </c>
      <c r="EM150" s="84">
        <f t="shared" si="63"/>
        <v>2.112939057408783</v>
      </c>
      <c r="EN150" s="84">
        <f t="shared" si="63"/>
        <v>2.0702205459867233</v>
      </c>
      <c r="EO150" s="84">
        <f t="shared" si="63"/>
        <v>0.89878608887559741</v>
      </c>
      <c r="EP150" s="84">
        <f t="shared" si="63"/>
        <v>0</v>
      </c>
      <c r="EQ150" s="84">
        <f t="shared" si="63"/>
        <v>1.4880338717125849</v>
      </c>
      <c r="ER150" s="84">
        <f t="shared" ref="ER150:ES150" si="64">(ER152+(2*ER148))</f>
        <v>1.9142135623730951</v>
      </c>
      <c r="ES150" s="84" t="e">
        <f t="shared" si="64"/>
        <v>#DIV/0!</v>
      </c>
      <c r="ET150" s="84">
        <f t="shared" si="63"/>
        <v>9.9348419618934649</v>
      </c>
      <c r="EU150" s="84">
        <f t="shared" si="63"/>
        <v>2.3756993829455939</v>
      </c>
      <c r="EV150" s="84">
        <f t="shared" si="63"/>
        <v>2.1085765813847481</v>
      </c>
      <c r="EW150" s="84">
        <f t="shared" si="63"/>
        <v>2.8635149871290242</v>
      </c>
      <c r="EX150" s="84">
        <f t="shared" si="63"/>
        <v>3.4903385686339119</v>
      </c>
      <c r="EY150" s="84">
        <f t="shared" si="63"/>
        <v>2.6376021766674524</v>
      </c>
      <c r="EZ150" s="84">
        <f t="shared" si="63"/>
        <v>2.3844845460218664</v>
      </c>
      <c r="FA150" s="84">
        <f t="shared" si="63"/>
        <v>2.6635798551818102</v>
      </c>
      <c r="FB150" s="84">
        <f t="shared" si="63"/>
        <v>1.9501140194596589</v>
      </c>
      <c r="FC150" s="84">
        <f t="shared" si="63"/>
        <v>2.4253425105566624</v>
      </c>
      <c r="FD150" s="84">
        <f t="shared" si="63"/>
        <v>1.4698527112533344</v>
      </c>
      <c r="FE150" s="84">
        <f t="shared" si="63"/>
        <v>0.89878608887559741</v>
      </c>
      <c r="FF150" s="84">
        <f t="shared" si="63"/>
        <v>3.4076809620810593</v>
      </c>
      <c r="FG150" s="84">
        <f t="shared" si="63"/>
        <v>7.2915026221291814</v>
      </c>
      <c r="FH150" s="84">
        <f t="shared" ref="FH150:FI150" si="65">(FH152+(2*FH148))</f>
        <v>0</v>
      </c>
      <c r="FI150" s="84" t="e">
        <f t="shared" si="65"/>
        <v>#DIV/0!</v>
      </c>
      <c r="FJ150" s="84">
        <f t="shared" si="63"/>
        <v>10.834880793727914</v>
      </c>
      <c r="FM150" s="88" t="s">
        <v>280</v>
      </c>
    </row>
    <row r="151" spans="1:169" x14ac:dyDescent="0.25">
      <c r="A151" s="87" t="s">
        <v>279</v>
      </c>
      <c r="B151" s="53"/>
      <c r="C151" s="53"/>
      <c r="D151" s="53"/>
      <c r="E151" s="84">
        <f>(E152+E148)</f>
        <v>5533.4224495062645</v>
      </c>
      <c r="F151" s="84"/>
      <c r="G151" s="84"/>
      <c r="H151" s="84"/>
      <c r="I151" s="84"/>
      <c r="J151" s="84">
        <f t="shared" ref="J151:V151" si="66">(J152+J148)</f>
        <v>6.4053345736976448</v>
      </c>
      <c r="K151" s="84">
        <f t="shared" si="66"/>
        <v>7.3623112843872756</v>
      </c>
      <c r="L151" s="84">
        <f t="shared" si="66"/>
        <v>4.6429472674754209</v>
      </c>
      <c r="M151" s="84">
        <f t="shared" si="66"/>
        <v>4.0892296115397482</v>
      </c>
      <c r="N151" s="84">
        <f t="shared" si="66"/>
        <v>3.3623738316760452</v>
      </c>
      <c r="O151" s="84">
        <f t="shared" si="66"/>
        <v>6.9136563747549111</v>
      </c>
      <c r="P151" s="84">
        <f t="shared" si="66"/>
        <v>0.88191925121918269</v>
      </c>
      <c r="Q151" s="84">
        <f t="shared" si="66"/>
        <v>0.67332963567897508</v>
      </c>
      <c r="R151" s="84">
        <f t="shared" si="66"/>
        <v>26.251137625262729</v>
      </c>
      <c r="S151" s="84">
        <f t="shared" si="66"/>
        <v>98.103530257163598</v>
      </c>
      <c r="T151" s="84">
        <f t="shared" si="66"/>
        <v>62.117936759188865</v>
      </c>
      <c r="U151" s="84">
        <f t="shared" si="66"/>
        <v>1.301811646662014</v>
      </c>
      <c r="V151" s="84">
        <f t="shared" si="66"/>
        <v>0.48470587506444124</v>
      </c>
      <c r="W151" s="84"/>
      <c r="X151" s="84"/>
      <c r="Y151" s="84"/>
      <c r="Z151" s="84"/>
      <c r="AA151" s="84"/>
      <c r="AB151" s="84">
        <f t="shared" ref="AB151:AL151" si="67">(AB152+AB148)</f>
        <v>5.4366800623655749</v>
      </c>
      <c r="AC151" s="84">
        <f t="shared" si="67"/>
        <v>6.350471806142469</v>
      </c>
      <c r="AD151" s="84">
        <f t="shared" si="67"/>
        <v>3.814788779643667</v>
      </c>
      <c r="AE151" s="84">
        <f t="shared" si="67"/>
        <v>3.5849054299944174</v>
      </c>
      <c r="AF151" s="84">
        <f t="shared" si="67"/>
        <v>3.0379727204609441</v>
      </c>
      <c r="AG151" s="84">
        <f t="shared" si="67"/>
        <v>5.1610313202468561</v>
      </c>
      <c r="AH151" s="84">
        <f t="shared" si="67"/>
        <v>0.92278753980187433</v>
      </c>
      <c r="AI151" s="84">
        <f t="shared" si="67"/>
        <v>0.56771273284939894</v>
      </c>
      <c r="AJ151" s="84">
        <f t="shared" si="67"/>
        <v>24.070252949243994</v>
      </c>
      <c r="AK151" s="84">
        <f t="shared" si="67"/>
        <v>89.395029831938842</v>
      </c>
      <c r="AL151" s="84">
        <f t="shared" si="67"/>
        <v>54.864231841035398</v>
      </c>
      <c r="AM151" s="84"/>
      <c r="AN151" s="84">
        <f t="shared" ref="AN151:AV151" si="68">(AN152+AN148)</f>
        <v>4.962956008012414</v>
      </c>
      <c r="AO151" s="84">
        <f t="shared" si="68"/>
        <v>1.2004893619693486</v>
      </c>
      <c r="AP151" s="84">
        <f t="shared" si="68"/>
        <v>1.9371335339935656</v>
      </c>
      <c r="AQ151" s="84">
        <f t="shared" si="68"/>
        <v>0.86192531337815348</v>
      </c>
      <c r="AR151" s="84">
        <f t="shared" si="68"/>
        <v>1.038379149866038</v>
      </c>
      <c r="AS151" s="84">
        <f t="shared" si="68"/>
        <v>1.3609836159597126</v>
      </c>
      <c r="AT151" s="84">
        <f t="shared" si="68"/>
        <v>0.3593468710273241</v>
      </c>
      <c r="AU151" s="84">
        <f t="shared" si="68"/>
        <v>9.2372029887469065E-2</v>
      </c>
      <c r="AV151" s="84">
        <f t="shared" si="68"/>
        <v>2.6647731210060908</v>
      </c>
      <c r="AW151" s="84"/>
      <c r="AX151" s="84">
        <f t="shared" ref="AX151:BF151" si="69">(AX152+AX148)</f>
        <v>4.8720011226244804</v>
      </c>
      <c r="AY151" s="84">
        <f t="shared" si="69"/>
        <v>1.1850309599393176</v>
      </c>
      <c r="AZ151" s="84">
        <f t="shared" si="69"/>
        <v>1.9089212744033797</v>
      </c>
      <c r="BA151" s="84">
        <f t="shared" si="69"/>
        <v>0.87885104724992491</v>
      </c>
      <c r="BB151" s="84">
        <f t="shared" si="69"/>
        <v>1.130539707846179</v>
      </c>
      <c r="BC151" s="84">
        <f t="shared" si="69"/>
        <v>1.2968093608292142</v>
      </c>
      <c r="BD151" s="84">
        <f t="shared" si="69"/>
        <v>0.16810091119189019</v>
      </c>
      <c r="BE151" s="84">
        <f t="shared" si="69"/>
        <v>0.24815230179222419</v>
      </c>
      <c r="BF151" s="84">
        <f t="shared" si="69"/>
        <v>2.8503892202502552</v>
      </c>
      <c r="BG151" s="84"/>
      <c r="BH151" s="84">
        <f t="shared" ref="BH151:BP151" si="70">(BH152+BH148)</f>
        <v>4.7601769124105129</v>
      </c>
      <c r="BI151" s="84">
        <f t="shared" si="70"/>
        <v>1.1533374135285352</v>
      </c>
      <c r="BJ151" s="84">
        <f t="shared" si="70"/>
        <v>1.8682733916353671</v>
      </c>
      <c r="BK151" s="84">
        <f t="shared" si="70"/>
        <v>1.1533625225541657</v>
      </c>
      <c r="BL151" s="84">
        <f t="shared" si="70"/>
        <v>1.1671144623496854</v>
      </c>
      <c r="BM151" s="84">
        <f t="shared" si="70"/>
        <v>1.6165545085504553</v>
      </c>
      <c r="BN151" s="84">
        <f t="shared" si="70"/>
        <v>0.3218034082589914</v>
      </c>
      <c r="BO151" s="84">
        <f t="shared" si="70"/>
        <v>0.22377926161895173</v>
      </c>
      <c r="BP151" s="84">
        <f t="shared" si="70"/>
        <v>2.8632459463300122</v>
      </c>
      <c r="BQ151" s="84"/>
      <c r="BR151" s="84">
        <f t="shared" ref="BR151:BZ151" si="71">(BR152+BR148)</f>
        <v>4.7309516991160452</v>
      </c>
      <c r="BS151" s="84">
        <f t="shared" si="71"/>
        <v>1.182062977677919</v>
      </c>
      <c r="BT151" s="84">
        <f t="shared" si="71"/>
        <v>1.7751735856130821</v>
      </c>
      <c r="BU151" s="84">
        <f t="shared" si="71"/>
        <v>1.5580583043057663</v>
      </c>
      <c r="BV151" s="84">
        <f t="shared" si="71"/>
        <v>1.0321864990212641</v>
      </c>
      <c r="BW151" s="84">
        <f t="shared" si="71"/>
        <v>1.889557397159161</v>
      </c>
      <c r="BX151" s="84">
        <f t="shared" si="71"/>
        <v>0.27095887821251396</v>
      </c>
      <c r="BY151" s="84">
        <f t="shared" si="71"/>
        <v>0.3218034082589914</v>
      </c>
      <c r="BZ151" s="84">
        <f t="shared" si="71"/>
        <v>3.1719890051315218</v>
      </c>
      <c r="CA151" s="84"/>
      <c r="CB151" s="84">
        <f t="shared" ref="CB151:CJ151" si="72">(CB152+CB148)</f>
        <v>4.6617128768573686</v>
      </c>
      <c r="CC151" s="84">
        <f t="shared" si="72"/>
        <v>1.2245647488644693</v>
      </c>
      <c r="CD151" s="84">
        <f t="shared" si="72"/>
        <v>1.788809933379401</v>
      </c>
      <c r="CE151" s="84">
        <f t="shared" si="72"/>
        <v>1.3513574754887263</v>
      </c>
      <c r="CF151" s="84">
        <f t="shared" si="72"/>
        <v>0.95977730290544416</v>
      </c>
      <c r="CG151" s="84">
        <f t="shared" si="72"/>
        <v>1.7518748749238149</v>
      </c>
      <c r="CH151" s="84">
        <f t="shared" si="72"/>
        <v>0.35154076530298528</v>
      </c>
      <c r="CI151" s="84">
        <f t="shared" si="72"/>
        <v>0.19736242998104028</v>
      </c>
      <c r="CJ151" s="84">
        <f t="shared" si="72"/>
        <v>2.9942480562531708</v>
      </c>
      <c r="CK151" s="84"/>
      <c r="CL151" s="84">
        <f t="shared" ref="CL151:CT151" si="73">(CL152+CL148)</f>
        <v>4.5569546835100017</v>
      </c>
      <c r="CM151" s="84">
        <f t="shared" si="73"/>
        <v>1.2595050639542258</v>
      </c>
      <c r="CN151" s="84">
        <f t="shared" si="73"/>
        <v>1.9028577534618742</v>
      </c>
      <c r="CO151" s="84">
        <f t="shared" si="73"/>
        <v>1.3144163207051096</v>
      </c>
      <c r="CP151" s="84">
        <f t="shared" si="73"/>
        <v>1.125708552979118</v>
      </c>
      <c r="CQ151" s="84">
        <f t="shared" si="73"/>
        <v>1.7168524524933102</v>
      </c>
      <c r="CR151" s="84">
        <f t="shared" si="73"/>
        <v>9.2372029887469065E-2</v>
      </c>
      <c r="CS151" s="84">
        <f t="shared" si="73"/>
        <v>0.16810091119189019</v>
      </c>
      <c r="CT151" s="84">
        <f t="shared" si="73"/>
        <v>3.1281369150989238</v>
      </c>
      <c r="CU151" s="84"/>
      <c r="CV151" s="84">
        <f t="shared" ref="CV151:DD151" si="74">(CV152+CV148)</f>
        <v>4.3677544085901374</v>
      </c>
      <c r="CW151" s="84">
        <f t="shared" si="74"/>
        <v>1.0055255212442566</v>
      </c>
      <c r="CX151" s="84">
        <f t="shared" si="74"/>
        <v>1.5397359305069522</v>
      </c>
      <c r="CY151" s="84">
        <f t="shared" si="74"/>
        <v>1.1921640005085443</v>
      </c>
      <c r="CZ151" s="84">
        <f t="shared" si="74"/>
        <v>0.9228814497377138</v>
      </c>
      <c r="DA151" s="84">
        <f t="shared" si="74"/>
        <v>1.8232499545443281</v>
      </c>
      <c r="DB151" s="84">
        <f t="shared" si="74"/>
        <v>0.31302593934830852</v>
      </c>
      <c r="DC151" s="84">
        <f t="shared" si="74"/>
        <v>0.22377926161895173</v>
      </c>
      <c r="DD151" s="84">
        <f t="shared" si="74"/>
        <v>2.7337178500209198</v>
      </c>
      <c r="DE151" s="84"/>
      <c r="DF151" s="84">
        <f t="shared" ref="DF151:DN151" si="75">(DF152+DF148)</f>
        <v>4.2723372593751066</v>
      </c>
      <c r="DG151" s="84">
        <f t="shared" si="75"/>
        <v>1.0574779548474591</v>
      </c>
      <c r="DH151" s="84">
        <f t="shared" si="75"/>
        <v>1.9332125540872676</v>
      </c>
      <c r="DI151" s="84">
        <f t="shared" si="75"/>
        <v>1.1533625225541657</v>
      </c>
      <c r="DJ151" s="84">
        <f t="shared" si="75"/>
        <v>0.78062124840316272</v>
      </c>
      <c r="DK151" s="84">
        <f t="shared" si="75"/>
        <v>1.4410238518387199</v>
      </c>
      <c r="DL151" s="84">
        <f t="shared" si="75"/>
        <v>0.31302593934830852</v>
      </c>
      <c r="DM151" s="84">
        <f t="shared" si="75"/>
        <v>0.16810091119189019</v>
      </c>
      <c r="DN151" s="84">
        <f t="shared" si="75"/>
        <v>2.8060130119492035</v>
      </c>
      <c r="DO151" s="84"/>
      <c r="DP151" s="84">
        <f t="shared" ref="DP151:FJ151" si="76">(DP152+DP148)</f>
        <v>4.2073987013922123</v>
      </c>
      <c r="DQ151" s="84">
        <f t="shared" si="76"/>
        <v>0.98066847594779261</v>
      </c>
      <c r="DR151" s="84">
        <f t="shared" si="76"/>
        <v>1.6898868749838556</v>
      </c>
      <c r="DS151" s="84">
        <f t="shared" si="76"/>
        <v>1.1433368768232988</v>
      </c>
      <c r="DT151" s="84">
        <f t="shared" si="76"/>
        <v>0.86906720152781058</v>
      </c>
      <c r="DU151" s="84">
        <f t="shared" si="76"/>
        <v>1.3417377875991603</v>
      </c>
      <c r="DV151" s="84">
        <f t="shared" si="76"/>
        <v>0.24815230179222419</v>
      </c>
      <c r="DW151" s="84">
        <f t="shared" si="76"/>
        <v>0.23622770433852364</v>
      </c>
      <c r="DX151" s="84">
        <f t="shared" si="76"/>
        <v>2.6986725139710952</v>
      </c>
      <c r="DY151" s="84">
        <f t="shared" si="76"/>
        <v>5.1475723324482026</v>
      </c>
      <c r="DZ151" s="84">
        <f t="shared" si="76"/>
        <v>0.71308033166082863</v>
      </c>
      <c r="EA151" s="84">
        <f t="shared" si="76"/>
        <v>0.43353847002022117</v>
      </c>
      <c r="EB151" s="84">
        <f t="shared" si="76"/>
        <v>9.1292151488714239</v>
      </c>
      <c r="EC151" s="84">
        <f t="shared" si="76"/>
        <v>1.2705190899552756</v>
      </c>
      <c r="ED151" s="84">
        <f t="shared" si="76"/>
        <v>0.6613938029255676</v>
      </c>
      <c r="EE151" s="84">
        <f t="shared" si="76"/>
        <v>1.4762343792302146</v>
      </c>
      <c r="EF151" s="84">
        <f t="shared" si="76"/>
        <v>1.4961508927315419</v>
      </c>
      <c r="EG151" s="84">
        <f t="shared" si="76"/>
        <v>1.6112258259173569</v>
      </c>
      <c r="EH151" s="84">
        <f t="shared" si="76"/>
        <v>1.5906821515112375</v>
      </c>
      <c r="EI151" s="84">
        <f t="shared" si="76"/>
        <v>1.4237459080170038</v>
      </c>
      <c r="EJ151" s="84">
        <f t="shared" si="76"/>
        <v>1.4142026161402428</v>
      </c>
      <c r="EK151" s="84">
        <f t="shared" si="76"/>
        <v>1.5162846989366703</v>
      </c>
      <c r="EL151" s="84">
        <f t="shared" si="76"/>
        <v>1.2552876836163769</v>
      </c>
      <c r="EM151" s="84">
        <f t="shared" si="76"/>
        <v>1.245245038908473</v>
      </c>
      <c r="EN151" s="84">
        <f t="shared" si="76"/>
        <v>1.2704043906404205</v>
      </c>
      <c r="EO151" s="84">
        <f t="shared" si="76"/>
        <v>0.5208216158663701</v>
      </c>
      <c r="EP151" s="84">
        <f t="shared" si="76"/>
        <v>0</v>
      </c>
      <c r="EQ151" s="84">
        <f t="shared" si="76"/>
        <v>0.91068360252295921</v>
      </c>
      <c r="ER151" s="84">
        <f t="shared" ref="ER151:ES151" si="77">(ER152+ER148)</f>
        <v>1.2071067811865475</v>
      </c>
      <c r="ES151" s="84" t="e">
        <f t="shared" si="77"/>
        <v>#DIV/0!</v>
      </c>
      <c r="ET151" s="84">
        <f t="shared" si="76"/>
        <v>7.0869861983380362</v>
      </c>
      <c r="EU151" s="84">
        <f t="shared" si="76"/>
        <v>1.437849691472797</v>
      </c>
      <c r="EV151" s="84">
        <f t="shared" si="76"/>
        <v>1.264433218228606</v>
      </c>
      <c r="EW151" s="84">
        <f t="shared" si="76"/>
        <v>1.7179893776224833</v>
      </c>
      <c r="EX151" s="84">
        <f t="shared" si="76"/>
        <v>2.0422707335923183</v>
      </c>
      <c r="EY151" s="84">
        <f t="shared" si="76"/>
        <v>1.5688010883337262</v>
      </c>
      <c r="EZ151" s="84">
        <f t="shared" si="76"/>
        <v>1.3915176353297736</v>
      </c>
      <c r="FA151" s="84">
        <f t="shared" si="76"/>
        <v>1.5967153007252333</v>
      </c>
      <c r="FB151" s="84">
        <f t="shared" si="76"/>
        <v>1.1640333876825855</v>
      </c>
      <c r="FC151" s="84">
        <f t="shared" si="76"/>
        <v>1.4776712552783313</v>
      </c>
      <c r="FD151" s="84">
        <f t="shared" si="76"/>
        <v>0.88198517915607888</v>
      </c>
      <c r="FE151" s="84">
        <f t="shared" si="76"/>
        <v>0.5208216158663701</v>
      </c>
      <c r="FF151" s="84">
        <f t="shared" si="76"/>
        <v>2.10384048104053</v>
      </c>
      <c r="FG151" s="84">
        <f t="shared" si="76"/>
        <v>4.6457513110645907</v>
      </c>
      <c r="FH151" s="84">
        <f t="shared" ref="FH151:FI151" si="78">(FH152+FH148)</f>
        <v>0</v>
      </c>
      <c r="FI151" s="84" t="e">
        <f t="shared" si="78"/>
        <v>#DIV/0!</v>
      </c>
      <c r="FJ151" s="84">
        <f t="shared" si="76"/>
        <v>7.5913534403422176</v>
      </c>
      <c r="FM151" s="88" t="s">
        <v>279</v>
      </c>
    </row>
    <row r="152" spans="1:169" x14ac:dyDescent="0.25">
      <c r="A152" s="82" t="s">
        <v>233</v>
      </c>
      <c r="B152" s="90"/>
      <c r="C152" s="90"/>
      <c r="D152" s="90"/>
      <c r="E152" s="39">
        <f>AVERAGE(Table127[Att])</f>
        <v>3530.1578947368421</v>
      </c>
      <c r="F152" s="84"/>
      <c r="G152" s="84"/>
      <c r="H152" s="84"/>
      <c r="I152" s="84"/>
      <c r="J152" s="39">
        <f>AVERAGE(Table127[S-IP])</f>
        <v>5.0410628019323669</v>
      </c>
      <c r="K152" s="39">
        <f>AVERAGE(Table127[S-H])</f>
        <v>5.0289855072463769</v>
      </c>
      <c r="L152" s="39">
        <f>AVERAGE(Table127[S-R])</f>
        <v>2.5217391304347827</v>
      </c>
      <c r="M152" s="39">
        <f>AVERAGE(Table127[S-ER])</f>
        <v>2.1304347826086958</v>
      </c>
      <c r="N152" s="39">
        <f>AVERAGE(Table127[S-BB])</f>
        <v>1.9927536231884058</v>
      </c>
      <c r="O152" s="39">
        <f>AVERAGE(Table127[S-SO])</f>
        <v>4.3840579710144931</v>
      </c>
      <c r="P152" s="39">
        <f>AVERAGE(Table127[S-HR])</f>
        <v>0.32608695652173914</v>
      </c>
      <c r="Q152" s="39">
        <f>AVERAGE(Table127[S-HBP])</f>
        <v>0.20289855072463769</v>
      </c>
      <c r="R152" s="39">
        <f>AVERAGE(Table127[S-BF])</f>
        <v>21.746376811594203</v>
      </c>
      <c r="S152" s="39">
        <f>AVERAGE(Table127[S-Pit])</f>
        <v>81.543478260869563</v>
      </c>
      <c r="T152" s="39">
        <f>AVERAGE(Table127[S-Str])</f>
        <v>50.862318840579711</v>
      </c>
      <c r="U152" s="39">
        <f>AVERAGE(Table127[IRL])</f>
        <v>0.50724637681159424</v>
      </c>
      <c r="V152" s="39">
        <f>AVERAGE(Table127[IRS])</f>
        <v>0.10869565217391304</v>
      </c>
      <c r="W152" s="84"/>
      <c r="X152" s="84"/>
      <c r="Y152" s="84"/>
      <c r="Z152" s="84"/>
      <c r="AA152" s="84"/>
      <c r="AB152" s="39">
        <f>AVERAGE(Table127[B-IP])</f>
        <v>3.8067632850241551</v>
      </c>
      <c r="AC152" s="39">
        <f>AVERAGE(Table127[B-H])</f>
        <v>3.8550724637681157</v>
      </c>
      <c r="AD152" s="39">
        <f>AVERAGE(Table127[B-R])</f>
        <v>1.826086956521739</v>
      </c>
      <c r="AE152" s="39">
        <f>AVERAGE(Table127[B-ER])</f>
        <v>1.644927536231884</v>
      </c>
      <c r="AF152" s="39">
        <f>AVERAGE(Table127[B-BB])</f>
        <v>1.4710144927536233</v>
      </c>
      <c r="AG152" s="39">
        <f>AVERAGE(Table127[B-SO])</f>
        <v>3.1884057971014492</v>
      </c>
      <c r="AH152" s="39">
        <f>AVERAGE(Table127[B-HR])</f>
        <v>0.3188405797101449</v>
      </c>
      <c r="AI152" s="39">
        <f>AVERAGE(Table127[B-HBP])</f>
        <v>0.18115942028985507</v>
      </c>
      <c r="AJ152" s="39">
        <f>AVERAGE(Table127[B-BF])</f>
        <v>16.615942028985508</v>
      </c>
      <c r="AK152" s="39">
        <f>AVERAGE(Table127[B-Pit])</f>
        <v>60.94202898550725</v>
      </c>
      <c r="AL152" s="39">
        <f>AVERAGE(Table127[B-Str])</f>
        <v>37.775362318840578</v>
      </c>
      <c r="AM152" s="84"/>
      <c r="AN152" s="39">
        <f>AVERAGE(Table127[AB1])</f>
        <v>4.0652173913043477</v>
      </c>
      <c r="AO152" s="39">
        <f>AVERAGE(Table127[R1])</f>
        <v>0.51449275362318836</v>
      </c>
      <c r="AP152" s="39">
        <f>AVERAGE(Table127[H1])</f>
        <v>0.95652173913043481</v>
      </c>
      <c r="AQ152" s="39">
        <f>AVERAGE(Table127[RBI1])</f>
        <v>0.28260869565217389</v>
      </c>
      <c r="AR152" s="39">
        <f>AVERAGE(Table127[BB1])</f>
        <v>0.43478260869565216</v>
      </c>
      <c r="AS152" s="39">
        <f>AVERAGE(Table127[SO1])</f>
        <v>0.57971014492753625</v>
      </c>
      <c r="AT152" s="39">
        <f>AVERAGE(Table127[HBP1])</f>
        <v>7.2463768115942032E-2</v>
      </c>
      <c r="AU152" s="39">
        <f>AVERAGE(Table127[SF1])</f>
        <v>7.246376811594203E-3</v>
      </c>
      <c r="AV152" s="39">
        <f>AVERAGE(Table127[TB1])</f>
        <v>1.2463768115942029</v>
      </c>
      <c r="AW152" s="84"/>
      <c r="AX152" s="39">
        <f>AVERAGE(Table127[AB2])</f>
        <v>3.9492753623188408</v>
      </c>
      <c r="AY152" s="39">
        <f>AVERAGE(Table127[R2])</f>
        <v>0.47826086956521741</v>
      </c>
      <c r="AZ152" s="39">
        <f>AVERAGE(Table127[H2])</f>
        <v>0.99275362318840576</v>
      </c>
      <c r="BA152" s="39">
        <f>AVERAGE(Table127[RBI2])</f>
        <v>0.30434782608695654</v>
      </c>
      <c r="BB152" s="39">
        <f>AVERAGE(Table127[BB2])</f>
        <v>0.45652173913043476</v>
      </c>
      <c r="BC152" s="39">
        <f>AVERAGE(Table127[SO2])</f>
        <v>0.60869565217391308</v>
      </c>
      <c r="BD152" s="39">
        <f>AVERAGE(Table127[HBP2])</f>
        <v>2.1739130434782608E-2</v>
      </c>
      <c r="BE152" s="39">
        <f>AVERAGE(Table127[SF2])</f>
        <v>4.3478260869565216E-2</v>
      </c>
      <c r="BF152" s="39">
        <f>AVERAGE(Table127[TB2])</f>
        <v>1.3478260869565217</v>
      </c>
      <c r="BG152" s="84"/>
      <c r="BH152" s="39">
        <f>AVERAGE(Table127[AB3])</f>
        <v>3.8768115942028984</v>
      </c>
      <c r="BI152" s="39">
        <f>AVERAGE(Table127[R3])</f>
        <v>0.47826086956521741</v>
      </c>
      <c r="BJ152" s="39">
        <f>AVERAGE(Table127[H3])</f>
        <v>0.94202898550724634</v>
      </c>
      <c r="BK152" s="39">
        <f>AVERAGE(Table127[RBI3])</f>
        <v>0.42028985507246375</v>
      </c>
      <c r="BL152" s="39">
        <f>AVERAGE(Table127[BB3])</f>
        <v>0.47101449275362317</v>
      </c>
      <c r="BM152" s="39">
        <f>AVERAGE(Table127[SO3])</f>
        <v>0.84057971014492749</v>
      </c>
      <c r="BN152" s="39">
        <f>AVERAGE(Table127[HBP3])</f>
        <v>5.7971014492753624E-2</v>
      </c>
      <c r="BO152" s="39">
        <f>AVERAGE(Table127[SF3])</f>
        <v>3.6231884057971016E-2</v>
      </c>
      <c r="BP152" s="39">
        <f>AVERAGE(Table127[TB3])</f>
        <v>1.3333333333333333</v>
      </c>
      <c r="BQ152" s="84"/>
      <c r="BR152" s="39">
        <f>AVERAGE(Table127[AB4])</f>
        <v>3.8695652173913042</v>
      </c>
      <c r="BS152" s="39">
        <f>AVERAGE(Table127[R4])</f>
        <v>0.48550724637681159</v>
      </c>
      <c r="BT152" s="39">
        <f>AVERAGE(Table127[H4])</f>
        <v>0.92028985507246375</v>
      </c>
      <c r="BU152" s="39">
        <f>AVERAGE(Table127[RBI4])</f>
        <v>0.59420289855072461</v>
      </c>
      <c r="BV152" s="39">
        <f>AVERAGE(Table127[BB4])</f>
        <v>0.36956521739130432</v>
      </c>
      <c r="BW152" s="39">
        <f>AVERAGE(Table127[SO4])</f>
        <v>0.98550724637681164</v>
      </c>
      <c r="BX152" s="39">
        <f>AVERAGE(Table127[HBP4])</f>
        <v>5.0724637681159424E-2</v>
      </c>
      <c r="BY152" s="39">
        <f>AVERAGE(Table127[SF4])</f>
        <v>5.7971014492753624E-2</v>
      </c>
      <c r="BZ152" s="39">
        <f>AVERAGE(Table127[TB4])</f>
        <v>1.4710144927536233</v>
      </c>
      <c r="CA152" s="84"/>
      <c r="CB152" s="39">
        <f>AVERAGE(Table127[AB5])</f>
        <v>3.7391304347826089</v>
      </c>
      <c r="CC152" s="39">
        <f>AVERAGE(Table127[R5])</f>
        <v>0.50724637681159424</v>
      </c>
      <c r="CD152" s="39">
        <f>AVERAGE(Table127[H5])</f>
        <v>0.88405797101449279</v>
      </c>
      <c r="CE152" s="39">
        <f>AVERAGE(Table127[RBI5])</f>
        <v>0.47826086956521741</v>
      </c>
      <c r="CF152" s="39">
        <f>AVERAGE(Table127[BB5])</f>
        <v>0.34782608695652173</v>
      </c>
      <c r="CG152" s="39">
        <f>AVERAGE(Table127[SO5])</f>
        <v>0.87681159420289856</v>
      </c>
      <c r="CH152" s="39">
        <f>AVERAGE(Table127[HBP5])</f>
        <v>7.9710144927536225E-2</v>
      </c>
      <c r="CI152" s="39">
        <f>AVERAGE(Table127[SF5])</f>
        <v>2.8985507246376812E-2</v>
      </c>
      <c r="CJ152" s="39">
        <f>AVERAGE(Table127[TB5])</f>
        <v>1.3768115942028984</v>
      </c>
      <c r="CK152" s="84"/>
      <c r="CL152" s="39">
        <f>AVERAGE(Table127[AB6])</f>
        <v>3.6014492753623188</v>
      </c>
      <c r="CM152" s="39">
        <f>AVERAGE(Table127[R6])</f>
        <v>0.54347826086956519</v>
      </c>
      <c r="CN152" s="39">
        <f>AVERAGE(Table127[H6])</f>
        <v>0.96376811594202894</v>
      </c>
      <c r="CO152" s="39">
        <f>AVERAGE(Table127[RBI6])</f>
        <v>0.49275362318840582</v>
      </c>
      <c r="CP152" s="39">
        <f>AVERAGE(Table127[BB6])</f>
        <v>0.4420289855072464</v>
      </c>
      <c r="CQ152" s="39">
        <f>AVERAGE(Table127[SO6])</f>
        <v>0.89130434782608692</v>
      </c>
      <c r="CR152" s="39">
        <f>AVERAGE(Table127[HBP6])</f>
        <v>7.246376811594203E-3</v>
      </c>
      <c r="CS152" s="39">
        <f>AVERAGE(Table127[SF6])</f>
        <v>2.1739130434782608E-2</v>
      </c>
      <c r="CT152" s="39">
        <f>AVERAGE(Table127[TB6])</f>
        <v>1.4492753623188406</v>
      </c>
      <c r="CU152" s="84"/>
      <c r="CV152" s="39">
        <f>AVERAGE(Table127[AB7])</f>
        <v>3.5289855072463769</v>
      </c>
      <c r="CW152" s="39">
        <f>AVERAGE(Table127[R7])</f>
        <v>0.40579710144927539</v>
      </c>
      <c r="CX152" s="39">
        <f>AVERAGE(Table127[H7])</f>
        <v>0.76086956521739135</v>
      </c>
      <c r="CY152" s="39">
        <f>AVERAGE(Table127[RBI7])</f>
        <v>0.42028985507246375</v>
      </c>
      <c r="CZ152" s="39">
        <f>AVERAGE(Table127[BB7])</f>
        <v>0.34782608695652173</v>
      </c>
      <c r="DA152" s="39">
        <f>AVERAGE(Table127[SO7])</f>
        <v>0.94927536231884058</v>
      </c>
      <c r="DB152" s="39">
        <f>AVERAGE(Table127[HBP7])</f>
        <v>6.5217391304347824E-2</v>
      </c>
      <c r="DC152" s="39">
        <f>AVERAGE(Table127[SF7])</f>
        <v>3.6231884057971016E-2</v>
      </c>
      <c r="DD152" s="39">
        <f>AVERAGE(Table127[TB7])</f>
        <v>1.2536231884057971</v>
      </c>
      <c r="DE152" s="84"/>
      <c r="DF152" s="39">
        <f>AVERAGE(Table127[AB8])</f>
        <v>3.4275362318840581</v>
      </c>
      <c r="DG152" s="39">
        <f>AVERAGE(Table127[R8])</f>
        <v>0.42028985507246375</v>
      </c>
      <c r="DH152" s="39">
        <f>AVERAGE(Table127[H8])</f>
        <v>0.97826086956521741</v>
      </c>
      <c r="DI152" s="39">
        <f>AVERAGE(Table127[RBI8])</f>
        <v>0.42028985507246375</v>
      </c>
      <c r="DJ152" s="39">
        <f>AVERAGE(Table127[BB8])</f>
        <v>0.28260869565217389</v>
      </c>
      <c r="DK152" s="39">
        <f>AVERAGE(Table127[SO8])</f>
        <v>0.68840579710144922</v>
      </c>
      <c r="DL152" s="39">
        <f>AVERAGE(Table127[HBP8])</f>
        <v>6.5217391304347824E-2</v>
      </c>
      <c r="DM152" s="39">
        <f>AVERAGE(Table127[SF8])</f>
        <v>2.1739130434782608E-2</v>
      </c>
      <c r="DN152" s="39">
        <f>AVERAGE(Table127[TB8])</f>
        <v>1.3478260869565217</v>
      </c>
      <c r="DO152" s="84"/>
      <c r="DP152" s="39">
        <f>AVERAGE(Table127[AB9])</f>
        <v>3.3333333333333335</v>
      </c>
      <c r="DQ152" s="39">
        <f>AVERAGE(Table127[R9])</f>
        <v>0.40579710144927539</v>
      </c>
      <c r="DR152" s="39">
        <f>AVERAGE(Table127[H9])</f>
        <v>0.89130434782608692</v>
      </c>
      <c r="DS152" s="39">
        <f>AVERAGE(Table127[RBI9])</f>
        <v>0.42028985507246375</v>
      </c>
      <c r="DT152" s="39">
        <f>AVERAGE(Table127[BB9])</f>
        <v>0.29710144927536231</v>
      </c>
      <c r="DU152" s="39">
        <f>AVERAGE(Table127[SO9])</f>
        <v>0.60144927536231885</v>
      </c>
      <c r="DV152" s="39">
        <f>AVERAGE(Table127[HBP9])</f>
        <v>4.3478260869565216E-2</v>
      </c>
      <c r="DW152" s="39">
        <f>AVERAGE(Table127[SF9])</f>
        <v>2.8985507246376812E-2</v>
      </c>
      <c r="DX152" s="39">
        <f>AVERAGE(Table127[TB9])</f>
        <v>1.2753623188405796</v>
      </c>
      <c r="DY152" s="39">
        <f>AVERAGE(Table127[IVL])</f>
        <v>2.4661835748792273</v>
      </c>
      <c r="DZ152" s="39">
        <f>AVERAGE(Table127[SVL])</f>
        <v>0.17391304347826086</v>
      </c>
      <c r="EA152" s="39">
        <f>AVERAGE(Table127[CVL])</f>
        <v>9.420289855072464E-2</v>
      </c>
      <c r="EB152" s="39">
        <f>AVERAGE(Table127[IVR])</f>
        <v>6.3526570048309194</v>
      </c>
      <c r="EC152" s="39">
        <f>AVERAGE(Table127[SVR])</f>
        <v>0.4420289855072464</v>
      </c>
      <c r="ED152" s="39">
        <f>AVERAGE(Table127[CVR])</f>
        <v>0.19565217391304349</v>
      </c>
      <c r="EE152" s="39">
        <f>AVERAGE(Table127[RI1])</f>
        <v>0.48550724637681159</v>
      </c>
      <c r="EF152" s="39">
        <f>AVERAGE(Table127[RI2])</f>
        <v>0.44927536231884058</v>
      </c>
      <c r="EG152" s="39">
        <f>AVERAGE(Table127[RI3])</f>
        <v>0.53623188405797106</v>
      </c>
      <c r="EH152" s="39">
        <f>AVERAGE(Table127[RI4])</f>
        <v>0.54347826086956519</v>
      </c>
      <c r="EI152" s="39">
        <f>AVERAGE(Table127[RI5])</f>
        <v>0.4420289855072464</v>
      </c>
      <c r="EJ152" s="39">
        <f>AVERAGE(Table127[RI6])</f>
        <v>0.5</v>
      </c>
      <c r="EK152" s="39">
        <f>AVERAGE(Table127[RI7])</f>
        <v>0.54074074074074074</v>
      </c>
      <c r="EL152" s="39">
        <f>AVERAGE(Table127[RI8])</f>
        <v>0.43307086614173229</v>
      </c>
      <c r="EM152" s="39">
        <f>AVERAGE(Table127[RI9])</f>
        <v>0.37755102040816324</v>
      </c>
      <c r="EN152" s="39">
        <f>AVERAGE(Table127[RI10])</f>
        <v>0.47058823529411764</v>
      </c>
      <c r="EO152" s="39">
        <f>AVERAGE(Table127[RI11])</f>
        <v>0.14285714285714285</v>
      </c>
      <c r="EP152" s="39">
        <f>AVERAGE(Table127[RI12])</f>
        <v>0</v>
      </c>
      <c r="EQ152" s="39">
        <f>AVERAGE(Table127[RI13])</f>
        <v>0.33333333333333331</v>
      </c>
      <c r="ER152" s="39">
        <f>AVERAGE(Table127[RI14])</f>
        <v>0.5</v>
      </c>
      <c r="ES152" s="39">
        <f>AVERAGE(Table127[RI15])</f>
        <v>1</v>
      </c>
      <c r="ET152" s="39">
        <f>AVERAGE(Table127[RT])</f>
        <v>4.2391304347826084</v>
      </c>
      <c r="EU152" s="39">
        <f>AVERAGE(Table127[OI1])</f>
        <v>0.5</v>
      </c>
      <c r="EV152" s="39">
        <f>AVERAGE(Table127[OI2])</f>
        <v>0.42028985507246375</v>
      </c>
      <c r="EW152" s="39">
        <f>AVERAGE(Table127[OI3])</f>
        <v>0.57246376811594202</v>
      </c>
      <c r="EX152" s="39">
        <f>AVERAGE(Table127[OI4])</f>
        <v>0.59420289855072461</v>
      </c>
      <c r="EY152" s="39">
        <f>AVERAGE(Table127[OI5])</f>
        <v>0.5</v>
      </c>
      <c r="EZ152" s="39">
        <f>AVERAGE(Table127[OI6])</f>
        <v>0.39855072463768115</v>
      </c>
      <c r="FA152" s="39">
        <f>AVERAGE(Table127[OI7])</f>
        <v>0.52985074626865669</v>
      </c>
      <c r="FB152" s="39">
        <f>AVERAGE(Table127[OI8])</f>
        <v>0.37795275590551181</v>
      </c>
      <c r="FC152" s="39">
        <f>AVERAGE(Table127[OI9])</f>
        <v>0.53</v>
      </c>
      <c r="FD152" s="39">
        <f>AVERAGE(Table127[OI10])</f>
        <v>0.29411764705882354</v>
      </c>
      <c r="FE152" s="39">
        <f>AVERAGE(Table127[OI11])</f>
        <v>0.14285714285714285</v>
      </c>
      <c r="FF152" s="39">
        <f>AVERAGE(Table127[OI12])</f>
        <v>0.8</v>
      </c>
      <c r="FG152" s="39">
        <f>AVERAGE(Table127[OI13])</f>
        <v>2</v>
      </c>
      <c r="FH152" s="39">
        <f>AVERAGE(Table127[OI14])</f>
        <v>0</v>
      </c>
      <c r="FI152" s="39">
        <f>AVERAGE(Table127[OI15])</f>
        <v>0</v>
      </c>
      <c r="FJ152" s="39">
        <f>AVERAGE(Table127[OT])</f>
        <v>4.3478260869565215</v>
      </c>
      <c r="FM152" s="86" t="s">
        <v>233</v>
      </c>
    </row>
    <row r="153" spans="1:169" x14ac:dyDescent="0.25">
      <c r="A153" s="87" t="s">
        <v>278</v>
      </c>
      <c r="B153" s="53"/>
      <c r="C153" s="53"/>
      <c r="D153" s="53"/>
      <c r="E153" s="84">
        <f>(E152-E148)</f>
        <v>1526.8933399674193</v>
      </c>
      <c r="F153" s="84"/>
      <c r="G153" s="84"/>
      <c r="H153" s="84"/>
      <c r="I153" s="84"/>
      <c r="J153" s="84">
        <f t="shared" ref="J153:V153" si="79">(J152-J148)</f>
        <v>3.676791030167089</v>
      </c>
      <c r="K153" s="84">
        <f t="shared" si="79"/>
        <v>2.6956597301054783</v>
      </c>
      <c r="L153" s="84">
        <f t="shared" si="79"/>
        <v>0.400530993394145</v>
      </c>
      <c r="M153" s="84">
        <f t="shared" si="79"/>
        <v>0.17163995367764295</v>
      </c>
      <c r="N153" s="84">
        <f t="shared" si="79"/>
        <v>0.62313341470076611</v>
      </c>
      <c r="O153" s="84">
        <f t="shared" si="79"/>
        <v>1.8544595672740747</v>
      </c>
      <c r="P153" s="84">
        <f t="shared" si="79"/>
        <v>-0.22974533817570442</v>
      </c>
      <c r="Q153" s="84">
        <f t="shared" si="79"/>
        <v>-0.26753253422969964</v>
      </c>
      <c r="R153" s="84">
        <f t="shared" si="79"/>
        <v>17.241615997925678</v>
      </c>
      <c r="S153" s="84">
        <f t="shared" si="79"/>
        <v>64.983426264575527</v>
      </c>
      <c r="T153" s="84">
        <f t="shared" si="79"/>
        <v>39.606700921970557</v>
      </c>
      <c r="U153" s="84">
        <f t="shared" si="79"/>
        <v>-0.28731889303882541</v>
      </c>
      <c r="V153" s="84">
        <f t="shared" si="79"/>
        <v>-0.26731457071661519</v>
      </c>
      <c r="W153" s="84"/>
      <c r="X153" s="84"/>
      <c r="Y153" s="84"/>
      <c r="Z153" s="84"/>
      <c r="AA153" s="84"/>
      <c r="AB153" s="84">
        <f t="shared" ref="AB153:AL153" si="80">(AB152-AB148)</f>
        <v>2.1768465076827357</v>
      </c>
      <c r="AC153" s="84">
        <f t="shared" si="80"/>
        <v>1.3596731213937625</v>
      </c>
      <c r="AD153" s="84">
        <f t="shared" si="80"/>
        <v>-0.16261486660018898</v>
      </c>
      <c r="AE153" s="84">
        <f t="shared" si="80"/>
        <v>-0.29505035753064934</v>
      </c>
      <c r="AF153" s="84">
        <f t="shared" si="80"/>
        <v>-9.5943734953697568E-2</v>
      </c>
      <c r="AG153" s="84">
        <f t="shared" si="80"/>
        <v>1.2157802739560428</v>
      </c>
      <c r="AH153" s="84">
        <f t="shared" si="80"/>
        <v>-0.28510638038158453</v>
      </c>
      <c r="AI153" s="84">
        <f t="shared" si="80"/>
        <v>-0.20539389226968877</v>
      </c>
      <c r="AJ153" s="84">
        <f t="shared" si="80"/>
        <v>9.1616311087270219</v>
      </c>
      <c r="AK153" s="84">
        <f t="shared" si="80"/>
        <v>32.489028139075657</v>
      </c>
      <c r="AL153" s="84">
        <f t="shared" si="80"/>
        <v>20.686492796645759</v>
      </c>
      <c r="AM153" s="84"/>
      <c r="AN153" s="84">
        <f t="shared" ref="AN153:AV153" si="81">(AN152-AN148)</f>
        <v>3.1674787745962814</v>
      </c>
      <c r="AO153" s="84">
        <f t="shared" si="81"/>
        <v>-0.17150385472297192</v>
      </c>
      <c r="AP153" s="84">
        <f t="shared" si="81"/>
        <v>-2.4090055732695848E-2</v>
      </c>
      <c r="AQ153" s="84">
        <f t="shared" si="81"/>
        <v>-0.29670792207380564</v>
      </c>
      <c r="AR153" s="84">
        <f t="shared" si="81"/>
        <v>-0.16881393247473359</v>
      </c>
      <c r="AS153" s="84">
        <f t="shared" si="81"/>
        <v>-0.20156332610464012</v>
      </c>
      <c r="AT153" s="84">
        <f t="shared" si="81"/>
        <v>-0.21441933479544006</v>
      </c>
      <c r="AU153" s="84">
        <f t="shared" si="81"/>
        <v>-7.787927626428065E-2</v>
      </c>
      <c r="AV153" s="84">
        <f t="shared" si="81"/>
        <v>-0.17201949781768477</v>
      </c>
      <c r="AW153" s="84"/>
      <c r="AX153" s="84">
        <f t="shared" ref="AX153:BF153" si="82">(AX152-AX148)</f>
        <v>3.0265496020132012</v>
      </c>
      <c r="AY153" s="84">
        <f t="shared" si="82"/>
        <v>-0.2285092208088827</v>
      </c>
      <c r="AZ153" s="84">
        <f t="shared" si="82"/>
        <v>7.6585971973431866E-2</v>
      </c>
      <c r="BA153" s="84">
        <f t="shared" si="82"/>
        <v>-0.27015539507601183</v>
      </c>
      <c r="BB153" s="84">
        <f t="shared" si="82"/>
        <v>-0.2174962295853094</v>
      </c>
      <c r="BC153" s="84">
        <f t="shared" si="82"/>
        <v>-7.9418056481388E-2</v>
      </c>
      <c r="BD153" s="84">
        <f t="shared" si="82"/>
        <v>-0.12462265032232496</v>
      </c>
      <c r="BE153" s="84">
        <f t="shared" si="82"/>
        <v>-0.16119578005309376</v>
      </c>
      <c r="BF153" s="84">
        <f t="shared" si="82"/>
        <v>-0.15473704633721153</v>
      </c>
      <c r="BG153" s="84"/>
      <c r="BH153" s="84">
        <f t="shared" ref="BH153:BP153" si="83">(BH152-BH148)</f>
        <v>2.993446275995284</v>
      </c>
      <c r="BI153" s="84">
        <f t="shared" si="83"/>
        <v>-0.19681567439810044</v>
      </c>
      <c r="BJ153" s="84">
        <f t="shared" si="83"/>
        <v>1.5784579379125696E-2</v>
      </c>
      <c r="BK153" s="84">
        <f t="shared" si="83"/>
        <v>-0.31278281240923811</v>
      </c>
      <c r="BL153" s="84">
        <f t="shared" si="83"/>
        <v>-0.22508547684243896</v>
      </c>
      <c r="BM153" s="84">
        <f t="shared" si="83"/>
        <v>6.4604911739399751E-2</v>
      </c>
      <c r="BN153" s="84">
        <f t="shared" si="83"/>
        <v>-0.20586137927348416</v>
      </c>
      <c r="BO153" s="84">
        <f t="shared" si="83"/>
        <v>-0.15131549350300971</v>
      </c>
      <c r="BP153" s="84">
        <f t="shared" si="83"/>
        <v>-0.19657927966334565</v>
      </c>
      <c r="BQ153" s="84"/>
      <c r="BR153" s="84">
        <f t="shared" ref="BR153:BZ153" si="84">(BR152-BR148)</f>
        <v>3.0081787356665632</v>
      </c>
      <c r="BS153" s="84">
        <f t="shared" si="84"/>
        <v>-0.2110484849242959</v>
      </c>
      <c r="BT153" s="84">
        <f t="shared" si="84"/>
        <v>6.5406124531845466E-2</v>
      </c>
      <c r="BU153" s="84">
        <f t="shared" si="84"/>
        <v>-0.36965250720431697</v>
      </c>
      <c r="BV153" s="84">
        <f t="shared" si="84"/>
        <v>-0.29305606423865549</v>
      </c>
      <c r="BW153" s="84">
        <f t="shared" si="84"/>
        <v>8.1457095594462348E-2</v>
      </c>
      <c r="BX153" s="84">
        <f t="shared" si="84"/>
        <v>-0.16950960285019509</v>
      </c>
      <c r="BY153" s="84">
        <f t="shared" si="84"/>
        <v>-0.20586137927348416</v>
      </c>
      <c r="BZ153" s="84">
        <f t="shared" si="84"/>
        <v>-0.22996001962427526</v>
      </c>
      <c r="CA153" s="84"/>
      <c r="CB153" s="84">
        <f t="shared" ref="CB153:CJ153" si="85">(CB152-CB148)</f>
        <v>2.8165479927078492</v>
      </c>
      <c r="CC153" s="84">
        <f t="shared" si="85"/>
        <v>-0.21007199524128084</v>
      </c>
      <c r="CD153" s="84">
        <f t="shared" si="85"/>
        <v>-2.0693991350415497E-2</v>
      </c>
      <c r="CE153" s="84">
        <f t="shared" si="85"/>
        <v>-0.39483573635829139</v>
      </c>
      <c r="CF153" s="84">
        <f t="shared" si="85"/>
        <v>-0.2641251289924007</v>
      </c>
      <c r="CG153" s="84">
        <f t="shared" si="85"/>
        <v>1.7483134819822332E-3</v>
      </c>
      <c r="CH153" s="84">
        <f t="shared" si="85"/>
        <v>-0.1921204754479128</v>
      </c>
      <c r="CI153" s="84">
        <f t="shared" si="85"/>
        <v>-0.13939141548828668</v>
      </c>
      <c r="CJ153" s="84">
        <f t="shared" si="85"/>
        <v>-0.24062486784737391</v>
      </c>
      <c r="CK153" s="84"/>
      <c r="CL153" s="84">
        <f t="shared" ref="CL153:CT153" si="86">(CL152-CL148)</f>
        <v>2.6459438672146356</v>
      </c>
      <c r="CM153" s="84">
        <f t="shared" si="86"/>
        <v>-0.17254854221509552</v>
      </c>
      <c r="CN153" s="84">
        <f t="shared" si="86"/>
        <v>2.4678478422183625E-2</v>
      </c>
      <c r="CO153" s="84">
        <f t="shared" si="86"/>
        <v>-0.32890907432829802</v>
      </c>
      <c r="CP153" s="84">
        <f t="shared" si="86"/>
        <v>-0.24165058196462513</v>
      </c>
      <c r="CQ153" s="84">
        <f t="shared" si="86"/>
        <v>6.5756243158863747E-2</v>
      </c>
      <c r="CR153" s="84">
        <f t="shared" si="86"/>
        <v>-7.787927626428065E-2</v>
      </c>
      <c r="CS153" s="84">
        <f t="shared" si="86"/>
        <v>-0.12462265032232496</v>
      </c>
      <c r="CT153" s="84">
        <f t="shared" si="86"/>
        <v>-0.22958619046124262</v>
      </c>
      <c r="CU153" s="84"/>
      <c r="CV153" s="84">
        <f t="shared" ref="CV153:DD153" si="87">(CV152-CV148)</f>
        <v>2.690216605902616</v>
      </c>
      <c r="CW153" s="84">
        <f t="shared" si="87"/>
        <v>-0.19393131834570587</v>
      </c>
      <c r="CX153" s="84">
        <f t="shared" si="87"/>
        <v>-1.7996800072169528E-2</v>
      </c>
      <c r="CY153" s="84">
        <f t="shared" si="87"/>
        <v>-0.35158429036361671</v>
      </c>
      <c r="CZ153" s="84">
        <f t="shared" si="87"/>
        <v>-0.22722927582467034</v>
      </c>
      <c r="DA153" s="84">
        <f t="shared" si="87"/>
        <v>7.5300770093353009E-2</v>
      </c>
      <c r="DB153" s="84">
        <f t="shared" si="87"/>
        <v>-0.18259115673961285</v>
      </c>
      <c r="DC153" s="84">
        <f t="shared" si="87"/>
        <v>-0.15131549350300971</v>
      </c>
      <c r="DD153" s="84">
        <f t="shared" si="87"/>
        <v>-0.22647147320932559</v>
      </c>
      <c r="DE153" s="84"/>
      <c r="DF153" s="84">
        <f t="shared" ref="DF153:DN153" si="88">(DF152-DF148)</f>
        <v>2.5827352043930096</v>
      </c>
      <c r="DG153" s="84">
        <f t="shared" si="88"/>
        <v>-0.21689824470253161</v>
      </c>
      <c r="DH153" s="84">
        <f t="shared" si="88"/>
        <v>2.3309185043167258E-2</v>
      </c>
      <c r="DI153" s="84">
        <f t="shared" si="88"/>
        <v>-0.31278281240923811</v>
      </c>
      <c r="DJ153" s="84">
        <f t="shared" si="88"/>
        <v>-0.21540385709881488</v>
      </c>
      <c r="DK153" s="84">
        <f t="shared" si="88"/>
        <v>-6.421225763582139E-2</v>
      </c>
      <c r="DL153" s="84">
        <f t="shared" si="88"/>
        <v>-0.18259115673961285</v>
      </c>
      <c r="DM153" s="84">
        <f t="shared" si="88"/>
        <v>-0.12462265032232496</v>
      </c>
      <c r="DN153" s="84">
        <f t="shared" si="88"/>
        <v>-0.11036083803616026</v>
      </c>
      <c r="DO153" s="84"/>
      <c r="DP153" s="84">
        <f t="shared" ref="DP153:FJ153" si="89">(DP152-DP148)</f>
        <v>2.4592679652744547</v>
      </c>
      <c r="DQ153" s="84">
        <f t="shared" si="89"/>
        <v>-0.16907427304924183</v>
      </c>
      <c r="DR153" s="84">
        <f t="shared" si="89"/>
        <v>9.2721820668318244E-2</v>
      </c>
      <c r="DS153" s="84">
        <f t="shared" si="89"/>
        <v>-0.30275716667837127</v>
      </c>
      <c r="DT153" s="84">
        <f t="shared" si="89"/>
        <v>-0.27486430297708597</v>
      </c>
      <c r="DU153" s="84">
        <f t="shared" si="89"/>
        <v>-0.13883923687452249</v>
      </c>
      <c r="DV153" s="84">
        <f t="shared" si="89"/>
        <v>-0.16119578005309376</v>
      </c>
      <c r="DW153" s="84">
        <f t="shared" si="89"/>
        <v>-0.17825668984577003</v>
      </c>
      <c r="DX153" s="84">
        <f t="shared" si="89"/>
        <v>-0.14794787628993622</v>
      </c>
      <c r="DY153" s="84">
        <f t="shared" si="89"/>
        <v>-0.21520518268974831</v>
      </c>
      <c r="DZ153" s="84">
        <f t="shared" si="89"/>
        <v>-0.3652542447043069</v>
      </c>
      <c r="EA153" s="84">
        <f t="shared" si="89"/>
        <v>-0.24513267291877192</v>
      </c>
      <c r="EB153" s="84">
        <f t="shared" si="89"/>
        <v>3.5760988607904158</v>
      </c>
      <c r="EC153" s="84">
        <f t="shared" si="89"/>
        <v>-0.38646111894078278</v>
      </c>
      <c r="ED153" s="84">
        <f t="shared" si="89"/>
        <v>-0.27008945509948057</v>
      </c>
      <c r="EE153" s="84">
        <f t="shared" si="89"/>
        <v>-0.50521988647659133</v>
      </c>
      <c r="EF153" s="84">
        <f t="shared" si="89"/>
        <v>-0.59760016809386074</v>
      </c>
      <c r="EG153" s="84">
        <f t="shared" si="89"/>
        <v>-0.53876205780141484</v>
      </c>
      <c r="EH153" s="84">
        <f t="shared" si="89"/>
        <v>-0.50372562977210711</v>
      </c>
      <c r="EI153" s="84">
        <f t="shared" si="89"/>
        <v>-0.53968793700251094</v>
      </c>
      <c r="EJ153" s="84">
        <f t="shared" si="89"/>
        <v>-0.4142026161402429</v>
      </c>
      <c r="EK153" s="84">
        <f t="shared" si="89"/>
        <v>-0.4348032174551888</v>
      </c>
      <c r="EL153" s="84">
        <f t="shared" si="89"/>
        <v>-0.38914595133291219</v>
      </c>
      <c r="EM153" s="84">
        <f t="shared" si="89"/>
        <v>-0.49014299809214656</v>
      </c>
      <c r="EN153" s="84">
        <f t="shared" si="89"/>
        <v>-0.32922792005218515</v>
      </c>
      <c r="EO153" s="84">
        <f t="shared" si="89"/>
        <v>-0.2351073301520844</v>
      </c>
      <c r="EP153" s="84">
        <f t="shared" si="89"/>
        <v>0</v>
      </c>
      <c r="EQ153" s="84">
        <f t="shared" si="89"/>
        <v>-0.24401693585629253</v>
      </c>
      <c r="ER153" s="84">
        <f t="shared" ref="ER153:ES153" si="90">(ER152-ER148)</f>
        <v>-0.20710678118654757</v>
      </c>
      <c r="ES153" s="84" t="e">
        <f t="shared" si="90"/>
        <v>#DIV/0!</v>
      </c>
      <c r="ET153" s="84">
        <f t="shared" si="89"/>
        <v>1.3912746712271806</v>
      </c>
      <c r="EU153" s="84">
        <f t="shared" si="89"/>
        <v>-0.43784969147279695</v>
      </c>
      <c r="EV153" s="84">
        <f t="shared" si="89"/>
        <v>-0.4238535080836785</v>
      </c>
      <c r="EW153" s="84">
        <f t="shared" si="89"/>
        <v>-0.57306184139059912</v>
      </c>
      <c r="EX153" s="84">
        <f t="shared" si="89"/>
        <v>-0.85386493649086903</v>
      </c>
      <c r="EY153" s="84">
        <f t="shared" si="89"/>
        <v>-0.56880108833372622</v>
      </c>
      <c r="EZ153" s="84">
        <f t="shared" si="89"/>
        <v>-0.59441618605441138</v>
      </c>
      <c r="FA153" s="84">
        <f t="shared" si="89"/>
        <v>-0.53701380818791999</v>
      </c>
      <c r="FB153" s="84">
        <f t="shared" si="89"/>
        <v>-0.40812787587156174</v>
      </c>
      <c r="FC153" s="84">
        <f t="shared" si="89"/>
        <v>-0.41767125527833115</v>
      </c>
      <c r="FD153" s="84">
        <f t="shared" si="89"/>
        <v>-0.29374988503843186</v>
      </c>
      <c r="FE153" s="84">
        <f t="shared" si="89"/>
        <v>-0.2351073301520844</v>
      </c>
      <c r="FF153" s="84">
        <f t="shared" si="89"/>
        <v>-0.5038404810405297</v>
      </c>
      <c r="FG153" s="84">
        <f t="shared" si="89"/>
        <v>-0.64575131106459072</v>
      </c>
      <c r="FH153" s="84">
        <f t="shared" ref="FH153:FI153" si="91">(FH152-FH148)</f>
        <v>0</v>
      </c>
      <c r="FI153" s="84" t="e">
        <f t="shared" si="91"/>
        <v>#DIV/0!</v>
      </c>
      <c r="FJ153" s="84">
        <f t="shared" si="89"/>
        <v>1.1042987335708254</v>
      </c>
      <c r="FM153" s="88" t="s">
        <v>278</v>
      </c>
    </row>
    <row r="154" spans="1:169" x14ac:dyDescent="0.25">
      <c r="A154" s="87" t="s">
        <v>277</v>
      </c>
      <c r="B154" s="53"/>
      <c r="C154" s="53"/>
      <c r="D154" s="53"/>
      <c r="E154" s="84">
        <f>(E152-(2*E148))</f>
        <v>-476.37121480200358</v>
      </c>
      <c r="F154" s="84"/>
      <c r="G154" s="84"/>
      <c r="H154" s="84"/>
      <c r="I154" s="84"/>
      <c r="J154" s="84">
        <f t="shared" ref="J154:V154" si="92">(J152-(2*J148))</f>
        <v>2.3125192584018111</v>
      </c>
      <c r="K154" s="84">
        <f t="shared" si="92"/>
        <v>0.36233395296457971</v>
      </c>
      <c r="L154" s="84">
        <f t="shared" si="92"/>
        <v>-1.7206771436464927</v>
      </c>
      <c r="M154" s="84">
        <f t="shared" si="92"/>
        <v>-1.7871548752534099</v>
      </c>
      <c r="N154" s="84">
        <f t="shared" si="92"/>
        <v>-0.74648679378687355</v>
      </c>
      <c r="O154" s="84">
        <f t="shared" si="92"/>
        <v>-0.67513883646634376</v>
      </c>
      <c r="P154" s="84">
        <f t="shared" si="92"/>
        <v>-0.78557763287314797</v>
      </c>
      <c r="Q154" s="84">
        <f t="shared" si="92"/>
        <v>-0.73796361918403697</v>
      </c>
      <c r="R154" s="84">
        <f t="shared" si="92"/>
        <v>12.736855184257156</v>
      </c>
      <c r="S154" s="84">
        <f t="shared" si="92"/>
        <v>48.423374268281492</v>
      </c>
      <c r="T154" s="84">
        <f t="shared" si="92"/>
        <v>28.35108300336141</v>
      </c>
      <c r="U154" s="84">
        <f t="shared" si="92"/>
        <v>-1.081884162889245</v>
      </c>
      <c r="V154" s="84">
        <f t="shared" si="92"/>
        <v>-0.64332479360714334</v>
      </c>
      <c r="W154" s="84"/>
      <c r="X154" s="84"/>
      <c r="Y154" s="84"/>
      <c r="Z154" s="84"/>
      <c r="AA154" s="84"/>
      <c r="AB154" s="84">
        <f t="shared" ref="AB154:AL154" si="93">(AB152-(2*AB148))</f>
        <v>0.54692973034131631</v>
      </c>
      <c r="AC154" s="84">
        <f t="shared" si="93"/>
        <v>-1.1357262209805907</v>
      </c>
      <c r="AD154" s="84">
        <f t="shared" si="93"/>
        <v>-2.1513166897221172</v>
      </c>
      <c r="AE154" s="84">
        <f t="shared" si="93"/>
        <v>-2.2350282512931825</v>
      </c>
      <c r="AF154" s="84">
        <f t="shared" si="93"/>
        <v>-1.6629019626610184</v>
      </c>
      <c r="AG154" s="84">
        <f t="shared" si="93"/>
        <v>-0.75684524918936358</v>
      </c>
      <c r="AH154" s="84">
        <f t="shared" si="93"/>
        <v>-0.88905334047331397</v>
      </c>
      <c r="AI154" s="84">
        <f t="shared" si="93"/>
        <v>-0.59194720482923258</v>
      </c>
      <c r="AJ154" s="84">
        <f t="shared" si="93"/>
        <v>1.7073201884685378</v>
      </c>
      <c r="AK154" s="84">
        <f t="shared" si="93"/>
        <v>4.0360272926440715</v>
      </c>
      <c r="AL154" s="84">
        <f t="shared" si="93"/>
        <v>3.5976232744509389</v>
      </c>
      <c r="AM154" s="84"/>
      <c r="AN154" s="84">
        <f t="shared" ref="AN154:AV154" si="94">(AN152-(2*AN148))</f>
        <v>2.269740157888215</v>
      </c>
      <c r="AO154" s="84">
        <f t="shared" si="94"/>
        <v>-0.85750046306913219</v>
      </c>
      <c r="AP154" s="84">
        <f t="shared" si="94"/>
        <v>-1.0047018505958265</v>
      </c>
      <c r="AQ154" s="84">
        <f t="shared" si="94"/>
        <v>-0.87602453979978523</v>
      </c>
      <c r="AR154" s="84">
        <f t="shared" si="94"/>
        <v>-0.77241047364511939</v>
      </c>
      <c r="AS154" s="84">
        <f t="shared" si="94"/>
        <v>-0.98283679713681649</v>
      </c>
      <c r="AT154" s="84">
        <f t="shared" si="94"/>
        <v>-0.50130243770682215</v>
      </c>
      <c r="AU154" s="84">
        <f t="shared" si="94"/>
        <v>-0.16300492934015551</v>
      </c>
      <c r="AV154" s="84">
        <f t="shared" si="94"/>
        <v>-1.5904158072295724</v>
      </c>
      <c r="AW154" s="84"/>
      <c r="AX154" s="84">
        <f t="shared" ref="AX154:BF154" si="95">(AX152-(2*AX148))</f>
        <v>2.1038238417075616</v>
      </c>
      <c r="AY154" s="84">
        <f t="shared" si="95"/>
        <v>-0.9352793111829828</v>
      </c>
      <c r="AZ154" s="84">
        <f t="shared" si="95"/>
        <v>-0.83958167924154203</v>
      </c>
      <c r="BA154" s="84">
        <f t="shared" si="95"/>
        <v>-0.8446586162389802</v>
      </c>
      <c r="BB154" s="84">
        <f t="shared" si="95"/>
        <v>-0.8915141983010535</v>
      </c>
      <c r="BC154" s="84">
        <f t="shared" si="95"/>
        <v>-0.76753176513668908</v>
      </c>
      <c r="BD154" s="84">
        <f t="shared" si="95"/>
        <v>-0.27098443107943254</v>
      </c>
      <c r="BE154" s="84">
        <f t="shared" si="95"/>
        <v>-0.36586982097575271</v>
      </c>
      <c r="BF154" s="84">
        <f t="shared" si="95"/>
        <v>-1.6573001796309448</v>
      </c>
      <c r="BG154" s="84"/>
      <c r="BH154" s="84">
        <f t="shared" ref="BH154:BP154" si="96">(BH152-(2*BH148))</f>
        <v>2.1100809577876696</v>
      </c>
      <c r="BI154" s="84">
        <f t="shared" si="96"/>
        <v>-0.87189221836141828</v>
      </c>
      <c r="BJ154" s="84">
        <f t="shared" si="96"/>
        <v>-0.91045982674899495</v>
      </c>
      <c r="BK154" s="84">
        <f t="shared" si="96"/>
        <v>-1.0458554798909399</v>
      </c>
      <c r="BL154" s="84">
        <f t="shared" si="96"/>
        <v>-0.92118544643850109</v>
      </c>
      <c r="BM154" s="84">
        <f t="shared" si="96"/>
        <v>-0.71136988666612799</v>
      </c>
      <c r="BN154" s="84">
        <f t="shared" si="96"/>
        <v>-0.46969377303972198</v>
      </c>
      <c r="BO154" s="84">
        <f t="shared" si="96"/>
        <v>-0.33886287106399043</v>
      </c>
      <c r="BP154" s="84">
        <f t="shared" si="96"/>
        <v>-1.7264918926600246</v>
      </c>
      <c r="BQ154" s="84"/>
      <c r="BR154" s="84">
        <f t="shared" ref="BR154:BZ154" si="97">(BR152-(2*BR148))</f>
        <v>2.1467922539418218</v>
      </c>
      <c r="BS154" s="84">
        <f t="shared" si="97"/>
        <v>-0.90760421622540344</v>
      </c>
      <c r="BT154" s="84">
        <f t="shared" si="97"/>
        <v>-0.78947760600877281</v>
      </c>
      <c r="BU154" s="84">
        <f t="shared" si="97"/>
        <v>-1.3335079129593586</v>
      </c>
      <c r="BV154" s="84">
        <f t="shared" si="97"/>
        <v>-0.9556773458686153</v>
      </c>
      <c r="BW154" s="84">
        <f t="shared" si="97"/>
        <v>-0.82259305518788695</v>
      </c>
      <c r="BX154" s="84">
        <f t="shared" si="97"/>
        <v>-0.3897438433815496</v>
      </c>
      <c r="BY154" s="84">
        <f t="shared" si="97"/>
        <v>-0.46969377303972198</v>
      </c>
      <c r="BZ154" s="84">
        <f t="shared" si="97"/>
        <v>-1.9309345320021738</v>
      </c>
      <c r="CA154" s="84"/>
      <c r="CB154" s="84">
        <f t="shared" ref="CB154:CJ154" si="98">(CB152-(2*CB148))</f>
        <v>1.893965550633089</v>
      </c>
      <c r="CC154" s="84">
        <f t="shared" si="98"/>
        <v>-0.92739036729415592</v>
      </c>
      <c r="CD154" s="84">
        <f t="shared" si="98"/>
        <v>-0.92544595371532379</v>
      </c>
      <c r="CE154" s="84">
        <f t="shared" si="98"/>
        <v>-1.2679323422818003</v>
      </c>
      <c r="CF154" s="84">
        <f t="shared" si="98"/>
        <v>-0.87607634494132314</v>
      </c>
      <c r="CG154" s="84">
        <f t="shared" si="98"/>
        <v>-0.87331496723893409</v>
      </c>
      <c r="CH154" s="84">
        <f t="shared" si="98"/>
        <v>-0.4639510958233618</v>
      </c>
      <c r="CI154" s="84">
        <f t="shared" si="98"/>
        <v>-0.30776833822295013</v>
      </c>
      <c r="CJ154" s="84">
        <f t="shared" si="98"/>
        <v>-1.8580613298976463</v>
      </c>
      <c r="CK154" s="84"/>
      <c r="CL154" s="84">
        <f t="shared" ref="CL154:CT154" si="99">(CL152-(2*CL148))</f>
        <v>1.6904384590669523</v>
      </c>
      <c r="CM154" s="84">
        <f t="shared" si="99"/>
        <v>-0.88857534529975624</v>
      </c>
      <c r="CN154" s="84">
        <f t="shared" si="99"/>
        <v>-0.91441115909766169</v>
      </c>
      <c r="CO154" s="84">
        <f t="shared" si="99"/>
        <v>-1.1505717718450019</v>
      </c>
      <c r="CP154" s="84">
        <f t="shared" si="99"/>
        <v>-0.92533014943649672</v>
      </c>
      <c r="CQ154" s="84">
        <f t="shared" si="99"/>
        <v>-0.75979186150835942</v>
      </c>
      <c r="CR154" s="84">
        <f t="shared" si="99"/>
        <v>-0.16300492934015551</v>
      </c>
      <c r="CS154" s="84">
        <f t="shared" si="99"/>
        <v>-0.27098443107943254</v>
      </c>
      <c r="CT154" s="84">
        <f t="shared" si="99"/>
        <v>-1.9084477432413258</v>
      </c>
      <c r="CU154" s="84"/>
      <c r="CV154" s="84">
        <f t="shared" ref="CV154:DD154" si="100">(CV152-(2*CV148))</f>
        <v>1.8514477045588551</v>
      </c>
      <c r="CW154" s="84">
        <f t="shared" si="100"/>
        <v>-0.79365973814068713</v>
      </c>
      <c r="CX154" s="84">
        <f t="shared" si="100"/>
        <v>-0.79686316536173041</v>
      </c>
      <c r="CY154" s="84">
        <f t="shared" si="100"/>
        <v>-1.1234584357996971</v>
      </c>
      <c r="CZ154" s="84">
        <f t="shared" si="100"/>
        <v>-0.80228463860586241</v>
      </c>
      <c r="DA154" s="84">
        <f t="shared" si="100"/>
        <v>-0.79867382213213456</v>
      </c>
      <c r="DB154" s="84">
        <f t="shared" si="100"/>
        <v>-0.43039970478357353</v>
      </c>
      <c r="DC154" s="84">
        <f t="shared" si="100"/>
        <v>-0.33886287106399043</v>
      </c>
      <c r="DD154" s="84">
        <f t="shared" si="100"/>
        <v>-1.7065661348244483</v>
      </c>
      <c r="DE154" s="84"/>
      <c r="DF154" s="84">
        <f t="shared" ref="DF154:DN154" si="101">(DF152-(2*DF148))</f>
        <v>1.7379341769019616</v>
      </c>
      <c r="DG154" s="84">
        <f t="shared" si="101"/>
        <v>-0.85408634447752696</v>
      </c>
      <c r="DH154" s="84">
        <f t="shared" si="101"/>
        <v>-0.93164249947888289</v>
      </c>
      <c r="DI154" s="84">
        <f t="shared" si="101"/>
        <v>-1.0458554798909399</v>
      </c>
      <c r="DJ154" s="84">
        <f t="shared" si="101"/>
        <v>-0.7134164098498037</v>
      </c>
      <c r="DK154" s="84">
        <f t="shared" si="101"/>
        <v>-0.816830312373092</v>
      </c>
      <c r="DL154" s="84">
        <f t="shared" si="101"/>
        <v>-0.43039970478357353</v>
      </c>
      <c r="DM154" s="84">
        <f t="shared" si="101"/>
        <v>-0.27098443107943254</v>
      </c>
      <c r="DN154" s="84">
        <f t="shared" si="101"/>
        <v>-1.5685477630288422</v>
      </c>
      <c r="DO154" s="84"/>
      <c r="DP154" s="84">
        <f t="shared" ref="DP154:FJ154" si="102">(DP152-(2*DP148))</f>
        <v>1.5852025972155759</v>
      </c>
      <c r="DQ154" s="84">
        <f t="shared" si="102"/>
        <v>-0.74394564754775905</v>
      </c>
      <c r="DR154" s="84">
        <f t="shared" si="102"/>
        <v>-0.70586070648945043</v>
      </c>
      <c r="DS154" s="84">
        <f t="shared" si="102"/>
        <v>-1.0258041884292064</v>
      </c>
      <c r="DT154" s="84">
        <f t="shared" si="102"/>
        <v>-0.84683005522953425</v>
      </c>
      <c r="DU154" s="84">
        <f t="shared" si="102"/>
        <v>-0.87912774911136382</v>
      </c>
      <c r="DV154" s="84">
        <f t="shared" si="102"/>
        <v>-0.36586982097575271</v>
      </c>
      <c r="DW154" s="84">
        <f t="shared" si="102"/>
        <v>-0.38549888693791684</v>
      </c>
      <c r="DX154" s="84">
        <f t="shared" si="102"/>
        <v>-1.571258071420452</v>
      </c>
      <c r="DY154" s="84">
        <f t="shared" si="102"/>
        <v>-2.896593940258724</v>
      </c>
      <c r="DZ154" s="84">
        <f t="shared" si="102"/>
        <v>-0.90442153288687466</v>
      </c>
      <c r="EA154" s="84">
        <f t="shared" si="102"/>
        <v>-0.5844682443882685</v>
      </c>
      <c r="EB154" s="84">
        <f t="shared" si="102"/>
        <v>0.79954071674991223</v>
      </c>
      <c r="EC154" s="84">
        <f t="shared" si="102"/>
        <v>-1.214951223388812</v>
      </c>
      <c r="ED154" s="84">
        <f t="shared" si="102"/>
        <v>-0.73583108411200471</v>
      </c>
      <c r="EE154" s="84">
        <f t="shared" si="102"/>
        <v>-1.4959470193299944</v>
      </c>
      <c r="EF154" s="84">
        <f t="shared" si="102"/>
        <v>-1.6444756985065621</v>
      </c>
      <c r="EG154" s="84">
        <f t="shared" si="102"/>
        <v>-1.6137559996608006</v>
      </c>
      <c r="EH154" s="84">
        <f t="shared" si="102"/>
        <v>-1.5509295204137794</v>
      </c>
      <c r="EI154" s="84">
        <f t="shared" si="102"/>
        <v>-1.5214048595122684</v>
      </c>
      <c r="EJ154" s="84">
        <f t="shared" si="102"/>
        <v>-1.3284052322804858</v>
      </c>
      <c r="EK154" s="84">
        <f t="shared" si="102"/>
        <v>-1.4103471756511183</v>
      </c>
      <c r="EL154" s="84">
        <f t="shared" si="102"/>
        <v>-1.2113627688075566</v>
      </c>
      <c r="EM154" s="84">
        <f t="shared" si="102"/>
        <v>-1.3578370165924563</v>
      </c>
      <c r="EN154" s="84">
        <f t="shared" si="102"/>
        <v>-1.1290440753984878</v>
      </c>
      <c r="EO154" s="84">
        <f t="shared" si="102"/>
        <v>-0.6130718031613116</v>
      </c>
      <c r="EP154" s="84">
        <f t="shared" si="102"/>
        <v>0</v>
      </c>
      <c r="EQ154" s="84">
        <f t="shared" si="102"/>
        <v>-0.82136720504591842</v>
      </c>
      <c r="ER154" s="84">
        <f t="shared" ref="ER154:ES154" si="103">(ER152-(2*ER148))</f>
        <v>-0.91421356237309515</v>
      </c>
      <c r="ES154" s="84" t="e">
        <f t="shared" si="103"/>
        <v>#DIV/0!</v>
      </c>
      <c r="ET154" s="84">
        <f t="shared" si="102"/>
        <v>-1.4565810923282472</v>
      </c>
      <c r="EU154" s="84">
        <f t="shared" si="102"/>
        <v>-1.3756993829455939</v>
      </c>
      <c r="EV154" s="84">
        <f t="shared" si="102"/>
        <v>-1.2679968712398209</v>
      </c>
      <c r="EW154" s="84">
        <f t="shared" si="102"/>
        <v>-1.7185874508971404</v>
      </c>
      <c r="EX154" s="84">
        <f t="shared" si="102"/>
        <v>-2.3019327715324627</v>
      </c>
      <c r="EY154" s="84">
        <f t="shared" si="102"/>
        <v>-1.6376021766674524</v>
      </c>
      <c r="EZ154" s="84">
        <f t="shared" si="102"/>
        <v>-1.5873830967465039</v>
      </c>
      <c r="FA154" s="84">
        <f t="shared" si="102"/>
        <v>-1.6038783626444966</v>
      </c>
      <c r="FB154" s="84">
        <f t="shared" si="102"/>
        <v>-1.1942085076486353</v>
      </c>
      <c r="FC154" s="84">
        <f t="shared" si="102"/>
        <v>-1.3653425105566623</v>
      </c>
      <c r="FD154" s="84">
        <f t="shared" si="102"/>
        <v>-0.8816174171356872</v>
      </c>
      <c r="FE154" s="84">
        <f t="shared" si="102"/>
        <v>-0.6130718031613116</v>
      </c>
      <c r="FF154" s="84">
        <f t="shared" si="102"/>
        <v>-1.8076809620810594</v>
      </c>
      <c r="FG154" s="84">
        <f t="shared" si="102"/>
        <v>-3.2915026221291814</v>
      </c>
      <c r="FH154" s="84">
        <f t="shared" ref="FH154:FI154" si="104">(FH152-(2*FH148))</f>
        <v>0</v>
      </c>
      <c r="FI154" s="84" t="e">
        <f t="shared" si="104"/>
        <v>#DIV/0!</v>
      </c>
      <c r="FJ154" s="84">
        <f t="shared" si="102"/>
        <v>-2.1392286198148707</v>
      </c>
      <c r="FM154" s="88" t="s">
        <v>277</v>
      </c>
    </row>
    <row r="155" spans="1:169" x14ac:dyDescent="0.25">
      <c r="A155" s="87" t="s">
        <v>276</v>
      </c>
      <c r="B155" s="53"/>
      <c r="C155" s="53"/>
      <c r="D155" s="53"/>
      <c r="E155" s="84">
        <f>(E152-(3*E148))</f>
        <v>-2479.6357695714264</v>
      </c>
      <c r="F155" s="84"/>
      <c r="G155" s="84"/>
      <c r="H155" s="84"/>
      <c r="I155" s="84"/>
      <c r="J155" s="84">
        <f t="shared" ref="J155:V155" si="105">(J152-(3*J148))</f>
        <v>0.94824748663653313</v>
      </c>
      <c r="K155" s="84">
        <f t="shared" si="105"/>
        <v>-1.9709918241763189</v>
      </c>
      <c r="L155" s="84">
        <f t="shared" si="105"/>
        <v>-3.8418852806871304</v>
      </c>
      <c r="M155" s="84">
        <f t="shared" si="105"/>
        <v>-3.7459497041844627</v>
      </c>
      <c r="N155" s="84">
        <f t="shared" si="105"/>
        <v>-2.116107002274513</v>
      </c>
      <c r="O155" s="84">
        <f t="shared" si="105"/>
        <v>-3.2047372402067618</v>
      </c>
      <c r="P155" s="84">
        <f t="shared" si="105"/>
        <v>-1.3414099275705915</v>
      </c>
      <c r="Q155" s="84">
        <f t="shared" si="105"/>
        <v>-1.2083947041383742</v>
      </c>
      <c r="R155" s="84">
        <f t="shared" si="105"/>
        <v>8.2320943705886318</v>
      </c>
      <c r="S155" s="84">
        <f t="shared" si="105"/>
        <v>31.863322271987457</v>
      </c>
      <c r="T155" s="84">
        <f t="shared" si="105"/>
        <v>17.095465084752256</v>
      </c>
      <c r="U155" s="84">
        <f t="shared" si="105"/>
        <v>-1.8764494327396646</v>
      </c>
      <c r="V155" s="84">
        <f t="shared" si="105"/>
        <v>-1.0193350164976716</v>
      </c>
      <c r="W155" s="84"/>
      <c r="X155" s="84"/>
      <c r="Y155" s="84"/>
      <c r="Z155" s="84"/>
      <c r="AA155" s="84"/>
      <c r="AB155" s="84">
        <f t="shared" ref="AB155:AL155" si="106">(AB152-(3*AB148))</f>
        <v>-1.0829870470001031</v>
      </c>
      <c r="AC155" s="84">
        <f t="shared" si="106"/>
        <v>-3.6311255633549435</v>
      </c>
      <c r="AD155" s="84">
        <f t="shared" si="106"/>
        <v>-4.140018512844045</v>
      </c>
      <c r="AE155" s="84">
        <f t="shared" si="106"/>
        <v>-4.1750061450557165</v>
      </c>
      <c r="AF155" s="84">
        <f t="shared" si="106"/>
        <v>-3.2298601903683393</v>
      </c>
      <c r="AG155" s="84">
        <f t="shared" si="106"/>
        <v>-2.7294707723347695</v>
      </c>
      <c r="AH155" s="84">
        <f t="shared" si="106"/>
        <v>-1.4930003005650434</v>
      </c>
      <c r="AI155" s="84">
        <f t="shared" si="106"/>
        <v>-0.97850051738877653</v>
      </c>
      <c r="AJ155" s="84">
        <f t="shared" si="106"/>
        <v>-5.7469907317899462</v>
      </c>
      <c r="AK155" s="84">
        <f t="shared" si="106"/>
        <v>-24.416973553787514</v>
      </c>
      <c r="AL155" s="84">
        <f t="shared" si="106"/>
        <v>-13.491246247743881</v>
      </c>
      <c r="AM155" s="84"/>
      <c r="AN155" s="84">
        <f t="shared" ref="AN155:AV155" si="107">(AN152-(3*AN148))</f>
        <v>1.3720015411801487</v>
      </c>
      <c r="AO155" s="84">
        <f t="shared" si="107"/>
        <v>-1.5434970714152922</v>
      </c>
      <c r="AP155" s="84">
        <f t="shared" si="107"/>
        <v>-1.9853136454589573</v>
      </c>
      <c r="AQ155" s="84">
        <f t="shared" si="107"/>
        <v>-1.4553411575257647</v>
      </c>
      <c r="AR155" s="84">
        <f t="shared" si="107"/>
        <v>-1.376007014815505</v>
      </c>
      <c r="AS155" s="84">
        <f t="shared" si="107"/>
        <v>-1.7641102681689929</v>
      </c>
      <c r="AT155" s="84">
        <f t="shared" si="107"/>
        <v>-0.78818554061820423</v>
      </c>
      <c r="AU155" s="84">
        <f t="shared" si="107"/>
        <v>-0.24813058241603039</v>
      </c>
      <c r="AV155" s="84">
        <f t="shared" si="107"/>
        <v>-3.0088121166414599</v>
      </c>
      <c r="AW155" s="84"/>
      <c r="AX155" s="84">
        <f t="shared" ref="AX155:BF155" si="108">(AX152-(3*AX148))</f>
        <v>1.1810980814019225</v>
      </c>
      <c r="AY155" s="84">
        <f t="shared" si="108"/>
        <v>-1.6420494015570832</v>
      </c>
      <c r="AZ155" s="84">
        <f t="shared" si="108"/>
        <v>-1.7557493304565157</v>
      </c>
      <c r="BA155" s="84">
        <f t="shared" si="108"/>
        <v>-1.4191618374019486</v>
      </c>
      <c r="BB155" s="84">
        <f t="shared" si="108"/>
        <v>-1.5655321670167976</v>
      </c>
      <c r="BC155" s="84">
        <f t="shared" si="108"/>
        <v>-1.4556454737919902</v>
      </c>
      <c r="BD155" s="84">
        <f t="shared" si="108"/>
        <v>-0.41734621183654008</v>
      </c>
      <c r="BE155" s="84">
        <f t="shared" si="108"/>
        <v>-0.57054386189841177</v>
      </c>
      <c r="BF155" s="84">
        <f t="shared" si="108"/>
        <v>-3.1598633129246778</v>
      </c>
      <c r="BG155" s="84"/>
      <c r="BH155" s="84">
        <f t="shared" ref="BH155:BP155" si="109">(BH152-(3*BH148))</f>
        <v>1.2267156395800551</v>
      </c>
      <c r="BI155" s="84">
        <f t="shared" si="109"/>
        <v>-1.5469687623247363</v>
      </c>
      <c r="BJ155" s="84">
        <f t="shared" si="109"/>
        <v>-1.8367042328771157</v>
      </c>
      <c r="BK155" s="84">
        <f t="shared" si="109"/>
        <v>-1.7789281473726417</v>
      </c>
      <c r="BL155" s="84">
        <f t="shared" si="109"/>
        <v>-1.6172854160345631</v>
      </c>
      <c r="BM155" s="84">
        <f t="shared" si="109"/>
        <v>-1.4873446850716558</v>
      </c>
      <c r="BN155" s="84">
        <f t="shared" si="109"/>
        <v>-0.73352616680595972</v>
      </c>
      <c r="BO155" s="84">
        <f t="shared" si="109"/>
        <v>-0.5264102486249711</v>
      </c>
      <c r="BP155" s="84">
        <f t="shared" si="109"/>
        <v>-3.2564045056567039</v>
      </c>
      <c r="BQ155" s="84"/>
      <c r="BR155" s="84">
        <f t="shared" ref="BR155:BZ155" si="110">(BR152-(3*BR148))</f>
        <v>1.2854057722170809</v>
      </c>
      <c r="BS155" s="84">
        <f t="shared" si="110"/>
        <v>-1.6041599475265107</v>
      </c>
      <c r="BT155" s="84">
        <f t="shared" si="110"/>
        <v>-1.644361336549391</v>
      </c>
      <c r="BU155" s="84">
        <f t="shared" si="110"/>
        <v>-2.2973633187144</v>
      </c>
      <c r="BV155" s="84">
        <f t="shared" si="110"/>
        <v>-1.6182986274985751</v>
      </c>
      <c r="BW155" s="84">
        <f t="shared" si="110"/>
        <v>-1.7266432059702366</v>
      </c>
      <c r="BX155" s="84">
        <f t="shared" si="110"/>
        <v>-0.60997808391290409</v>
      </c>
      <c r="BY155" s="84">
        <f t="shared" si="110"/>
        <v>-0.73352616680595972</v>
      </c>
      <c r="BZ155" s="84">
        <f t="shared" si="110"/>
        <v>-3.6319090443800723</v>
      </c>
      <c r="CA155" s="84"/>
      <c r="CB155" s="84">
        <f t="shared" ref="CB155:CJ155" si="111">(CB152-(3*CB148))</f>
        <v>0.97138310855832932</v>
      </c>
      <c r="CC155" s="84">
        <f t="shared" si="111"/>
        <v>-1.6447087393470308</v>
      </c>
      <c r="CD155" s="84">
        <f t="shared" si="111"/>
        <v>-1.8301979160802322</v>
      </c>
      <c r="CE155" s="84">
        <f t="shared" si="111"/>
        <v>-2.1410289482053089</v>
      </c>
      <c r="CF155" s="84">
        <f t="shared" si="111"/>
        <v>-1.4880275608902456</v>
      </c>
      <c r="CG155" s="84">
        <f t="shared" si="111"/>
        <v>-1.7483782479598506</v>
      </c>
      <c r="CH155" s="84">
        <f t="shared" si="111"/>
        <v>-0.73578171619881083</v>
      </c>
      <c r="CI155" s="84">
        <f t="shared" si="111"/>
        <v>-0.47614526095761367</v>
      </c>
      <c r="CJ155" s="84">
        <f t="shared" si="111"/>
        <v>-3.4754977919479186</v>
      </c>
      <c r="CK155" s="84"/>
      <c r="CL155" s="84">
        <f t="shared" ref="CL155:CT155" si="112">(CL152-(3*CL148))</f>
        <v>0.73493305091926908</v>
      </c>
      <c r="CM155" s="84">
        <f t="shared" si="112"/>
        <v>-1.6046021483844168</v>
      </c>
      <c r="CN155" s="84">
        <f t="shared" si="112"/>
        <v>-1.853500796617507</v>
      </c>
      <c r="CO155" s="84">
        <f t="shared" si="112"/>
        <v>-1.9722344693617058</v>
      </c>
      <c r="CP155" s="84">
        <f t="shared" si="112"/>
        <v>-1.6090097169083684</v>
      </c>
      <c r="CQ155" s="84">
        <f t="shared" si="112"/>
        <v>-1.5853399661755825</v>
      </c>
      <c r="CR155" s="84">
        <f t="shared" si="112"/>
        <v>-0.24813058241603039</v>
      </c>
      <c r="CS155" s="84">
        <f t="shared" si="112"/>
        <v>-0.41734621183654008</v>
      </c>
      <c r="CT155" s="84">
        <f t="shared" si="112"/>
        <v>-3.5873092960214086</v>
      </c>
      <c r="CU155" s="84"/>
      <c r="CV155" s="84">
        <f t="shared" ref="CV155:DD155" si="113">(CV152-(3*CV148))</f>
        <v>1.0126788032150942</v>
      </c>
      <c r="CW155" s="84">
        <f t="shared" si="113"/>
        <v>-1.3933881579356684</v>
      </c>
      <c r="CX155" s="84">
        <f t="shared" si="113"/>
        <v>-1.5757295306512911</v>
      </c>
      <c r="CY155" s="84">
        <f t="shared" si="113"/>
        <v>-1.8953325812357775</v>
      </c>
      <c r="CZ155" s="84">
        <f t="shared" si="113"/>
        <v>-1.3773400013870545</v>
      </c>
      <c r="DA155" s="84">
        <f t="shared" si="113"/>
        <v>-1.6726484143576219</v>
      </c>
      <c r="DB155" s="84">
        <f t="shared" si="113"/>
        <v>-0.67820825282753427</v>
      </c>
      <c r="DC155" s="84">
        <f t="shared" si="113"/>
        <v>-0.5264102486249711</v>
      </c>
      <c r="DD155" s="84">
        <f t="shared" si="113"/>
        <v>-3.186660796439571</v>
      </c>
      <c r="DE155" s="84"/>
      <c r="DF155" s="84">
        <f t="shared" ref="DF155:DN155" si="114">(DF152-(3*DF148))</f>
        <v>0.89313314941091315</v>
      </c>
      <c r="DG155" s="84">
        <f t="shared" si="114"/>
        <v>-1.4912744442525221</v>
      </c>
      <c r="DH155" s="84">
        <f t="shared" si="114"/>
        <v>-1.8865941840009333</v>
      </c>
      <c r="DI155" s="84">
        <f t="shared" si="114"/>
        <v>-1.7789281473726417</v>
      </c>
      <c r="DJ155" s="84">
        <f t="shared" si="114"/>
        <v>-1.2114289626007926</v>
      </c>
      <c r="DK155" s="84">
        <f t="shared" si="114"/>
        <v>-1.5694483671103625</v>
      </c>
      <c r="DL155" s="84">
        <f t="shared" si="114"/>
        <v>-0.67820825282753427</v>
      </c>
      <c r="DM155" s="84">
        <f t="shared" si="114"/>
        <v>-0.41734621183654008</v>
      </c>
      <c r="DN155" s="84">
        <f t="shared" si="114"/>
        <v>-3.0267346880215245</v>
      </c>
      <c r="DO155" s="84"/>
      <c r="DP155" s="84">
        <f t="shared" ref="DP155:FJ155" si="115">(DP152-(3*DP148))</f>
        <v>0.71113722915669708</v>
      </c>
      <c r="DQ155" s="84">
        <f t="shared" si="115"/>
        <v>-1.3188170220462763</v>
      </c>
      <c r="DR155" s="84">
        <f t="shared" si="115"/>
        <v>-1.5044432336472191</v>
      </c>
      <c r="DS155" s="84">
        <f t="shared" si="115"/>
        <v>-1.7488512101800411</v>
      </c>
      <c r="DT155" s="84">
        <f t="shared" si="115"/>
        <v>-1.4187958074819824</v>
      </c>
      <c r="DU155" s="84">
        <f t="shared" si="115"/>
        <v>-1.619416261348205</v>
      </c>
      <c r="DV155" s="84">
        <f t="shared" si="115"/>
        <v>-0.57054386189841177</v>
      </c>
      <c r="DW155" s="84">
        <f t="shared" si="115"/>
        <v>-0.59274108403006365</v>
      </c>
      <c r="DX155" s="84">
        <f t="shared" si="115"/>
        <v>-2.9945682665509676</v>
      </c>
      <c r="DY155" s="84">
        <f t="shared" si="115"/>
        <v>-5.5779826978277001</v>
      </c>
      <c r="DZ155" s="84">
        <f t="shared" si="115"/>
        <v>-1.4435888210694423</v>
      </c>
      <c r="EA155" s="84">
        <f t="shared" si="115"/>
        <v>-0.92380381585776505</v>
      </c>
      <c r="EB155" s="84">
        <f t="shared" si="115"/>
        <v>-1.9770174272905914</v>
      </c>
      <c r="EC155" s="84">
        <f t="shared" si="115"/>
        <v>-2.0434413278368408</v>
      </c>
      <c r="ED155" s="84">
        <f t="shared" si="115"/>
        <v>-1.2015727131245288</v>
      </c>
      <c r="EE155" s="84">
        <f t="shared" si="115"/>
        <v>-2.4866741521833973</v>
      </c>
      <c r="EF155" s="84">
        <f t="shared" si="115"/>
        <v>-2.6913512289192631</v>
      </c>
      <c r="EG155" s="84">
        <f t="shared" si="115"/>
        <v>-2.6887499415201863</v>
      </c>
      <c r="EH155" s="84">
        <f t="shared" si="115"/>
        <v>-2.5981334110554517</v>
      </c>
      <c r="EI155" s="84">
        <f t="shared" si="115"/>
        <v>-2.5031217820220255</v>
      </c>
      <c r="EJ155" s="84">
        <f t="shared" si="115"/>
        <v>-2.2426078484207288</v>
      </c>
      <c r="EK155" s="84">
        <f t="shared" si="115"/>
        <v>-2.3858911338470477</v>
      </c>
      <c r="EL155" s="84">
        <f t="shared" si="115"/>
        <v>-2.033579586282201</v>
      </c>
      <c r="EM155" s="84">
        <f t="shared" si="115"/>
        <v>-2.2255310350927662</v>
      </c>
      <c r="EN155" s="84">
        <f t="shared" si="115"/>
        <v>-1.9288602307447906</v>
      </c>
      <c r="EO155" s="84">
        <f t="shared" si="115"/>
        <v>-0.99103627617053891</v>
      </c>
      <c r="EP155" s="84">
        <f t="shared" si="115"/>
        <v>0</v>
      </c>
      <c r="EQ155" s="84">
        <f t="shared" si="115"/>
        <v>-1.3987174742355444</v>
      </c>
      <c r="ER155" s="84">
        <f t="shared" ref="ER155:ES155" si="116">(ER152-(3*ER148))</f>
        <v>-1.6213203435596428</v>
      </c>
      <c r="ES155" s="84" t="e">
        <f t="shared" si="116"/>
        <v>#DIV/0!</v>
      </c>
      <c r="ET155" s="84">
        <f t="shared" si="115"/>
        <v>-4.304436855883675</v>
      </c>
      <c r="EU155" s="84">
        <f t="shared" si="115"/>
        <v>-2.3135490744183906</v>
      </c>
      <c r="EV155" s="84">
        <f t="shared" si="115"/>
        <v>-2.1121402343959628</v>
      </c>
      <c r="EW155" s="84">
        <f t="shared" si="115"/>
        <v>-2.8641130604036813</v>
      </c>
      <c r="EX155" s="84">
        <f t="shared" si="115"/>
        <v>-3.7500006065740568</v>
      </c>
      <c r="EY155" s="84">
        <f t="shared" si="115"/>
        <v>-2.7064032650011787</v>
      </c>
      <c r="EZ155" s="84">
        <f t="shared" si="115"/>
        <v>-2.5803500074385965</v>
      </c>
      <c r="FA155" s="84">
        <f t="shared" si="115"/>
        <v>-2.6707429171010735</v>
      </c>
      <c r="FB155" s="84">
        <f t="shared" si="115"/>
        <v>-1.9802891394257089</v>
      </c>
      <c r="FC155" s="84">
        <f t="shared" si="115"/>
        <v>-2.3130137658349934</v>
      </c>
      <c r="FD155" s="84">
        <f t="shared" si="115"/>
        <v>-1.4694849492329427</v>
      </c>
      <c r="FE155" s="84">
        <f t="shared" si="115"/>
        <v>-0.99103627617053891</v>
      </c>
      <c r="FF155" s="84">
        <f t="shared" si="115"/>
        <v>-3.111521443121589</v>
      </c>
      <c r="FG155" s="84">
        <f t="shared" si="115"/>
        <v>-5.9372539331937721</v>
      </c>
      <c r="FH155" s="84">
        <f t="shared" ref="FH155:FI155" si="117">(FH152-(3*FH148))</f>
        <v>0</v>
      </c>
      <c r="FI155" s="84" t="e">
        <f t="shared" si="117"/>
        <v>#DIV/0!</v>
      </c>
      <c r="FJ155" s="84">
        <f t="shared" si="115"/>
        <v>-5.3827559732005668</v>
      </c>
      <c r="FM155" s="88" t="s">
        <v>276</v>
      </c>
    </row>
  </sheetData>
  <mergeCells count="19">
    <mergeCell ref="FK1:FL2"/>
    <mergeCell ref="AW2:BF2"/>
    <mergeCell ref="AM2:AV2"/>
    <mergeCell ref="EE2:ET2"/>
    <mergeCell ref="EU2:FJ2"/>
    <mergeCell ref="DO2:DX2"/>
    <mergeCell ref="DE2:DN2"/>
    <mergeCell ref="CU2:DD2"/>
    <mergeCell ref="CK2:CT2"/>
    <mergeCell ref="CA2:CJ2"/>
    <mergeCell ref="W2:AL2"/>
    <mergeCell ref="EE1:FJ1"/>
    <mergeCell ref="F1:AL1"/>
    <mergeCell ref="AM1:DX1"/>
    <mergeCell ref="DY1:ED2"/>
    <mergeCell ref="U2:V2"/>
    <mergeCell ref="F2:T2"/>
    <mergeCell ref="BQ2:BZ2"/>
    <mergeCell ref="BG2:BP2"/>
  </mergeCells>
  <conditionalFormatting sqref="FK4:FL142">
    <cfRule type="cellIs" dxfId="201" priority="1" operator="notEqual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U156"/>
  <sheetViews>
    <sheetView workbookViewId="0">
      <pane xSplit="1" ySplit="3" topLeftCell="B121" activePane="bottomRight" state="frozen"/>
      <selection pane="topRight" activeCell="B1" sqref="B1"/>
      <selection pane="bottomLeft" activeCell="A3" sqref="A3"/>
      <selection pane="bottomRight" activeCell="A142" sqref="A142"/>
    </sheetView>
  </sheetViews>
  <sheetFormatPr defaultRowHeight="15" x14ac:dyDescent="0.25"/>
  <cols>
    <col min="1" max="1" width="9.7109375" style="48" bestFit="1" customWidth="1"/>
    <col min="2" max="2" width="6.140625" style="48" bestFit="1" customWidth="1"/>
    <col min="3" max="3" width="6.42578125" style="48" bestFit="1" customWidth="1"/>
    <col min="4" max="4" width="14.7109375" style="48" bestFit="1" customWidth="1"/>
    <col min="5" max="5" width="9.5703125" style="49" bestFit="1" customWidth="1"/>
    <col min="6" max="6" width="5.42578125" style="49" bestFit="1" customWidth="1"/>
    <col min="7" max="7" width="14.7109375" style="52" bestFit="1" customWidth="1"/>
    <col min="8" max="8" width="7" style="52" bestFit="1" customWidth="1"/>
    <col min="9" max="9" width="5.85546875" style="52" bestFit="1" customWidth="1"/>
    <col min="10" max="10" width="6.7109375" style="52" bestFit="1" customWidth="1"/>
    <col min="11" max="11" width="6.28515625" style="52" bestFit="1" customWidth="1"/>
    <col min="12" max="12" width="6.140625" style="52" bestFit="1" customWidth="1"/>
    <col min="13" max="13" width="7.140625" style="52" bestFit="1" customWidth="1"/>
    <col min="14" max="14" width="7.28515625" style="52" bestFit="1" customWidth="1"/>
    <col min="15" max="16" width="7.42578125" style="52" bestFit="1" customWidth="1"/>
    <col min="17" max="17" width="8.5703125" style="52" bestFit="1" customWidth="1"/>
    <col min="18" max="18" width="7.140625" style="52" bestFit="1" customWidth="1"/>
    <col min="19" max="20" width="7.42578125" style="52" bestFit="1" customWidth="1"/>
    <col min="21" max="22" width="6" style="52" bestFit="1" customWidth="1"/>
    <col min="23" max="23" width="7.140625" style="52" bestFit="1" customWidth="1"/>
    <col min="24" max="24" width="6" style="52" bestFit="1" customWidth="1"/>
    <col min="25" max="25" width="6.28515625" style="52" bestFit="1" customWidth="1"/>
    <col min="26" max="26" width="5.28515625" style="52" bestFit="1" customWidth="1"/>
    <col min="27" max="27" width="5.42578125" style="52" bestFit="1" customWidth="1"/>
    <col min="28" max="28" width="6.85546875" style="52" bestFit="1" customWidth="1"/>
    <col min="29" max="29" width="6.42578125" style="52" bestFit="1" customWidth="1"/>
    <col min="30" max="30" width="6.28515625" style="52" bestFit="1" customWidth="1"/>
    <col min="31" max="31" width="7.28515625" style="52" bestFit="1" customWidth="1"/>
    <col min="32" max="32" width="7.42578125" style="52" bestFit="1" customWidth="1"/>
    <col min="33" max="34" width="7.5703125" style="52" bestFit="1" customWidth="1"/>
    <col min="35" max="35" width="8.7109375" style="52" bestFit="1" customWidth="1"/>
    <col min="36" max="36" width="7.28515625" style="52" bestFit="1" customWidth="1"/>
    <col min="37" max="38" width="7.5703125" style="52" bestFit="1" customWidth="1"/>
    <col min="39" max="39" width="11.7109375" style="52" bestFit="1" customWidth="1"/>
    <col min="40" max="40" width="6.7109375" style="52" bestFit="1" customWidth="1"/>
    <col min="41" max="42" width="6" style="52" bestFit="1" customWidth="1"/>
    <col min="43" max="43" width="7.140625" style="52" bestFit="1" customWidth="1"/>
    <col min="44" max="44" width="6.5703125" style="52" bestFit="1" customWidth="1"/>
    <col min="45" max="45" width="6.7109375" style="52" bestFit="1" customWidth="1"/>
    <col min="46" max="46" width="7.85546875" style="52" bestFit="1" customWidth="1"/>
    <col min="47" max="47" width="6.28515625" style="52" bestFit="1" customWidth="1"/>
    <col min="48" max="48" width="6.42578125" style="52" bestFit="1" customWidth="1"/>
    <col min="49" max="49" width="11.7109375" style="52" bestFit="1" customWidth="1"/>
    <col min="50" max="50" width="6.7109375" style="52" bestFit="1" customWidth="1"/>
    <col min="51" max="52" width="6" style="52" bestFit="1" customWidth="1"/>
    <col min="53" max="53" width="7.140625" style="52" bestFit="1" customWidth="1"/>
    <col min="54" max="54" width="6.5703125" style="52" bestFit="1" customWidth="1"/>
    <col min="55" max="55" width="6.7109375" style="52" bestFit="1" customWidth="1"/>
    <col min="56" max="56" width="7.85546875" style="52" bestFit="1" customWidth="1"/>
    <col min="57" max="57" width="6.28515625" style="52" bestFit="1" customWidth="1"/>
    <col min="58" max="58" width="6.42578125" style="52" bestFit="1" customWidth="1"/>
    <col min="59" max="59" width="11.85546875" style="52" bestFit="1" customWidth="1"/>
    <col min="60" max="60" width="6.7109375" style="52" bestFit="1" customWidth="1"/>
    <col min="61" max="62" width="6" style="52" bestFit="1" customWidth="1"/>
    <col min="63" max="63" width="7.140625" style="52" bestFit="1" customWidth="1"/>
    <col min="64" max="64" width="6.5703125" style="52" bestFit="1" customWidth="1"/>
    <col min="65" max="65" width="6.7109375" style="52" bestFit="1" customWidth="1"/>
    <col min="66" max="66" width="7.85546875" style="52" bestFit="1" customWidth="1"/>
    <col min="67" max="67" width="6.28515625" style="52" bestFit="1" customWidth="1"/>
    <col min="68" max="68" width="6.42578125" style="52" bestFit="1" customWidth="1"/>
    <col min="69" max="69" width="11.85546875" style="52" bestFit="1" customWidth="1"/>
    <col min="70" max="70" width="6.7109375" style="52" bestFit="1" customWidth="1"/>
    <col min="71" max="72" width="6" style="52" bestFit="1" customWidth="1"/>
    <col min="73" max="73" width="7.140625" style="52" bestFit="1" customWidth="1"/>
    <col min="74" max="74" width="6.5703125" style="52" bestFit="1" customWidth="1"/>
    <col min="75" max="75" width="6.7109375" style="52" bestFit="1" customWidth="1"/>
    <col min="76" max="76" width="7.85546875" style="52" bestFit="1" customWidth="1"/>
    <col min="77" max="77" width="6.28515625" style="52" bestFit="1" customWidth="1"/>
    <col min="78" max="78" width="6.42578125" style="52" bestFit="1" customWidth="1"/>
    <col min="79" max="79" width="11.85546875" style="52" bestFit="1" customWidth="1"/>
    <col min="80" max="80" width="6.7109375" style="52" bestFit="1" customWidth="1"/>
    <col min="81" max="82" width="6" style="52" bestFit="1" customWidth="1"/>
    <col min="83" max="83" width="7.140625" style="52" bestFit="1" customWidth="1"/>
    <col min="84" max="84" width="6.5703125" style="52" bestFit="1" customWidth="1"/>
    <col min="85" max="85" width="6.7109375" style="52" bestFit="1" customWidth="1"/>
    <col min="86" max="86" width="7.85546875" style="52" bestFit="1" customWidth="1"/>
    <col min="87" max="87" width="6.28515625" style="52" bestFit="1" customWidth="1"/>
    <col min="88" max="88" width="6.42578125" style="52" bestFit="1" customWidth="1"/>
    <col min="89" max="89" width="11.85546875" style="52" bestFit="1" customWidth="1"/>
    <col min="90" max="90" width="6.7109375" style="52" bestFit="1" customWidth="1"/>
    <col min="91" max="92" width="6" style="52" bestFit="1" customWidth="1"/>
    <col min="93" max="93" width="7.140625" style="52" bestFit="1" customWidth="1"/>
    <col min="94" max="94" width="6.5703125" style="52" bestFit="1" customWidth="1"/>
    <col min="95" max="95" width="6.7109375" style="52" bestFit="1" customWidth="1"/>
    <col min="96" max="96" width="7.85546875" style="52" bestFit="1" customWidth="1"/>
    <col min="97" max="97" width="6.28515625" style="52" bestFit="1" customWidth="1"/>
    <col min="98" max="98" width="6.42578125" style="52" bestFit="1" customWidth="1"/>
    <col min="99" max="99" width="11.7109375" style="52" bestFit="1" customWidth="1"/>
    <col min="100" max="100" width="6.7109375" style="52" bestFit="1" customWidth="1"/>
    <col min="101" max="102" width="6" style="52" bestFit="1" customWidth="1"/>
    <col min="103" max="103" width="7.140625" style="52" bestFit="1" customWidth="1"/>
    <col min="104" max="104" width="6.5703125" style="52" bestFit="1" customWidth="1"/>
    <col min="105" max="105" width="6.7109375" style="52" bestFit="1" customWidth="1"/>
    <col min="106" max="106" width="7.85546875" style="52" bestFit="1" customWidth="1"/>
    <col min="107" max="107" width="6.28515625" style="52" bestFit="1" customWidth="1"/>
    <col min="108" max="108" width="6.42578125" style="52" bestFit="1" customWidth="1"/>
    <col min="109" max="109" width="11.7109375" style="52" bestFit="1" customWidth="1"/>
    <col min="110" max="110" width="6.7109375" style="52" bestFit="1" customWidth="1"/>
    <col min="111" max="112" width="6" style="52" bestFit="1" customWidth="1"/>
    <col min="113" max="113" width="7.140625" style="52" bestFit="1" customWidth="1"/>
    <col min="114" max="114" width="6.5703125" style="52" bestFit="1" customWidth="1"/>
    <col min="115" max="115" width="6.7109375" style="52" bestFit="1" customWidth="1"/>
    <col min="116" max="116" width="7.85546875" style="52" bestFit="1" customWidth="1"/>
    <col min="117" max="117" width="6.28515625" style="52" bestFit="1" customWidth="1"/>
    <col min="118" max="118" width="6.42578125" style="52" bestFit="1" customWidth="1"/>
    <col min="119" max="119" width="11.7109375" style="52" bestFit="1" customWidth="1"/>
    <col min="120" max="120" width="6.7109375" style="52" bestFit="1" customWidth="1"/>
    <col min="121" max="122" width="6" style="52" bestFit="1" customWidth="1"/>
    <col min="123" max="123" width="7.140625" style="52" bestFit="1" customWidth="1"/>
    <col min="124" max="124" width="6.5703125" style="52" bestFit="1" customWidth="1"/>
    <col min="125" max="125" width="6.7109375" style="52" bestFit="1" customWidth="1"/>
    <col min="126" max="126" width="7.85546875" style="52" bestFit="1" customWidth="1"/>
    <col min="127" max="127" width="6.28515625" style="52" bestFit="1" customWidth="1"/>
    <col min="128" max="128" width="6.42578125" style="52" bestFit="1" customWidth="1"/>
    <col min="129" max="129" width="6.28515625" style="52" bestFit="1" customWidth="1"/>
    <col min="130" max="130" width="6.42578125" style="52" bestFit="1" customWidth="1"/>
    <col min="131" max="131" width="6.5703125" style="52" bestFit="1" customWidth="1"/>
    <col min="132" max="132" width="6.28515625" style="52" bestFit="1" customWidth="1"/>
    <col min="133" max="133" width="6.7109375" style="52" bestFit="1" customWidth="1"/>
    <col min="134" max="134" width="6.85546875" style="52" bestFit="1" customWidth="1"/>
    <col min="135" max="143" width="6" style="52" bestFit="1" customWidth="1"/>
    <col min="144" max="149" width="7" style="52" bestFit="1" customWidth="1"/>
    <col min="150" max="153" width="7" style="52" customWidth="1"/>
    <col min="154" max="163" width="6.28515625" style="52" bestFit="1" customWidth="1"/>
    <col min="164" max="169" width="7.28515625" style="52" bestFit="1" customWidth="1"/>
    <col min="170" max="173" width="7.28515625" style="52" customWidth="1"/>
    <col min="174" max="174" width="6.28515625" style="52" bestFit="1" customWidth="1"/>
    <col min="175" max="176" width="11.85546875" style="168" bestFit="1" customWidth="1"/>
    <col min="177" max="177" width="55.5703125" style="51" bestFit="1" customWidth="1"/>
    <col min="178" max="16384" width="9.140625" style="52"/>
  </cols>
  <sheetData>
    <row r="1" spans="1:177" x14ac:dyDescent="0.25">
      <c r="F1" s="442" t="s">
        <v>125</v>
      </c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  <c r="AM1" s="442" t="s">
        <v>185</v>
      </c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43"/>
      <c r="BZ1" s="443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43"/>
      <c r="CP1" s="443"/>
      <c r="CQ1" s="443"/>
      <c r="CR1" s="443"/>
      <c r="CS1" s="443"/>
      <c r="CT1" s="443"/>
      <c r="CU1" s="443"/>
      <c r="CV1" s="443"/>
      <c r="CW1" s="443"/>
      <c r="CX1" s="443"/>
      <c r="CY1" s="443"/>
      <c r="CZ1" s="443"/>
      <c r="DA1" s="443"/>
      <c r="DB1" s="443"/>
      <c r="DC1" s="443"/>
      <c r="DD1" s="443"/>
      <c r="DE1" s="443"/>
      <c r="DF1" s="443"/>
      <c r="DG1" s="443"/>
      <c r="DH1" s="443"/>
      <c r="DI1" s="443"/>
      <c r="DJ1" s="443"/>
      <c r="DK1" s="443"/>
      <c r="DL1" s="443"/>
      <c r="DM1" s="443"/>
      <c r="DN1" s="443"/>
      <c r="DO1" s="443"/>
      <c r="DP1" s="443"/>
      <c r="DQ1" s="443"/>
      <c r="DR1" s="443"/>
      <c r="DS1" s="443"/>
      <c r="DT1" s="443"/>
      <c r="DU1" s="443"/>
      <c r="DV1" s="443"/>
      <c r="DW1" s="443"/>
      <c r="DX1" s="444"/>
      <c r="DY1" s="445" t="s">
        <v>184</v>
      </c>
      <c r="DZ1" s="446"/>
      <c r="EA1" s="446"/>
      <c r="EB1" s="446"/>
      <c r="EC1" s="446"/>
      <c r="ED1" s="447"/>
      <c r="EE1" s="441" t="s">
        <v>178</v>
      </c>
      <c r="EF1" s="441"/>
      <c r="EG1" s="441"/>
      <c r="EH1" s="441"/>
      <c r="EI1" s="441"/>
      <c r="EJ1" s="441"/>
      <c r="EK1" s="441"/>
      <c r="EL1" s="441"/>
      <c r="EM1" s="441"/>
      <c r="EN1" s="441"/>
      <c r="EO1" s="441"/>
      <c r="EP1" s="441"/>
      <c r="EQ1" s="441"/>
      <c r="ER1" s="441"/>
      <c r="ES1" s="441"/>
      <c r="ET1" s="441"/>
      <c r="EU1" s="441"/>
      <c r="EV1" s="441"/>
      <c r="EW1" s="441"/>
      <c r="EX1" s="441"/>
      <c r="EY1" s="441"/>
      <c r="EZ1" s="441"/>
      <c r="FA1" s="441"/>
      <c r="FB1" s="441"/>
      <c r="FC1" s="441"/>
      <c r="FD1" s="441"/>
      <c r="FE1" s="441"/>
      <c r="FF1" s="441"/>
      <c r="FG1" s="441"/>
      <c r="FH1" s="441"/>
      <c r="FI1" s="441"/>
      <c r="FJ1" s="441"/>
      <c r="FK1" s="441"/>
      <c r="FL1" s="441"/>
      <c r="FM1" s="441"/>
      <c r="FN1" s="441"/>
      <c r="FO1" s="441"/>
      <c r="FP1" s="441"/>
      <c r="FQ1" s="441"/>
      <c r="FR1" s="441"/>
      <c r="FS1" s="454" t="s">
        <v>247</v>
      </c>
      <c r="FT1" s="454"/>
    </row>
    <row r="2" spans="1:177" x14ac:dyDescent="0.25">
      <c r="A2" s="53"/>
      <c r="B2" s="53"/>
      <c r="C2" s="53"/>
      <c r="D2" s="53"/>
      <c r="E2" s="54"/>
      <c r="F2" s="450" t="s">
        <v>0</v>
      </c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48" t="s">
        <v>186</v>
      </c>
      <c r="V2" s="449"/>
      <c r="W2" s="440" t="s">
        <v>1</v>
      </c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52">
        <v>1</v>
      </c>
      <c r="AN2" s="439"/>
      <c r="AO2" s="439"/>
      <c r="AP2" s="439"/>
      <c r="AQ2" s="439"/>
      <c r="AR2" s="439"/>
      <c r="AS2" s="439"/>
      <c r="AT2" s="439"/>
      <c r="AU2" s="439"/>
      <c r="AV2" s="439"/>
      <c r="AW2" s="439">
        <v>2</v>
      </c>
      <c r="AX2" s="439"/>
      <c r="AY2" s="439"/>
      <c r="AZ2" s="439"/>
      <c r="BA2" s="439"/>
      <c r="BB2" s="439"/>
      <c r="BC2" s="439"/>
      <c r="BD2" s="439"/>
      <c r="BE2" s="439"/>
      <c r="BF2" s="439"/>
      <c r="BG2" s="439">
        <v>3</v>
      </c>
      <c r="BH2" s="439"/>
      <c r="BI2" s="439"/>
      <c r="BJ2" s="439"/>
      <c r="BK2" s="439"/>
      <c r="BL2" s="439"/>
      <c r="BM2" s="439"/>
      <c r="BN2" s="439"/>
      <c r="BO2" s="439"/>
      <c r="BP2" s="439"/>
      <c r="BQ2" s="439">
        <v>4</v>
      </c>
      <c r="BR2" s="439"/>
      <c r="BS2" s="439"/>
      <c r="BT2" s="439"/>
      <c r="BU2" s="439"/>
      <c r="BV2" s="439"/>
      <c r="BW2" s="439"/>
      <c r="BX2" s="439"/>
      <c r="BY2" s="439"/>
      <c r="BZ2" s="439"/>
      <c r="CA2" s="439">
        <v>5</v>
      </c>
      <c r="CB2" s="439"/>
      <c r="CC2" s="439"/>
      <c r="CD2" s="439"/>
      <c r="CE2" s="439"/>
      <c r="CF2" s="439"/>
      <c r="CG2" s="439"/>
      <c r="CH2" s="439"/>
      <c r="CI2" s="439"/>
      <c r="CJ2" s="439"/>
      <c r="CK2" s="439">
        <v>6</v>
      </c>
      <c r="CL2" s="439"/>
      <c r="CM2" s="439"/>
      <c r="CN2" s="439"/>
      <c r="CO2" s="439"/>
      <c r="CP2" s="439"/>
      <c r="CQ2" s="439"/>
      <c r="CR2" s="439"/>
      <c r="CS2" s="439"/>
      <c r="CT2" s="439"/>
      <c r="CU2" s="439">
        <v>7</v>
      </c>
      <c r="CV2" s="439"/>
      <c r="CW2" s="439"/>
      <c r="CX2" s="439"/>
      <c r="CY2" s="439"/>
      <c r="CZ2" s="439"/>
      <c r="DA2" s="439"/>
      <c r="DB2" s="439"/>
      <c r="DC2" s="439"/>
      <c r="DD2" s="439"/>
      <c r="DE2" s="439">
        <v>8</v>
      </c>
      <c r="DF2" s="439"/>
      <c r="DG2" s="439"/>
      <c r="DH2" s="439"/>
      <c r="DI2" s="439"/>
      <c r="DJ2" s="439"/>
      <c r="DK2" s="439"/>
      <c r="DL2" s="439"/>
      <c r="DM2" s="439"/>
      <c r="DN2" s="439"/>
      <c r="DO2" s="439">
        <v>9</v>
      </c>
      <c r="DP2" s="439"/>
      <c r="DQ2" s="439"/>
      <c r="DR2" s="439"/>
      <c r="DS2" s="439"/>
      <c r="DT2" s="439"/>
      <c r="DU2" s="439"/>
      <c r="DV2" s="439"/>
      <c r="DW2" s="439"/>
      <c r="DX2" s="453"/>
      <c r="DY2" s="445"/>
      <c r="DZ2" s="446"/>
      <c r="EA2" s="446"/>
      <c r="EB2" s="446"/>
      <c r="EC2" s="446"/>
      <c r="ED2" s="447"/>
      <c r="EE2" s="441" t="s">
        <v>516</v>
      </c>
      <c r="EF2" s="441"/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/>
      <c r="ES2" s="441"/>
      <c r="ET2" s="441"/>
      <c r="EU2" s="441"/>
      <c r="EV2" s="441"/>
      <c r="EW2" s="441"/>
      <c r="EX2" s="441"/>
      <c r="EY2" s="441" t="s">
        <v>180</v>
      </c>
      <c r="EZ2" s="441"/>
      <c r="FA2" s="441"/>
      <c r="FB2" s="441"/>
      <c r="FC2" s="441"/>
      <c r="FD2" s="441"/>
      <c r="FE2" s="441"/>
      <c r="FF2" s="441"/>
      <c r="FG2" s="441"/>
      <c r="FH2" s="441"/>
      <c r="FI2" s="441"/>
      <c r="FJ2" s="441"/>
      <c r="FK2" s="441"/>
      <c r="FL2" s="441"/>
      <c r="FM2" s="441"/>
      <c r="FN2" s="441"/>
      <c r="FO2" s="441"/>
      <c r="FP2" s="441"/>
      <c r="FQ2" s="441"/>
      <c r="FR2" s="441"/>
      <c r="FS2" s="454"/>
      <c r="FT2" s="454"/>
    </row>
    <row r="3" spans="1:177" s="51" customFormat="1" x14ac:dyDescent="0.25">
      <c r="A3" s="55" t="s">
        <v>3</v>
      </c>
      <c r="B3" s="55" t="s">
        <v>126</v>
      </c>
      <c r="C3" s="55" t="s">
        <v>127</v>
      </c>
      <c r="D3" s="55" t="s">
        <v>128</v>
      </c>
      <c r="E3" s="56" t="s">
        <v>151</v>
      </c>
      <c r="F3" s="56" t="s">
        <v>181</v>
      </c>
      <c r="G3" s="36" t="s">
        <v>2</v>
      </c>
      <c r="H3" s="37" t="s">
        <v>4</v>
      </c>
      <c r="I3" s="37" t="s">
        <v>5</v>
      </c>
      <c r="J3" s="35" t="s">
        <v>6</v>
      </c>
      <c r="K3" s="36" t="s">
        <v>7</v>
      </c>
      <c r="L3" s="36" t="s">
        <v>8</v>
      </c>
      <c r="M3" s="36" t="s">
        <v>9</v>
      </c>
      <c r="N3" s="36" t="s">
        <v>10</v>
      </c>
      <c r="O3" s="36" t="s">
        <v>11</v>
      </c>
      <c r="P3" s="36" t="s">
        <v>12</v>
      </c>
      <c r="Q3" s="36" t="s">
        <v>13</v>
      </c>
      <c r="R3" s="36" t="s">
        <v>14</v>
      </c>
      <c r="S3" s="36" t="s">
        <v>15</v>
      </c>
      <c r="T3" s="36" t="s">
        <v>16</v>
      </c>
      <c r="U3" s="37" t="s">
        <v>32</v>
      </c>
      <c r="V3" s="37" t="s">
        <v>33</v>
      </c>
      <c r="W3" s="36" t="s">
        <v>17</v>
      </c>
      <c r="X3" s="36" t="s">
        <v>18</v>
      </c>
      <c r="Y3" s="36" t="s">
        <v>182</v>
      </c>
      <c r="Z3" s="36" t="s">
        <v>183</v>
      </c>
      <c r="AA3" s="36" t="s">
        <v>20</v>
      </c>
      <c r="AB3" s="35" t="s">
        <v>21</v>
      </c>
      <c r="AC3" s="37" t="s">
        <v>22</v>
      </c>
      <c r="AD3" s="37" t="s">
        <v>23</v>
      </c>
      <c r="AE3" s="37" t="s">
        <v>24</v>
      </c>
      <c r="AF3" s="37" t="s">
        <v>25</v>
      </c>
      <c r="AG3" s="37" t="s">
        <v>26</v>
      </c>
      <c r="AH3" s="37" t="s">
        <v>27</v>
      </c>
      <c r="AI3" s="37" t="s">
        <v>28</v>
      </c>
      <c r="AJ3" s="37" t="s">
        <v>29</v>
      </c>
      <c r="AK3" s="37" t="s">
        <v>30</v>
      </c>
      <c r="AL3" s="37" t="s">
        <v>31</v>
      </c>
      <c r="AM3" s="37" t="s">
        <v>35</v>
      </c>
      <c r="AN3" s="37" t="s">
        <v>36</v>
      </c>
      <c r="AO3" s="37" t="s">
        <v>37</v>
      </c>
      <c r="AP3" s="37" t="s">
        <v>38</v>
      </c>
      <c r="AQ3" s="37" t="s">
        <v>39</v>
      </c>
      <c r="AR3" s="37" t="s">
        <v>40</v>
      </c>
      <c r="AS3" s="37" t="s">
        <v>41</v>
      </c>
      <c r="AT3" s="37" t="s">
        <v>42</v>
      </c>
      <c r="AU3" s="37" t="s">
        <v>43</v>
      </c>
      <c r="AV3" s="37" t="s">
        <v>44</v>
      </c>
      <c r="AW3" s="37" t="s">
        <v>45</v>
      </c>
      <c r="AX3" s="37" t="s">
        <v>46</v>
      </c>
      <c r="AY3" s="37" t="s">
        <v>47</v>
      </c>
      <c r="AZ3" s="57" t="s">
        <v>48</v>
      </c>
      <c r="BA3" s="57" t="s">
        <v>49</v>
      </c>
      <c r="BB3" s="57" t="s">
        <v>50</v>
      </c>
      <c r="BC3" s="57" t="s">
        <v>51</v>
      </c>
      <c r="BD3" s="57" t="s">
        <v>52</v>
      </c>
      <c r="BE3" s="57" t="s">
        <v>53</v>
      </c>
      <c r="BF3" s="57" t="s">
        <v>54</v>
      </c>
      <c r="BG3" s="57" t="s">
        <v>55</v>
      </c>
      <c r="BH3" s="57" t="s">
        <v>56</v>
      </c>
      <c r="BI3" s="57" t="s">
        <v>57</v>
      </c>
      <c r="BJ3" s="57" t="s">
        <v>58</v>
      </c>
      <c r="BK3" s="57" t="s">
        <v>59</v>
      </c>
      <c r="BL3" s="57" t="s">
        <v>60</v>
      </c>
      <c r="BM3" s="57" t="s">
        <v>61</v>
      </c>
      <c r="BN3" s="57" t="s">
        <v>62</v>
      </c>
      <c r="BO3" s="57" t="s">
        <v>63</v>
      </c>
      <c r="BP3" s="57" t="s">
        <v>64</v>
      </c>
      <c r="BQ3" s="57" t="s">
        <v>65</v>
      </c>
      <c r="BR3" s="57" t="s">
        <v>66</v>
      </c>
      <c r="BS3" s="57" t="s">
        <v>67</v>
      </c>
      <c r="BT3" s="57" t="s">
        <v>68</v>
      </c>
      <c r="BU3" s="57" t="s">
        <v>69</v>
      </c>
      <c r="BV3" s="57" t="s">
        <v>70</v>
      </c>
      <c r="BW3" s="57" t="s">
        <v>71</v>
      </c>
      <c r="BX3" s="57" t="s">
        <v>72</v>
      </c>
      <c r="BY3" s="57" t="s">
        <v>73</v>
      </c>
      <c r="BZ3" s="57" t="s">
        <v>74</v>
      </c>
      <c r="CA3" s="57" t="s">
        <v>75</v>
      </c>
      <c r="CB3" s="57" t="s">
        <v>76</v>
      </c>
      <c r="CC3" s="57" t="s">
        <v>77</v>
      </c>
      <c r="CD3" s="57" t="s">
        <v>78</v>
      </c>
      <c r="CE3" s="57" t="s">
        <v>79</v>
      </c>
      <c r="CF3" s="57" t="s">
        <v>80</v>
      </c>
      <c r="CG3" s="57" t="s">
        <v>81</v>
      </c>
      <c r="CH3" s="57" t="s">
        <v>82</v>
      </c>
      <c r="CI3" s="57" t="s">
        <v>83</v>
      </c>
      <c r="CJ3" s="57" t="s">
        <v>84</v>
      </c>
      <c r="CK3" s="57" t="s">
        <v>85</v>
      </c>
      <c r="CL3" s="57" t="s">
        <v>86</v>
      </c>
      <c r="CM3" s="57" t="s">
        <v>87</v>
      </c>
      <c r="CN3" s="57" t="s">
        <v>88</v>
      </c>
      <c r="CO3" s="57" t="s">
        <v>89</v>
      </c>
      <c r="CP3" s="57" t="s">
        <v>90</v>
      </c>
      <c r="CQ3" s="57" t="s">
        <v>91</v>
      </c>
      <c r="CR3" s="57" t="s">
        <v>92</v>
      </c>
      <c r="CS3" s="57" t="s">
        <v>93</v>
      </c>
      <c r="CT3" s="57" t="s">
        <v>94</v>
      </c>
      <c r="CU3" s="57" t="s">
        <v>95</v>
      </c>
      <c r="CV3" s="57" t="s">
        <v>96</v>
      </c>
      <c r="CW3" s="57" t="s">
        <v>97</v>
      </c>
      <c r="CX3" s="57" t="s">
        <v>98</v>
      </c>
      <c r="CY3" s="57" t="s">
        <v>99</v>
      </c>
      <c r="CZ3" s="57" t="s">
        <v>100</v>
      </c>
      <c r="DA3" s="57" t="s">
        <v>101</v>
      </c>
      <c r="DB3" s="57" t="s">
        <v>102</v>
      </c>
      <c r="DC3" s="57" t="s">
        <v>103</v>
      </c>
      <c r="DD3" s="57" t="s">
        <v>104</v>
      </c>
      <c r="DE3" s="57" t="s">
        <v>105</v>
      </c>
      <c r="DF3" s="57" t="s">
        <v>106</v>
      </c>
      <c r="DG3" s="57" t="s">
        <v>107</v>
      </c>
      <c r="DH3" s="57" t="s">
        <v>108</v>
      </c>
      <c r="DI3" s="57" t="s">
        <v>109</v>
      </c>
      <c r="DJ3" s="57" t="s">
        <v>110</v>
      </c>
      <c r="DK3" s="57" t="s">
        <v>111</v>
      </c>
      <c r="DL3" s="57" t="s">
        <v>112</v>
      </c>
      <c r="DM3" s="57" t="s">
        <v>113</v>
      </c>
      <c r="DN3" s="57" t="s">
        <v>114</v>
      </c>
      <c r="DO3" s="57" t="s">
        <v>115</v>
      </c>
      <c r="DP3" s="57" t="s">
        <v>116</v>
      </c>
      <c r="DQ3" s="57" t="s">
        <v>117</v>
      </c>
      <c r="DR3" s="57" t="s">
        <v>118</v>
      </c>
      <c r="DS3" s="57" t="s">
        <v>119</v>
      </c>
      <c r="DT3" s="57" t="s">
        <v>120</v>
      </c>
      <c r="DU3" s="57" t="s">
        <v>121</v>
      </c>
      <c r="DV3" s="57" t="s">
        <v>122</v>
      </c>
      <c r="DW3" s="57" t="s">
        <v>123</v>
      </c>
      <c r="DX3" s="57" t="s">
        <v>124</v>
      </c>
      <c r="DY3" s="57" t="s">
        <v>145</v>
      </c>
      <c r="DZ3" s="57" t="s">
        <v>148</v>
      </c>
      <c r="EA3" s="57" t="s">
        <v>149</v>
      </c>
      <c r="EB3" s="57" t="s">
        <v>146</v>
      </c>
      <c r="EC3" s="57" t="s">
        <v>147</v>
      </c>
      <c r="ED3" s="57" t="s">
        <v>150</v>
      </c>
      <c r="EE3" s="57" t="s">
        <v>152</v>
      </c>
      <c r="EF3" s="57" t="s">
        <v>153</v>
      </c>
      <c r="EG3" s="57" t="s">
        <v>154</v>
      </c>
      <c r="EH3" s="57" t="s">
        <v>155</v>
      </c>
      <c r="EI3" s="57" t="s">
        <v>156</v>
      </c>
      <c r="EJ3" s="57" t="s">
        <v>157</v>
      </c>
      <c r="EK3" s="57" t="s">
        <v>158</v>
      </c>
      <c r="EL3" s="57" t="s">
        <v>159</v>
      </c>
      <c r="EM3" s="57" t="s">
        <v>160</v>
      </c>
      <c r="EN3" s="57" t="s">
        <v>161</v>
      </c>
      <c r="EO3" s="57" t="s">
        <v>162</v>
      </c>
      <c r="EP3" s="57" t="s">
        <v>163</v>
      </c>
      <c r="EQ3" s="57" t="s">
        <v>372</v>
      </c>
      <c r="ER3" s="57" t="s">
        <v>466</v>
      </c>
      <c r="ES3" s="57" t="s">
        <v>467</v>
      </c>
      <c r="ET3" s="57" t="s">
        <v>571</v>
      </c>
      <c r="EU3" s="57" t="s">
        <v>572</v>
      </c>
      <c r="EV3" s="57" t="s">
        <v>573</v>
      </c>
      <c r="EW3" s="57" t="s">
        <v>574</v>
      </c>
      <c r="EX3" s="57" t="s">
        <v>164</v>
      </c>
      <c r="EY3" s="57" t="s">
        <v>165</v>
      </c>
      <c r="EZ3" s="57" t="s">
        <v>166</v>
      </c>
      <c r="FA3" s="57" t="s">
        <v>167</v>
      </c>
      <c r="FB3" s="57" t="s">
        <v>168</v>
      </c>
      <c r="FC3" s="57" t="s">
        <v>169</v>
      </c>
      <c r="FD3" s="57" t="s">
        <v>170</v>
      </c>
      <c r="FE3" s="57" t="s">
        <v>171</v>
      </c>
      <c r="FF3" s="57" t="s">
        <v>172</v>
      </c>
      <c r="FG3" s="57" t="s">
        <v>173</v>
      </c>
      <c r="FH3" s="57" t="s">
        <v>174</v>
      </c>
      <c r="FI3" s="57" t="s">
        <v>175</v>
      </c>
      <c r="FJ3" s="57" t="s">
        <v>176</v>
      </c>
      <c r="FK3" s="57" t="s">
        <v>371</v>
      </c>
      <c r="FL3" s="57" t="s">
        <v>468</v>
      </c>
      <c r="FM3" s="57" t="s">
        <v>469</v>
      </c>
      <c r="FN3" s="57" t="s">
        <v>567</v>
      </c>
      <c r="FO3" s="57" t="s">
        <v>568</v>
      </c>
      <c r="FP3" s="57" t="s">
        <v>569</v>
      </c>
      <c r="FQ3" s="57" t="s">
        <v>570</v>
      </c>
      <c r="FR3" s="57" t="s">
        <v>177</v>
      </c>
      <c r="FS3" s="165" t="s">
        <v>245</v>
      </c>
      <c r="FT3" s="165" t="s">
        <v>246</v>
      </c>
      <c r="FU3" s="57" t="s">
        <v>248</v>
      </c>
    </row>
    <row r="4" spans="1:177" x14ac:dyDescent="0.25">
      <c r="A4" s="121">
        <v>40276</v>
      </c>
      <c r="B4" s="121" t="s">
        <v>19</v>
      </c>
      <c r="C4" s="121" t="s">
        <v>129</v>
      </c>
      <c r="D4" s="121" t="s">
        <v>488</v>
      </c>
      <c r="E4" s="120">
        <v>6325</v>
      </c>
      <c r="F4" s="124">
        <v>1</v>
      </c>
      <c r="G4" s="118" t="s">
        <v>493</v>
      </c>
      <c r="H4" s="118">
        <v>0</v>
      </c>
      <c r="I4" s="118">
        <v>0</v>
      </c>
      <c r="J4" s="119">
        <v>3</v>
      </c>
      <c r="K4" s="118">
        <v>4</v>
      </c>
      <c r="L4" s="118">
        <v>1</v>
      </c>
      <c r="M4" s="118">
        <v>1</v>
      </c>
      <c r="N4" s="118">
        <v>1</v>
      </c>
      <c r="O4" s="118">
        <v>4</v>
      </c>
      <c r="P4" s="118">
        <v>0</v>
      </c>
      <c r="Q4" s="118">
        <v>0</v>
      </c>
      <c r="R4" s="118">
        <v>14</v>
      </c>
      <c r="S4" s="118"/>
      <c r="T4" s="118"/>
      <c r="U4" s="118">
        <v>0</v>
      </c>
      <c r="V4" s="138">
        <v>0</v>
      </c>
      <c r="W4" s="125">
        <v>1</v>
      </c>
      <c r="X4" s="118">
        <v>0</v>
      </c>
      <c r="Y4" s="118">
        <v>2</v>
      </c>
      <c r="Z4" s="118">
        <v>1</v>
      </c>
      <c r="AA4" s="118">
        <v>0</v>
      </c>
      <c r="AB4" s="119">
        <v>6</v>
      </c>
      <c r="AC4" s="118">
        <v>5</v>
      </c>
      <c r="AD4" s="118">
        <v>1</v>
      </c>
      <c r="AE4" s="118">
        <v>1</v>
      </c>
      <c r="AF4" s="118">
        <v>1</v>
      </c>
      <c r="AG4" s="118">
        <v>8</v>
      </c>
      <c r="AH4" s="118">
        <v>0</v>
      </c>
      <c r="AI4" s="118">
        <v>0</v>
      </c>
      <c r="AJ4" s="118">
        <v>23</v>
      </c>
      <c r="AK4" s="118"/>
      <c r="AL4" s="138"/>
      <c r="AM4" s="125" t="s">
        <v>486</v>
      </c>
      <c r="AN4" s="118">
        <v>4</v>
      </c>
      <c r="AO4" s="118">
        <v>0</v>
      </c>
      <c r="AP4" s="118">
        <v>1</v>
      </c>
      <c r="AQ4" s="118">
        <v>0</v>
      </c>
      <c r="AR4" s="118">
        <v>0</v>
      </c>
      <c r="AS4" s="118">
        <v>0</v>
      </c>
      <c r="AT4" s="118">
        <v>0</v>
      </c>
      <c r="AU4" s="118">
        <v>0</v>
      </c>
      <c r="AV4" s="138">
        <v>1</v>
      </c>
      <c r="AW4" s="125" t="s">
        <v>491</v>
      </c>
      <c r="AX4" s="118">
        <v>4</v>
      </c>
      <c r="AY4" s="118">
        <v>0</v>
      </c>
      <c r="AZ4" s="118">
        <v>0</v>
      </c>
      <c r="BA4" s="118">
        <v>0</v>
      </c>
      <c r="BB4" s="118">
        <v>0</v>
      </c>
      <c r="BC4" s="118">
        <v>1</v>
      </c>
      <c r="BD4" s="118">
        <v>0</v>
      </c>
      <c r="BE4" s="118">
        <v>0</v>
      </c>
      <c r="BF4" s="138">
        <v>0</v>
      </c>
      <c r="BG4" s="125" t="s">
        <v>480</v>
      </c>
      <c r="BH4" s="118">
        <v>3</v>
      </c>
      <c r="BI4" s="118">
        <v>1</v>
      </c>
      <c r="BJ4" s="118">
        <v>3</v>
      </c>
      <c r="BK4" s="118">
        <v>0</v>
      </c>
      <c r="BL4" s="118">
        <v>1</v>
      </c>
      <c r="BM4" s="118">
        <v>0</v>
      </c>
      <c r="BN4" s="118">
        <v>0</v>
      </c>
      <c r="BO4" s="118">
        <v>0</v>
      </c>
      <c r="BP4" s="138">
        <v>3</v>
      </c>
      <c r="BQ4" s="125" t="s">
        <v>496</v>
      </c>
      <c r="BR4" s="118">
        <v>4</v>
      </c>
      <c r="BS4" s="118">
        <v>0</v>
      </c>
      <c r="BT4" s="118">
        <v>1</v>
      </c>
      <c r="BU4" s="118">
        <v>1</v>
      </c>
      <c r="BV4" s="118">
        <v>0</v>
      </c>
      <c r="BW4" s="118">
        <v>1</v>
      </c>
      <c r="BX4" s="118">
        <v>0</v>
      </c>
      <c r="BY4" s="118">
        <v>0</v>
      </c>
      <c r="BZ4" s="138">
        <v>2</v>
      </c>
      <c r="CA4" s="125" t="s">
        <v>473</v>
      </c>
      <c r="CB4" s="118">
        <v>3</v>
      </c>
      <c r="CC4" s="118">
        <v>2</v>
      </c>
      <c r="CD4" s="118">
        <v>2</v>
      </c>
      <c r="CE4" s="118">
        <v>1</v>
      </c>
      <c r="CF4" s="118">
        <v>1</v>
      </c>
      <c r="CG4" s="118">
        <v>1</v>
      </c>
      <c r="CH4" s="118">
        <v>0</v>
      </c>
      <c r="CI4" s="118">
        <v>0</v>
      </c>
      <c r="CJ4" s="138">
        <v>6</v>
      </c>
      <c r="CK4" s="125" t="s">
        <v>481</v>
      </c>
      <c r="CL4" s="118">
        <v>4</v>
      </c>
      <c r="CM4" s="118">
        <v>1</v>
      </c>
      <c r="CN4" s="118">
        <v>1</v>
      </c>
      <c r="CO4" s="118">
        <v>0</v>
      </c>
      <c r="CP4" s="118">
        <v>0</v>
      </c>
      <c r="CQ4" s="118">
        <v>1</v>
      </c>
      <c r="CR4" s="118">
        <v>0</v>
      </c>
      <c r="CS4" s="118">
        <v>0</v>
      </c>
      <c r="CT4" s="138">
        <v>1</v>
      </c>
      <c r="CU4" s="125" t="s">
        <v>489</v>
      </c>
      <c r="CV4" s="118">
        <v>3</v>
      </c>
      <c r="CW4" s="118">
        <v>0</v>
      </c>
      <c r="CX4" s="118">
        <v>1</v>
      </c>
      <c r="CY4" s="118">
        <v>1</v>
      </c>
      <c r="CZ4" s="118">
        <v>0</v>
      </c>
      <c r="DA4" s="118">
        <v>0</v>
      </c>
      <c r="DB4" s="118">
        <v>0</v>
      </c>
      <c r="DC4" s="118">
        <v>0</v>
      </c>
      <c r="DD4" s="138">
        <v>2</v>
      </c>
      <c r="DE4" s="125" t="s">
        <v>482</v>
      </c>
      <c r="DF4" s="118">
        <v>2</v>
      </c>
      <c r="DG4" s="118">
        <v>0</v>
      </c>
      <c r="DH4" s="118">
        <v>1</v>
      </c>
      <c r="DI4" s="118">
        <v>1</v>
      </c>
      <c r="DJ4" s="118">
        <v>0</v>
      </c>
      <c r="DK4" s="118">
        <v>0</v>
      </c>
      <c r="DL4" s="118">
        <v>0</v>
      </c>
      <c r="DM4" s="118">
        <v>1</v>
      </c>
      <c r="DN4" s="138">
        <v>1</v>
      </c>
      <c r="DO4" s="125" t="s">
        <v>479</v>
      </c>
      <c r="DP4" s="118">
        <v>3</v>
      </c>
      <c r="DQ4" s="118">
        <v>0</v>
      </c>
      <c r="DR4" s="118">
        <v>0</v>
      </c>
      <c r="DS4" s="118">
        <v>0</v>
      </c>
      <c r="DT4" s="118">
        <v>0</v>
      </c>
      <c r="DU4" s="118">
        <v>3</v>
      </c>
      <c r="DV4" s="118">
        <v>0</v>
      </c>
      <c r="DW4" s="118">
        <v>0</v>
      </c>
      <c r="DX4" s="138">
        <v>0</v>
      </c>
      <c r="DY4" s="140">
        <v>0</v>
      </c>
      <c r="DZ4" s="118">
        <v>0</v>
      </c>
      <c r="EA4" s="118">
        <v>0</v>
      </c>
      <c r="EB4" s="119">
        <v>8</v>
      </c>
      <c r="EC4" s="118">
        <v>1</v>
      </c>
      <c r="ED4" s="138">
        <v>0</v>
      </c>
      <c r="EE4" s="125">
        <v>0</v>
      </c>
      <c r="EF4" s="118">
        <v>1</v>
      </c>
      <c r="EG4" s="118">
        <v>0</v>
      </c>
      <c r="EH4" s="118">
        <v>2</v>
      </c>
      <c r="EI4" s="118">
        <v>0</v>
      </c>
      <c r="EJ4" s="118">
        <v>0</v>
      </c>
      <c r="EK4" s="118">
        <v>0</v>
      </c>
      <c r="EL4" s="118">
        <v>1</v>
      </c>
      <c r="EM4" s="118"/>
      <c r="EN4" s="118"/>
      <c r="EO4" s="118"/>
      <c r="EP4" s="118"/>
      <c r="EQ4" s="118"/>
      <c r="ER4" s="118"/>
      <c r="ES4" s="118"/>
      <c r="ET4" s="118"/>
      <c r="EU4" s="118"/>
      <c r="EV4" s="118"/>
      <c r="EW4" s="118"/>
      <c r="EX4" s="138">
        <f t="shared" ref="EX4:EX35" si="0">SUM(EE4:EW4)</f>
        <v>4</v>
      </c>
      <c r="EY4" s="125">
        <v>0</v>
      </c>
      <c r="EZ4" s="118">
        <v>0</v>
      </c>
      <c r="FA4" s="118">
        <v>1</v>
      </c>
      <c r="FB4" s="118">
        <v>0</v>
      </c>
      <c r="FC4" s="118">
        <v>0</v>
      </c>
      <c r="FD4" s="118">
        <v>1</v>
      </c>
      <c r="FE4" s="118">
        <v>0</v>
      </c>
      <c r="FF4" s="118">
        <v>0</v>
      </c>
      <c r="FG4" s="118">
        <v>0</v>
      </c>
      <c r="FH4" s="118"/>
      <c r="FI4" s="118"/>
      <c r="FJ4" s="118"/>
      <c r="FK4" s="118"/>
      <c r="FL4" s="118"/>
      <c r="FM4" s="118"/>
      <c r="FN4" s="118"/>
      <c r="FO4" s="118"/>
      <c r="FP4" s="118"/>
      <c r="FQ4" s="118"/>
      <c r="FR4" s="138">
        <f t="shared" ref="FR4:FR35" si="1">SUM(EY4:FQ4)</f>
        <v>2</v>
      </c>
      <c r="FS4" s="166">
        <f t="shared" ref="FS4:FS35" si="2">((L4+AD4)-FR4)</f>
        <v>0</v>
      </c>
      <c r="FT4" s="167">
        <f t="shared" ref="FT4:FT35" si="3">((AO4+AY4+BI4+BS4+CC4+CM4+CW4+DG4+DQ4)-EX4)</f>
        <v>0</v>
      </c>
      <c r="FU4" s="142"/>
    </row>
    <row r="5" spans="1:177" x14ac:dyDescent="0.25">
      <c r="A5" s="121">
        <v>40277</v>
      </c>
      <c r="B5" s="121" t="s">
        <v>19</v>
      </c>
      <c r="C5" s="121" t="s">
        <v>129</v>
      </c>
      <c r="D5" s="121" t="s">
        <v>488</v>
      </c>
      <c r="E5" s="120">
        <v>4271</v>
      </c>
      <c r="F5" s="124">
        <v>2</v>
      </c>
      <c r="G5" s="118" t="s">
        <v>498</v>
      </c>
      <c r="H5" s="118">
        <v>1</v>
      </c>
      <c r="I5" s="118">
        <v>0</v>
      </c>
      <c r="J5" s="119">
        <f>6+1/3</f>
        <v>6.333333333333333</v>
      </c>
      <c r="K5" s="118">
        <v>2</v>
      </c>
      <c r="L5" s="118">
        <v>2</v>
      </c>
      <c r="M5" s="118">
        <v>2</v>
      </c>
      <c r="N5" s="118">
        <v>1</v>
      </c>
      <c r="O5" s="118">
        <v>5</v>
      </c>
      <c r="P5" s="118">
        <v>1</v>
      </c>
      <c r="Q5" s="118">
        <v>0</v>
      </c>
      <c r="R5" s="118">
        <v>21</v>
      </c>
      <c r="S5" s="118"/>
      <c r="T5" s="118"/>
      <c r="U5" s="118">
        <v>0</v>
      </c>
      <c r="V5" s="138">
        <v>0</v>
      </c>
      <c r="W5" s="125">
        <v>0</v>
      </c>
      <c r="X5" s="118">
        <v>0</v>
      </c>
      <c r="Y5" s="118">
        <v>0</v>
      </c>
      <c r="Z5" s="118">
        <v>0</v>
      </c>
      <c r="AA5" s="118">
        <v>0</v>
      </c>
      <c r="AB5" s="119">
        <f>2+2/3</f>
        <v>2.6666666666666665</v>
      </c>
      <c r="AC5" s="118">
        <v>2</v>
      </c>
      <c r="AD5" s="118">
        <v>1</v>
      </c>
      <c r="AE5" s="118">
        <v>1</v>
      </c>
      <c r="AF5" s="118">
        <v>1</v>
      </c>
      <c r="AG5" s="118">
        <v>3</v>
      </c>
      <c r="AH5" s="118">
        <v>1</v>
      </c>
      <c r="AI5" s="118">
        <v>0</v>
      </c>
      <c r="AJ5" s="118">
        <v>11</v>
      </c>
      <c r="AK5" s="118"/>
      <c r="AL5" s="138"/>
      <c r="AM5" s="125" t="s">
        <v>486</v>
      </c>
      <c r="AN5" s="118">
        <v>4</v>
      </c>
      <c r="AO5" s="118">
        <v>1</v>
      </c>
      <c r="AP5" s="118">
        <v>2</v>
      </c>
      <c r="AQ5" s="118">
        <v>0</v>
      </c>
      <c r="AR5" s="118">
        <v>0</v>
      </c>
      <c r="AS5" s="118">
        <v>1</v>
      </c>
      <c r="AT5" s="118">
        <v>0</v>
      </c>
      <c r="AU5" s="118">
        <v>0</v>
      </c>
      <c r="AV5" s="138">
        <v>3</v>
      </c>
      <c r="AW5" s="125" t="s">
        <v>491</v>
      </c>
      <c r="AX5" s="118">
        <v>4</v>
      </c>
      <c r="AY5" s="118">
        <v>0</v>
      </c>
      <c r="AZ5" s="118">
        <v>0</v>
      </c>
      <c r="BA5" s="118">
        <v>0</v>
      </c>
      <c r="BB5" s="118">
        <v>0</v>
      </c>
      <c r="BC5" s="118">
        <v>0</v>
      </c>
      <c r="BD5" s="118">
        <v>0</v>
      </c>
      <c r="BE5" s="118">
        <v>0</v>
      </c>
      <c r="BF5" s="138">
        <v>0</v>
      </c>
      <c r="BG5" s="125" t="s">
        <v>480</v>
      </c>
      <c r="BH5" s="118">
        <v>3</v>
      </c>
      <c r="BI5" s="118">
        <v>0</v>
      </c>
      <c r="BJ5" s="118">
        <v>1</v>
      </c>
      <c r="BK5" s="118">
        <v>0</v>
      </c>
      <c r="BL5" s="118">
        <v>1</v>
      </c>
      <c r="BM5" s="118">
        <v>0</v>
      </c>
      <c r="BN5" s="118">
        <v>0</v>
      </c>
      <c r="BO5" s="118">
        <v>0</v>
      </c>
      <c r="BP5" s="138">
        <v>1</v>
      </c>
      <c r="BQ5" s="125" t="s">
        <v>496</v>
      </c>
      <c r="BR5" s="118">
        <v>4</v>
      </c>
      <c r="BS5" s="118">
        <v>1</v>
      </c>
      <c r="BT5" s="118">
        <v>2</v>
      </c>
      <c r="BU5" s="118">
        <v>1</v>
      </c>
      <c r="BV5" s="118">
        <v>0</v>
      </c>
      <c r="BW5" s="118">
        <v>0</v>
      </c>
      <c r="BX5" s="118">
        <v>0</v>
      </c>
      <c r="BY5" s="118">
        <v>0</v>
      </c>
      <c r="BZ5" s="138">
        <v>3</v>
      </c>
      <c r="CA5" s="125" t="s">
        <v>473</v>
      </c>
      <c r="CB5" s="118">
        <v>3</v>
      </c>
      <c r="CC5" s="118">
        <v>2</v>
      </c>
      <c r="CD5" s="118">
        <v>1</v>
      </c>
      <c r="CE5" s="118">
        <v>2</v>
      </c>
      <c r="CF5" s="118">
        <v>1</v>
      </c>
      <c r="CG5" s="118">
        <v>1</v>
      </c>
      <c r="CH5" s="118">
        <v>0</v>
      </c>
      <c r="CI5" s="118">
        <v>0</v>
      </c>
      <c r="CJ5" s="138">
        <v>4</v>
      </c>
      <c r="CK5" s="125" t="s">
        <v>481</v>
      </c>
      <c r="CL5" s="118">
        <v>4</v>
      </c>
      <c r="CM5" s="118">
        <v>1</v>
      </c>
      <c r="CN5" s="118">
        <v>1</v>
      </c>
      <c r="CO5" s="118">
        <v>0</v>
      </c>
      <c r="CP5" s="118">
        <v>0</v>
      </c>
      <c r="CQ5" s="118">
        <v>1</v>
      </c>
      <c r="CR5" s="118">
        <v>0</v>
      </c>
      <c r="CS5" s="118">
        <v>0</v>
      </c>
      <c r="CT5" s="138">
        <v>1</v>
      </c>
      <c r="CU5" s="125" t="s">
        <v>489</v>
      </c>
      <c r="CV5" s="118">
        <v>4</v>
      </c>
      <c r="CW5" s="118">
        <v>0</v>
      </c>
      <c r="CX5" s="118">
        <v>0</v>
      </c>
      <c r="CY5" s="118">
        <v>0</v>
      </c>
      <c r="CZ5" s="118">
        <v>0</v>
      </c>
      <c r="DA5" s="118">
        <v>0</v>
      </c>
      <c r="DB5" s="118">
        <v>0</v>
      </c>
      <c r="DC5" s="118">
        <v>0</v>
      </c>
      <c r="DD5" s="138">
        <v>0</v>
      </c>
      <c r="DE5" s="125" t="s">
        <v>482</v>
      </c>
      <c r="DF5" s="118">
        <v>3</v>
      </c>
      <c r="DG5" s="118">
        <v>1</v>
      </c>
      <c r="DH5" s="118">
        <v>2</v>
      </c>
      <c r="DI5" s="118">
        <v>3</v>
      </c>
      <c r="DJ5" s="118">
        <v>0</v>
      </c>
      <c r="DK5" s="118">
        <v>0</v>
      </c>
      <c r="DL5" s="118">
        <v>1</v>
      </c>
      <c r="DM5" s="118">
        <v>0</v>
      </c>
      <c r="DN5" s="138">
        <v>5</v>
      </c>
      <c r="DO5" s="125" t="s">
        <v>479</v>
      </c>
      <c r="DP5" s="118">
        <v>4</v>
      </c>
      <c r="DQ5" s="118">
        <v>0</v>
      </c>
      <c r="DR5" s="118">
        <v>0</v>
      </c>
      <c r="DS5" s="118">
        <v>0</v>
      </c>
      <c r="DT5" s="118">
        <v>0</v>
      </c>
      <c r="DU5" s="118">
        <v>1</v>
      </c>
      <c r="DV5" s="118">
        <v>0</v>
      </c>
      <c r="DW5" s="118">
        <v>0</v>
      </c>
      <c r="DX5" s="138">
        <v>0</v>
      </c>
      <c r="DY5" s="140">
        <v>0</v>
      </c>
      <c r="DZ5" s="118">
        <v>0</v>
      </c>
      <c r="EA5" s="118">
        <v>0</v>
      </c>
      <c r="EB5" s="119">
        <v>8</v>
      </c>
      <c r="EC5" s="118">
        <v>0</v>
      </c>
      <c r="ED5" s="138">
        <v>0</v>
      </c>
      <c r="EE5" s="125">
        <v>0</v>
      </c>
      <c r="EF5" s="118">
        <v>3</v>
      </c>
      <c r="EG5" s="118">
        <v>2</v>
      </c>
      <c r="EH5" s="118">
        <v>0</v>
      </c>
      <c r="EI5" s="118">
        <v>1</v>
      </c>
      <c r="EJ5" s="118">
        <v>0</v>
      </c>
      <c r="EK5" s="118">
        <v>0</v>
      </c>
      <c r="EL5" s="118">
        <v>0</v>
      </c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38">
        <f t="shared" si="0"/>
        <v>6</v>
      </c>
      <c r="EY5" s="125">
        <v>0</v>
      </c>
      <c r="EZ5" s="118">
        <v>0</v>
      </c>
      <c r="FA5" s="118">
        <v>0</v>
      </c>
      <c r="FB5" s="118">
        <v>0</v>
      </c>
      <c r="FC5" s="118">
        <v>0</v>
      </c>
      <c r="FD5" s="118">
        <v>0</v>
      </c>
      <c r="FE5" s="118">
        <v>2</v>
      </c>
      <c r="FF5" s="118">
        <v>0</v>
      </c>
      <c r="FG5" s="118">
        <v>1</v>
      </c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38">
        <f t="shared" si="1"/>
        <v>3</v>
      </c>
      <c r="FS5" s="166">
        <f t="shared" si="2"/>
        <v>0</v>
      </c>
      <c r="FT5" s="167">
        <f t="shared" si="3"/>
        <v>0</v>
      </c>
      <c r="FU5" s="142"/>
    </row>
    <row r="6" spans="1:177" x14ac:dyDescent="0.25">
      <c r="A6" s="121">
        <v>40278</v>
      </c>
      <c r="B6" s="121" t="s">
        <v>133</v>
      </c>
      <c r="C6" s="121" t="s">
        <v>129</v>
      </c>
      <c r="D6" s="121" t="s">
        <v>488</v>
      </c>
      <c r="E6" s="120">
        <v>892</v>
      </c>
      <c r="F6" s="124">
        <v>3</v>
      </c>
      <c r="G6" s="118" t="s">
        <v>490</v>
      </c>
      <c r="H6" s="118">
        <v>0</v>
      </c>
      <c r="I6" s="118">
        <v>0</v>
      </c>
      <c r="J6" s="119">
        <v>5</v>
      </c>
      <c r="K6" s="118">
        <v>4</v>
      </c>
      <c r="L6" s="118">
        <v>3</v>
      </c>
      <c r="M6" s="118">
        <v>1</v>
      </c>
      <c r="N6" s="118">
        <v>4</v>
      </c>
      <c r="O6" s="118">
        <v>2</v>
      </c>
      <c r="P6" s="118">
        <v>1</v>
      </c>
      <c r="Q6" s="118">
        <v>0</v>
      </c>
      <c r="R6" s="118">
        <v>23</v>
      </c>
      <c r="S6" s="118"/>
      <c r="T6" s="118"/>
      <c r="U6" s="118">
        <v>0</v>
      </c>
      <c r="V6" s="138">
        <v>0</v>
      </c>
      <c r="W6" s="125">
        <v>1</v>
      </c>
      <c r="X6" s="118">
        <v>0</v>
      </c>
      <c r="Y6" s="118">
        <v>0</v>
      </c>
      <c r="Z6" s="118">
        <v>0</v>
      </c>
      <c r="AA6" s="118">
        <v>0</v>
      </c>
      <c r="AB6" s="119">
        <v>4</v>
      </c>
      <c r="AC6" s="118">
        <v>2</v>
      </c>
      <c r="AD6" s="118">
        <v>0</v>
      </c>
      <c r="AE6" s="118">
        <v>0</v>
      </c>
      <c r="AF6" s="118">
        <v>2</v>
      </c>
      <c r="AG6" s="118">
        <v>7</v>
      </c>
      <c r="AH6" s="118">
        <v>0</v>
      </c>
      <c r="AI6" s="118">
        <v>0</v>
      </c>
      <c r="AJ6" s="118">
        <v>16</v>
      </c>
      <c r="AK6" s="118"/>
      <c r="AL6" s="138"/>
      <c r="AM6" s="125" t="s">
        <v>486</v>
      </c>
      <c r="AN6" s="118">
        <v>4</v>
      </c>
      <c r="AO6" s="118">
        <v>1</v>
      </c>
      <c r="AP6" s="118">
        <v>2</v>
      </c>
      <c r="AQ6" s="118">
        <v>1</v>
      </c>
      <c r="AR6" s="118">
        <v>1</v>
      </c>
      <c r="AS6" s="118">
        <v>0</v>
      </c>
      <c r="AT6" s="118">
        <v>0</v>
      </c>
      <c r="AU6" s="118">
        <v>0</v>
      </c>
      <c r="AV6" s="138">
        <v>2</v>
      </c>
      <c r="AW6" s="125" t="s">
        <v>491</v>
      </c>
      <c r="AX6" s="118">
        <v>5</v>
      </c>
      <c r="AY6" s="118">
        <v>0</v>
      </c>
      <c r="AZ6" s="118">
        <v>4</v>
      </c>
      <c r="BA6" s="118">
        <v>1</v>
      </c>
      <c r="BB6" s="118">
        <v>0</v>
      </c>
      <c r="BC6" s="118">
        <v>0</v>
      </c>
      <c r="BD6" s="118">
        <v>0</v>
      </c>
      <c r="BE6" s="118">
        <v>0</v>
      </c>
      <c r="BF6" s="138">
        <v>4</v>
      </c>
      <c r="BG6" s="125" t="s">
        <v>480</v>
      </c>
      <c r="BH6" s="118">
        <v>5</v>
      </c>
      <c r="BI6" s="118">
        <v>0</v>
      </c>
      <c r="BJ6" s="118">
        <v>1</v>
      </c>
      <c r="BK6" s="118">
        <v>0</v>
      </c>
      <c r="BL6" s="118">
        <v>0</v>
      </c>
      <c r="BM6" s="118">
        <v>1</v>
      </c>
      <c r="BN6" s="118">
        <v>0</v>
      </c>
      <c r="BO6" s="118">
        <v>0</v>
      </c>
      <c r="BP6" s="138">
        <v>1</v>
      </c>
      <c r="BQ6" s="125" t="s">
        <v>496</v>
      </c>
      <c r="BR6" s="118">
        <v>4</v>
      </c>
      <c r="BS6" s="118">
        <v>1</v>
      </c>
      <c r="BT6" s="118">
        <v>2</v>
      </c>
      <c r="BU6" s="118">
        <v>0</v>
      </c>
      <c r="BV6" s="118">
        <v>0</v>
      </c>
      <c r="BW6" s="118">
        <v>1</v>
      </c>
      <c r="BX6" s="118">
        <v>0</v>
      </c>
      <c r="BY6" s="118">
        <v>0</v>
      </c>
      <c r="BZ6" s="138">
        <v>3</v>
      </c>
      <c r="CA6" s="125" t="s">
        <v>473</v>
      </c>
      <c r="CB6" s="118">
        <v>4</v>
      </c>
      <c r="CC6" s="118">
        <v>0</v>
      </c>
      <c r="CD6" s="118">
        <v>0</v>
      </c>
      <c r="CE6" s="118">
        <v>0</v>
      </c>
      <c r="CF6" s="118">
        <v>0</v>
      </c>
      <c r="CG6" s="118">
        <v>2</v>
      </c>
      <c r="CH6" s="118">
        <v>0</v>
      </c>
      <c r="CI6" s="118">
        <v>0</v>
      </c>
      <c r="CJ6" s="138">
        <v>0</v>
      </c>
      <c r="CK6" s="125" t="s">
        <v>484</v>
      </c>
      <c r="CL6" s="118">
        <v>4</v>
      </c>
      <c r="CM6" s="118">
        <v>1</v>
      </c>
      <c r="CN6" s="118">
        <v>1</v>
      </c>
      <c r="CO6" s="118">
        <v>0</v>
      </c>
      <c r="CP6" s="118">
        <v>0</v>
      </c>
      <c r="CQ6" s="118">
        <v>0</v>
      </c>
      <c r="CR6" s="118">
        <v>0</v>
      </c>
      <c r="CS6" s="118">
        <v>0</v>
      </c>
      <c r="CT6" s="138">
        <v>1</v>
      </c>
      <c r="CU6" s="125" t="s">
        <v>481</v>
      </c>
      <c r="CV6" s="118">
        <v>4</v>
      </c>
      <c r="CW6" s="118">
        <v>0</v>
      </c>
      <c r="CX6" s="118">
        <v>1</v>
      </c>
      <c r="CY6" s="118">
        <v>1</v>
      </c>
      <c r="CZ6" s="118">
        <v>0</v>
      </c>
      <c r="DA6" s="118">
        <v>0</v>
      </c>
      <c r="DB6" s="118">
        <v>0</v>
      </c>
      <c r="DC6" s="118">
        <v>0</v>
      </c>
      <c r="DD6" s="138">
        <v>3</v>
      </c>
      <c r="DE6" s="125" t="s">
        <v>482</v>
      </c>
      <c r="DF6" s="118">
        <v>4</v>
      </c>
      <c r="DG6" s="118">
        <v>2</v>
      </c>
      <c r="DH6" s="118">
        <v>2</v>
      </c>
      <c r="DI6" s="118">
        <v>0</v>
      </c>
      <c r="DJ6" s="118">
        <v>0</v>
      </c>
      <c r="DK6" s="118">
        <v>1</v>
      </c>
      <c r="DL6" s="118">
        <v>0</v>
      </c>
      <c r="DM6" s="118">
        <v>0</v>
      </c>
      <c r="DN6" s="138">
        <v>4</v>
      </c>
      <c r="DO6" s="125" t="s">
        <v>335</v>
      </c>
      <c r="DP6" s="118">
        <v>4</v>
      </c>
      <c r="DQ6" s="118">
        <v>0</v>
      </c>
      <c r="DR6" s="118">
        <v>0</v>
      </c>
      <c r="DS6" s="118">
        <v>0</v>
      </c>
      <c r="DT6" s="118">
        <v>0</v>
      </c>
      <c r="DU6" s="118">
        <v>1</v>
      </c>
      <c r="DV6" s="118">
        <v>0</v>
      </c>
      <c r="DW6" s="118">
        <v>0</v>
      </c>
      <c r="DX6" s="138">
        <v>0</v>
      </c>
      <c r="DY6" s="140">
        <v>0</v>
      </c>
      <c r="DZ6" s="118">
        <v>0</v>
      </c>
      <c r="EA6" s="118">
        <v>0</v>
      </c>
      <c r="EB6" s="119">
        <v>9</v>
      </c>
      <c r="EC6" s="118">
        <v>0</v>
      </c>
      <c r="ED6" s="138">
        <v>0</v>
      </c>
      <c r="EE6" s="125">
        <v>0</v>
      </c>
      <c r="EF6" s="118">
        <v>0</v>
      </c>
      <c r="EG6" s="118">
        <v>0</v>
      </c>
      <c r="EH6" s="118">
        <v>2</v>
      </c>
      <c r="EI6" s="118">
        <v>0</v>
      </c>
      <c r="EJ6" s="118">
        <v>0</v>
      </c>
      <c r="EK6" s="118">
        <v>1</v>
      </c>
      <c r="EL6" s="118">
        <v>0</v>
      </c>
      <c r="EM6" s="118">
        <v>2</v>
      </c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38">
        <f t="shared" si="0"/>
        <v>5</v>
      </c>
      <c r="EY6" s="125">
        <v>0</v>
      </c>
      <c r="EZ6" s="118">
        <v>0</v>
      </c>
      <c r="FA6" s="118">
        <v>0</v>
      </c>
      <c r="FB6" s="118">
        <v>2</v>
      </c>
      <c r="FC6" s="118">
        <v>1</v>
      </c>
      <c r="FD6" s="118">
        <v>0</v>
      </c>
      <c r="FE6" s="118">
        <v>0</v>
      </c>
      <c r="FF6" s="118">
        <v>0</v>
      </c>
      <c r="FG6" s="118">
        <v>0</v>
      </c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38">
        <f t="shared" si="1"/>
        <v>3</v>
      </c>
      <c r="FS6" s="166">
        <f t="shared" si="2"/>
        <v>0</v>
      </c>
      <c r="FT6" s="167">
        <f t="shared" si="3"/>
        <v>0</v>
      </c>
      <c r="FU6" s="142"/>
    </row>
    <row r="7" spans="1:177" x14ac:dyDescent="0.25">
      <c r="A7" s="121">
        <v>40279</v>
      </c>
      <c r="B7" s="121" t="s">
        <v>133</v>
      </c>
      <c r="C7" s="121" t="s">
        <v>131</v>
      </c>
      <c r="D7" s="121" t="s">
        <v>488</v>
      </c>
      <c r="E7" s="120">
        <v>775</v>
      </c>
      <c r="F7" s="124">
        <v>4</v>
      </c>
      <c r="G7" s="118" t="s">
        <v>487</v>
      </c>
      <c r="H7" s="118">
        <v>0</v>
      </c>
      <c r="I7" s="118">
        <v>1</v>
      </c>
      <c r="J7" s="119">
        <v>7</v>
      </c>
      <c r="K7" s="118">
        <v>6</v>
      </c>
      <c r="L7" s="118">
        <v>5</v>
      </c>
      <c r="M7" s="118">
        <v>3</v>
      </c>
      <c r="N7" s="118">
        <v>5</v>
      </c>
      <c r="O7" s="118">
        <v>7</v>
      </c>
      <c r="P7" s="118">
        <v>0</v>
      </c>
      <c r="Q7" s="118">
        <v>1</v>
      </c>
      <c r="R7" s="118">
        <v>34</v>
      </c>
      <c r="S7" s="118"/>
      <c r="T7" s="118"/>
      <c r="U7" s="118">
        <v>0</v>
      </c>
      <c r="V7" s="138">
        <v>0</v>
      </c>
      <c r="W7" s="125">
        <v>0</v>
      </c>
      <c r="X7" s="118">
        <v>0</v>
      </c>
      <c r="Y7" s="118">
        <v>0</v>
      </c>
      <c r="Z7" s="118">
        <v>0</v>
      </c>
      <c r="AA7" s="118">
        <v>0</v>
      </c>
      <c r="AB7" s="119">
        <v>1</v>
      </c>
      <c r="AC7" s="118">
        <v>2</v>
      </c>
      <c r="AD7" s="118">
        <v>0</v>
      </c>
      <c r="AE7" s="118">
        <v>0</v>
      </c>
      <c r="AF7" s="118">
        <v>0</v>
      </c>
      <c r="AG7" s="118">
        <v>2</v>
      </c>
      <c r="AH7" s="118">
        <v>0</v>
      </c>
      <c r="AI7" s="118">
        <v>0</v>
      </c>
      <c r="AJ7" s="118">
        <v>5</v>
      </c>
      <c r="AK7" s="118"/>
      <c r="AL7" s="138"/>
      <c r="AM7" s="125" t="s">
        <v>486</v>
      </c>
      <c r="AN7" s="118">
        <v>4</v>
      </c>
      <c r="AO7" s="118">
        <v>1</v>
      </c>
      <c r="AP7" s="118">
        <v>3</v>
      </c>
      <c r="AQ7" s="118">
        <v>0</v>
      </c>
      <c r="AR7" s="118">
        <v>0</v>
      </c>
      <c r="AS7" s="118">
        <v>0</v>
      </c>
      <c r="AT7" s="118">
        <v>0</v>
      </c>
      <c r="AU7" s="118">
        <v>0</v>
      </c>
      <c r="AV7" s="138">
        <v>3</v>
      </c>
      <c r="AW7" s="125" t="s">
        <v>512</v>
      </c>
      <c r="AX7" s="118">
        <v>4</v>
      </c>
      <c r="AY7" s="118">
        <v>0</v>
      </c>
      <c r="AZ7" s="118">
        <v>0</v>
      </c>
      <c r="BA7" s="118">
        <v>0</v>
      </c>
      <c r="BB7" s="118">
        <v>0</v>
      </c>
      <c r="BC7" s="118">
        <v>0</v>
      </c>
      <c r="BD7" s="118">
        <v>0</v>
      </c>
      <c r="BE7" s="118">
        <v>0</v>
      </c>
      <c r="BF7" s="138">
        <v>0</v>
      </c>
      <c r="BG7" s="125" t="s">
        <v>480</v>
      </c>
      <c r="BH7" s="118">
        <v>4</v>
      </c>
      <c r="BI7" s="118">
        <v>1</v>
      </c>
      <c r="BJ7" s="118">
        <v>1</v>
      </c>
      <c r="BK7" s="118">
        <v>0</v>
      </c>
      <c r="BL7" s="118">
        <v>0</v>
      </c>
      <c r="BM7" s="118">
        <v>0</v>
      </c>
      <c r="BN7" s="118">
        <v>0</v>
      </c>
      <c r="BO7" s="118">
        <v>0</v>
      </c>
      <c r="BP7" s="138">
        <v>1</v>
      </c>
      <c r="BQ7" s="125" t="s">
        <v>496</v>
      </c>
      <c r="BR7" s="118">
        <v>4</v>
      </c>
      <c r="BS7" s="118">
        <v>0</v>
      </c>
      <c r="BT7" s="118">
        <v>1</v>
      </c>
      <c r="BU7" s="118">
        <v>1</v>
      </c>
      <c r="BV7" s="118">
        <v>0</v>
      </c>
      <c r="BW7" s="118">
        <v>0</v>
      </c>
      <c r="BX7" s="118">
        <v>0</v>
      </c>
      <c r="BY7" s="118">
        <v>0</v>
      </c>
      <c r="BZ7" s="138">
        <v>1</v>
      </c>
      <c r="CA7" s="125" t="s">
        <v>473</v>
      </c>
      <c r="CB7" s="118">
        <v>4</v>
      </c>
      <c r="CC7" s="118">
        <v>0</v>
      </c>
      <c r="CD7" s="118">
        <v>2</v>
      </c>
      <c r="CE7" s="118">
        <v>0</v>
      </c>
      <c r="CF7" s="118">
        <v>0</v>
      </c>
      <c r="CG7" s="118">
        <v>0</v>
      </c>
      <c r="CH7" s="118">
        <v>0</v>
      </c>
      <c r="CI7" s="118">
        <v>0</v>
      </c>
      <c r="CJ7" s="138">
        <v>2</v>
      </c>
      <c r="CK7" s="125" t="s">
        <v>489</v>
      </c>
      <c r="CL7" s="118">
        <v>4</v>
      </c>
      <c r="CM7" s="118">
        <v>0</v>
      </c>
      <c r="CN7" s="118">
        <v>1</v>
      </c>
      <c r="CO7" s="118">
        <v>0</v>
      </c>
      <c r="CP7" s="118">
        <v>0</v>
      </c>
      <c r="CQ7" s="118">
        <v>0</v>
      </c>
      <c r="CR7" s="118">
        <v>0</v>
      </c>
      <c r="CS7" s="118">
        <v>0</v>
      </c>
      <c r="CT7" s="138">
        <v>1</v>
      </c>
      <c r="CU7" s="125" t="s">
        <v>483</v>
      </c>
      <c r="CV7" s="118">
        <v>4</v>
      </c>
      <c r="CW7" s="118">
        <v>0</v>
      </c>
      <c r="CX7" s="118">
        <v>1</v>
      </c>
      <c r="CY7" s="118">
        <v>0</v>
      </c>
      <c r="CZ7" s="118">
        <v>0</v>
      </c>
      <c r="DA7" s="118">
        <v>1</v>
      </c>
      <c r="DB7" s="118">
        <v>0</v>
      </c>
      <c r="DC7" s="118">
        <v>0</v>
      </c>
      <c r="DD7" s="138">
        <v>1</v>
      </c>
      <c r="DE7" s="125" t="s">
        <v>482</v>
      </c>
      <c r="DF7" s="118">
        <v>4</v>
      </c>
      <c r="DG7" s="118">
        <v>0</v>
      </c>
      <c r="DH7" s="118">
        <v>1</v>
      </c>
      <c r="DI7" s="118">
        <v>0</v>
      </c>
      <c r="DJ7" s="118">
        <v>0</v>
      </c>
      <c r="DK7" s="118">
        <v>1</v>
      </c>
      <c r="DL7" s="118">
        <v>0</v>
      </c>
      <c r="DM7" s="118">
        <v>0</v>
      </c>
      <c r="DN7" s="138">
        <v>1</v>
      </c>
      <c r="DO7" s="125" t="s">
        <v>479</v>
      </c>
      <c r="DP7" s="118">
        <v>3</v>
      </c>
      <c r="DQ7" s="118">
        <v>0</v>
      </c>
      <c r="DR7" s="118">
        <v>0</v>
      </c>
      <c r="DS7" s="118">
        <v>0</v>
      </c>
      <c r="DT7" s="118">
        <v>0</v>
      </c>
      <c r="DU7" s="118">
        <v>1</v>
      </c>
      <c r="DV7" s="118">
        <v>0</v>
      </c>
      <c r="DW7" s="118">
        <v>0</v>
      </c>
      <c r="DX7" s="138">
        <v>0</v>
      </c>
      <c r="DY7" s="140">
        <v>0</v>
      </c>
      <c r="DZ7" s="118">
        <v>0</v>
      </c>
      <c r="EA7" s="118">
        <v>0</v>
      </c>
      <c r="EB7" s="119">
        <v>9</v>
      </c>
      <c r="EC7" s="118">
        <v>0</v>
      </c>
      <c r="ED7" s="138">
        <v>1</v>
      </c>
      <c r="EE7" s="125">
        <v>2</v>
      </c>
      <c r="EF7" s="118">
        <v>0</v>
      </c>
      <c r="EG7" s="118">
        <v>0</v>
      </c>
      <c r="EH7" s="118">
        <v>0</v>
      </c>
      <c r="EI7" s="118">
        <v>0</v>
      </c>
      <c r="EJ7" s="118">
        <v>0</v>
      </c>
      <c r="EK7" s="118">
        <v>0</v>
      </c>
      <c r="EL7" s="118">
        <v>0</v>
      </c>
      <c r="EM7" s="118">
        <v>0</v>
      </c>
      <c r="EN7" s="118"/>
      <c r="EO7" s="118"/>
      <c r="EP7" s="118"/>
      <c r="EQ7" s="118"/>
      <c r="ER7" s="118"/>
      <c r="ES7" s="118"/>
      <c r="ET7" s="118"/>
      <c r="EU7" s="118"/>
      <c r="EV7" s="118"/>
      <c r="EW7" s="118"/>
      <c r="EX7" s="138">
        <f t="shared" si="0"/>
        <v>2</v>
      </c>
      <c r="EY7" s="125">
        <v>0</v>
      </c>
      <c r="EZ7" s="118">
        <v>4</v>
      </c>
      <c r="FA7" s="118">
        <v>0</v>
      </c>
      <c r="FB7" s="118">
        <v>0</v>
      </c>
      <c r="FC7" s="118">
        <v>0</v>
      </c>
      <c r="FD7" s="118">
        <v>1</v>
      </c>
      <c r="FE7" s="118">
        <v>0</v>
      </c>
      <c r="FF7" s="118">
        <v>0</v>
      </c>
      <c r="FG7" s="118"/>
      <c r="FH7" s="118"/>
      <c r="FI7" s="118"/>
      <c r="FJ7" s="118"/>
      <c r="FK7" s="118"/>
      <c r="FL7" s="118"/>
      <c r="FM7" s="118"/>
      <c r="FN7" s="118"/>
      <c r="FO7" s="118"/>
      <c r="FP7" s="118"/>
      <c r="FQ7" s="118"/>
      <c r="FR7" s="138">
        <f t="shared" si="1"/>
        <v>5</v>
      </c>
      <c r="FS7" s="166">
        <f t="shared" si="2"/>
        <v>0</v>
      </c>
      <c r="FT7" s="167">
        <f t="shared" si="3"/>
        <v>0</v>
      </c>
      <c r="FU7" s="142" t="s">
        <v>515</v>
      </c>
    </row>
    <row r="8" spans="1:177" x14ac:dyDescent="0.25">
      <c r="A8" s="121">
        <v>40281</v>
      </c>
      <c r="B8" s="121" t="s">
        <v>19</v>
      </c>
      <c r="C8" s="121" t="s">
        <v>131</v>
      </c>
      <c r="D8" s="121" t="s">
        <v>495</v>
      </c>
      <c r="E8" s="120">
        <v>1983</v>
      </c>
      <c r="F8" s="124">
        <v>5</v>
      </c>
      <c r="G8" s="118" t="s">
        <v>492</v>
      </c>
      <c r="H8" s="118">
        <v>0</v>
      </c>
      <c r="I8" s="118">
        <v>1</v>
      </c>
      <c r="J8" s="119">
        <v>4</v>
      </c>
      <c r="K8" s="118">
        <v>5</v>
      </c>
      <c r="L8" s="118">
        <v>2</v>
      </c>
      <c r="M8" s="118">
        <v>2</v>
      </c>
      <c r="N8" s="118">
        <v>3</v>
      </c>
      <c r="O8" s="118">
        <v>0</v>
      </c>
      <c r="P8" s="118">
        <v>0</v>
      </c>
      <c r="Q8" s="118">
        <v>0</v>
      </c>
      <c r="R8" s="118">
        <v>19</v>
      </c>
      <c r="S8" s="118"/>
      <c r="T8" s="118"/>
      <c r="U8" s="118">
        <v>2</v>
      </c>
      <c r="V8" s="138">
        <v>0</v>
      </c>
      <c r="W8" s="125">
        <v>0</v>
      </c>
      <c r="X8" s="118">
        <v>0</v>
      </c>
      <c r="Y8" s="118">
        <v>0</v>
      </c>
      <c r="Z8" s="118">
        <v>0</v>
      </c>
      <c r="AA8" s="118">
        <v>0</v>
      </c>
      <c r="AB8" s="119">
        <v>5</v>
      </c>
      <c r="AC8" s="118">
        <v>0</v>
      </c>
      <c r="AD8" s="118">
        <v>0</v>
      </c>
      <c r="AE8" s="118">
        <v>0</v>
      </c>
      <c r="AF8" s="118">
        <v>3</v>
      </c>
      <c r="AG8" s="118">
        <v>4</v>
      </c>
      <c r="AH8" s="118">
        <v>0</v>
      </c>
      <c r="AI8" s="118">
        <v>0</v>
      </c>
      <c r="AJ8" s="118">
        <v>17</v>
      </c>
      <c r="AK8" s="118"/>
      <c r="AL8" s="138"/>
      <c r="AM8" s="125" t="s">
        <v>486</v>
      </c>
      <c r="AN8" s="118">
        <v>4</v>
      </c>
      <c r="AO8" s="118">
        <v>0</v>
      </c>
      <c r="AP8" s="118">
        <v>1</v>
      </c>
      <c r="AQ8" s="118">
        <v>0</v>
      </c>
      <c r="AR8" s="118">
        <v>0</v>
      </c>
      <c r="AS8" s="118">
        <v>0</v>
      </c>
      <c r="AT8" s="118">
        <v>0</v>
      </c>
      <c r="AU8" s="118">
        <v>0</v>
      </c>
      <c r="AV8" s="138">
        <v>1</v>
      </c>
      <c r="AW8" s="125" t="s">
        <v>491</v>
      </c>
      <c r="AX8" s="118">
        <v>4</v>
      </c>
      <c r="AY8" s="118">
        <v>0</v>
      </c>
      <c r="AZ8" s="118">
        <v>0</v>
      </c>
      <c r="BA8" s="118">
        <v>0</v>
      </c>
      <c r="BB8" s="118">
        <v>0</v>
      </c>
      <c r="BC8" s="118">
        <v>3</v>
      </c>
      <c r="BD8" s="118">
        <v>0</v>
      </c>
      <c r="BE8" s="118">
        <v>0</v>
      </c>
      <c r="BF8" s="138">
        <v>0</v>
      </c>
      <c r="BG8" s="125" t="s">
        <v>480</v>
      </c>
      <c r="BH8" s="118">
        <v>4</v>
      </c>
      <c r="BI8" s="118">
        <v>0</v>
      </c>
      <c r="BJ8" s="118">
        <v>1</v>
      </c>
      <c r="BK8" s="118">
        <v>0</v>
      </c>
      <c r="BL8" s="118">
        <v>0</v>
      </c>
      <c r="BM8" s="118">
        <v>0</v>
      </c>
      <c r="BN8" s="118">
        <v>0</v>
      </c>
      <c r="BO8" s="118">
        <v>0</v>
      </c>
      <c r="BP8" s="138">
        <v>1</v>
      </c>
      <c r="BQ8" s="125" t="s">
        <v>496</v>
      </c>
      <c r="BR8" s="118">
        <v>4</v>
      </c>
      <c r="BS8" s="118">
        <v>0</v>
      </c>
      <c r="BT8" s="118">
        <v>1</v>
      </c>
      <c r="BU8" s="118">
        <v>0</v>
      </c>
      <c r="BV8" s="118">
        <v>0</v>
      </c>
      <c r="BW8" s="118">
        <v>1</v>
      </c>
      <c r="BX8" s="118">
        <v>0</v>
      </c>
      <c r="BY8" s="118">
        <v>0</v>
      </c>
      <c r="BZ8" s="138">
        <v>1</v>
      </c>
      <c r="CA8" s="125" t="s">
        <v>473</v>
      </c>
      <c r="CB8" s="118">
        <v>4</v>
      </c>
      <c r="CC8" s="118">
        <v>0</v>
      </c>
      <c r="CD8" s="118">
        <v>1</v>
      </c>
      <c r="CE8" s="118">
        <v>0</v>
      </c>
      <c r="CF8" s="118">
        <v>0</v>
      </c>
      <c r="CG8" s="118">
        <v>1</v>
      </c>
      <c r="CH8" s="118">
        <v>0</v>
      </c>
      <c r="CI8" s="118">
        <v>0</v>
      </c>
      <c r="CJ8" s="138">
        <v>2</v>
      </c>
      <c r="CK8" s="125" t="s">
        <v>481</v>
      </c>
      <c r="CL8" s="118">
        <v>3</v>
      </c>
      <c r="CM8" s="118">
        <v>0</v>
      </c>
      <c r="CN8" s="118">
        <v>0</v>
      </c>
      <c r="CO8" s="118">
        <v>0</v>
      </c>
      <c r="CP8" s="118">
        <v>0</v>
      </c>
      <c r="CQ8" s="118">
        <v>1</v>
      </c>
      <c r="CR8" s="118">
        <v>0</v>
      </c>
      <c r="CS8" s="118">
        <v>0</v>
      </c>
      <c r="CT8" s="138">
        <v>0</v>
      </c>
      <c r="CU8" s="125" t="s">
        <v>489</v>
      </c>
      <c r="CV8" s="118">
        <v>3</v>
      </c>
      <c r="CW8" s="118">
        <v>0</v>
      </c>
      <c r="CX8" s="118">
        <v>0</v>
      </c>
      <c r="CY8" s="118">
        <v>0</v>
      </c>
      <c r="CZ8" s="118">
        <v>0</v>
      </c>
      <c r="DA8" s="118">
        <v>1</v>
      </c>
      <c r="DB8" s="118">
        <v>0</v>
      </c>
      <c r="DC8" s="118">
        <v>0</v>
      </c>
      <c r="DD8" s="138">
        <v>0</v>
      </c>
      <c r="DE8" s="125" t="s">
        <v>482</v>
      </c>
      <c r="DF8" s="118">
        <v>2</v>
      </c>
      <c r="DG8" s="118">
        <v>0</v>
      </c>
      <c r="DH8" s="118">
        <v>0</v>
      </c>
      <c r="DI8" s="118">
        <v>0</v>
      </c>
      <c r="DJ8" s="118">
        <v>0</v>
      </c>
      <c r="DK8" s="118">
        <v>2</v>
      </c>
      <c r="DL8" s="118">
        <v>1</v>
      </c>
      <c r="DM8" s="118">
        <v>0</v>
      </c>
      <c r="DN8" s="138">
        <v>0</v>
      </c>
      <c r="DO8" s="125" t="s">
        <v>479</v>
      </c>
      <c r="DP8" s="118">
        <v>3</v>
      </c>
      <c r="DQ8" s="118">
        <v>0</v>
      </c>
      <c r="DR8" s="118">
        <v>0</v>
      </c>
      <c r="DS8" s="118">
        <v>0</v>
      </c>
      <c r="DT8" s="118">
        <v>0</v>
      </c>
      <c r="DU8" s="118">
        <v>1</v>
      </c>
      <c r="DV8" s="118">
        <v>0</v>
      </c>
      <c r="DW8" s="118">
        <v>0</v>
      </c>
      <c r="DX8" s="138">
        <v>0</v>
      </c>
      <c r="DY8" s="140">
        <v>1</v>
      </c>
      <c r="DZ8" s="118">
        <v>0</v>
      </c>
      <c r="EA8" s="118">
        <v>0</v>
      </c>
      <c r="EB8" s="119">
        <v>8</v>
      </c>
      <c r="EC8" s="118">
        <v>1</v>
      </c>
      <c r="ED8" s="138">
        <v>1</v>
      </c>
      <c r="EE8" s="125">
        <v>0</v>
      </c>
      <c r="EF8" s="118">
        <v>0</v>
      </c>
      <c r="EG8" s="118">
        <v>0</v>
      </c>
      <c r="EH8" s="118">
        <v>0</v>
      </c>
      <c r="EI8" s="118">
        <v>0</v>
      </c>
      <c r="EJ8" s="118">
        <v>0</v>
      </c>
      <c r="EK8" s="118">
        <v>0</v>
      </c>
      <c r="EL8" s="118">
        <v>0</v>
      </c>
      <c r="EM8" s="118">
        <v>0</v>
      </c>
      <c r="EN8" s="118"/>
      <c r="EO8" s="118"/>
      <c r="EP8" s="118"/>
      <c r="EQ8" s="118"/>
      <c r="ER8" s="118"/>
      <c r="ES8" s="118"/>
      <c r="ET8" s="118"/>
      <c r="EU8" s="118"/>
      <c r="EV8" s="118"/>
      <c r="EW8" s="118"/>
      <c r="EX8" s="138">
        <f t="shared" si="0"/>
        <v>0</v>
      </c>
      <c r="EY8" s="125">
        <v>0</v>
      </c>
      <c r="EZ8" s="118">
        <v>0</v>
      </c>
      <c r="FA8" s="118">
        <v>0</v>
      </c>
      <c r="FB8" s="118">
        <v>0</v>
      </c>
      <c r="FC8" s="118">
        <v>2</v>
      </c>
      <c r="FD8" s="118">
        <v>0</v>
      </c>
      <c r="FE8" s="118">
        <v>0</v>
      </c>
      <c r="FF8" s="118">
        <v>0</v>
      </c>
      <c r="FG8" s="118">
        <v>0</v>
      </c>
      <c r="FH8" s="118"/>
      <c r="FI8" s="118"/>
      <c r="FJ8" s="118"/>
      <c r="FK8" s="118"/>
      <c r="FL8" s="118"/>
      <c r="FM8" s="118"/>
      <c r="FN8" s="118"/>
      <c r="FO8" s="118"/>
      <c r="FP8" s="118"/>
      <c r="FQ8" s="118"/>
      <c r="FR8" s="138">
        <f t="shared" si="1"/>
        <v>2</v>
      </c>
      <c r="FS8" s="166">
        <f t="shared" si="2"/>
        <v>0</v>
      </c>
      <c r="FT8" s="167">
        <f t="shared" si="3"/>
        <v>0</v>
      </c>
      <c r="FU8" s="142"/>
    </row>
    <row r="9" spans="1:177" x14ac:dyDescent="0.25">
      <c r="A9" s="121">
        <v>40282</v>
      </c>
      <c r="B9" s="121" t="s">
        <v>19</v>
      </c>
      <c r="C9" s="121" t="s">
        <v>131</v>
      </c>
      <c r="D9" s="121" t="s">
        <v>495</v>
      </c>
      <c r="E9" s="120">
        <v>1448</v>
      </c>
      <c r="F9" s="124">
        <v>1</v>
      </c>
      <c r="G9" s="118" t="s">
        <v>493</v>
      </c>
      <c r="H9" s="118">
        <v>0</v>
      </c>
      <c r="I9" s="118">
        <v>1</v>
      </c>
      <c r="J9" s="119">
        <v>5</v>
      </c>
      <c r="K9" s="118">
        <v>3</v>
      </c>
      <c r="L9" s="118">
        <v>2</v>
      </c>
      <c r="M9" s="118">
        <v>2</v>
      </c>
      <c r="N9" s="118">
        <v>3</v>
      </c>
      <c r="O9" s="118">
        <v>7</v>
      </c>
      <c r="P9" s="118">
        <v>0</v>
      </c>
      <c r="Q9" s="118">
        <v>0</v>
      </c>
      <c r="R9" s="118">
        <v>20</v>
      </c>
      <c r="S9" s="118"/>
      <c r="T9" s="118"/>
      <c r="U9" s="118">
        <v>0</v>
      </c>
      <c r="V9" s="138">
        <v>0</v>
      </c>
      <c r="W9" s="125">
        <v>0</v>
      </c>
      <c r="X9" s="118">
        <v>0</v>
      </c>
      <c r="Y9" s="118">
        <v>0</v>
      </c>
      <c r="Z9" s="118">
        <v>0</v>
      </c>
      <c r="AA9" s="118">
        <v>0</v>
      </c>
      <c r="AB9" s="119">
        <v>4</v>
      </c>
      <c r="AC9" s="118">
        <v>2</v>
      </c>
      <c r="AD9" s="118">
        <v>0</v>
      </c>
      <c r="AE9" s="118">
        <v>0</v>
      </c>
      <c r="AF9" s="118">
        <v>1</v>
      </c>
      <c r="AG9" s="118">
        <v>6</v>
      </c>
      <c r="AH9" s="118">
        <v>0</v>
      </c>
      <c r="AI9" s="118">
        <v>0</v>
      </c>
      <c r="AJ9" s="118">
        <v>15</v>
      </c>
      <c r="AK9" s="118"/>
      <c r="AL9" s="138"/>
      <c r="AM9" s="125" t="s">
        <v>491</v>
      </c>
      <c r="AN9" s="118">
        <v>4</v>
      </c>
      <c r="AO9" s="118">
        <v>0</v>
      </c>
      <c r="AP9" s="118">
        <v>1</v>
      </c>
      <c r="AQ9" s="118">
        <v>1</v>
      </c>
      <c r="AR9" s="118">
        <v>0</v>
      </c>
      <c r="AS9" s="118">
        <v>0</v>
      </c>
      <c r="AT9" s="118">
        <v>0</v>
      </c>
      <c r="AU9" s="118">
        <v>0</v>
      </c>
      <c r="AV9" s="138">
        <v>2</v>
      </c>
      <c r="AW9" s="125" t="s">
        <v>486</v>
      </c>
      <c r="AX9" s="118">
        <v>4</v>
      </c>
      <c r="AY9" s="118">
        <v>0</v>
      </c>
      <c r="AZ9" s="118">
        <v>1</v>
      </c>
      <c r="BA9" s="118">
        <v>0</v>
      </c>
      <c r="BB9" s="118">
        <v>0</v>
      </c>
      <c r="BC9" s="118">
        <v>0</v>
      </c>
      <c r="BD9" s="118">
        <v>0</v>
      </c>
      <c r="BE9" s="118">
        <v>0</v>
      </c>
      <c r="BF9" s="138">
        <v>1</v>
      </c>
      <c r="BG9" s="125" t="s">
        <v>480</v>
      </c>
      <c r="BH9" s="118">
        <v>4</v>
      </c>
      <c r="BI9" s="118">
        <v>0</v>
      </c>
      <c r="BJ9" s="118">
        <v>0</v>
      </c>
      <c r="BK9" s="118">
        <v>0</v>
      </c>
      <c r="BL9" s="118">
        <v>0</v>
      </c>
      <c r="BM9" s="118">
        <v>1</v>
      </c>
      <c r="BN9" s="118">
        <v>0</v>
      </c>
      <c r="BO9" s="118">
        <v>0</v>
      </c>
      <c r="BP9" s="138">
        <v>0</v>
      </c>
      <c r="BQ9" s="125" t="s">
        <v>496</v>
      </c>
      <c r="BR9" s="118">
        <v>4</v>
      </c>
      <c r="BS9" s="118">
        <v>0</v>
      </c>
      <c r="BT9" s="118">
        <v>1</v>
      </c>
      <c r="BU9" s="118">
        <v>0</v>
      </c>
      <c r="BV9" s="118">
        <v>0</v>
      </c>
      <c r="BW9" s="118">
        <v>0</v>
      </c>
      <c r="BX9" s="118">
        <v>0</v>
      </c>
      <c r="BY9" s="118">
        <v>0</v>
      </c>
      <c r="BZ9" s="138">
        <v>1</v>
      </c>
      <c r="CA9" s="125" t="s">
        <v>473</v>
      </c>
      <c r="CB9" s="118">
        <v>3</v>
      </c>
      <c r="CC9" s="118">
        <v>0</v>
      </c>
      <c r="CD9" s="118">
        <v>1</v>
      </c>
      <c r="CE9" s="118">
        <v>0</v>
      </c>
      <c r="CF9" s="118">
        <v>1</v>
      </c>
      <c r="CG9" s="118">
        <v>0</v>
      </c>
      <c r="CH9" s="118">
        <v>0</v>
      </c>
      <c r="CI9" s="118">
        <v>0</v>
      </c>
      <c r="CJ9" s="138">
        <v>1</v>
      </c>
      <c r="CK9" s="125" t="s">
        <v>483</v>
      </c>
      <c r="CL9" s="118">
        <v>3</v>
      </c>
      <c r="CM9" s="118">
        <v>0</v>
      </c>
      <c r="CN9" s="118">
        <v>0</v>
      </c>
      <c r="CO9" s="118">
        <v>0</v>
      </c>
      <c r="CP9" s="118">
        <v>0</v>
      </c>
      <c r="CQ9" s="118">
        <v>1</v>
      </c>
      <c r="CR9" s="118">
        <v>0</v>
      </c>
      <c r="CS9" s="118">
        <v>0</v>
      </c>
      <c r="CT9" s="138">
        <v>0</v>
      </c>
      <c r="CU9" s="125" t="s">
        <v>481</v>
      </c>
      <c r="CV9" s="118">
        <v>4</v>
      </c>
      <c r="CW9" s="118">
        <v>0</v>
      </c>
      <c r="CX9" s="118">
        <v>2</v>
      </c>
      <c r="CY9" s="118">
        <v>0</v>
      </c>
      <c r="CZ9" s="118">
        <v>0</v>
      </c>
      <c r="DA9" s="118">
        <v>0</v>
      </c>
      <c r="DB9" s="118">
        <v>0</v>
      </c>
      <c r="DC9" s="118">
        <v>0</v>
      </c>
      <c r="DD9" s="138">
        <v>3</v>
      </c>
      <c r="DE9" s="125" t="s">
        <v>335</v>
      </c>
      <c r="DF9" s="118">
        <v>2</v>
      </c>
      <c r="DG9" s="118">
        <v>0</v>
      </c>
      <c r="DH9" s="118">
        <v>0</v>
      </c>
      <c r="DI9" s="118">
        <v>0</v>
      </c>
      <c r="DJ9" s="118">
        <v>2</v>
      </c>
      <c r="DK9" s="118">
        <v>0</v>
      </c>
      <c r="DL9" s="118">
        <v>0</v>
      </c>
      <c r="DM9" s="118">
        <v>0</v>
      </c>
      <c r="DN9" s="138">
        <v>0</v>
      </c>
      <c r="DO9" s="125" t="s">
        <v>479</v>
      </c>
      <c r="DP9" s="118">
        <v>4</v>
      </c>
      <c r="DQ9" s="118">
        <v>1</v>
      </c>
      <c r="DR9" s="118">
        <v>1</v>
      </c>
      <c r="DS9" s="118">
        <v>0</v>
      </c>
      <c r="DT9" s="118">
        <v>0</v>
      </c>
      <c r="DU9" s="118">
        <v>1</v>
      </c>
      <c r="DV9" s="118">
        <v>0</v>
      </c>
      <c r="DW9" s="118">
        <v>0</v>
      </c>
      <c r="DX9" s="138">
        <v>1</v>
      </c>
      <c r="DY9" s="140">
        <f>7+2/3</f>
        <v>7.666666666666667</v>
      </c>
      <c r="DZ9" s="118">
        <v>0</v>
      </c>
      <c r="EA9" s="118">
        <v>0</v>
      </c>
      <c r="EB9" s="119">
        <f>1+1/3</f>
        <v>1.3333333333333333</v>
      </c>
      <c r="EC9" s="118">
        <v>1</v>
      </c>
      <c r="ED9" s="138">
        <v>0</v>
      </c>
      <c r="EE9" s="125">
        <v>0</v>
      </c>
      <c r="EF9" s="118">
        <v>0</v>
      </c>
      <c r="EG9" s="118">
        <v>0</v>
      </c>
      <c r="EH9" s="118">
        <v>0</v>
      </c>
      <c r="EI9" s="118">
        <v>0</v>
      </c>
      <c r="EJ9" s="118">
        <v>0</v>
      </c>
      <c r="EK9" s="118">
        <v>0</v>
      </c>
      <c r="EL9" s="118">
        <v>1</v>
      </c>
      <c r="EM9" s="118">
        <v>0</v>
      </c>
      <c r="EN9" s="118"/>
      <c r="EO9" s="118"/>
      <c r="EP9" s="118"/>
      <c r="EQ9" s="118"/>
      <c r="ER9" s="118"/>
      <c r="ES9" s="118"/>
      <c r="ET9" s="118"/>
      <c r="EU9" s="118"/>
      <c r="EV9" s="118"/>
      <c r="EW9" s="118"/>
      <c r="EX9" s="138">
        <f t="shared" si="0"/>
        <v>1</v>
      </c>
      <c r="EY9" s="125">
        <v>0</v>
      </c>
      <c r="EZ9" s="118">
        <v>1</v>
      </c>
      <c r="FA9" s="118">
        <v>1</v>
      </c>
      <c r="FB9" s="118">
        <v>0</v>
      </c>
      <c r="FC9" s="118">
        <v>0</v>
      </c>
      <c r="FD9" s="118">
        <v>0</v>
      </c>
      <c r="FE9" s="118">
        <v>0</v>
      </c>
      <c r="FF9" s="118">
        <v>0</v>
      </c>
      <c r="FG9" s="118">
        <v>0</v>
      </c>
      <c r="FH9" s="118"/>
      <c r="FI9" s="118"/>
      <c r="FJ9" s="118"/>
      <c r="FK9" s="118"/>
      <c r="FL9" s="118"/>
      <c r="FM9" s="118"/>
      <c r="FN9" s="118"/>
      <c r="FO9" s="118"/>
      <c r="FP9" s="118"/>
      <c r="FQ9" s="118"/>
      <c r="FR9" s="138">
        <f t="shared" si="1"/>
        <v>2</v>
      </c>
      <c r="FS9" s="166">
        <f t="shared" si="2"/>
        <v>0</v>
      </c>
      <c r="FT9" s="167">
        <f t="shared" si="3"/>
        <v>0</v>
      </c>
      <c r="FU9" s="142"/>
    </row>
    <row r="10" spans="1:177" x14ac:dyDescent="0.25">
      <c r="A10" s="121">
        <v>40283</v>
      </c>
      <c r="B10" s="121" t="s">
        <v>19</v>
      </c>
      <c r="C10" s="121" t="s">
        <v>129</v>
      </c>
      <c r="D10" s="121" t="s">
        <v>495</v>
      </c>
      <c r="E10" s="120">
        <v>2008</v>
      </c>
      <c r="F10" s="124">
        <v>2</v>
      </c>
      <c r="G10" s="118" t="s">
        <v>498</v>
      </c>
      <c r="H10" s="118">
        <v>1</v>
      </c>
      <c r="I10" s="118">
        <v>0</v>
      </c>
      <c r="J10" s="119">
        <v>7</v>
      </c>
      <c r="K10" s="118">
        <v>3</v>
      </c>
      <c r="L10" s="118">
        <v>0</v>
      </c>
      <c r="M10" s="118">
        <v>0</v>
      </c>
      <c r="N10" s="118">
        <v>1</v>
      </c>
      <c r="O10" s="118">
        <v>5</v>
      </c>
      <c r="P10" s="118">
        <v>0</v>
      </c>
      <c r="Q10" s="118">
        <v>0</v>
      </c>
      <c r="R10" s="118">
        <v>24</v>
      </c>
      <c r="S10" s="118"/>
      <c r="T10" s="118"/>
      <c r="U10" s="118">
        <v>0</v>
      </c>
      <c r="V10" s="138">
        <v>0</v>
      </c>
      <c r="W10" s="125">
        <v>0</v>
      </c>
      <c r="X10" s="118">
        <v>0</v>
      </c>
      <c r="Y10" s="118">
        <v>0</v>
      </c>
      <c r="Z10" s="118">
        <v>0</v>
      </c>
      <c r="AA10" s="118">
        <v>0</v>
      </c>
      <c r="AB10" s="119">
        <v>2</v>
      </c>
      <c r="AC10" s="118">
        <v>1</v>
      </c>
      <c r="AD10" s="118">
        <v>0</v>
      </c>
      <c r="AE10" s="118">
        <v>0</v>
      </c>
      <c r="AF10" s="118">
        <v>0</v>
      </c>
      <c r="AG10" s="118">
        <v>2</v>
      </c>
      <c r="AH10" s="118">
        <v>0</v>
      </c>
      <c r="AI10" s="118">
        <v>0</v>
      </c>
      <c r="AJ10" s="118">
        <v>7</v>
      </c>
      <c r="AK10" s="118"/>
      <c r="AL10" s="138"/>
      <c r="AM10" s="125" t="s">
        <v>486</v>
      </c>
      <c r="AN10" s="118">
        <v>4</v>
      </c>
      <c r="AO10" s="118">
        <v>1</v>
      </c>
      <c r="AP10" s="118">
        <v>1</v>
      </c>
      <c r="AQ10" s="118">
        <v>0</v>
      </c>
      <c r="AR10" s="118">
        <v>1</v>
      </c>
      <c r="AS10" s="118">
        <v>2</v>
      </c>
      <c r="AT10" s="118">
        <v>0</v>
      </c>
      <c r="AU10" s="118">
        <v>0</v>
      </c>
      <c r="AV10" s="138">
        <v>1</v>
      </c>
      <c r="AW10" s="125" t="s">
        <v>485</v>
      </c>
      <c r="AX10" s="118">
        <v>4</v>
      </c>
      <c r="AY10" s="118">
        <v>0</v>
      </c>
      <c r="AZ10" s="118">
        <v>1</v>
      </c>
      <c r="BA10" s="118">
        <v>1</v>
      </c>
      <c r="BB10" s="118">
        <v>0</v>
      </c>
      <c r="BC10" s="118">
        <v>2</v>
      </c>
      <c r="BD10" s="118">
        <v>0</v>
      </c>
      <c r="BE10" s="118">
        <v>0</v>
      </c>
      <c r="BF10" s="138">
        <v>1</v>
      </c>
      <c r="BG10" s="125" t="s">
        <v>480</v>
      </c>
      <c r="BH10" s="118">
        <v>3</v>
      </c>
      <c r="BI10" s="118">
        <v>1</v>
      </c>
      <c r="BJ10" s="118">
        <v>1</v>
      </c>
      <c r="BK10" s="118">
        <v>0</v>
      </c>
      <c r="BL10" s="118">
        <v>1</v>
      </c>
      <c r="BM10" s="118">
        <v>1</v>
      </c>
      <c r="BN10" s="118">
        <v>0</v>
      </c>
      <c r="BO10" s="118">
        <v>0</v>
      </c>
      <c r="BP10" s="138">
        <v>3</v>
      </c>
      <c r="BQ10" s="125" t="s">
        <v>496</v>
      </c>
      <c r="BR10" s="118">
        <v>3</v>
      </c>
      <c r="BS10" s="118">
        <v>1</v>
      </c>
      <c r="BT10" s="118">
        <v>1</v>
      </c>
      <c r="BU10" s="118">
        <v>1</v>
      </c>
      <c r="BV10" s="118">
        <v>0</v>
      </c>
      <c r="BW10" s="118">
        <v>2</v>
      </c>
      <c r="BX10" s="118">
        <v>0</v>
      </c>
      <c r="BY10" s="118">
        <v>1</v>
      </c>
      <c r="BZ10" s="138">
        <v>2</v>
      </c>
      <c r="CA10" s="125" t="s">
        <v>473</v>
      </c>
      <c r="CB10" s="118">
        <v>3</v>
      </c>
      <c r="CC10" s="118">
        <v>1</v>
      </c>
      <c r="CD10" s="118">
        <v>2</v>
      </c>
      <c r="CE10" s="118">
        <v>2</v>
      </c>
      <c r="CF10" s="118">
        <v>1</v>
      </c>
      <c r="CG10" s="118">
        <v>0</v>
      </c>
      <c r="CH10" s="118">
        <v>0</v>
      </c>
      <c r="CI10" s="118">
        <v>0</v>
      </c>
      <c r="CJ10" s="138">
        <v>6</v>
      </c>
      <c r="CK10" s="125" t="s">
        <v>481</v>
      </c>
      <c r="CL10" s="118">
        <v>4</v>
      </c>
      <c r="CM10" s="118">
        <v>1</v>
      </c>
      <c r="CN10" s="118">
        <v>1</v>
      </c>
      <c r="CO10" s="118">
        <v>0</v>
      </c>
      <c r="CP10" s="118">
        <v>0</v>
      </c>
      <c r="CQ10" s="118">
        <v>1</v>
      </c>
      <c r="CR10" s="118">
        <v>0</v>
      </c>
      <c r="CS10" s="118">
        <v>0</v>
      </c>
      <c r="CT10" s="138">
        <v>1</v>
      </c>
      <c r="CU10" s="125" t="s">
        <v>489</v>
      </c>
      <c r="CV10" s="118">
        <v>3</v>
      </c>
      <c r="CW10" s="118">
        <v>1</v>
      </c>
      <c r="CX10" s="118">
        <v>0</v>
      </c>
      <c r="CY10" s="118">
        <v>0</v>
      </c>
      <c r="CZ10" s="118">
        <v>1</v>
      </c>
      <c r="DA10" s="118">
        <v>0</v>
      </c>
      <c r="DB10" s="118">
        <v>0</v>
      </c>
      <c r="DC10" s="118">
        <v>0</v>
      </c>
      <c r="DD10" s="138">
        <v>0</v>
      </c>
      <c r="DE10" s="125" t="s">
        <v>482</v>
      </c>
      <c r="DF10" s="118">
        <v>3</v>
      </c>
      <c r="DG10" s="118">
        <v>0</v>
      </c>
      <c r="DH10" s="118">
        <v>0</v>
      </c>
      <c r="DI10" s="118">
        <v>0</v>
      </c>
      <c r="DJ10" s="118">
        <v>1</v>
      </c>
      <c r="DK10" s="118">
        <v>0</v>
      </c>
      <c r="DL10" s="118">
        <v>0</v>
      </c>
      <c r="DM10" s="118">
        <v>0</v>
      </c>
      <c r="DN10" s="138">
        <v>0</v>
      </c>
      <c r="DO10" s="125" t="s">
        <v>479</v>
      </c>
      <c r="DP10" s="118">
        <v>4</v>
      </c>
      <c r="DQ10" s="118">
        <v>1</v>
      </c>
      <c r="DR10" s="118">
        <v>1</v>
      </c>
      <c r="DS10" s="118">
        <v>2</v>
      </c>
      <c r="DT10" s="118">
        <v>0</v>
      </c>
      <c r="DU10" s="118">
        <v>0</v>
      </c>
      <c r="DV10" s="118">
        <v>0</v>
      </c>
      <c r="DW10" s="118">
        <v>0</v>
      </c>
      <c r="DX10" s="138">
        <v>1</v>
      </c>
      <c r="DY10" s="140">
        <v>2</v>
      </c>
      <c r="DZ10" s="118">
        <v>0</v>
      </c>
      <c r="EA10" s="118">
        <v>0</v>
      </c>
      <c r="EB10" s="119">
        <v>6</v>
      </c>
      <c r="EC10" s="118">
        <v>2</v>
      </c>
      <c r="ED10" s="138">
        <v>0</v>
      </c>
      <c r="EE10" s="125">
        <v>0</v>
      </c>
      <c r="EF10" s="118">
        <v>1</v>
      </c>
      <c r="EG10" s="118">
        <v>0</v>
      </c>
      <c r="EH10" s="118">
        <v>0</v>
      </c>
      <c r="EI10" s="118">
        <v>2</v>
      </c>
      <c r="EJ10" s="118">
        <v>1</v>
      </c>
      <c r="EK10" s="118">
        <v>0</v>
      </c>
      <c r="EL10" s="118">
        <v>3</v>
      </c>
      <c r="EM10" s="118"/>
      <c r="EN10" s="118"/>
      <c r="EO10" s="118"/>
      <c r="EP10" s="118"/>
      <c r="EQ10" s="118"/>
      <c r="ER10" s="118"/>
      <c r="ES10" s="118"/>
      <c r="ET10" s="118"/>
      <c r="EU10" s="118"/>
      <c r="EV10" s="118"/>
      <c r="EW10" s="118"/>
      <c r="EX10" s="138">
        <f t="shared" si="0"/>
        <v>7</v>
      </c>
      <c r="EY10" s="125">
        <v>0</v>
      </c>
      <c r="EZ10" s="118">
        <v>0</v>
      </c>
      <c r="FA10" s="118">
        <v>0</v>
      </c>
      <c r="FB10" s="118">
        <v>0</v>
      </c>
      <c r="FC10" s="118">
        <v>0</v>
      </c>
      <c r="FD10" s="118">
        <v>0</v>
      </c>
      <c r="FE10" s="118">
        <v>0</v>
      </c>
      <c r="FF10" s="118">
        <v>0</v>
      </c>
      <c r="FG10" s="118">
        <v>0</v>
      </c>
      <c r="FH10" s="118"/>
      <c r="FI10" s="118"/>
      <c r="FJ10" s="118"/>
      <c r="FK10" s="118"/>
      <c r="FL10" s="118"/>
      <c r="FM10" s="118"/>
      <c r="FN10" s="118"/>
      <c r="FO10" s="118"/>
      <c r="FP10" s="118"/>
      <c r="FQ10" s="118"/>
      <c r="FR10" s="138">
        <f t="shared" si="1"/>
        <v>0</v>
      </c>
      <c r="FS10" s="166">
        <f t="shared" si="2"/>
        <v>0</v>
      </c>
      <c r="FT10" s="167">
        <f t="shared" si="3"/>
        <v>0</v>
      </c>
      <c r="FU10" s="142"/>
    </row>
    <row r="11" spans="1:177" x14ac:dyDescent="0.25">
      <c r="A11" s="121">
        <v>40284</v>
      </c>
      <c r="B11" s="121" t="s">
        <v>19</v>
      </c>
      <c r="C11" s="121" t="s">
        <v>131</v>
      </c>
      <c r="D11" s="121" t="s">
        <v>497</v>
      </c>
      <c r="E11" s="120">
        <v>2493</v>
      </c>
      <c r="F11" s="124">
        <v>3</v>
      </c>
      <c r="G11" s="118" t="s">
        <v>490</v>
      </c>
      <c r="H11" s="118">
        <v>0</v>
      </c>
      <c r="I11" s="118">
        <v>0</v>
      </c>
      <c r="J11" s="119">
        <v>6</v>
      </c>
      <c r="K11" s="118">
        <v>2</v>
      </c>
      <c r="L11" s="118">
        <v>1</v>
      </c>
      <c r="M11" s="118">
        <v>1</v>
      </c>
      <c r="N11" s="118">
        <v>2</v>
      </c>
      <c r="O11" s="118">
        <v>6</v>
      </c>
      <c r="P11" s="118">
        <v>0</v>
      </c>
      <c r="Q11" s="118">
        <v>0</v>
      </c>
      <c r="R11" s="118">
        <v>21</v>
      </c>
      <c r="S11" s="118"/>
      <c r="T11" s="118"/>
      <c r="U11" s="118">
        <v>0</v>
      </c>
      <c r="V11" s="138">
        <v>0</v>
      </c>
      <c r="W11" s="125">
        <v>0</v>
      </c>
      <c r="X11" s="118">
        <v>1</v>
      </c>
      <c r="Y11" s="118">
        <v>0</v>
      </c>
      <c r="Z11" s="118">
        <v>0</v>
      </c>
      <c r="AA11" s="118">
        <v>0</v>
      </c>
      <c r="AB11" s="119">
        <v>4</v>
      </c>
      <c r="AC11" s="118">
        <v>2</v>
      </c>
      <c r="AD11" s="118">
        <v>1</v>
      </c>
      <c r="AE11" s="118">
        <v>1</v>
      </c>
      <c r="AF11" s="118">
        <v>1</v>
      </c>
      <c r="AG11" s="118">
        <v>1</v>
      </c>
      <c r="AH11" s="118">
        <v>0</v>
      </c>
      <c r="AI11" s="118">
        <v>0</v>
      </c>
      <c r="AJ11" s="118">
        <v>15</v>
      </c>
      <c r="AK11" s="118"/>
      <c r="AL11" s="138"/>
      <c r="AM11" s="125" t="s">
        <v>486</v>
      </c>
      <c r="AN11" s="118">
        <v>4</v>
      </c>
      <c r="AO11" s="118">
        <v>0</v>
      </c>
      <c r="AP11" s="118">
        <v>1</v>
      </c>
      <c r="AQ11" s="118">
        <v>0</v>
      </c>
      <c r="AR11" s="118">
        <v>0</v>
      </c>
      <c r="AS11" s="118">
        <v>0</v>
      </c>
      <c r="AT11" s="118">
        <v>0</v>
      </c>
      <c r="AU11" s="118">
        <v>0</v>
      </c>
      <c r="AV11" s="138">
        <v>2</v>
      </c>
      <c r="AW11" s="125" t="s">
        <v>485</v>
      </c>
      <c r="AX11" s="118">
        <v>4</v>
      </c>
      <c r="AY11" s="118">
        <v>0</v>
      </c>
      <c r="AZ11" s="118">
        <v>0</v>
      </c>
      <c r="BA11" s="118">
        <v>0</v>
      </c>
      <c r="BB11" s="118">
        <v>0</v>
      </c>
      <c r="BC11" s="118">
        <v>1</v>
      </c>
      <c r="BD11" s="118">
        <v>0</v>
      </c>
      <c r="BE11" s="118">
        <v>0</v>
      </c>
      <c r="BF11" s="138">
        <v>0</v>
      </c>
      <c r="BG11" s="125" t="s">
        <v>491</v>
      </c>
      <c r="BH11" s="118">
        <v>4</v>
      </c>
      <c r="BI11" s="118">
        <v>0</v>
      </c>
      <c r="BJ11" s="118">
        <v>0</v>
      </c>
      <c r="BK11" s="118">
        <v>0</v>
      </c>
      <c r="BL11" s="118">
        <v>0</v>
      </c>
      <c r="BM11" s="118">
        <v>1</v>
      </c>
      <c r="BN11" s="118">
        <v>0</v>
      </c>
      <c r="BO11" s="118">
        <v>0</v>
      </c>
      <c r="BP11" s="138">
        <v>0</v>
      </c>
      <c r="BQ11" s="125" t="s">
        <v>496</v>
      </c>
      <c r="BR11" s="118">
        <v>4</v>
      </c>
      <c r="BS11" s="118">
        <v>1</v>
      </c>
      <c r="BT11" s="118">
        <v>2</v>
      </c>
      <c r="BU11" s="118">
        <v>1</v>
      </c>
      <c r="BV11" s="118">
        <v>0</v>
      </c>
      <c r="BW11" s="118">
        <v>0</v>
      </c>
      <c r="BX11" s="118">
        <v>0</v>
      </c>
      <c r="BY11" s="118">
        <v>0</v>
      </c>
      <c r="BZ11" s="138">
        <v>5</v>
      </c>
      <c r="CA11" s="125" t="s">
        <v>473</v>
      </c>
      <c r="CB11" s="118">
        <v>4</v>
      </c>
      <c r="CC11" s="118">
        <v>0</v>
      </c>
      <c r="CD11" s="118">
        <v>1</v>
      </c>
      <c r="CE11" s="118">
        <v>0</v>
      </c>
      <c r="CF11" s="118">
        <v>0</v>
      </c>
      <c r="CG11" s="118">
        <v>3</v>
      </c>
      <c r="CH11" s="118">
        <v>0</v>
      </c>
      <c r="CI11" s="118">
        <v>0</v>
      </c>
      <c r="CJ11" s="138">
        <v>1</v>
      </c>
      <c r="CK11" s="125" t="s">
        <v>484</v>
      </c>
      <c r="CL11" s="118">
        <v>4</v>
      </c>
      <c r="CM11" s="118">
        <v>0</v>
      </c>
      <c r="CN11" s="118">
        <v>0</v>
      </c>
      <c r="CO11" s="118">
        <v>0</v>
      </c>
      <c r="CP11" s="118">
        <v>0</v>
      </c>
      <c r="CQ11" s="118">
        <v>0</v>
      </c>
      <c r="CR11" s="118">
        <v>0</v>
      </c>
      <c r="CS11" s="118">
        <v>0</v>
      </c>
      <c r="CT11" s="138">
        <v>0</v>
      </c>
      <c r="CU11" s="125" t="s">
        <v>489</v>
      </c>
      <c r="CV11" s="118">
        <v>4</v>
      </c>
      <c r="CW11" s="118">
        <v>0</v>
      </c>
      <c r="CX11" s="118">
        <v>0</v>
      </c>
      <c r="CY11" s="118">
        <v>0</v>
      </c>
      <c r="CZ11" s="118">
        <v>0</v>
      </c>
      <c r="DA11" s="118">
        <v>1</v>
      </c>
      <c r="DB11" s="118">
        <v>0</v>
      </c>
      <c r="DC11" s="118">
        <v>0</v>
      </c>
      <c r="DD11" s="138">
        <v>0</v>
      </c>
      <c r="DE11" s="125" t="s">
        <v>482</v>
      </c>
      <c r="DF11" s="118">
        <v>3</v>
      </c>
      <c r="DG11" s="118">
        <v>0</v>
      </c>
      <c r="DH11" s="118">
        <v>0</v>
      </c>
      <c r="DI11" s="118">
        <v>0</v>
      </c>
      <c r="DJ11" s="118">
        <v>0</v>
      </c>
      <c r="DK11" s="118">
        <v>1</v>
      </c>
      <c r="DL11" s="118">
        <v>0</v>
      </c>
      <c r="DM11" s="118">
        <v>0</v>
      </c>
      <c r="DN11" s="138">
        <v>0</v>
      </c>
      <c r="DO11" s="125" t="s">
        <v>512</v>
      </c>
      <c r="DP11" s="118">
        <v>3</v>
      </c>
      <c r="DQ11" s="118">
        <v>0</v>
      </c>
      <c r="DR11" s="118">
        <v>0</v>
      </c>
      <c r="DS11" s="118">
        <v>0</v>
      </c>
      <c r="DT11" s="118">
        <v>0</v>
      </c>
      <c r="DU11" s="118">
        <v>1</v>
      </c>
      <c r="DV11" s="118">
        <v>0</v>
      </c>
      <c r="DW11" s="118">
        <v>0</v>
      </c>
      <c r="DX11" s="138">
        <v>0</v>
      </c>
      <c r="DY11" s="140">
        <f>2+2/3</f>
        <v>2.6666666666666665</v>
      </c>
      <c r="DZ11" s="118">
        <v>0</v>
      </c>
      <c r="EA11" s="118">
        <v>0</v>
      </c>
      <c r="EB11" s="119">
        <f>7+1/3</f>
        <v>7.333333333333333</v>
      </c>
      <c r="EC11" s="118">
        <v>0</v>
      </c>
      <c r="ED11" s="138">
        <v>0</v>
      </c>
      <c r="EE11" s="125">
        <v>0</v>
      </c>
      <c r="EF11" s="118">
        <v>0</v>
      </c>
      <c r="EG11" s="118">
        <v>0</v>
      </c>
      <c r="EH11" s="118">
        <v>0</v>
      </c>
      <c r="EI11" s="118">
        <v>0</v>
      </c>
      <c r="EJ11" s="118">
        <v>0</v>
      </c>
      <c r="EK11" s="118">
        <v>1</v>
      </c>
      <c r="EL11" s="118">
        <v>0</v>
      </c>
      <c r="EM11" s="118">
        <v>0</v>
      </c>
      <c r="EN11" s="118">
        <v>0</v>
      </c>
      <c r="EO11" s="118"/>
      <c r="EP11" s="118"/>
      <c r="EQ11" s="118"/>
      <c r="ER11" s="118"/>
      <c r="ES11" s="118"/>
      <c r="ET11" s="118"/>
      <c r="EU11" s="118"/>
      <c r="EV11" s="118"/>
      <c r="EW11" s="118"/>
      <c r="EX11" s="138">
        <f t="shared" si="0"/>
        <v>1</v>
      </c>
      <c r="EY11" s="125">
        <v>0</v>
      </c>
      <c r="EZ11" s="118">
        <v>0</v>
      </c>
      <c r="FA11" s="118">
        <v>1</v>
      </c>
      <c r="FB11" s="118">
        <v>0</v>
      </c>
      <c r="FC11" s="118">
        <v>0</v>
      </c>
      <c r="FD11" s="118">
        <v>0</v>
      </c>
      <c r="FE11" s="118">
        <v>0</v>
      </c>
      <c r="FF11" s="118">
        <v>0</v>
      </c>
      <c r="FG11" s="118">
        <v>0</v>
      </c>
      <c r="FH11" s="118">
        <v>1</v>
      </c>
      <c r="FI11" s="118"/>
      <c r="FJ11" s="118"/>
      <c r="FK11" s="118"/>
      <c r="FL11" s="118"/>
      <c r="FM11" s="118"/>
      <c r="FN11" s="118"/>
      <c r="FO11" s="118"/>
      <c r="FP11" s="118"/>
      <c r="FQ11" s="118"/>
      <c r="FR11" s="138">
        <f t="shared" si="1"/>
        <v>2</v>
      </c>
      <c r="FS11" s="166">
        <f t="shared" si="2"/>
        <v>0</v>
      </c>
      <c r="FT11" s="167">
        <f t="shared" si="3"/>
        <v>0</v>
      </c>
      <c r="FU11" s="142"/>
    </row>
    <row r="12" spans="1:177" x14ac:dyDescent="0.25">
      <c r="A12" s="121">
        <v>40285</v>
      </c>
      <c r="B12" s="121" t="s">
        <v>19</v>
      </c>
      <c r="C12" s="121" t="s">
        <v>129</v>
      </c>
      <c r="D12" s="121" t="s">
        <v>497</v>
      </c>
      <c r="E12" s="120">
        <v>6071</v>
      </c>
      <c r="F12" s="124">
        <v>4</v>
      </c>
      <c r="G12" s="118" t="s">
        <v>487</v>
      </c>
      <c r="H12" s="118">
        <v>1</v>
      </c>
      <c r="I12" s="118">
        <v>0</v>
      </c>
      <c r="J12" s="119">
        <v>5</v>
      </c>
      <c r="K12" s="118">
        <v>3</v>
      </c>
      <c r="L12" s="118">
        <v>0</v>
      </c>
      <c r="M12" s="118">
        <v>0</v>
      </c>
      <c r="N12" s="118">
        <v>0</v>
      </c>
      <c r="O12" s="118">
        <v>3</v>
      </c>
      <c r="P12" s="118">
        <v>0</v>
      </c>
      <c r="Q12" s="118">
        <v>0</v>
      </c>
      <c r="R12" s="118">
        <v>16</v>
      </c>
      <c r="S12" s="118"/>
      <c r="T12" s="118"/>
      <c r="U12" s="118">
        <v>0</v>
      </c>
      <c r="V12" s="138">
        <v>0</v>
      </c>
      <c r="W12" s="125">
        <v>0</v>
      </c>
      <c r="X12" s="118">
        <v>0</v>
      </c>
      <c r="Y12" s="118">
        <v>0</v>
      </c>
      <c r="Z12" s="118">
        <v>0</v>
      </c>
      <c r="AA12" s="118">
        <v>0</v>
      </c>
      <c r="AB12" s="119">
        <v>0</v>
      </c>
      <c r="AC12" s="118">
        <v>0</v>
      </c>
      <c r="AD12" s="118">
        <v>0</v>
      </c>
      <c r="AE12" s="118">
        <v>0</v>
      </c>
      <c r="AF12" s="118">
        <v>0</v>
      </c>
      <c r="AG12" s="118">
        <v>0</v>
      </c>
      <c r="AH12" s="118">
        <v>0</v>
      </c>
      <c r="AI12" s="118">
        <v>0</v>
      </c>
      <c r="AJ12" s="118">
        <v>0</v>
      </c>
      <c r="AK12" s="118"/>
      <c r="AL12" s="138"/>
      <c r="AM12" s="125" t="s">
        <v>486</v>
      </c>
      <c r="AN12" s="118">
        <v>3</v>
      </c>
      <c r="AO12" s="118">
        <v>0</v>
      </c>
      <c r="AP12" s="118">
        <v>0</v>
      </c>
      <c r="AQ12" s="118">
        <v>0</v>
      </c>
      <c r="AR12" s="118">
        <v>0</v>
      </c>
      <c r="AS12" s="118">
        <v>1</v>
      </c>
      <c r="AT12" s="118">
        <v>0</v>
      </c>
      <c r="AU12" s="118">
        <v>0</v>
      </c>
      <c r="AV12" s="138">
        <v>0</v>
      </c>
      <c r="AW12" s="125" t="s">
        <v>485</v>
      </c>
      <c r="AX12" s="118">
        <v>2</v>
      </c>
      <c r="AY12" s="118">
        <v>0</v>
      </c>
      <c r="AZ12" s="118">
        <v>0</v>
      </c>
      <c r="BA12" s="118">
        <v>0</v>
      </c>
      <c r="BB12" s="118">
        <v>0</v>
      </c>
      <c r="BC12" s="118">
        <v>1</v>
      </c>
      <c r="BD12" s="118">
        <v>0</v>
      </c>
      <c r="BE12" s="118">
        <v>0</v>
      </c>
      <c r="BF12" s="138">
        <v>0</v>
      </c>
      <c r="BG12" s="125" t="s">
        <v>480</v>
      </c>
      <c r="BH12" s="118">
        <v>2</v>
      </c>
      <c r="BI12" s="118">
        <v>1</v>
      </c>
      <c r="BJ12" s="118">
        <v>1</v>
      </c>
      <c r="BK12" s="118">
        <v>0</v>
      </c>
      <c r="BL12" s="118">
        <v>0</v>
      </c>
      <c r="BM12" s="118">
        <v>0</v>
      </c>
      <c r="BN12" s="118">
        <v>0</v>
      </c>
      <c r="BO12" s="118">
        <v>0</v>
      </c>
      <c r="BP12" s="138">
        <v>2</v>
      </c>
      <c r="BQ12" s="125" t="s">
        <v>496</v>
      </c>
      <c r="BR12" s="118">
        <v>2</v>
      </c>
      <c r="BS12" s="118">
        <v>0</v>
      </c>
      <c r="BT12" s="118">
        <v>1</v>
      </c>
      <c r="BU12" s="118">
        <v>0</v>
      </c>
      <c r="BV12" s="118">
        <v>0</v>
      </c>
      <c r="BW12" s="118">
        <v>0</v>
      </c>
      <c r="BX12" s="118">
        <v>0</v>
      </c>
      <c r="BY12" s="118">
        <v>0</v>
      </c>
      <c r="BZ12" s="138">
        <v>1</v>
      </c>
      <c r="CA12" s="125" t="s">
        <v>473</v>
      </c>
      <c r="CB12" s="118">
        <v>1</v>
      </c>
      <c r="CC12" s="118">
        <v>0</v>
      </c>
      <c r="CD12" s="118">
        <v>0</v>
      </c>
      <c r="CE12" s="118">
        <v>1</v>
      </c>
      <c r="CF12" s="118">
        <v>0</v>
      </c>
      <c r="CG12" s="118">
        <v>0</v>
      </c>
      <c r="CH12" s="118">
        <v>0</v>
      </c>
      <c r="CI12" s="118">
        <v>1</v>
      </c>
      <c r="CJ12" s="138">
        <v>0</v>
      </c>
      <c r="CK12" s="125" t="s">
        <v>481</v>
      </c>
      <c r="CL12" s="118">
        <v>2</v>
      </c>
      <c r="CM12" s="118">
        <v>0</v>
      </c>
      <c r="CN12" s="118">
        <v>0</v>
      </c>
      <c r="CO12" s="118">
        <v>0</v>
      </c>
      <c r="CP12" s="118">
        <v>0</v>
      </c>
      <c r="CQ12" s="118">
        <v>0</v>
      </c>
      <c r="CR12" s="118">
        <v>0</v>
      </c>
      <c r="CS12" s="118">
        <v>0</v>
      </c>
      <c r="CT12" s="138">
        <v>0</v>
      </c>
      <c r="CU12" s="125" t="s">
        <v>489</v>
      </c>
      <c r="CV12" s="118">
        <v>1</v>
      </c>
      <c r="CW12" s="118">
        <v>0</v>
      </c>
      <c r="CX12" s="118">
        <v>0</v>
      </c>
      <c r="CY12" s="118">
        <v>0</v>
      </c>
      <c r="CZ12" s="118">
        <v>1</v>
      </c>
      <c r="DA12" s="118">
        <v>0</v>
      </c>
      <c r="DB12" s="118">
        <v>0</v>
      </c>
      <c r="DC12" s="118">
        <v>0</v>
      </c>
      <c r="DD12" s="138">
        <v>0</v>
      </c>
      <c r="DE12" s="125" t="s">
        <v>482</v>
      </c>
      <c r="DF12" s="118">
        <v>1</v>
      </c>
      <c r="DG12" s="118">
        <v>0</v>
      </c>
      <c r="DH12" s="118">
        <v>0</v>
      </c>
      <c r="DI12" s="118">
        <v>0</v>
      </c>
      <c r="DJ12" s="118">
        <v>1</v>
      </c>
      <c r="DK12" s="118">
        <v>0</v>
      </c>
      <c r="DL12" s="118">
        <v>0</v>
      </c>
      <c r="DM12" s="118">
        <v>0</v>
      </c>
      <c r="DN12" s="138">
        <v>0</v>
      </c>
      <c r="DO12" s="125" t="s">
        <v>479</v>
      </c>
      <c r="DP12" s="118">
        <v>0</v>
      </c>
      <c r="DQ12" s="118">
        <v>0</v>
      </c>
      <c r="DR12" s="118">
        <v>0</v>
      </c>
      <c r="DS12" s="118">
        <v>0</v>
      </c>
      <c r="DT12" s="118">
        <v>0</v>
      </c>
      <c r="DU12" s="118">
        <v>0</v>
      </c>
      <c r="DV12" s="118">
        <v>1</v>
      </c>
      <c r="DW12" s="118">
        <v>0</v>
      </c>
      <c r="DX12" s="138">
        <v>0</v>
      </c>
      <c r="DY12" s="140">
        <v>0</v>
      </c>
      <c r="DZ12" s="118">
        <v>0</v>
      </c>
      <c r="EA12" s="118">
        <v>0</v>
      </c>
      <c r="EB12" s="119">
        <f>4+2/3</f>
        <v>4.666666666666667</v>
      </c>
      <c r="EC12" s="118">
        <v>1</v>
      </c>
      <c r="ED12" s="138">
        <v>0</v>
      </c>
      <c r="EE12" s="125">
        <v>0</v>
      </c>
      <c r="EF12" s="118">
        <v>0</v>
      </c>
      <c r="EG12" s="118">
        <v>0</v>
      </c>
      <c r="EH12" s="118">
        <v>1</v>
      </c>
      <c r="EI12" s="118">
        <v>0</v>
      </c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38">
        <f t="shared" si="0"/>
        <v>1</v>
      </c>
      <c r="EY12" s="125">
        <v>0</v>
      </c>
      <c r="EZ12" s="118">
        <v>0</v>
      </c>
      <c r="FA12" s="118">
        <v>0</v>
      </c>
      <c r="FB12" s="118">
        <v>0</v>
      </c>
      <c r="FC12" s="118">
        <v>0</v>
      </c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38">
        <f t="shared" si="1"/>
        <v>0</v>
      </c>
      <c r="FS12" s="166">
        <f t="shared" si="2"/>
        <v>0</v>
      </c>
      <c r="FT12" s="167">
        <f t="shared" si="3"/>
        <v>0</v>
      </c>
      <c r="FU12" s="142" t="s">
        <v>472</v>
      </c>
    </row>
    <row r="13" spans="1:177" x14ac:dyDescent="0.25">
      <c r="A13" s="121">
        <v>40287</v>
      </c>
      <c r="B13" s="121" t="s">
        <v>133</v>
      </c>
      <c r="C13" s="121" t="s">
        <v>131</v>
      </c>
      <c r="D13" s="121" t="s">
        <v>495</v>
      </c>
      <c r="E13" s="120">
        <v>879</v>
      </c>
      <c r="F13" s="124">
        <v>5</v>
      </c>
      <c r="G13" s="118" t="s">
        <v>492</v>
      </c>
      <c r="H13" s="118">
        <v>0</v>
      </c>
      <c r="I13" s="118">
        <v>0</v>
      </c>
      <c r="J13" s="119">
        <v>6</v>
      </c>
      <c r="K13" s="118">
        <v>6</v>
      </c>
      <c r="L13" s="118">
        <v>2</v>
      </c>
      <c r="M13" s="118">
        <v>2</v>
      </c>
      <c r="N13" s="118">
        <v>0</v>
      </c>
      <c r="O13" s="118">
        <v>4</v>
      </c>
      <c r="P13" s="118">
        <v>0</v>
      </c>
      <c r="Q13" s="118">
        <v>0</v>
      </c>
      <c r="R13" s="118">
        <v>24</v>
      </c>
      <c r="S13" s="118"/>
      <c r="T13" s="118"/>
      <c r="U13" s="118">
        <v>0</v>
      </c>
      <c r="V13" s="138">
        <v>0</v>
      </c>
      <c r="W13" s="125">
        <v>0</v>
      </c>
      <c r="X13" s="118">
        <v>1</v>
      </c>
      <c r="Y13" s="118">
        <v>0</v>
      </c>
      <c r="Z13" s="118">
        <v>0</v>
      </c>
      <c r="AA13" s="118">
        <v>0</v>
      </c>
      <c r="AB13" s="119">
        <f>3+1/3</f>
        <v>3.3333333333333335</v>
      </c>
      <c r="AC13" s="118">
        <v>2</v>
      </c>
      <c r="AD13" s="118">
        <v>1</v>
      </c>
      <c r="AE13" s="118">
        <v>1</v>
      </c>
      <c r="AF13" s="118">
        <v>2</v>
      </c>
      <c r="AG13" s="118">
        <v>6</v>
      </c>
      <c r="AH13" s="118">
        <v>0</v>
      </c>
      <c r="AI13" s="118">
        <v>0</v>
      </c>
      <c r="AJ13" s="118">
        <v>14</v>
      </c>
      <c r="AK13" s="118"/>
      <c r="AL13" s="138"/>
      <c r="AM13" s="125" t="s">
        <v>486</v>
      </c>
      <c r="AN13" s="118">
        <v>5</v>
      </c>
      <c r="AO13" s="118">
        <v>0</v>
      </c>
      <c r="AP13" s="118">
        <v>2</v>
      </c>
      <c r="AQ13" s="118">
        <v>1</v>
      </c>
      <c r="AR13" s="118">
        <v>0</v>
      </c>
      <c r="AS13" s="118">
        <v>3</v>
      </c>
      <c r="AT13" s="118">
        <v>0</v>
      </c>
      <c r="AU13" s="118">
        <v>0</v>
      </c>
      <c r="AV13" s="138">
        <v>2</v>
      </c>
      <c r="AW13" s="125" t="s">
        <v>485</v>
      </c>
      <c r="AX13" s="118">
        <v>3</v>
      </c>
      <c r="AY13" s="118">
        <v>1</v>
      </c>
      <c r="AZ13" s="118">
        <v>0</v>
      </c>
      <c r="BA13" s="118">
        <v>0</v>
      </c>
      <c r="BB13" s="118">
        <v>1</v>
      </c>
      <c r="BC13" s="118">
        <v>1</v>
      </c>
      <c r="BD13" s="118">
        <v>0</v>
      </c>
      <c r="BE13" s="118">
        <v>0</v>
      </c>
      <c r="BF13" s="138">
        <v>0</v>
      </c>
      <c r="BG13" s="125" t="s">
        <v>480</v>
      </c>
      <c r="BH13" s="118">
        <v>4</v>
      </c>
      <c r="BI13" s="118">
        <v>0</v>
      </c>
      <c r="BJ13" s="118">
        <v>2</v>
      </c>
      <c r="BK13" s="118">
        <v>1</v>
      </c>
      <c r="BL13" s="118">
        <v>0</v>
      </c>
      <c r="BM13" s="118">
        <v>1</v>
      </c>
      <c r="BN13" s="118">
        <v>0</v>
      </c>
      <c r="BO13" s="118">
        <v>0</v>
      </c>
      <c r="BP13" s="138">
        <v>3</v>
      </c>
      <c r="BQ13" s="125" t="s">
        <v>496</v>
      </c>
      <c r="BR13" s="118">
        <v>4</v>
      </c>
      <c r="BS13" s="118">
        <v>0</v>
      </c>
      <c r="BT13" s="118">
        <v>1</v>
      </c>
      <c r="BU13" s="118">
        <v>0</v>
      </c>
      <c r="BV13" s="118">
        <v>0</v>
      </c>
      <c r="BW13" s="118">
        <v>1</v>
      </c>
      <c r="BX13" s="118">
        <v>0</v>
      </c>
      <c r="BY13" s="118">
        <v>0</v>
      </c>
      <c r="BZ13" s="138">
        <v>1</v>
      </c>
      <c r="CA13" s="125" t="s">
        <v>473</v>
      </c>
      <c r="CB13" s="118">
        <v>4</v>
      </c>
      <c r="CC13" s="118">
        <v>0</v>
      </c>
      <c r="CD13" s="118">
        <v>0</v>
      </c>
      <c r="CE13" s="118">
        <v>0</v>
      </c>
      <c r="CF13" s="118">
        <v>0</v>
      </c>
      <c r="CG13" s="118">
        <v>2</v>
      </c>
      <c r="CH13" s="118">
        <v>0</v>
      </c>
      <c r="CI13" s="118">
        <v>0</v>
      </c>
      <c r="CJ13" s="138">
        <v>0</v>
      </c>
      <c r="CK13" s="125" t="s">
        <v>484</v>
      </c>
      <c r="CL13" s="118">
        <v>4</v>
      </c>
      <c r="CM13" s="118">
        <v>0</v>
      </c>
      <c r="CN13" s="118">
        <v>0</v>
      </c>
      <c r="CO13" s="118">
        <v>0</v>
      </c>
      <c r="CP13" s="118">
        <v>0</v>
      </c>
      <c r="CQ13" s="118">
        <v>1</v>
      </c>
      <c r="CR13" s="118">
        <v>0</v>
      </c>
      <c r="CS13" s="118">
        <v>0</v>
      </c>
      <c r="CT13" s="138">
        <v>0</v>
      </c>
      <c r="CU13" s="125" t="s">
        <v>481</v>
      </c>
      <c r="CV13" s="118">
        <v>4</v>
      </c>
      <c r="CW13" s="118">
        <v>0</v>
      </c>
      <c r="CX13" s="118">
        <v>0</v>
      </c>
      <c r="CY13" s="118">
        <v>0</v>
      </c>
      <c r="CZ13" s="118">
        <v>0</v>
      </c>
      <c r="DA13" s="118">
        <v>0</v>
      </c>
      <c r="DB13" s="118">
        <v>0</v>
      </c>
      <c r="DC13" s="118">
        <v>0</v>
      </c>
      <c r="DD13" s="138">
        <v>0</v>
      </c>
      <c r="DE13" s="125" t="s">
        <v>489</v>
      </c>
      <c r="DF13" s="118">
        <v>4</v>
      </c>
      <c r="DG13" s="118">
        <v>1</v>
      </c>
      <c r="DH13" s="118">
        <v>1</v>
      </c>
      <c r="DI13" s="118">
        <v>0</v>
      </c>
      <c r="DJ13" s="118">
        <v>0</v>
      </c>
      <c r="DK13" s="118">
        <v>2</v>
      </c>
      <c r="DL13" s="118">
        <v>0</v>
      </c>
      <c r="DM13" s="118">
        <v>0</v>
      </c>
      <c r="DN13" s="138">
        <v>2</v>
      </c>
      <c r="DO13" s="125" t="s">
        <v>479</v>
      </c>
      <c r="DP13" s="118">
        <v>4</v>
      </c>
      <c r="DQ13" s="118">
        <v>0</v>
      </c>
      <c r="DR13" s="118">
        <v>3</v>
      </c>
      <c r="DS13" s="118">
        <v>0</v>
      </c>
      <c r="DT13" s="118">
        <v>0</v>
      </c>
      <c r="DU13" s="118">
        <v>0</v>
      </c>
      <c r="DV13" s="118">
        <v>0</v>
      </c>
      <c r="DW13" s="118">
        <v>0</v>
      </c>
      <c r="DX13" s="138">
        <v>4</v>
      </c>
      <c r="DY13" s="140">
        <v>2</v>
      </c>
      <c r="DZ13" s="118">
        <v>1</v>
      </c>
      <c r="EA13" s="118">
        <v>1</v>
      </c>
      <c r="EB13" s="119">
        <v>8</v>
      </c>
      <c r="EC13" s="118">
        <v>0</v>
      </c>
      <c r="ED13" s="138">
        <v>0</v>
      </c>
      <c r="EE13" s="125">
        <v>0</v>
      </c>
      <c r="EF13" s="118">
        <v>0</v>
      </c>
      <c r="EG13" s="118">
        <v>2</v>
      </c>
      <c r="EH13" s="118">
        <v>0</v>
      </c>
      <c r="EI13" s="118">
        <v>0</v>
      </c>
      <c r="EJ13" s="118">
        <v>0</v>
      </c>
      <c r="EK13" s="118">
        <v>0</v>
      </c>
      <c r="EL13" s="118">
        <v>0</v>
      </c>
      <c r="EM13" s="118">
        <v>0</v>
      </c>
      <c r="EN13" s="118">
        <v>0</v>
      </c>
      <c r="EO13" s="118"/>
      <c r="EP13" s="118"/>
      <c r="EQ13" s="118"/>
      <c r="ER13" s="118"/>
      <c r="ES13" s="118"/>
      <c r="ET13" s="118"/>
      <c r="EU13" s="118"/>
      <c r="EV13" s="118"/>
      <c r="EW13" s="118"/>
      <c r="EX13" s="138">
        <f t="shared" si="0"/>
        <v>2</v>
      </c>
      <c r="EY13" s="125">
        <v>0</v>
      </c>
      <c r="EZ13" s="118">
        <v>2</v>
      </c>
      <c r="FA13" s="118">
        <v>0</v>
      </c>
      <c r="FB13" s="118">
        <v>0</v>
      </c>
      <c r="FC13" s="118">
        <v>0</v>
      </c>
      <c r="FD13" s="118">
        <v>0</v>
      </c>
      <c r="FE13" s="118">
        <v>0</v>
      </c>
      <c r="FF13" s="118">
        <v>0</v>
      </c>
      <c r="FG13" s="118">
        <v>0</v>
      </c>
      <c r="FH13" s="118">
        <v>1</v>
      </c>
      <c r="FI13" s="118"/>
      <c r="FJ13" s="118"/>
      <c r="FK13" s="118"/>
      <c r="FL13" s="118"/>
      <c r="FM13" s="118"/>
      <c r="FN13" s="118"/>
      <c r="FO13" s="118"/>
      <c r="FP13" s="118"/>
      <c r="FQ13" s="118"/>
      <c r="FR13" s="138">
        <f t="shared" si="1"/>
        <v>3</v>
      </c>
      <c r="FS13" s="166">
        <f t="shared" si="2"/>
        <v>0</v>
      </c>
      <c r="FT13" s="167">
        <f t="shared" si="3"/>
        <v>0</v>
      </c>
      <c r="FU13" s="142"/>
    </row>
    <row r="14" spans="1:177" x14ac:dyDescent="0.25">
      <c r="A14" s="121">
        <v>40288</v>
      </c>
      <c r="B14" s="121" t="s">
        <v>133</v>
      </c>
      <c r="C14" s="121" t="s">
        <v>129</v>
      </c>
      <c r="D14" s="121" t="s">
        <v>495</v>
      </c>
      <c r="E14" s="120">
        <v>1226</v>
      </c>
      <c r="F14" s="124">
        <v>1</v>
      </c>
      <c r="G14" s="118" t="s">
        <v>493</v>
      </c>
      <c r="H14" s="118">
        <v>0</v>
      </c>
      <c r="I14" s="118">
        <v>0</v>
      </c>
      <c r="J14" s="119">
        <f>3+1/3</f>
        <v>3.3333333333333335</v>
      </c>
      <c r="K14" s="118">
        <v>5</v>
      </c>
      <c r="L14" s="118">
        <v>4</v>
      </c>
      <c r="M14" s="118">
        <v>4</v>
      </c>
      <c r="N14" s="118">
        <v>5</v>
      </c>
      <c r="O14" s="118">
        <v>4</v>
      </c>
      <c r="P14" s="118">
        <v>0</v>
      </c>
      <c r="Q14" s="118">
        <v>0</v>
      </c>
      <c r="R14" s="118">
        <v>18</v>
      </c>
      <c r="S14" s="118"/>
      <c r="T14" s="118"/>
      <c r="U14" s="118">
        <v>1</v>
      </c>
      <c r="V14" s="138">
        <v>0</v>
      </c>
      <c r="W14" s="125">
        <v>1</v>
      </c>
      <c r="X14" s="118">
        <v>0</v>
      </c>
      <c r="Y14" s="118">
        <v>0</v>
      </c>
      <c r="Z14" s="118">
        <v>1</v>
      </c>
      <c r="AA14" s="118">
        <v>0</v>
      </c>
      <c r="AB14" s="119">
        <f>6+2/3</f>
        <v>6.666666666666667</v>
      </c>
      <c r="AC14" s="118">
        <v>4</v>
      </c>
      <c r="AD14" s="118">
        <v>2</v>
      </c>
      <c r="AE14" s="118">
        <v>2</v>
      </c>
      <c r="AF14" s="118">
        <v>2</v>
      </c>
      <c r="AG14" s="118">
        <v>8</v>
      </c>
      <c r="AH14" s="118">
        <v>0</v>
      </c>
      <c r="AI14" s="118">
        <v>0</v>
      </c>
      <c r="AJ14" s="118">
        <v>25</v>
      </c>
      <c r="AK14" s="118"/>
      <c r="AL14" s="138"/>
      <c r="AM14" s="125" t="s">
        <v>486</v>
      </c>
      <c r="AN14" s="118">
        <v>4</v>
      </c>
      <c r="AO14" s="118">
        <v>0</v>
      </c>
      <c r="AP14" s="118">
        <v>1</v>
      </c>
      <c r="AQ14" s="118">
        <v>0</v>
      </c>
      <c r="AR14" s="118">
        <v>1</v>
      </c>
      <c r="AS14" s="118">
        <v>1</v>
      </c>
      <c r="AT14" s="118">
        <v>0</v>
      </c>
      <c r="AU14" s="118">
        <v>0</v>
      </c>
      <c r="AV14" s="138">
        <v>3</v>
      </c>
      <c r="AW14" s="125" t="s">
        <v>485</v>
      </c>
      <c r="AX14" s="118">
        <v>5</v>
      </c>
      <c r="AY14" s="118">
        <v>1</v>
      </c>
      <c r="AZ14" s="118">
        <v>1</v>
      </c>
      <c r="BA14" s="118">
        <v>1</v>
      </c>
      <c r="BB14" s="118">
        <v>0</v>
      </c>
      <c r="BC14" s="118">
        <v>1</v>
      </c>
      <c r="BD14" s="118">
        <v>0</v>
      </c>
      <c r="BE14" s="118">
        <v>0</v>
      </c>
      <c r="BF14" s="138">
        <v>4</v>
      </c>
      <c r="BG14" s="125" t="s">
        <v>480</v>
      </c>
      <c r="BH14" s="118">
        <v>3</v>
      </c>
      <c r="BI14" s="118">
        <v>0</v>
      </c>
      <c r="BJ14" s="118">
        <v>0</v>
      </c>
      <c r="BK14" s="118">
        <v>0</v>
      </c>
      <c r="BL14" s="118">
        <v>2</v>
      </c>
      <c r="BM14" s="118">
        <v>0</v>
      </c>
      <c r="BN14" s="118">
        <v>0</v>
      </c>
      <c r="BO14" s="118">
        <v>0</v>
      </c>
      <c r="BP14" s="138">
        <v>0</v>
      </c>
      <c r="BQ14" s="125" t="s">
        <v>496</v>
      </c>
      <c r="BR14" s="118">
        <v>3</v>
      </c>
      <c r="BS14" s="118">
        <v>2</v>
      </c>
      <c r="BT14" s="118">
        <v>0</v>
      </c>
      <c r="BU14" s="118">
        <v>0</v>
      </c>
      <c r="BV14" s="118">
        <v>2</v>
      </c>
      <c r="BW14" s="118">
        <v>2</v>
      </c>
      <c r="BX14" s="118">
        <v>0</v>
      </c>
      <c r="BY14" s="118">
        <v>0</v>
      </c>
      <c r="BZ14" s="138">
        <v>0</v>
      </c>
      <c r="CA14" s="125" t="s">
        <v>473</v>
      </c>
      <c r="CB14" s="118">
        <v>4</v>
      </c>
      <c r="CC14" s="118">
        <v>2</v>
      </c>
      <c r="CD14" s="118">
        <v>2</v>
      </c>
      <c r="CE14" s="118">
        <v>0</v>
      </c>
      <c r="CF14" s="118">
        <v>1</v>
      </c>
      <c r="CG14" s="118">
        <v>0</v>
      </c>
      <c r="CH14" s="118">
        <v>0</v>
      </c>
      <c r="CI14" s="118">
        <v>0</v>
      </c>
      <c r="CJ14" s="138">
        <v>2</v>
      </c>
      <c r="CK14" s="125" t="s">
        <v>483</v>
      </c>
      <c r="CL14" s="118">
        <v>4</v>
      </c>
      <c r="CM14" s="118">
        <v>1</v>
      </c>
      <c r="CN14" s="118">
        <v>1</v>
      </c>
      <c r="CO14" s="118">
        <v>2</v>
      </c>
      <c r="CP14" s="118">
        <v>1</v>
      </c>
      <c r="CQ14" s="118">
        <v>2</v>
      </c>
      <c r="CR14" s="118">
        <v>0</v>
      </c>
      <c r="CS14" s="118">
        <v>0</v>
      </c>
      <c r="CT14" s="138">
        <v>2</v>
      </c>
      <c r="CU14" s="125" t="s">
        <v>491</v>
      </c>
      <c r="CV14" s="118">
        <v>4</v>
      </c>
      <c r="CW14" s="118">
        <v>0</v>
      </c>
      <c r="CX14" s="118">
        <v>1</v>
      </c>
      <c r="CY14" s="118">
        <v>1</v>
      </c>
      <c r="CZ14" s="118">
        <v>0</v>
      </c>
      <c r="DA14" s="118">
        <v>1</v>
      </c>
      <c r="DB14" s="118">
        <v>0</v>
      </c>
      <c r="DC14" s="118">
        <v>0</v>
      </c>
      <c r="DD14" s="138">
        <v>1</v>
      </c>
      <c r="DE14" s="125" t="s">
        <v>335</v>
      </c>
      <c r="DF14" s="118">
        <v>4</v>
      </c>
      <c r="DG14" s="118">
        <v>1</v>
      </c>
      <c r="DH14" s="118">
        <v>0</v>
      </c>
      <c r="DI14" s="118">
        <v>1</v>
      </c>
      <c r="DJ14" s="118">
        <v>0</v>
      </c>
      <c r="DK14" s="118">
        <v>1</v>
      </c>
      <c r="DL14" s="118">
        <v>0</v>
      </c>
      <c r="DM14" s="118">
        <v>0</v>
      </c>
      <c r="DN14" s="138">
        <v>0</v>
      </c>
      <c r="DO14" s="125" t="s">
        <v>479</v>
      </c>
      <c r="DP14" s="118">
        <v>4</v>
      </c>
      <c r="DQ14" s="118">
        <v>0</v>
      </c>
      <c r="DR14" s="118">
        <v>1</v>
      </c>
      <c r="DS14" s="118">
        <v>2</v>
      </c>
      <c r="DT14" s="118">
        <v>0</v>
      </c>
      <c r="DU14" s="118">
        <v>2</v>
      </c>
      <c r="DV14" s="118">
        <v>0</v>
      </c>
      <c r="DW14" s="118">
        <v>0</v>
      </c>
      <c r="DX14" s="138">
        <v>3</v>
      </c>
      <c r="DY14" s="140">
        <v>4</v>
      </c>
      <c r="DZ14" s="118">
        <v>0</v>
      </c>
      <c r="EA14" s="118">
        <v>0</v>
      </c>
      <c r="EB14" s="119">
        <v>6</v>
      </c>
      <c r="EC14" s="118">
        <v>0</v>
      </c>
      <c r="ED14" s="138">
        <v>0</v>
      </c>
      <c r="EE14" s="125">
        <v>0</v>
      </c>
      <c r="EF14" s="118">
        <v>0</v>
      </c>
      <c r="EG14" s="118">
        <v>0</v>
      </c>
      <c r="EH14" s="118">
        <v>4</v>
      </c>
      <c r="EI14" s="118">
        <v>0</v>
      </c>
      <c r="EJ14" s="118">
        <v>0</v>
      </c>
      <c r="EK14" s="118">
        <v>0</v>
      </c>
      <c r="EL14" s="118">
        <v>2</v>
      </c>
      <c r="EM14" s="118">
        <v>0</v>
      </c>
      <c r="EN14" s="118">
        <v>1</v>
      </c>
      <c r="EO14" s="118"/>
      <c r="EP14" s="118"/>
      <c r="EQ14" s="118"/>
      <c r="ER14" s="118"/>
      <c r="ES14" s="118"/>
      <c r="ET14" s="118"/>
      <c r="EU14" s="118"/>
      <c r="EV14" s="118"/>
      <c r="EW14" s="118"/>
      <c r="EX14" s="138">
        <f t="shared" si="0"/>
        <v>7</v>
      </c>
      <c r="EY14" s="125">
        <v>0</v>
      </c>
      <c r="EZ14" s="118">
        <v>0</v>
      </c>
      <c r="FA14" s="118">
        <v>0</v>
      </c>
      <c r="FB14" s="118">
        <v>4</v>
      </c>
      <c r="FC14" s="118">
        <v>0</v>
      </c>
      <c r="FD14" s="118">
        <v>0</v>
      </c>
      <c r="FE14" s="118">
        <v>2</v>
      </c>
      <c r="FF14" s="118">
        <v>0</v>
      </c>
      <c r="FG14" s="118">
        <v>0</v>
      </c>
      <c r="FH14" s="118">
        <v>0</v>
      </c>
      <c r="FI14" s="118"/>
      <c r="FJ14" s="118"/>
      <c r="FK14" s="118"/>
      <c r="FL14" s="118"/>
      <c r="FM14" s="118"/>
      <c r="FN14" s="118"/>
      <c r="FO14" s="118"/>
      <c r="FP14" s="118"/>
      <c r="FQ14" s="118"/>
      <c r="FR14" s="138">
        <f t="shared" si="1"/>
        <v>6</v>
      </c>
      <c r="FS14" s="166">
        <f t="shared" si="2"/>
        <v>0</v>
      </c>
      <c r="FT14" s="167">
        <f t="shared" si="3"/>
        <v>0</v>
      </c>
      <c r="FU14" s="142"/>
    </row>
    <row r="15" spans="1:177" x14ac:dyDescent="0.25">
      <c r="A15" s="121">
        <v>40289</v>
      </c>
      <c r="B15" s="121" t="s">
        <v>133</v>
      </c>
      <c r="C15" s="121" t="s">
        <v>131</v>
      </c>
      <c r="D15" s="121" t="s">
        <v>495</v>
      </c>
      <c r="E15" s="120">
        <v>951</v>
      </c>
      <c r="F15" s="124">
        <v>2</v>
      </c>
      <c r="G15" s="118" t="s">
        <v>498</v>
      </c>
      <c r="H15" s="118">
        <v>0</v>
      </c>
      <c r="I15" s="118">
        <v>1</v>
      </c>
      <c r="J15" s="119">
        <v>5</v>
      </c>
      <c r="K15" s="118">
        <v>10</v>
      </c>
      <c r="L15" s="118">
        <v>4</v>
      </c>
      <c r="M15" s="118">
        <v>4</v>
      </c>
      <c r="N15" s="118">
        <v>1</v>
      </c>
      <c r="O15" s="118">
        <v>8</v>
      </c>
      <c r="P15" s="118">
        <v>0</v>
      </c>
      <c r="Q15" s="118">
        <v>0</v>
      </c>
      <c r="R15" s="118">
        <v>25</v>
      </c>
      <c r="S15" s="118"/>
      <c r="T15" s="118"/>
      <c r="U15" s="118">
        <v>0</v>
      </c>
      <c r="V15" s="138">
        <v>0</v>
      </c>
      <c r="W15" s="125">
        <v>0</v>
      </c>
      <c r="X15" s="118">
        <v>0</v>
      </c>
      <c r="Y15" s="118">
        <v>0</v>
      </c>
      <c r="Z15" s="118">
        <v>0</v>
      </c>
      <c r="AA15" s="118">
        <v>0</v>
      </c>
      <c r="AB15" s="119">
        <v>3</v>
      </c>
      <c r="AC15" s="118">
        <v>1</v>
      </c>
      <c r="AD15" s="118">
        <v>0</v>
      </c>
      <c r="AE15" s="118">
        <v>0</v>
      </c>
      <c r="AF15" s="118">
        <v>0</v>
      </c>
      <c r="AG15" s="118">
        <v>5</v>
      </c>
      <c r="AH15" s="118">
        <v>0</v>
      </c>
      <c r="AI15" s="118">
        <v>0</v>
      </c>
      <c r="AJ15" s="118">
        <v>10</v>
      </c>
      <c r="AK15" s="118"/>
      <c r="AL15" s="138"/>
      <c r="AM15" s="125" t="s">
        <v>491</v>
      </c>
      <c r="AN15" s="118">
        <v>4</v>
      </c>
      <c r="AO15" s="118">
        <v>1</v>
      </c>
      <c r="AP15" s="118">
        <v>1</v>
      </c>
      <c r="AQ15" s="118">
        <v>0</v>
      </c>
      <c r="AR15" s="118">
        <v>0</v>
      </c>
      <c r="AS15" s="118">
        <v>1</v>
      </c>
      <c r="AT15" s="118">
        <v>0</v>
      </c>
      <c r="AU15" s="118">
        <v>0</v>
      </c>
      <c r="AV15" s="138">
        <v>3</v>
      </c>
      <c r="AW15" s="125" t="s">
        <v>485</v>
      </c>
      <c r="AX15" s="118">
        <v>4</v>
      </c>
      <c r="AY15" s="118">
        <v>0</v>
      </c>
      <c r="AZ15" s="118">
        <v>2</v>
      </c>
      <c r="BA15" s="118">
        <v>1</v>
      </c>
      <c r="BB15" s="118">
        <v>0</v>
      </c>
      <c r="BC15" s="118">
        <v>1</v>
      </c>
      <c r="BD15" s="118">
        <v>0</v>
      </c>
      <c r="BE15" s="118">
        <v>0</v>
      </c>
      <c r="BF15" s="138">
        <v>3</v>
      </c>
      <c r="BG15" s="125" t="s">
        <v>480</v>
      </c>
      <c r="BH15" s="118">
        <v>4</v>
      </c>
      <c r="BI15" s="118">
        <v>0</v>
      </c>
      <c r="BJ15" s="118">
        <v>1</v>
      </c>
      <c r="BK15" s="118">
        <v>0</v>
      </c>
      <c r="BL15" s="118">
        <v>0</v>
      </c>
      <c r="BM15" s="118">
        <v>1</v>
      </c>
      <c r="BN15" s="118">
        <v>0</v>
      </c>
      <c r="BO15" s="118">
        <v>0</v>
      </c>
      <c r="BP15" s="138">
        <v>2</v>
      </c>
      <c r="BQ15" s="125" t="s">
        <v>496</v>
      </c>
      <c r="BR15" s="118">
        <v>4</v>
      </c>
      <c r="BS15" s="118">
        <v>1</v>
      </c>
      <c r="BT15" s="118">
        <v>2</v>
      </c>
      <c r="BU15" s="118">
        <v>1</v>
      </c>
      <c r="BV15" s="118">
        <v>0</v>
      </c>
      <c r="BW15" s="118">
        <v>0</v>
      </c>
      <c r="BX15" s="118">
        <v>0</v>
      </c>
      <c r="BY15" s="118">
        <v>0</v>
      </c>
      <c r="BZ15" s="138">
        <v>5</v>
      </c>
      <c r="CA15" s="125" t="s">
        <v>473</v>
      </c>
      <c r="CB15" s="118">
        <v>2</v>
      </c>
      <c r="CC15" s="118">
        <v>0</v>
      </c>
      <c r="CD15" s="118">
        <v>0</v>
      </c>
      <c r="CE15" s="118">
        <v>0</v>
      </c>
      <c r="CF15" s="118">
        <v>2</v>
      </c>
      <c r="CG15" s="118">
        <v>0</v>
      </c>
      <c r="CH15" s="118">
        <v>0</v>
      </c>
      <c r="CI15" s="118">
        <v>0</v>
      </c>
      <c r="CJ15" s="138">
        <v>0</v>
      </c>
      <c r="CK15" s="125" t="s">
        <v>481</v>
      </c>
      <c r="CL15" s="118">
        <v>4</v>
      </c>
      <c r="CM15" s="118">
        <v>0</v>
      </c>
      <c r="CN15" s="118">
        <v>0</v>
      </c>
      <c r="CO15" s="118">
        <v>0</v>
      </c>
      <c r="CP15" s="118">
        <v>0</v>
      </c>
      <c r="CQ15" s="118">
        <v>2</v>
      </c>
      <c r="CR15" s="118">
        <v>0</v>
      </c>
      <c r="CS15" s="118">
        <v>0</v>
      </c>
      <c r="CT15" s="138">
        <v>0</v>
      </c>
      <c r="CU15" s="125" t="s">
        <v>489</v>
      </c>
      <c r="CV15" s="118">
        <v>4</v>
      </c>
      <c r="CW15" s="118">
        <v>0</v>
      </c>
      <c r="CX15" s="118">
        <v>2</v>
      </c>
      <c r="CY15" s="118">
        <v>0</v>
      </c>
      <c r="CZ15" s="118">
        <v>0</v>
      </c>
      <c r="DA15" s="118">
        <v>0</v>
      </c>
      <c r="DB15" s="118">
        <v>0</v>
      </c>
      <c r="DC15" s="118">
        <v>0</v>
      </c>
      <c r="DD15" s="138">
        <v>2</v>
      </c>
      <c r="DE15" s="125" t="s">
        <v>482</v>
      </c>
      <c r="DF15" s="118">
        <v>4</v>
      </c>
      <c r="DG15" s="118">
        <v>0</v>
      </c>
      <c r="DH15" s="118">
        <v>2</v>
      </c>
      <c r="DI15" s="118">
        <v>0</v>
      </c>
      <c r="DJ15" s="118">
        <v>0</v>
      </c>
      <c r="DK15" s="118">
        <v>1</v>
      </c>
      <c r="DL15" s="118">
        <v>0</v>
      </c>
      <c r="DM15" s="118">
        <v>0</v>
      </c>
      <c r="DN15" s="138">
        <v>2</v>
      </c>
      <c r="DO15" s="125" t="s">
        <v>479</v>
      </c>
      <c r="DP15" s="118">
        <v>4</v>
      </c>
      <c r="DQ15" s="118">
        <v>0</v>
      </c>
      <c r="DR15" s="118">
        <v>1</v>
      </c>
      <c r="DS15" s="118">
        <v>0</v>
      </c>
      <c r="DT15" s="118">
        <v>0</v>
      </c>
      <c r="DU15" s="118">
        <v>0</v>
      </c>
      <c r="DV15" s="118">
        <v>0</v>
      </c>
      <c r="DW15" s="118">
        <v>0</v>
      </c>
      <c r="DX15" s="138">
        <v>1</v>
      </c>
      <c r="DY15" s="140">
        <f>1+2/3</f>
        <v>1.6666666666666665</v>
      </c>
      <c r="DZ15" s="118">
        <v>0</v>
      </c>
      <c r="EA15" s="118">
        <v>0</v>
      </c>
      <c r="EB15" s="119">
        <f>7+1/3</f>
        <v>7.333333333333333</v>
      </c>
      <c r="EC15" s="118">
        <v>0</v>
      </c>
      <c r="ED15" s="138">
        <v>1</v>
      </c>
      <c r="EE15" s="125">
        <v>0</v>
      </c>
      <c r="EF15" s="118">
        <v>0</v>
      </c>
      <c r="EG15" s="118">
        <v>0</v>
      </c>
      <c r="EH15" s="118">
        <v>0</v>
      </c>
      <c r="EI15" s="118">
        <v>0</v>
      </c>
      <c r="EJ15" s="118">
        <v>1</v>
      </c>
      <c r="EK15" s="118">
        <v>0</v>
      </c>
      <c r="EL15" s="118">
        <v>0</v>
      </c>
      <c r="EM15" s="118">
        <v>1</v>
      </c>
      <c r="EN15" s="118"/>
      <c r="EO15" s="118"/>
      <c r="EP15" s="118"/>
      <c r="EQ15" s="118"/>
      <c r="ER15" s="118"/>
      <c r="ES15" s="118"/>
      <c r="ET15" s="118"/>
      <c r="EU15" s="118"/>
      <c r="EV15" s="118"/>
      <c r="EW15" s="118"/>
      <c r="EX15" s="138">
        <f t="shared" si="0"/>
        <v>2</v>
      </c>
      <c r="EY15" s="125">
        <v>0</v>
      </c>
      <c r="EZ15" s="118">
        <v>1</v>
      </c>
      <c r="FA15" s="118">
        <v>0</v>
      </c>
      <c r="FB15" s="118">
        <v>1</v>
      </c>
      <c r="FC15" s="118">
        <v>2</v>
      </c>
      <c r="FD15" s="118">
        <v>0</v>
      </c>
      <c r="FE15" s="118">
        <v>0</v>
      </c>
      <c r="FF15" s="118">
        <v>0</v>
      </c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38">
        <f t="shared" si="1"/>
        <v>4</v>
      </c>
      <c r="FS15" s="166">
        <f t="shared" si="2"/>
        <v>0</v>
      </c>
      <c r="FT15" s="167">
        <f t="shared" si="3"/>
        <v>0</v>
      </c>
      <c r="FU15" s="142"/>
    </row>
    <row r="16" spans="1:177" x14ac:dyDescent="0.25">
      <c r="A16" s="121">
        <v>40290</v>
      </c>
      <c r="B16" s="121" t="s">
        <v>19</v>
      </c>
      <c r="C16" s="121" t="s">
        <v>131</v>
      </c>
      <c r="D16" s="121" t="s">
        <v>488</v>
      </c>
      <c r="E16" s="120">
        <v>2259</v>
      </c>
      <c r="F16" s="124">
        <v>3</v>
      </c>
      <c r="G16" s="118" t="s">
        <v>490</v>
      </c>
      <c r="H16" s="118">
        <v>0</v>
      </c>
      <c r="I16" s="118">
        <v>1</v>
      </c>
      <c r="J16" s="119">
        <v>4</v>
      </c>
      <c r="K16" s="118">
        <v>7</v>
      </c>
      <c r="L16" s="118">
        <v>6</v>
      </c>
      <c r="M16" s="118">
        <v>4</v>
      </c>
      <c r="N16" s="118">
        <v>3</v>
      </c>
      <c r="O16" s="118">
        <v>3</v>
      </c>
      <c r="P16" s="118">
        <v>0</v>
      </c>
      <c r="Q16" s="118">
        <v>0</v>
      </c>
      <c r="R16" s="118">
        <v>22</v>
      </c>
      <c r="S16" s="118"/>
      <c r="T16" s="118"/>
      <c r="U16" s="118">
        <v>0</v>
      </c>
      <c r="V16" s="138">
        <v>0</v>
      </c>
      <c r="W16" s="125">
        <v>0</v>
      </c>
      <c r="X16" s="118">
        <v>0</v>
      </c>
      <c r="Y16" s="118">
        <v>0</v>
      </c>
      <c r="Z16" s="118">
        <v>0</v>
      </c>
      <c r="AA16" s="118">
        <v>0</v>
      </c>
      <c r="AB16" s="119">
        <v>5</v>
      </c>
      <c r="AC16" s="118">
        <v>1</v>
      </c>
      <c r="AD16" s="118">
        <v>0</v>
      </c>
      <c r="AE16" s="118">
        <v>0</v>
      </c>
      <c r="AF16" s="118">
        <v>2</v>
      </c>
      <c r="AG16" s="118">
        <v>9</v>
      </c>
      <c r="AH16" s="118">
        <v>0</v>
      </c>
      <c r="AI16" s="118">
        <v>0</v>
      </c>
      <c r="AJ16" s="118">
        <v>18</v>
      </c>
      <c r="AK16" s="118"/>
      <c r="AL16" s="138"/>
      <c r="AM16" s="125" t="s">
        <v>486</v>
      </c>
      <c r="AN16" s="118">
        <v>4</v>
      </c>
      <c r="AO16" s="118">
        <v>0</v>
      </c>
      <c r="AP16" s="118">
        <v>2</v>
      </c>
      <c r="AQ16" s="118">
        <v>0</v>
      </c>
      <c r="AR16" s="118">
        <v>1</v>
      </c>
      <c r="AS16" s="118">
        <v>0</v>
      </c>
      <c r="AT16" s="118">
        <v>0</v>
      </c>
      <c r="AU16" s="118">
        <v>0</v>
      </c>
      <c r="AV16" s="138">
        <v>3</v>
      </c>
      <c r="AW16" s="125" t="s">
        <v>485</v>
      </c>
      <c r="AX16" s="118">
        <v>4</v>
      </c>
      <c r="AY16" s="118">
        <v>0</v>
      </c>
      <c r="AZ16" s="118">
        <v>0</v>
      </c>
      <c r="BA16" s="118">
        <v>0</v>
      </c>
      <c r="BB16" s="118">
        <v>1</v>
      </c>
      <c r="BC16" s="118">
        <v>1</v>
      </c>
      <c r="BD16" s="118">
        <v>0</v>
      </c>
      <c r="BE16" s="118">
        <v>0</v>
      </c>
      <c r="BF16" s="138">
        <v>0</v>
      </c>
      <c r="BG16" s="125" t="s">
        <v>481</v>
      </c>
      <c r="BH16" s="118">
        <v>5</v>
      </c>
      <c r="BI16" s="118">
        <v>0</v>
      </c>
      <c r="BJ16" s="118">
        <v>0</v>
      </c>
      <c r="BK16" s="118">
        <v>0</v>
      </c>
      <c r="BL16" s="118">
        <v>0</v>
      </c>
      <c r="BM16" s="118">
        <v>1</v>
      </c>
      <c r="BN16" s="118">
        <v>0</v>
      </c>
      <c r="BO16" s="118">
        <v>0</v>
      </c>
      <c r="BP16" s="138">
        <v>0</v>
      </c>
      <c r="BQ16" s="125" t="s">
        <v>496</v>
      </c>
      <c r="BR16" s="118">
        <v>3</v>
      </c>
      <c r="BS16" s="118">
        <v>1</v>
      </c>
      <c r="BT16" s="118">
        <v>1</v>
      </c>
      <c r="BU16" s="118">
        <v>1</v>
      </c>
      <c r="BV16" s="118">
        <v>1</v>
      </c>
      <c r="BW16" s="118">
        <v>0</v>
      </c>
      <c r="BX16" s="118">
        <v>0</v>
      </c>
      <c r="BY16" s="118">
        <v>0</v>
      </c>
      <c r="BZ16" s="138">
        <v>4</v>
      </c>
      <c r="CA16" s="125" t="s">
        <v>473</v>
      </c>
      <c r="CB16" s="118">
        <v>4</v>
      </c>
      <c r="CC16" s="118">
        <v>0</v>
      </c>
      <c r="CD16" s="118">
        <v>0</v>
      </c>
      <c r="CE16" s="118">
        <v>0</v>
      </c>
      <c r="CF16" s="118">
        <v>0</v>
      </c>
      <c r="CG16" s="118">
        <v>1</v>
      </c>
      <c r="CH16" s="118">
        <v>0</v>
      </c>
      <c r="CI16" s="118">
        <v>0</v>
      </c>
      <c r="CJ16" s="138">
        <v>0</v>
      </c>
      <c r="CK16" s="125" t="s">
        <v>480</v>
      </c>
      <c r="CL16" s="118">
        <v>4</v>
      </c>
      <c r="CM16" s="118">
        <v>0</v>
      </c>
      <c r="CN16" s="118">
        <v>1</v>
      </c>
      <c r="CO16" s="118">
        <v>0</v>
      </c>
      <c r="CP16" s="118">
        <v>0</v>
      </c>
      <c r="CQ16" s="118">
        <v>0</v>
      </c>
      <c r="CR16" s="118">
        <v>0</v>
      </c>
      <c r="CS16" s="118">
        <v>0</v>
      </c>
      <c r="CT16" s="138">
        <v>1</v>
      </c>
      <c r="CU16" s="125" t="s">
        <v>489</v>
      </c>
      <c r="CV16" s="118">
        <v>3</v>
      </c>
      <c r="CW16" s="118">
        <v>0</v>
      </c>
      <c r="CX16" s="118">
        <v>2</v>
      </c>
      <c r="CY16" s="118">
        <v>0</v>
      </c>
      <c r="CZ16" s="118">
        <v>1</v>
      </c>
      <c r="DA16" s="118">
        <v>0</v>
      </c>
      <c r="DB16" s="118">
        <v>0</v>
      </c>
      <c r="DC16" s="118">
        <v>0</v>
      </c>
      <c r="DD16" s="138">
        <v>2</v>
      </c>
      <c r="DE16" s="125" t="s">
        <v>482</v>
      </c>
      <c r="DF16" s="118">
        <v>2</v>
      </c>
      <c r="DG16" s="118">
        <v>0</v>
      </c>
      <c r="DH16" s="118">
        <v>0</v>
      </c>
      <c r="DI16" s="118">
        <v>0</v>
      </c>
      <c r="DJ16" s="118">
        <v>2</v>
      </c>
      <c r="DK16" s="118">
        <v>1</v>
      </c>
      <c r="DL16" s="118">
        <v>0</v>
      </c>
      <c r="DM16" s="118">
        <v>0</v>
      </c>
      <c r="DN16" s="138">
        <v>0</v>
      </c>
      <c r="DO16" s="125" t="s">
        <v>479</v>
      </c>
      <c r="DP16" s="118">
        <v>4</v>
      </c>
      <c r="DQ16" s="118">
        <v>0</v>
      </c>
      <c r="DR16" s="118">
        <v>0</v>
      </c>
      <c r="DS16" s="118">
        <v>0</v>
      </c>
      <c r="DT16" s="118">
        <v>0</v>
      </c>
      <c r="DU16" s="118">
        <v>0</v>
      </c>
      <c r="DV16" s="118">
        <v>0</v>
      </c>
      <c r="DW16" s="118">
        <v>0</v>
      </c>
      <c r="DX16" s="138">
        <v>0</v>
      </c>
      <c r="DY16" s="140">
        <v>0</v>
      </c>
      <c r="DZ16" s="118">
        <v>0</v>
      </c>
      <c r="EA16" s="118">
        <v>0</v>
      </c>
      <c r="EB16" s="119">
        <v>9</v>
      </c>
      <c r="EC16" s="118">
        <v>3</v>
      </c>
      <c r="ED16" s="138">
        <v>0</v>
      </c>
      <c r="EE16" s="125">
        <v>0</v>
      </c>
      <c r="EF16" s="118">
        <v>0</v>
      </c>
      <c r="EG16" s="118">
        <v>0</v>
      </c>
      <c r="EH16" s="118">
        <v>0</v>
      </c>
      <c r="EI16" s="118">
        <v>0</v>
      </c>
      <c r="EJ16" s="118">
        <v>1</v>
      </c>
      <c r="EK16" s="118">
        <v>0</v>
      </c>
      <c r="EL16" s="118">
        <v>0</v>
      </c>
      <c r="EM16" s="118">
        <v>0</v>
      </c>
      <c r="EN16" s="118"/>
      <c r="EO16" s="118"/>
      <c r="EP16" s="118"/>
      <c r="EQ16" s="118"/>
      <c r="ER16" s="118"/>
      <c r="ES16" s="118"/>
      <c r="ET16" s="118"/>
      <c r="EU16" s="118"/>
      <c r="EV16" s="118"/>
      <c r="EW16" s="118"/>
      <c r="EX16" s="138">
        <f t="shared" si="0"/>
        <v>1</v>
      </c>
      <c r="EY16" s="125">
        <v>1</v>
      </c>
      <c r="EZ16" s="118">
        <v>0</v>
      </c>
      <c r="FA16" s="118">
        <v>2</v>
      </c>
      <c r="FB16" s="118">
        <v>3</v>
      </c>
      <c r="FC16" s="118">
        <v>0</v>
      </c>
      <c r="FD16" s="118">
        <v>0</v>
      </c>
      <c r="FE16" s="118">
        <v>0</v>
      </c>
      <c r="FF16" s="118">
        <v>0</v>
      </c>
      <c r="FG16" s="118">
        <v>0</v>
      </c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38">
        <f t="shared" si="1"/>
        <v>6</v>
      </c>
      <c r="FS16" s="166">
        <f t="shared" si="2"/>
        <v>0</v>
      </c>
      <c r="FT16" s="167">
        <f t="shared" si="3"/>
        <v>0</v>
      </c>
      <c r="FU16" s="142"/>
    </row>
    <row r="17" spans="1:177" x14ac:dyDescent="0.25">
      <c r="A17" s="121">
        <v>40291</v>
      </c>
      <c r="B17" s="121" t="s">
        <v>19</v>
      </c>
      <c r="C17" s="121" t="s">
        <v>129</v>
      </c>
      <c r="D17" s="121" t="s">
        <v>488</v>
      </c>
      <c r="E17" s="120">
        <v>6127</v>
      </c>
      <c r="F17" s="124">
        <v>4</v>
      </c>
      <c r="G17" s="118" t="s">
        <v>487</v>
      </c>
      <c r="H17" s="118">
        <v>1</v>
      </c>
      <c r="I17" s="118">
        <v>0</v>
      </c>
      <c r="J17" s="119">
        <v>6</v>
      </c>
      <c r="K17" s="118">
        <v>5</v>
      </c>
      <c r="L17" s="118">
        <v>1</v>
      </c>
      <c r="M17" s="118">
        <v>1</v>
      </c>
      <c r="N17" s="118">
        <v>3</v>
      </c>
      <c r="O17" s="118">
        <v>0</v>
      </c>
      <c r="P17" s="118">
        <v>0</v>
      </c>
      <c r="Q17" s="118">
        <v>0</v>
      </c>
      <c r="R17" s="118">
        <v>25</v>
      </c>
      <c r="S17" s="118"/>
      <c r="T17" s="118"/>
      <c r="U17" s="118">
        <v>0</v>
      </c>
      <c r="V17" s="138">
        <v>0</v>
      </c>
      <c r="W17" s="125">
        <v>0</v>
      </c>
      <c r="X17" s="118">
        <v>0</v>
      </c>
      <c r="Y17" s="118">
        <v>0</v>
      </c>
      <c r="Z17" s="118">
        <v>0</v>
      </c>
      <c r="AA17" s="118">
        <v>0</v>
      </c>
      <c r="AB17" s="119">
        <v>3</v>
      </c>
      <c r="AC17" s="118">
        <v>1</v>
      </c>
      <c r="AD17" s="118">
        <v>0</v>
      </c>
      <c r="AE17" s="118">
        <v>0</v>
      </c>
      <c r="AF17" s="118">
        <v>1</v>
      </c>
      <c r="AG17" s="118">
        <v>3</v>
      </c>
      <c r="AH17" s="118">
        <v>0</v>
      </c>
      <c r="AI17" s="118">
        <v>0</v>
      </c>
      <c r="AJ17" s="118">
        <v>11</v>
      </c>
      <c r="AK17" s="118"/>
      <c r="AL17" s="138"/>
      <c r="AM17" s="125" t="s">
        <v>486</v>
      </c>
      <c r="AN17" s="118">
        <v>4</v>
      </c>
      <c r="AO17" s="118">
        <v>2</v>
      </c>
      <c r="AP17" s="118">
        <v>2</v>
      </c>
      <c r="AQ17" s="118">
        <v>1</v>
      </c>
      <c r="AR17" s="118">
        <v>1</v>
      </c>
      <c r="AS17" s="118">
        <v>1</v>
      </c>
      <c r="AT17" s="118">
        <v>0</v>
      </c>
      <c r="AU17" s="118">
        <v>0</v>
      </c>
      <c r="AV17" s="138">
        <v>6</v>
      </c>
      <c r="AW17" s="125" t="s">
        <v>485</v>
      </c>
      <c r="AX17" s="118">
        <v>5</v>
      </c>
      <c r="AY17" s="118">
        <v>0</v>
      </c>
      <c r="AZ17" s="118">
        <v>0</v>
      </c>
      <c r="BA17" s="118">
        <v>0</v>
      </c>
      <c r="BB17" s="118">
        <v>0</v>
      </c>
      <c r="BC17" s="118">
        <v>1</v>
      </c>
      <c r="BD17" s="118">
        <v>0</v>
      </c>
      <c r="BE17" s="118">
        <v>0</v>
      </c>
      <c r="BF17" s="138">
        <v>0</v>
      </c>
      <c r="BG17" s="125" t="s">
        <v>496</v>
      </c>
      <c r="BH17" s="118">
        <v>4</v>
      </c>
      <c r="BI17" s="118">
        <v>1</v>
      </c>
      <c r="BJ17" s="118">
        <v>3</v>
      </c>
      <c r="BK17" s="118">
        <v>2</v>
      </c>
      <c r="BL17" s="118">
        <v>1</v>
      </c>
      <c r="BM17" s="118">
        <v>0</v>
      </c>
      <c r="BN17" s="118">
        <v>0</v>
      </c>
      <c r="BO17" s="118">
        <v>0</v>
      </c>
      <c r="BP17" s="138">
        <v>4</v>
      </c>
      <c r="BQ17" s="125" t="s">
        <v>473</v>
      </c>
      <c r="BR17" s="118">
        <v>4</v>
      </c>
      <c r="BS17" s="118">
        <v>1</v>
      </c>
      <c r="BT17" s="118">
        <v>1</v>
      </c>
      <c r="BU17" s="118">
        <v>0</v>
      </c>
      <c r="BV17" s="118">
        <v>1</v>
      </c>
      <c r="BW17" s="118">
        <v>1</v>
      </c>
      <c r="BX17" s="118">
        <v>0</v>
      </c>
      <c r="BY17" s="118">
        <v>0</v>
      </c>
      <c r="BZ17" s="138">
        <v>1</v>
      </c>
      <c r="CA17" s="125" t="s">
        <v>480</v>
      </c>
      <c r="CB17" s="118">
        <v>5</v>
      </c>
      <c r="CC17" s="118">
        <v>0</v>
      </c>
      <c r="CD17" s="118">
        <v>2</v>
      </c>
      <c r="CE17" s="118">
        <v>1</v>
      </c>
      <c r="CF17" s="118">
        <v>0</v>
      </c>
      <c r="CG17" s="118">
        <v>1</v>
      </c>
      <c r="CH17" s="118">
        <v>0</v>
      </c>
      <c r="CI17" s="118">
        <v>0</v>
      </c>
      <c r="CJ17" s="138">
        <v>2</v>
      </c>
      <c r="CK17" s="125" t="s">
        <v>489</v>
      </c>
      <c r="CL17" s="118">
        <v>4</v>
      </c>
      <c r="CM17" s="118">
        <v>0</v>
      </c>
      <c r="CN17" s="118">
        <v>1</v>
      </c>
      <c r="CO17" s="118">
        <v>0</v>
      </c>
      <c r="CP17" s="118">
        <v>1</v>
      </c>
      <c r="CQ17" s="118">
        <v>0</v>
      </c>
      <c r="CR17" s="118">
        <v>0</v>
      </c>
      <c r="CS17" s="118">
        <v>0</v>
      </c>
      <c r="CT17" s="138">
        <v>1</v>
      </c>
      <c r="CU17" s="125" t="s">
        <v>484</v>
      </c>
      <c r="CV17" s="118">
        <v>3</v>
      </c>
      <c r="CW17" s="118">
        <v>2</v>
      </c>
      <c r="CX17" s="118">
        <v>1</v>
      </c>
      <c r="CY17" s="118">
        <v>1</v>
      </c>
      <c r="CZ17" s="118">
        <v>1</v>
      </c>
      <c r="DA17" s="118">
        <v>0</v>
      </c>
      <c r="DB17" s="118">
        <v>0</v>
      </c>
      <c r="DC17" s="118">
        <v>0</v>
      </c>
      <c r="DD17" s="138">
        <v>2</v>
      </c>
      <c r="DE17" s="125" t="s">
        <v>483</v>
      </c>
      <c r="DF17" s="118">
        <v>4</v>
      </c>
      <c r="DG17" s="118">
        <v>0</v>
      </c>
      <c r="DH17" s="118">
        <v>1</v>
      </c>
      <c r="DI17" s="118">
        <v>0</v>
      </c>
      <c r="DJ17" s="118">
        <v>0</v>
      </c>
      <c r="DK17" s="118">
        <v>0</v>
      </c>
      <c r="DL17" s="118">
        <v>0</v>
      </c>
      <c r="DM17" s="118">
        <v>0</v>
      </c>
      <c r="DN17" s="138">
        <v>1</v>
      </c>
      <c r="DO17" s="125" t="s">
        <v>491</v>
      </c>
      <c r="DP17" s="118">
        <v>4</v>
      </c>
      <c r="DQ17" s="118">
        <v>2</v>
      </c>
      <c r="DR17" s="118">
        <v>1</v>
      </c>
      <c r="DS17" s="118">
        <v>2</v>
      </c>
      <c r="DT17" s="118">
        <v>0</v>
      </c>
      <c r="DU17" s="118">
        <v>0</v>
      </c>
      <c r="DV17" s="118">
        <v>0</v>
      </c>
      <c r="DW17" s="118">
        <v>0</v>
      </c>
      <c r="DX17" s="138">
        <v>4</v>
      </c>
      <c r="DY17" s="140">
        <v>0</v>
      </c>
      <c r="DZ17" s="118">
        <v>0</v>
      </c>
      <c r="EA17" s="118">
        <v>0</v>
      </c>
      <c r="EB17" s="119">
        <v>8</v>
      </c>
      <c r="EC17" s="118">
        <v>0</v>
      </c>
      <c r="ED17" s="138">
        <v>0</v>
      </c>
      <c r="EE17" s="125">
        <v>1</v>
      </c>
      <c r="EF17" s="118">
        <v>0</v>
      </c>
      <c r="EG17" s="118">
        <v>1</v>
      </c>
      <c r="EH17" s="118">
        <v>3</v>
      </c>
      <c r="EI17" s="118">
        <v>2</v>
      </c>
      <c r="EJ17" s="118">
        <v>0</v>
      </c>
      <c r="EK17" s="118">
        <v>1</v>
      </c>
      <c r="EL17" s="118">
        <v>0</v>
      </c>
      <c r="EM17" s="118"/>
      <c r="EN17" s="118"/>
      <c r="EO17" s="118"/>
      <c r="EP17" s="118"/>
      <c r="EQ17" s="118"/>
      <c r="ER17" s="118"/>
      <c r="ES17" s="118"/>
      <c r="ET17" s="118"/>
      <c r="EU17" s="118"/>
      <c r="EV17" s="118"/>
      <c r="EW17" s="118"/>
      <c r="EX17" s="138">
        <f t="shared" si="0"/>
        <v>8</v>
      </c>
      <c r="EY17" s="125">
        <v>1</v>
      </c>
      <c r="EZ17" s="118">
        <v>0</v>
      </c>
      <c r="FA17" s="118">
        <v>0</v>
      </c>
      <c r="FB17" s="118">
        <v>0</v>
      </c>
      <c r="FC17" s="118">
        <v>0</v>
      </c>
      <c r="FD17" s="118">
        <v>0</v>
      </c>
      <c r="FE17" s="118">
        <v>0</v>
      </c>
      <c r="FF17" s="118">
        <v>0</v>
      </c>
      <c r="FG17" s="118">
        <v>0</v>
      </c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38">
        <f t="shared" si="1"/>
        <v>1</v>
      </c>
      <c r="FS17" s="166">
        <f t="shared" si="2"/>
        <v>0</v>
      </c>
      <c r="FT17" s="167">
        <f t="shared" si="3"/>
        <v>0</v>
      </c>
      <c r="FU17" s="142"/>
    </row>
    <row r="18" spans="1:177" x14ac:dyDescent="0.25">
      <c r="A18" s="121">
        <v>40292</v>
      </c>
      <c r="B18" s="121" t="s">
        <v>133</v>
      </c>
      <c r="C18" s="121" t="s">
        <v>129</v>
      </c>
      <c r="D18" s="121" t="s">
        <v>497</v>
      </c>
      <c r="E18" s="120">
        <v>1621</v>
      </c>
      <c r="F18" s="124">
        <v>5</v>
      </c>
      <c r="G18" s="118" t="s">
        <v>492</v>
      </c>
      <c r="H18" s="118">
        <v>0</v>
      </c>
      <c r="I18" s="118">
        <v>0</v>
      </c>
      <c r="J18" s="119">
        <v>5</v>
      </c>
      <c r="K18" s="118">
        <v>7</v>
      </c>
      <c r="L18" s="118">
        <v>4</v>
      </c>
      <c r="M18" s="118">
        <v>3</v>
      </c>
      <c r="N18" s="118">
        <v>0</v>
      </c>
      <c r="O18" s="118">
        <v>2</v>
      </c>
      <c r="P18" s="118">
        <v>0</v>
      </c>
      <c r="Q18" s="118">
        <v>0</v>
      </c>
      <c r="R18" s="118">
        <v>22</v>
      </c>
      <c r="S18" s="118"/>
      <c r="T18" s="118"/>
      <c r="U18" s="118">
        <v>0</v>
      </c>
      <c r="V18" s="138">
        <v>0</v>
      </c>
      <c r="W18" s="125">
        <v>1</v>
      </c>
      <c r="X18" s="118">
        <v>0</v>
      </c>
      <c r="Y18" s="118">
        <v>0</v>
      </c>
      <c r="Z18" s="118">
        <v>1</v>
      </c>
      <c r="AA18" s="118">
        <v>0</v>
      </c>
      <c r="AB18" s="119">
        <v>4</v>
      </c>
      <c r="AC18" s="118">
        <v>4</v>
      </c>
      <c r="AD18" s="118">
        <v>0</v>
      </c>
      <c r="AE18" s="118">
        <v>0</v>
      </c>
      <c r="AF18" s="118">
        <v>1</v>
      </c>
      <c r="AG18" s="118">
        <v>4</v>
      </c>
      <c r="AH18" s="118">
        <v>0</v>
      </c>
      <c r="AI18" s="118">
        <v>0</v>
      </c>
      <c r="AJ18" s="118">
        <v>17</v>
      </c>
      <c r="AK18" s="118"/>
      <c r="AL18" s="138"/>
      <c r="AM18" s="125" t="s">
        <v>486</v>
      </c>
      <c r="AN18" s="118">
        <v>5</v>
      </c>
      <c r="AO18" s="118">
        <v>0</v>
      </c>
      <c r="AP18" s="118">
        <v>2</v>
      </c>
      <c r="AQ18" s="118">
        <v>0</v>
      </c>
      <c r="AR18" s="118">
        <v>0</v>
      </c>
      <c r="AS18" s="118">
        <v>0</v>
      </c>
      <c r="AT18" s="118">
        <v>0</v>
      </c>
      <c r="AU18" s="118">
        <v>0</v>
      </c>
      <c r="AV18" s="138">
        <v>2</v>
      </c>
      <c r="AW18" s="125" t="s">
        <v>485</v>
      </c>
      <c r="AX18" s="118">
        <v>5</v>
      </c>
      <c r="AY18" s="118">
        <v>0</v>
      </c>
      <c r="AZ18" s="118">
        <v>0</v>
      </c>
      <c r="BA18" s="118">
        <v>0</v>
      </c>
      <c r="BB18" s="118">
        <v>0</v>
      </c>
      <c r="BC18" s="118">
        <v>3</v>
      </c>
      <c r="BD18" s="118">
        <v>0</v>
      </c>
      <c r="BE18" s="118">
        <v>0</v>
      </c>
      <c r="BF18" s="138">
        <v>0</v>
      </c>
      <c r="BG18" s="125" t="s">
        <v>496</v>
      </c>
      <c r="BH18" s="118">
        <v>5</v>
      </c>
      <c r="BI18" s="118">
        <v>2</v>
      </c>
      <c r="BJ18" s="118">
        <v>2</v>
      </c>
      <c r="BK18" s="118">
        <v>1</v>
      </c>
      <c r="BL18" s="118">
        <v>0</v>
      </c>
      <c r="BM18" s="118">
        <v>0</v>
      </c>
      <c r="BN18" s="118">
        <v>0</v>
      </c>
      <c r="BO18" s="118">
        <v>0</v>
      </c>
      <c r="BP18" s="138">
        <v>5</v>
      </c>
      <c r="BQ18" s="125" t="s">
        <v>473</v>
      </c>
      <c r="BR18" s="118">
        <v>4</v>
      </c>
      <c r="BS18" s="118">
        <v>1</v>
      </c>
      <c r="BT18" s="118">
        <v>2</v>
      </c>
      <c r="BU18" s="118">
        <v>1</v>
      </c>
      <c r="BV18" s="118">
        <v>0</v>
      </c>
      <c r="BW18" s="118">
        <v>0</v>
      </c>
      <c r="BX18" s="118">
        <v>0</v>
      </c>
      <c r="BY18" s="118">
        <v>0</v>
      </c>
      <c r="BZ18" s="138">
        <v>4</v>
      </c>
      <c r="CA18" s="125" t="s">
        <v>480</v>
      </c>
      <c r="CB18" s="118">
        <v>3</v>
      </c>
      <c r="CC18" s="118">
        <v>0</v>
      </c>
      <c r="CD18" s="118">
        <v>0</v>
      </c>
      <c r="CE18" s="118">
        <v>0</v>
      </c>
      <c r="CF18" s="118">
        <v>0</v>
      </c>
      <c r="CG18" s="118">
        <v>1</v>
      </c>
      <c r="CH18" s="118">
        <v>1</v>
      </c>
      <c r="CI18" s="118">
        <v>0</v>
      </c>
      <c r="CJ18" s="138">
        <v>0</v>
      </c>
      <c r="CK18" s="125" t="s">
        <v>481</v>
      </c>
      <c r="CL18" s="118">
        <v>3</v>
      </c>
      <c r="CM18" s="118">
        <v>1</v>
      </c>
      <c r="CN18" s="118">
        <v>2</v>
      </c>
      <c r="CO18" s="118">
        <v>1</v>
      </c>
      <c r="CP18" s="118">
        <v>1</v>
      </c>
      <c r="CQ18" s="118">
        <v>0</v>
      </c>
      <c r="CR18" s="118">
        <v>0</v>
      </c>
      <c r="CS18" s="118">
        <v>0</v>
      </c>
      <c r="CT18" s="138">
        <v>3</v>
      </c>
      <c r="CU18" s="125" t="s">
        <v>489</v>
      </c>
      <c r="CV18" s="118">
        <v>3</v>
      </c>
      <c r="CW18" s="118">
        <v>1</v>
      </c>
      <c r="CX18" s="118">
        <v>1</v>
      </c>
      <c r="CY18" s="118">
        <v>0</v>
      </c>
      <c r="CZ18" s="118">
        <v>0</v>
      </c>
      <c r="DA18" s="118">
        <v>0</v>
      </c>
      <c r="DB18" s="118">
        <v>0</v>
      </c>
      <c r="DC18" s="118">
        <v>0</v>
      </c>
      <c r="DD18" s="138">
        <v>1</v>
      </c>
      <c r="DE18" s="125" t="s">
        <v>482</v>
      </c>
      <c r="DF18" s="118">
        <v>3</v>
      </c>
      <c r="DG18" s="118">
        <v>1</v>
      </c>
      <c r="DH18" s="118">
        <v>1</v>
      </c>
      <c r="DI18" s="118">
        <v>0</v>
      </c>
      <c r="DJ18" s="118">
        <v>0</v>
      </c>
      <c r="DK18" s="118">
        <v>0</v>
      </c>
      <c r="DL18" s="118">
        <v>0</v>
      </c>
      <c r="DM18" s="118">
        <v>0</v>
      </c>
      <c r="DN18" s="138">
        <v>1</v>
      </c>
      <c r="DO18" s="125" t="s">
        <v>479</v>
      </c>
      <c r="DP18" s="118">
        <v>3</v>
      </c>
      <c r="DQ18" s="118">
        <v>0</v>
      </c>
      <c r="DR18" s="118">
        <v>1</v>
      </c>
      <c r="DS18" s="118">
        <v>1</v>
      </c>
      <c r="DT18" s="118">
        <v>0</v>
      </c>
      <c r="DU18" s="118">
        <v>0</v>
      </c>
      <c r="DV18" s="118">
        <v>0</v>
      </c>
      <c r="DW18" s="118">
        <v>0</v>
      </c>
      <c r="DX18" s="138">
        <v>1</v>
      </c>
      <c r="DY18" s="140">
        <v>0</v>
      </c>
      <c r="DZ18" s="118">
        <v>0</v>
      </c>
      <c r="EA18" s="118">
        <v>0</v>
      </c>
      <c r="EB18" s="119">
        <v>9</v>
      </c>
      <c r="EC18" s="118">
        <v>0</v>
      </c>
      <c r="ED18" s="138">
        <v>1</v>
      </c>
      <c r="EE18" s="125">
        <v>1</v>
      </c>
      <c r="EF18" s="118">
        <v>0</v>
      </c>
      <c r="EG18" s="118">
        <v>1</v>
      </c>
      <c r="EH18" s="118">
        <v>0</v>
      </c>
      <c r="EI18" s="118">
        <v>0</v>
      </c>
      <c r="EJ18" s="118">
        <v>1</v>
      </c>
      <c r="EK18" s="118">
        <v>0</v>
      </c>
      <c r="EL18" s="118">
        <v>0</v>
      </c>
      <c r="EM18" s="118">
        <v>3</v>
      </c>
      <c r="EN18" s="118"/>
      <c r="EO18" s="118"/>
      <c r="EP18" s="118"/>
      <c r="EQ18" s="118"/>
      <c r="ER18" s="118"/>
      <c r="ES18" s="118"/>
      <c r="ET18" s="118"/>
      <c r="EU18" s="118"/>
      <c r="EV18" s="118"/>
      <c r="EW18" s="118"/>
      <c r="EX18" s="138">
        <f t="shared" si="0"/>
        <v>6</v>
      </c>
      <c r="EY18" s="125">
        <v>0</v>
      </c>
      <c r="EZ18" s="118">
        <v>2</v>
      </c>
      <c r="FA18" s="118">
        <v>1</v>
      </c>
      <c r="FB18" s="118">
        <v>0</v>
      </c>
      <c r="FC18" s="118">
        <v>1</v>
      </c>
      <c r="FD18" s="118">
        <v>0</v>
      </c>
      <c r="FE18" s="118">
        <v>0</v>
      </c>
      <c r="FF18" s="118">
        <v>0</v>
      </c>
      <c r="FG18" s="118">
        <v>0</v>
      </c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38">
        <f t="shared" si="1"/>
        <v>4</v>
      </c>
      <c r="FS18" s="166">
        <f t="shared" si="2"/>
        <v>0</v>
      </c>
      <c r="FT18" s="167">
        <f t="shared" si="3"/>
        <v>0</v>
      </c>
      <c r="FU18" s="142"/>
    </row>
    <row r="19" spans="1:177" x14ac:dyDescent="0.25">
      <c r="A19" s="121">
        <v>40293</v>
      </c>
      <c r="B19" s="121" t="s">
        <v>133</v>
      </c>
      <c r="C19" s="121" t="s">
        <v>131</v>
      </c>
      <c r="D19" s="121" t="s">
        <v>497</v>
      </c>
      <c r="E19" s="120">
        <v>550</v>
      </c>
      <c r="F19" s="124">
        <v>1</v>
      </c>
      <c r="G19" s="118" t="s">
        <v>493</v>
      </c>
      <c r="H19" s="118">
        <v>0</v>
      </c>
      <c r="I19" s="118">
        <v>0</v>
      </c>
      <c r="J19" s="119">
        <v>5</v>
      </c>
      <c r="K19" s="118">
        <v>2</v>
      </c>
      <c r="L19" s="118">
        <v>1</v>
      </c>
      <c r="M19" s="118">
        <v>1</v>
      </c>
      <c r="N19" s="118">
        <v>4</v>
      </c>
      <c r="O19" s="118">
        <v>8</v>
      </c>
      <c r="P19" s="118">
        <v>0</v>
      </c>
      <c r="Q19" s="118">
        <v>1</v>
      </c>
      <c r="R19" s="118">
        <v>21</v>
      </c>
      <c r="S19" s="118"/>
      <c r="T19" s="118"/>
      <c r="U19" s="118">
        <v>0</v>
      </c>
      <c r="V19" s="138">
        <v>0</v>
      </c>
      <c r="W19" s="125">
        <v>0</v>
      </c>
      <c r="X19" s="118">
        <v>1</v>
      </c>
      <c r="Y19" s="118">
        <v>0</v>
      </c>
      <c r="Z19" s="118">
        <v>0</v>
      </c>
      <c r="AA19" s="118">
        <v>0</v>
      </c>
      <c r="AB19" s="119">
        <v>3</v>
      </c>
      <c r="AC19" s="118">
        <v>3</v>
      </c>
      <c r="AD19" s="118">
        <v>1</v>
      </c>
      <c r="AE19" s="118">
        <v>1</v>
      </c>
      <c r="AF19" s="118">
        <v>1</v>
      </c>
      <c r="AG19" s="118">
        <v>4</v>
      </c>
      <c r="AH19" s="118">
        <v>0</v>
      </c>
      <c r="AI19" s="118">
        <v>0</v>
      </c>
      <c r="AJ19" s="118">
        <v>13</v>
      </c>
      <c r="AK19" s="118"/>
      <c r="AL19" s="138"/>
      <c r="AM19" s="125" t="s">
        <v>486</v>
      </c>
      <c r="AN19" s="118">
        <v>4</v>
      </c>
      <c r="AO19" s="118">
        <v>0</v>
      </c>
      <c r="AP19" s="118">
        <v>0</v>
      </c>
      <c r="AQ19" s="118">
        <v>0</v>
      </c>
      <c r="AR19" s="118">
        <v>0</v>
      </c>
      <c r="AS19" s="118">
        <v>0</v>
      </c>
      <c r="AT19" s="118">
        <v>0</v>
      </c>
      <c r="AU19" s="118">
        <v>0</v>
      </c>
      <c r="AV19" s="138">
        <v>0</v>
      </c>
      <c r="AW19" s="125" t="s">
        <v>491</v>
      </c>
      <c r="AX19" s="118">
        <v>4</v>
      </c>
      <c r="AY19" s="118">
        <v>0</v>
      </c>
      <c r="AZ19" s="118">
        <v>0</v>
      </c>
      <c r="BA19" s="118">
        <v>0</v>
      </c>
      <c r="BB19" s="118">
        <v>0</v>
      </c>
      <c r="BC19" s="118">
        <v>2</v>
      </c>
      <c r="BD19" s="118">
        <v>0</v>
      </c>
      <c r="BE19" s="118">
        <v>0</v>
      </c>
      <c r="BF19" s="138">
        <v>0</v>
      </c>
      <c r="BG19" s="125" t="s">
        <v>496</v>
      </c>
      <c r="BH19" s="118">
        <v>4</v>
      </c>
      <c r="BI19" s="118">
        <v>0</v>
      </c>
      <c r="BJ19" s="118">
        <v>1</v>
      </c>
      <c r="BK19" s="118">
        <v>0</v>
      </c>
      <c r="BL19" s="118">
        <v>0</v>
      </c>
      <c r="BM19" s="118">
        <v>0</v>
      </c>
      <c r="BN19" s="118">
        <v>0</v>
      </c>
      <c r="BO19" s="118">
        <v>0</v>
      </c>
      <c r="BP19" s="138">
        <v>1</v>
      </c>
      <c r="BQ19" s="125" t="s">
        <v>473</v>
      </c>
      <c r="BR19" s="118">
        <v>4</v>
      </c>
      <c r="BS19" s="118">
        <v>0</v>
      </c>
      <c r="BT19" s="118">
        <v>0</v>
      </c>
      <c r="BU19" s="118">
        <v>0</v>
      </c>
      <c r="BV19" s="118">
        <v>0</v>
      </c>
      <c r="BW19" s="118">
        <v>2</v>
      </c>
      <c r="BX19" s="118">
        <v>0</v>
      </c>
      <c r="BY19" s="118">
        <v>0</v>
      </c>
      <c r="BZ19" s="138">
        <v>0</v>
      </c>
      <c r="CA19" s="125" t="s">
        <v>481</v>
      </c>
      <c r="CB19" s="118">
        <v>4</v>
      </c>
      <c r="CC19" s="118">
        <v>1</v>
      </c>
      <c r="CD19" s="118">
        <v>2</v>
      </c>
      <c r="CE19" s="118">
        <v>0</v>
      </c>
      <c r="CF19" s="118">
        <v>0</v>
      </c>
      <c r="CG19" s="118">
        <v>0</v>
      </c>
      <c r="CH19" s="118">
        <v>0</v>
      </c>
      <c r="CI19" s="118">
        <v>0</v>
      </c>
      <c r="CJ19" s="138">
        <v>2</v>
      </c>
      <c r="CK19" s="125" t="s">
        <v>489</v>
      </c>
      <c r="CL19" s="118">
        <v>4</v>
      </c>
      <c r="CM19" s="118">
        <v>0</v>
      </c>
      <c r="CN19" s="118">
        <v>1</v>
      </c>
      <c r="CO19" s="118">
        <v>0</v>
      </c>
      <c r="CP19" s="118">
        <v>0</v>
      </c>
      <c r="CQ19" s="118">
        <v>0</v>
      </c>
      <c r="CR19" s="118">
        <v>0</v>
      </c>
      <c r="CS19" s="118">
        <v>0</v>
      </c>
      <c r="CT19" s="138">
        <v>1</v>
      </c>
      <c r="CU19" s="125" t="s">
        <v>335</v>
      </c>
      <c r="CV19" s="118">
        <v>2</v>
      </c>
      <c r="CW19" s="118">
        <v>0</v>
      </c>
      <c r="CX19" s="118">
        <v>0</v>
      </c>
      <c r="CY19" s="118">
        <v>0</v>
      </c>
      <c r="CZ19" s="118">
        <v>0</v>
      </c>
      <c r="DA19" s="118">
        <v>0</v>
      </c>
      <c r="DB19" s="118">
        <v>0</v>
      </c>
      <c r="DC19" s="118">
        <v>0</v>
      </c>
      <c r="DD19" s="138">
        <v>0</v>
      </c>
      <c r="DE19" s="125" t="s">
        <v>482</v>
      </c>
      <c r="DF19" s="118">
        <v>1</v>
      </c>
      <c r="DG19" s="118">
        <v>0</v>
      </c>
      <c r="DH19" s="118">
        <v>1</v>
      </c>
      <c r="DI19" s="118">
        <v>0</v>
      </c>
      <c r="DJ19" s="118">
        <v>2</v>
      </c>
      <c r="DK19" s="118">
        <v>0</v>
      </c>
      <c r="DL19" s="118">
        <v>0</v>
      </c>
      <c r="DM19" s="118">
        <v>0</v>
      </c>
      <c r="DN19" s="138">
        <v>1</v>
      </c>
      <c r="DO19" s="125" t="s">
        <v>479</v>
      </c>
      <c r="DP19" s="118">
        <v>2</v>
      </c>
      <c r="DQ19" s="118">
        <v>0</v>
      </c>
      <c r="DR19" s="118">
        <v>0</v>
      </c>
      <c r="DS19" s="118">
        <v>1</v>
      </c>
      <c r="DT19" s="118">
        <v>0</v>
      </c>
      <c r="DU19" s="118">
        <v>0</v>
      </c>
      <c r="DV19" s="118">
        <v>0</v>
      </c>
      <c r="DW19" s="118">
        <v>0</v>
      </c>
      <c r="DX19" s="138">
        <v>0</v>
      </c>
      <c r="DY19" s="140">
        <v>1</v>
      </c>
      <c r="DZ19" s="118">
        <v>0</v>
      </c>
      <c r="EA19" s="118">
        <v>0</v>
      </c>
      <c r="EB19" s="119">
        <v>8</v>
      </c>
      <c r="EC19" s="118">
        <v>0</v>
      </c>
      <c r="ED19" s="138">
        <v>0</v>
      </c>
      <c r="EE19" s="125">
        <v>0</v>
      </c>
      <c r="EF19" s="118">
        <v>1</v>
      </c>
      <c r="EG19" s="118">
        <v>0</v>
      </c>
      <c r="EH19" s="118">
        <v>0</v>
      </c>
      <c r="EI19" s="118">
        <v>0</v>
      </c>
      <c r="EJ19" s="118">
        <v>0</v>
      </c>
      <c r="EK19" s="118">
        <v>0</v>
      </c>
      <c r="EL19" s="118">
        <v>0</v>
      </c>
      <c r="EM19" s="118">
        <v>0</v>
      </c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38">
        <f t="shared" si="0"/>
        <v>1</v>
      </c>
      <c r="EY19" s="125">
        <v>0</v>
      </c>
      <c r="EZ19" s="118">
        <v>0</v>
      </c>
      <c r="FA19" s="118">
        <v>1</v>
      </c>
      <c r="FB19" s="118">
        <v>0</v>
      </c>
      <c r="FC19" s="118">
        <v>0</v>
      </c>
      <c r="FD19" s="118">
        <v>0</v>
      </c>
      <c r="FE19" s="118">
        <v>0</v>
      </c>
      <c r="FF19" s="118">
        <v>1</v>
      </c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38">
        <f t="shared" si="1"/>
        <v>2</v>
      </c>
      <c r="FS19" s="166">
        <f t="shared" si="2"/>
        <v>0</v>
      </c>
      <c r="FT19" s="167">
        <f t="shared" si="3"/>
        <v>0</v>
      </c>
      <c r="FU19" s="142"/>
    </row>
    <row r="20" spans="1:177" x14ac:dyDescent="0.25">
      <c r="A20" s="121">
        <v>40294</v>
      </c>
      <c r="B20" s="121" t="s">
        <v>133</v>
      </c>
      <c r="C20" s="121" t="s">
        <v>129</v>
      </c>
      <c r="D20" s="121" t="s">
        <v>497</v>
      </c>
      <c r="E20" s="120">
        <v>381</v>
      </c>
      <c r="F20" s="124">
        <v>2</v>
      </c>
      <c r="G20" s="118" t="s">
        <v>498</v>
      </c>
      <c r="H20" s="118">
        <v>0</v>
      </c>
      <c r="I20" s="118">
        <v>0</v>
      </c>
      <c r="J20" s="119">
        <v>6</v>
      </c>
      <c r="K20" s="118">
        <v>3</v>
      </c>
      <c r="L20" s="118">
        <v>3</v>
      </c>
      <c r="M20" s="118">
        <v>3</v>
      </c>
      <c r="N20" s="118">
        <v>1</v>
      </c>
      <c r="O20" s="118">
        <v>5</v>
      </c>
      <c r="P20" s="118">
        <v>0</v>
      </c>
      <c r="Q20" s="118">
        <v>2</v>
      </c>
      <c r="R20" s="118">
        <v>24</v>
      </c>
      <c r="S20" s="118"/>
      <c r="T20" s="118"/>
      <c r="U20" s="118">
        <v>0</v>
      </c>
      <c r="V20" s="138">
        <v>0</v>
      </c>
      <c r="W20" s="125">
        <v>1</v>
      </c>
      <c r="X20" s="118">
        <v>0</v>
      </c>
      <c r="Y20" s="118">
        <v>0</v>
      </c>
      <c r="Z20" s="118">
        <v>1</v>
      </c>
      <c r="AA20" s="118">
        <v>0</v>
      </c>
      <c r="AB20" s="119">
        <v>3</v>
      </c>
      <c r="AC20" s="118">
        <v>2</v>
      </c>
      <c r="AD20" s="118">
        <v>0</v>
      </c>
      <c r="AE20" s="118">
        <v>0</v>
      </c>
      <c r="AF20" s="118">
        <v>0</v>
      </c>
      <c r="AG20" s="118">
        <v>6</v>
      </c>
      <c r="AH20" s="118">
        <v>0</v>
      </c>
      <c r="AI20" s="118">
        <v>0</v>
      </c>
      <c r="AJ20" s="118">
        <v>11</v>
      </c>
      <c r="AK20" s="118"/>
      <c r="AL20" s="138"/>
      <c r="AM20" s="125" t="s">
        <v>486</v>
      </c>
      <c r="AN20" s="118">
        <v>5</v>
      </c>
      <c r="AO20" s="118">
        <v>1</v>
      </c>
      <c r="AP20" s="118">
        <v>4</v>
      </c>
      <c r="AQ20" s="118">
        <v>0</v>
      </c>
      <c r="AR20" s="118">
        <v>0</v>
      </c>
      <c r="AS20" s="118">
        <v>0</v>
      </c>
      <c r="AT20" s="118">
        <v>0</v>
      </c>
      <c r="AU20" s="118">
        <v>0</v>
      </c>
      <c r="AV20" s="138">
        <v>4</v>
      </c>
      <c r="AW20" s="125" t="s">
        <v>485</v>
      </c>
      <c r="AX20" s="118">
        <v>3</v>
      </c>
      <c r="AY20" s="118">
        <v>1</v>
      </c>
      <c r="AZ20" s="118">
        <v>0</v>
      </c>
      <c r="BA20" s="118">
        <v>0</v>
      </c>
      <c r="BB20" s="118">
        <v>2</v>
      </c>
      <c r="BC20" s="118">
        <v>1</v>
      </c>
      <c r="BD20" s="118">
        <v>0</v>
      </c>
      <c r="BE20" s="118">
        <v>0</v>
      </c>
      <c r="BF20" s="138">
        <v>0</v>
      </c>
      <c r="BG20" s="125" t="s">
        <v>496</v>
      </c>
      <c r="BH20" s="118">
        <v>5</v>
      </c>
      <c r="BI20" s="118">
        <v>1</v>
      </c>
      <c r="BJ20" s="118">
        <v>2</v>
      </c>
      <c r="BK20" s="118">
        <v>1</v>
      </c>
      <c r="BL20" s="118">
        <v>0</v>
      </c>
      <c r="BM20" s="118">
        <v>2</v>
      </c>
      <c r="BN20" s="118">
        <v>0</v>
      </c>
      <c r="BO20" s="118">
        <v>0</v>
      </c>
      <c r="BP20" s="138">
        <v>2</v>
      </c>
      <c r="BQ20" s="125" t="s">
        <v>473</v>
      </c>
      <c r="BR20" s="118">
        <v>4</v>
      </c>
      <c r="BS20" s="118">
        <v>1</v>
      </c>
      <c r="BT20" s="118">
        <v>2</v>
      </c>
      <c r="BU20" s="118">
        <v>0</v>
      </c>
      <c r="BV20" s="118">
        <v>0</v>
      </c>
      <c r="BW20" s="118">
        <v>1</v>
      </c>
      <c r="BX20" s="118">
        <v>0</v>
      </c>
      <c r="BY20" s="118">
        <v>0</v>
      </c>
      <c r="BZ20" s="138">
        <v>2</v>
      </c>
      <c r="CA20" s="125" t="s">
        <v>483</v>
      </c>
      <c r="CB20" s="118">
        <v>3</v>
      </c>
      <c r="CC20" s="118">
        <v>1</v>
      </c>
      <c r="CD20" s="118">
        <v>1</v>
      </c>
      <c r="CE20" s="118">
        <v>0</v>
      </c>
      <c r="CF20" s="118">
        <v>2</v>
      </c>
      <c r="CG20" s="118">
        <v>1</v>
      </c>
      <c r="CH20" s="118">
        <v>0</v>
      </c>
      <c r="CI20" s="118">
        <v>0</v>
      </c>
      <c r="CJ20" s="138">
        <v>1</v>
      </c>
      <c r="CK20" s="125" t="s">
        <v>480</v>
      </c>
      <c r="CL20" s="118">
        <v>5</v>
      </c>
      <c r="CM20" s="118">
        <v>0</v>
      </c>
      <c r="CN20" s="118">
        <v>2</v>
      </c>
      <c r="CO20" s="118">
        <v>1</v>
      </c>
      <c r="CP20" s="118">
        <v>0</v>
      </c>
      <c r="CQ20" s="118">
        <v>2</v>
      </c>
      <c r="CR20" s="118">
        <v>0</v>
      </c>
      <c r="CS20" s="118">
        <v>0</v>
      </c>
      <c r="CT20" s="138">
        <v>2</v>
      </c>
      <c r="CU20" s="125" t="s">
        <v>481</v>
      </c>
      <c r="CV20" s="118">
        <v>3</v>
      </c>
      <c r="CW20" s="118">
        <v>0</v>
      </c>
      <c r="CX20" s="118">
        <v>0</v>
      </c>
      <c r="CY20" s="118">
        <v>1</v>
      </c>
      <c r="CZ20" s="118">
        <v>1</v>
      </c>
      <c r="DA20" s="118">
        <v>1</v>
      </c>
      <c r="DB20" s="118">
        <v>0</v>
      </c>
      <c r="DC20" s="118">
        <v>1</v>
      </c>
      <c r="DD20" s="138">
        <v>0</v>
      </c>
      <c r="DE20" s="125" t="s">
        <v>335</v>
      </c>
      <c r="DF20" s="118">
        <v>5</v>
      </c>
      <c r="DG20" s="118">
        <v>0</v>
      </c>
      <c r="DH20" s="118">
        <v>1</v>
      </c>
      <c r="DI20" s="118">
        <v>2</v>
      </c>
      <c r="DJ20" s="118">
        <v>0</v>
      </c>
      <c r="DK20" s="118">
        <v>1</v>
      </c>
      <c r="DL20" s="118">
        <v>0</v>
      </c>
      <c r="DM20" s="118">
        <v>0</v>
      </c>
      <c r="DN20" s="138">
        <v>2</v>
      </c>
      <c r="DO20" s="125" t="s">
        <v>479</v>
      </c>
      <c r="DP20" s="118">
        <v>4</v>
      </c>
      <c r="DQ20" s="118">
        <v>0</v>
      </c>
      <c r="DR20" s="118">
        <v>1</v>
      </c>
      <c r="DS20" s="118">
        <v>0</v>
      </c>
      <c r="DT20" s="118">
        <v>0</v>
      </c>
      <c r="DU20" s="118">
        <v>2</v>
      </c>
      <c r="DV20" s="118">
        <v>0</v>
      </c>
      <c r="DW20" s="118">
        <v>0</v>
      </c>
      <c r="DX20" s="138">
        <v>1</v>
      </c>
      <c r="DY20" s="140">
        <f>7+2/3</f>
        <v>7.666666666666667</v>
      </c>
      <c r="DZ20" s="118">
        <v>2</v>
      </c>
      <c r="EA20" s="118">
        <v>0</v>
      </c>
      <c r="EB20" s="119">
        <f>1+1/3</f>
        <v>1.3333333333333333</v>
      </c>
      <c r="EC20" s="118">
        <v>1</v>
      </c>
      <c r="ED20" s="138">
        <v>0</v>
      </c>
      <c r="EE20" s="125">
        <v>0</v>
      </c>
      <c r="EF20" s="118">
        <v>0</v>
      </c>
      <c r="EG20" s="118">
        <v>0</v>
      </c>
      <c r="EH20" s="118">
        <v>0</v>
      </c>
      <c r="EI20" s="118">
        <v>0</v>
      </c>
      <c r="EJ20" s="118">
        <v>0</v>
      </c>
      <c r="EK20" s="118">
        <v>0</v>
      </c>
      <c r="EL20" s="118">
        <v>3</v>
      </c>
      <c r="EM20" s="118">
        <v>2</v>
      </c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38">
        <f t="shared" si="0"/>
        <v>5</v>
      </c>
      <c r="EY20" s="125">
        <v>0</v>
      </c>
      <c r="EZ20" s="118">
        <v>1</v>
      </c>
      <c r="FA20" s="118">
        <v>0</v>
      </c>
      <c r="FB20" s="118">
        <v>0</v>
      </c>
      <c r="FC20" s="118">
        <v>2</v>
      </c>
      <c r="FD20" s="118">
        <v>0</v>
      </c>
      <c r="FE20" s="118">
        <v>0</v>
      </c>
      <c r="FF20" s="118">
        <v>0</v>
      </c>
      <c r="FG20" s="118">
        <v>0</v>
      </c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38">
        <f t="shared" si="1"/>
        <v>3</v>
      </c>
      <c r="FS20" s="166">
        <f t="shared" si="2"/>
        <v>0</v>
      </c>
      <c r="FT20" s="167">
        <f t="shared" si="3"/>
        <v>0</v>
      </c>
      <c r="FU20" s="142"/>
    </row>
    <row r="21" spans="1:177" x14ac:dyDescent="0.25">
      <c r="A21" s="121">
        <v>40295</v>
      </c>
      <c r="B21" s="121" t="s">
        <v>19</v>
      </c>
      <c r="C21" s="121" t="s">
        <v>131</v>
      </c>
      <c r="D21" s="121" t="s">
        <v>514</v>
      </c>
      <c r="E21" s="120">
        <v>1570</v>
      </c>
      <c r="F21" s="124">
        <v>3</v>
      </c>
      <c r="G21" s="118" t="s">
        <v>490</v>
      </c>
      <c r="H21" s="118">
        <v>0</v>
      </c>
      <c r="I21" s="118">
        <v>0</v>
      </c>
      <c r="J21" s="119">
        <v>5</v>
      </c>
      <c r="K21" s="118">
        <v>5</v>
      </c>
      <c r="L21" s="118">
        <v>2</v>
      </c>
      <c r="M21" s="118">
        <v>2</v>
      </c>
      <c r="N21" s="118">
        <v>2</v>
      </c>
      <c r="O21" s="118">
        <v>6</v>
      </c>
      <c r="P21" s="118">
        <v>2</v>
      </c>
      <c r="Q21" s="118">
        <v>0</v>
      </c>
      <c r="R21" s="118">
        <v>23</v>
      </c>
      <c r="S21" s="118"/>
      <c r="T21" s="118"/>
      <c r="U21" s="118">
        <v>0</v>
      </c>
      <c r="V21" s="138">
        <v>0</v>
      </c>
      <c r="W21" s="125">
        <v>0</v>
      </c>
      <c r="X21" s="118">
        <v>1</v>
      </c>
      <c r="Y21" s="118">
        <v>0</v>
      </c>
      <c r="Z21" s="118">
        <v>0</v>
      </c>
      <c r="AA21" s="118">
        <v>1</v>
      </c>
      <c r="AB21" s="119">
        <v>4</v>
      </c>
      <c r="AC21" s="118">
        <v>5</v>
      </c>
      <c r="AD21" s="118">
        <v>3</v>
      </c>
      <c r="AE21" s="118">
        <v>3</v>
      </c>
      <c r="AF21" s="118">
        <v>2</v>
      </c>
      <c r="AG21" s="118">
        <v>3</v>
      </c>
      <c r="AH21" s="118">
        <v>1</v>
      </c>
      <c r="AI21" s="118">
        <v>0</v>
      </c>
      <c r="AJ21" s="118">
        <v>19</v>
      </c>
      <c r="AK21" s="118"/>
      <c r="AL21" s="138"/>
      <c r="AM21" s="125" t="s">
        <v>486</v>
      </c>
      <c r="AN21" s="118">
        <v>4</v>
      </c>
      <c r="AO21" s="118">
        <v>1</v>
      </c>
      <c r="AP21" s="118">
        <v>1</v>
      </c>
      <c r="AQ21" s="118">
        <v>0</v>
      </c>
      <c r="AR21" s="118">
        <v>0</v>
      </c>
      <c r="AS21" s="118">
        <v>2</v>
      </c>
      <c r="AT21" s="118">
        <v>0</v>
      </c>
      <c r="AU21" s="118">
        <v>0</v>
      </c>
      <c r="AV21" s="138">
        <v>1</v>
      </c>
      <c r="AW21" s="125" t="s">
        <v>485</v>
      </c>
      <c r="AX21" s="118">
        <v>3</v>
      </c>
      <c r="AY21" s="118">
        <v>1</v>
      </c>
      <c r="AZ21" s="118">
        <v>1</v>
      </c>
      <c r="BA21" s="118">
        <v>0</v>
      </c>
      <c r="BB21" s="118">
        <v>1</v>
      </c>
      <c r="BC21" s="118">
        <v>2</v>
      </c>
      <c r="BD21" s="118">
        <v>0</v>
      </c>
      <c r="BE21" s="118">
        <v>0</v>
      </c>
      <c r="BF21" s="138">
        <v>1</v>
      </c>
      <c r="BG21" s="125" t="s">
        <v>496</v>
      </c>
      <c r="BH21" s="118">
        <v>4</v>
      </c>
      <c r="BI21" s="118">
        <v>1</v>
      </c>
      <c r="BJ21" s="118">
        <v>1</v>
      </c>
      <c r="BK21" s="118">
        <v>2</v>
      </c>
      <c r="BL21" s="118">
        <v>0</v>
      </c>
      <c r="BM21" s="118">
        <v>0</v>
      </c>
      <c r="BN21" s="118">
        <v>0</v>
      </c>
      <c r="BO21" s="118">
        <v>0</v>
      </c>
      <c r="BP21" s="138">
        <v>3</v>
      </c>
      <c r="BQ21" s="125" t="s">
        <v>473</v>
      </c>
      <c r="BR21" s="118">
        <v>3</v>
      </c>
      <c r="BS21" s="118">
        <v>0</v>
      </c>
      <c r="BT21" s="118">
        <v>1</v>
      </c>
      <c r="BU21" s="118">
        <v>1</v>
      </c>
      <c r="BV21" s="118">
        <v>1</v>
      </c>
      <c r="BW21" s="118">
        <v>0</v>
      </c>
      <c r="BX21" s="118">
        <v>0</v>
      </c>
      <c r="BY21" s="118">
        <v>0</v>
      </c>
      <c r="BZ21" s="138">
        <v>1</v>
      </c>
      <c r="CA21" s="125" t="s">
        <v>480</v>
      </c>
      <c r="CB21" s="118">
        <v>4</v>
      </c>
      <c r="CC21" s="118">
        <v>0</v>
      </c>
      <c r="CD21" s="118">
        <v>0</v>
      </c>
      <c r="CE21" s="118">
        <v>0</v>
      </c>
      <c r="CF21" s="118">
        <v>0</v>
      </c>
      <c r="CG21" s="118">
        <v>0</v>
      </c>
      <c r="CH21" s="118">
        <v>0</v>
      </c>
      <c r="CI21" s="118">
        <v>0</v>
      </c>
      <c r="CJ21" s="138">
        <v>0</v>
      </c>
      <c r="CK21" s="125" t="s">
        <v>484</v>
      </c>
      <c r="CL21" s="118">
        <v>2</v>
      </c>
      <c r="CM21" s="118">
        <v>0</v>
      </c>
      <c r="CN21" s="118">
        <v>1</v>
      </c>
      <c r="CO21" s="118">
        <v>0</v>
      </c>
      <c r="CP21" s="118">
        <v>2</v>
      </c>
      <c r="CQ21" s="118">
        <v>0</v>
      </c>
      <c r="CR21" s="118">
        <v>0</v>
      </c>
      <c r="CS21" s="118">
        <v>0</v>
      </c>
      <c r="CT21" s="138">
        <v>2</v>
      </c>
      <c r="CU21" s="125" t="s">
        <v>489</v>
      </c>
      <c r="CV21" s="118">
        <v>4</v>
      </c>
      <c r="CW21" s="118">
        <v>0</v>
      </c>
      <c r="CX21" s="118">
        <v>0</v>
      </c>
      <c r="CY21" s="118">
        <v>0</v>
      </c>
      <c r="CZ21" s="118">
        <v>0</v>
      </c>
      <c r="DA21" s="118">
        <v>1</v>
      </c>
      <c r="DB21" s="118">
        <v>0</v>
      </c>
      <c r="DC21" s="118">
        <v>0</v>
      </c>
      <c r="DD21" s="138">
        <v>0</v>
      </c>
      <c r="DE21" s="125" t="s">
        <v>482</v>
      </c>
      <c r="DF21" s="118">
        <v>4</v>
      </c>
      <c r="DG21" s="118">
        <v>0</v>
      </c>
      <c r="DH21" s="118">
        <v>0</v>
      </c>
      <c r="DI21" s="118">
        <v>0</v>
      </c>
      <c r="DJ21" s="118">
        <v>0</v>
      </c>
      <c r="DK21" s="118">
        <v>2</v>
      </c>
      <c r="DL21" s="118">
        <v>0</v>
      </c>
      <c r="DM21" s="118">
        <v>0</v>
      </c>
      <c r="DN21" s="138">
        <v>0</v>
      </c>
      <c r="DO21" s="125" t="s">
        <v>491</v>
      </c>
      <c r="DP21" s="118">
        <v>3</v>
      </c>
      <c r="DQ21" s="118">
        <v>0</v>
      </c>
      <c r="DR21" s="118">
        <v>1</v>
      </c>
      <c r="DS21" s="118">
        <v>0</v>
      </c>
      <c r="DT21" s="118">
        <v>0</v>
      </c>
      <c r="DU21" s="118">
        <v>1</v>
      </c>
      <c r="DV21" s="118">
        <v>0</v>
      </c>
      <c r="DW21" s="118">
        <v>0</v>
      </c>
      <c r="DX21" s="138">
        <v>1</v>
      </c>
      <c r="DY21" s="140">
        <v>1</v>
      </c>
      <c r="DZ21" s="118">
        <v>0</v>
      </c>
      <c r="EA21" s="118">
        <v>0</v>
      </c>
      <c r="EB21" s="119">
        <v>8</v>
      </c>
      <c r="EC21" s="118">
        <v>1</v>
      </c>
      <c r="ED21" s="138">
        <v>1</v>
      </c>
      <c r="EE21" s="125">
        <v>0</v>
      </c>
      <c r="EF21" s="118">
        <v>0</v>
      </c>
      <c r="EG21" s="118">
        <v>3</v>
      </c>
      <c r="EH21" s="118">
        <v>0</v>
      </c>
      <c r="EI21" s="118">
        <v>0</v>
      </c>
      <c r="EJ21" s="118">
        <v>0</v>
      </c>
      <c r="EK21" s="118">
        <v>0</v>
      </c>
      <c r="EL21" s="118">
        <v>0</v>
      </c>
      <c r="EM21" s="118">
        <v>0</v>
      </c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138">
        <f t="shared" si="0"/>
        <v>3</v>
      </c>
      <c r="EY21" s="125">
        <v>0</v>
      </c>
      <c r="EZ21" s="118">
        <v>0</v>
      </c>
      <c r="FA21" s="118">
        <v>1</v>
      </c>
      <c r="FB21" s="118">
        <v>1</v>
      </c>
      <c r="FC21" s="118">
        <v>0</v>
      </c>
      <c r="FD21" s="118">
        <v>0</v>
      </c>
      <c r="FE21" s="118">
        <v>3</v>
      </c>
      <c r="FF21" s="118">
        <v>0</v>
      </c>
      <c r="FG21" s="118">
        <v>0</v>
      </c>
      <c r="FH21" s="118"/>
      <c r="FI21" s="118"/>
      <c r="FJ21" s="118"/>
      <c r="FK21" s="118"/>
      <c r="FL21" s="118"/>
      <c r="FM21" s="118"/>
      <c r="FN21" s="118"/>
      <c r="FO21" s="118"/>
      <c r="FP21" s="118"/>
      <c r="FQ21" s="118"/>
      <c r="FR21" s="138">
        <f t="shared" si="1"/>
        <v>5</v>
      </c>
      <c r="FS21" s="166">
        <f t="shared" si="2"/>
        <v>0</v>
      </c>
      <c r="FT21" s="167">
        <f t="shared" si="3"/>
        <v>0</v>
      </c>
      <c r="FU21" s="142"/>
    </row>
    <row r="22" spans="1:177" x14ac:dyDescent="0.25">
      <c r="A22" s="121">
        <v>40296</v>
      </c>
      <c r="B22" s="121" t="s">
        <v>19</v>
      </c>
      <c r="C22" s="121" t="s">
        <v>129</v>
      </c>
      <c r="D22" s="121" t="s">
        <v>514</v>
      </c>
      <c r="E22" s="120">
        <v>1402</v>
      </c>
      <c r="F22" s="124">
        <v>4</v>
      </c>
      <c r="G22" s="118" t="s">
        <v>487</v>
      </c>
      <c r="H22" s="118">
        <v>1</v>
      </c>
      <c r="I22" s="118">
        <v>0</v>
      </c>
      <c r="J22" s="119">
        <v>6</v>
      </c>
      <c r="K22" s="118">
        <v>5</v>
      </c>
      <c r="L22" s="118">
        <v>3</v>
      </c>
      <c r="M22" s="118">
        <v>3</v>
      </c>
      <c r="N22" s="118">
        <v>3</v>
      </c>
      <c r="O22" s="118">
        <v>7</v>
      </c>
      <c r="P22" s="118">
        <v>0</v>
      </c>
      <c r="Q22" s="118">
        <v>0</v>
      </c>
      <c r="R22" s="118">
        <v>25</v>
      </c>
      <c r="S22" s="118"/>
      <c r="T22" s="118"/>
      <c r="U22" s="118">
        <v>0</v>
      </c>
      <c r="V22" s="138">
        <v>0</v>
      </c>
      <c r="W22" s="125">
        <v>0</v>
      </c>
      <c r="X22" s="118">
        <v>0</v>
      </c>
      <c r="Y22" s="118">
        <v>1</v>
      </c>
      <c r="Z22" s="118">
        <v>1</v>
      </c>
      <c r="AA22" s="118">
        <v>0</v>
      </c>
      <c r="AB22" s="119">
        <v>3</v>
      </c>
      <c r="AC22" s="118">
        <v>0</v>
      </c>
      <c r="AD22" s="118">
        <v>0</v>
      </c>
      <c r="AE22" s="118">
        <v>0</v>
      </c>
      <c r="AF22" s="118">
        <v>0</v>
      </c>
      <c r="AG22" s="118">
        <v>4</v>
      </c>
      <c r="AH22" s="118">
        <v>0</v>
      </c>
      <c r="AI22" s="118">
        <v>0</v>
      </c>
      <c r="AJ22" s="118">
        <v>9</v>
      </c>
      <c r="AK22" s="118"/>
      <c r="AL22" s="138"/>
      <c r="AM22" s="125" t="s">
        <v>486</v>
      </c>
      <c r="AN22" s="118">
        <v>2</v>
      </c>
      <c r="AO22" s="118">
        <v>2</v>
      </c>
      <c r="AP22" s="118">
        <v>2</v>
      </c>
      <c r="AQ22" s="118">
        <v>0</v>
      </c>
      <c r="AR22" s="118">
        <v>2</v>
      </c>
      <c r="AS22" s="118">
        <v>0</v>
      </c>
      <c r="AT22" s="118">
        <v>0</v>
      </c>
      <c r="AU22" s="118">
        <v>0</v>
      </c>
      <c r="AV22" s="138">
        <v>2</v>
      </c>
      <c r="AW22" s="125" t="s">
        <v>485</v>
      </c>
      <c r="AX22" s="118">
        <v>3</v>
      </c>
      <c r="AY22" s="118">
        <v>1</v>
      </c>
      <c r="AZ22" s="118">
        <v>2</v>
      </c>
      <c r="BA22" s="118">
        <v>5</v>
      </c>
      <c r="BB22" s="118">
        <v>1</v>
      </c>
      <c r="BC22" s="118">
        <v>1</v>
      </c>
      <c r="BD22" s="118">
        <v>0</v>
      </c>
      <c r="BE22" s="118">
        <v>0</v>
      </c>
      <c r="BF22" s="138">
        <v>6</v>
      </c>
      <c r="BG22" s="125" t="s">
        <v>473</v>
      </c>
      <c r="BH22" s="118">
        <v>3</v>
      </c>
      <c r="BI22" s="118">
        <v>0</v>
      </c>
      <c r="BJ22" s="118">
        <v>0</v>
      </c>
      <c r="BK22" s="118">
        <v>0</v>
      </c>
      <c r="BL22" s="118">
        <v>1</v>
      </c>
      <c r="BM22" s="118">
        <v>2</v>
      </c>
      <c r="BN22" s="118">
        <v>0</v>
      </c>
      <c r="BO22" s="118">
        <v>0</v>
      </c>
      <c r="BP22" s="138">
        <v>0</v>
      </c>
      <c r="BQ22" s="125" t="s">
        <v>496</v>
      </c>
      <c r="BR22" s="118">
        <v>2</v>
      </c>
      <c r="BS22" s="118">
        <v>0</v>
      </c>
      <c r="BT22" s="118">
        <v>0</v>
      </c>
      <c r="BU22" s="118">
        <v>1</v>
      </c>
      <c r="BV22" s="118">
        <v>0</v>
      </c>
      <c r="BW22" s="118">
        <v>1</v>
      </c>
      <c r="BX22" s="118">
        <v>1</v>
      </c>
      <c r="BY22" s="118">
        <v>1</v>
      </c>
      <c r="BZ22" s="138">
        <v>0</v>
      </c>
      <c r="CA22" s="125" t="s">
        <v>480</v>
      </c>
      <c r="CB22" s="118">
        <v>4</v>
      </c>
      <c r="CC22" s="118">
        <v>0</v>
      </c>
      <c r="CD22" s="118">
        <v>0</v>
      </c>
      <c r="CE22" s="118">
        <v>0</v>
      </c>
      <c r="CF22" s="118">
        <v>0</v>
      </c>
      <c r="CG22" s="118">
        <v>3</v>
      </c>
      <c r="CH22" s="118">
        <v>0</v>
      </c>
      <c r="CI22" s="118">
        <v>0</v>
      </c>
      <c r="CJ22" s="138">
        <v>0</v>
      </c>
      <c r="CK22" s="125" t="s">
        <v>481</v>
      </c>
      <c r="CL22" s="118">
        <v>3</v>
      </c>
      <c r="CM22" s="118">
        <v>0</v>
      </c>
      <c r="CN22" s="118">
        <v>1</v>
      </c>
      <c r="CO22" s="118">
        <v>0</v>
      </c>
      <c r="CP22" s="118">
        <v>1</v>
      </c>
      <c r="CQ22" s="118">
        <v>0</v>
      </c>
      <c r="CR22" s="118">
        <v>0</v>
      </c>
      <c r="CS22" s="118">
        <v>0</v>
      </c>
      <c r="CT22" s="138">
        <v>1</v>
      </c>
      <c r="CU22" s="125" t="s">
        <v>489</v>
      </c>
      <c r="CV22" s="118">
        <v>4</v>
      </c>
      <c r="CW22" s="118">
        <v>0</v>
      </c>
      <c r="CX22" s="118">
        <v>1</v>
      </c>
      <c r="CY22" s="118">
        <v>0</v>
      </c>
      <c r="CZ22" s="118">
        <v>0</v>
      </c>
      <c r="DA22" s="118">
        <v>1</v>
      </c>
      <c r="DB22" s="118">
        <v>0</v>
      </c>
      <c r="DC22" s="118">
        <v>0</v>
      </c>
      <c r="DD22" s="138">
        <v>1</v>
      </c>
      <c r="DE22" s="125" t="s">
        <v>482</v>
      </c>
      <c r="DF22" s="118">
        <v>4</v>
      </c>
      <c r="DG22" s="118">
        <v>1</v>
      </c>
      <c r="DH22" s="118">
        <v>1</v>
      </c>
      <c r="DI22" s="118">
        <v>0</v>
      </c>
      <c r="DJ22" s="118">
        <v>0</v>
      </c>
      <c r="DK22" s="118">
        <v>0</v>
      </c>
      <c r="DL22" s="118">
        <v>0</v>
      </c>
      <c r="DM22" s="118">
        <v>0</v>
      </c>
      <c r="DN22" s="138">
        <v>1</v>
      </c>
      <c r="DO22" s="125" t="s">
        <v>479</v>
      </c>
      <c r="DP22" s="118">
        <v>2</v>
      </c>
      <c r="DQ22" s="118">
        <v>2</v>
      </c>
      <c r="DR22" s="118">
        <v>0</v>
      </c>
      <c r="DS22" s="118">
        <v>0</v>
      </c>
      <c r="DT22" s="118">
        <v>1</v>
      </c>
      <c r="DU22" s="118">
        <v>2</v>
      </c>
      <c r="DV22" s="118">
        <v>1</v>
      </c>
      <c r="DW22" s="118">
        <v>0</v>
      </c>
      <c r="DX22" s="138">
        <v>0</v>
      </c>
      <c r="DY22" s="140">
        <v>0</v>
      </c>
      <c r="DZ22" s="118">
        <v>0</v>
      </c>
      <c r="EA22" s="118">
        <v>0</v>
      </c>
      <c r="EB22" s="119">
        <v>8</v>
      </c>
      <c r="EC22" s="118">
        <v>2</v>
      </c>
      <c r="ED22" s="138">
        <v>2</v>
      </c>
      <c r="EE22" s="125">
        <v>0</v>
      </c>
      <c r="EF22" s="118">
        <v>3</v>
      </c>
      <c r="EG22" s="118">
        <v>0</v>
      </c>
      <c r="EH22" s="118">
        <v>3</v>
      </c>
      <c r="EI22" s="118">
        <v>0</v>
      </c>
      <c r="EJ22" s="118">
        <v>0</v>
      </c>
      <c r="EK22" s="118">
        <v>0</v>
      </c>
      <c r="EL22" s="118">
        <v>0</v>
      </c>
      <c r="EM22" s="118"/>
      <c r="EN22" s="118"/>
      <c r="EO22" s="118"/>
      <c r="EP22" s="118"/>
      <c r="EQ22" s="118"/>
      <c r="ER22" s="118"/>
      <c r="ES22" s="118"/>
      <c r="ET22" s="118"/>
      <c r="EU22" s="118"/>
      <c r="EV22" s="118"/>
      <c r="EW22" s="118"/>
      <c r="EX22" s="138">
        <f t="shared" si="0"/>
        <v>6</v>
      </c>
      <c r="EY22" s="125">
        <v>2</v>
      </c>
      <c r="EZ22" s="118">
        <v>0</v>
      </c>
      <c r="FA22" s="118">
        <v>0</v>
      </c>
      <c r="FB22" s="118">
        <v>1</v>
      </c>
      <c r="FC22" s="118">
        <v>0</v>
      </c>
      <c r="FD22" s="118">
        <v>0</v>
      </c>
      <c r="FE22" s="118">
        <v>0</v>
      </c>
      <c r="FF22" s="118">
        <v>0</v>
      </c>
      <c r="FG22" s="118">
        <v>0</v>
      </c>
      <c r="FH22" s="118"/>
      <c r="FI22" s="118"/>
      <c r="FJ22" s="118"/>
      <c r="FK22" s="118"/>
      <c r="FL22" s="118"/>
      <c r="FM22" s="118"/>
      <c r="FN22" s="118"/>
      <c r="FO22" s="118"/>
      <c r="FP22" s="118"/>
      <c r="FQ22" s="118"/>
      <c r="FR22" s="138">
        <f t="shared" si="1"/>
        <v>3</v>
      </c>
      <c r="FS22" s="166">
        <f t="shared" si="2"/>
        <v>0</v>
      </c>
      <c r="FT22" s="167">
        <f t="shared" si="3"/>
        <v>0</v>
      </c>
      <c r="FU22" s="142"/>
    </row>
    <row r="23" spans="1:177" x14ac:dyDescent="0.25">
      <c r="A23" s="121">
        <v>40297</v>
      </c>
      <c r="B23" s="121" t="s">
        <v>19</v>
      </c>
      <c r="C23" s="121" t="s">
        <v>129</v>
      </c>
      <c r="D23" s="121" t="s">
        <v>514</v>
      </c>
      <c r="E23" s="120">
        <v>2274</v>
      </c>
      <c r="F23" s="124">
        <v>5</v>
      </c>
      <c r="G23" s="118" t="s">
        <v>492</v>
      </c>
      <c r="H23" s="118">
        <v>1</v>
      </c>
      <c r="I23" s="118">
        <v>0</v>
      </c>
      <c r="J23" s="119">
        <f>5+1/3</f>
        <v>5.333333333333333</v>
      </c>
      <c r="K23" s="118">
        <v>2</v>
      </c>
      <c r="L23" s="118">
        <v>0</v>
      </c>
      <c r="M23" s="118">
        <v>0</v>
      </c>
      <c r="N23" s="118">
        <v>3</v>
      </c>
      <c r="O23" s="118">
        <v>2</v>
      </c>
      <c r="P23" s="118">
        <v>0</v>
      </c>
      <c r="Q23" s="118">
        <v>1</v>
      </c>
      <c r="R23" s="118">
        <v>22</v>
      </c>
      <c r="S23" s="118"/>
      <c r="T23" s="118"/>
      <c r="U23" s="118">
        <v>2</v>
      </c>
      <c r="V23" s="138">
        <v>0</v>
      </c>
      <c r="W23" s="125">
        <v>0</v>
      </c>
      <c r="X23" s="118">
        <v>0</v>
      </c>
      <c r="Y23" s="118">
        <v>2</v>
      </c>
      <c r="Z23" s="118">
        <v>1</v>
      </c>
      <c r="AA23" s="118">
        <v>0</v>
      </c>
      <c r="AB23" s="119">
        <f>3+2/3</f>
        <v>3.6666666666666665</v>
      </c>
      <c r="AC23" s="118">
        <v>4</v>
      </c>
      <c r="AD23" s="118">
        <v>2</v>
      </c>
      <c r="AE23" s="118">
        <v>2</v>
      </c>
      <c r="AF23" s="118">
        <v>0</v>
      </c>
      <c r="AG23" s="118">
        <v>6</v>
      </c>
      <c r="AH23" s="118">
        <v>1</v>
      </c>
      <c r="AI23" s="118">
        <v>0</v>
      </c>
      <c r="AJ23" s="118">
        <v>15</v>
      </c>
      <c r="AK23" s="118"/>
      <c r="AL23" s="138"/>
      <c r="AM23" s="125" t="s">
        <v>486</v>
      </c>
      <c r="AN23" s="118">
        <v>4</v>
      </c>
      <c r="AO23" s="118">
        <v>0</v>
      </c>
      <c r="AP23" s="118">
        <v>0</v>
      </c>
      <c r="AQ23" s="118">
        <v>0</v>
      </c>
      <c r="AR23" s="118">
        <v>0</v>
      </c>
      <c r="AS23" s="118">
        <v>0</v>
      </c>
      <c r="AT23" s="118">
        <v>0</v>
      </c>
      <c r="AU23" s="118">
        <v>0</v>
      </c>
      <c r="AV23" s="138">
        <v>0</v>
      </c>
      <c r="AW23" s="125" t="s">
        <v>485</v>
      </c>
      <c r="AX23" s="118">
        <v>3</v>
      </c>
      <c r="AY23" s="118">
        <v>1</v>
      </c>
      <c r="AZ23" s="118">
        <v>0</v>
      </c>
      <c r="BA23" s="118">
        <v>0</v>
      </c>
      <c r="BB23" s="118">
        <v>1</v>
      </c>
      <c r="BC23" s="118">
        <v>0</v>
      </c>
      <c r="BD23" s="118">
        <v>0</v>
      </c>
      <c r="BE23" s="118">
        <v>0</v>
      </c>
      <c r="BF23" s="138">
        <v>0</v>
      </c>
      <c r="BG23" s="125" t="s">
        <v>484</v>
      </c>
      <c r="BH23" s="118">
        <v>3</v>
      </c>
      <c r="BI23" s="118">
        <v>1</v>
      </c>
      <c r="BJ23" s="118">
        <v>2</v>
      </c>
      <c r="BK23" s="118">
        <v>1</v>
      </c>
      <c r="BL23" s="118">
        <v>1</v>
      </c>
      <c r="BM23" s="118">
        <v>0</v>
      </c>
      <c r="BN23" s="118">
        <v>0</v>
      </c>
      <c r="BO23" s="118">
        <v>0</v>
      </c>
      <c r="BP23" s="138">
        <v>6</v>
      </c>
      <c r="BQ23" s="125" t="s">
        <v>496</v>
      </c>
      <c r="BR23" s="118">
        <v>4</v>
      </c>
      <c r="BS23" s="118">
        <v>0</v>
      </c>
      <c r="BT23" s="118">
        <v>3</v>
      </c>
      <c r="BU23" s="118">
        <v>1</v>
      </c>
      <c r="BV23" s="118">
        <v>0</v>
      </c>
      <c r="BW23" s="118">
        <v>1</v>
      </c>
      <c r="BX23" s="118">
        <v>0</v>
      </c>
      <c r="BY23" s="118">
        <v>0</v>
      </c>
      <c r="BZ23" s="138">
        <v>3</v>
      </c>
      <c r="CA23" s="125" t="s">
        <v>473</v>
      </c>
      <c r="CB23" s="118">
        <v>4</v>
      </c>
      <c r="CC23" s="118">
        <v>1</v>
      </c>
      <c r="CD23" s="118">
        <v>1</v>
      </c>
      <c r="CE23" s="118">
        <v>0</v>
      </c>
      <c r="CF23" s="118">
        <v>0</v>
      </c>
      <c r="CG23" s="118">
        <v>1</v>
      </c>
      <c r="CH23" s="118">
        <v>0</v>
      </c>
      <c r="CI23" s="118">
        <v>0</v>
      </c>
      <c r="CJ23" s="138">
        <v>2</v>
      </c>
      <c r="CK23" s="125" t="s">
        <v>481</v>
      </c>
      <c r="CL23" s="118">
        <v>4</v>
      </c>
      <c r="CM23" s="118">
        <v>0</v>
      </c>
      <c r="CN23" s="118">
        <v>2</v>
      </c>
      <c r="CO23" s="118">
        <v>0</v>
      </c>
      <c r="CP23" s="118">
        <v>0</v>
      </c>
      <c r="CQ23" s="118">
        <v>0</v>
      </c>
      <c r="CR23" s="118">
        <v>0</v>
      </c>
      <c r="CS23" s="118">
        <v>0</v>
      </c>
      <c r="CT23" s="138">
        <v>2</v>
      </c>
      <c r="CU23" s="125" t="s">
        <v>489</v>
      </c>
      <c r="CV23" s="118">
        <v>3</v>
      </c>
      <c r="CW23" s="118">
        <v>1</v>
      </c>
      <c r="CX23" s="118">
        <v>2</v>
      </c>
      <c r="CY23" s="118">
        <v>2</v>
      </c>
      <c r="CZ23" s="118">
        <v>0</v>
      </c>
      <c r="DA23" s="118">
        <v>0</v>
      </c>
      <c r="DB23" s="118">
        <v>0</v>
      </c>
      <c r="DC23" s="118">
        <v>1</v>
      </c>
      <c r="DD23" s="138">
        <v>5</v>
      </c>
      <c r="DE23" s="125" t="s">
        <v>491</v>
      </c>
      <c r="DF23" s="118">
        <v>3</v>
      </c>
      <c r="DG23" s="118">
        <v>0</v>
      </c>
      <c r="DH23" s="118">
        <v>1</v>
      </c>
      <c r="DI23" s="118">
        <v>0</v>
      </c>
      <c r="DJ23" s="118">
        <v>1</v>
      </c>
      <c r="DK23" s="118">
        <v>0</v>
      </c>
      <c r="DL23" s="118">
        <v>0</v>
      </c>
      <c r="DM23" s="118">
        <v>0</v>
      </c>
      <c r="DN23" s="138">
        <v>2</v>
      </c>
      <c r="DO23" s="125" t="s">
        <v>479</v>
      </c>
      <c r="DP23" s="118">
        <v>4</v>
      </c>
      <c r="DQ23" s="118">
        <v>0</v>
      </c>
      <c r="DR23" s="118">
        <v>0</v>
      </c>
      <c r="DS23" s="118">
        <v>0</v>
      </c>
      <c r="DT23" s="118">
        <v>0</v>
      </c>
      <c r="DU23" s="118">
        <v>2</v>
      </c>
      <c r="DV23" s="118">
        <v>0</v>
      </c>
      <c r="DW23" s="118">
        <v>0</v>
      </c>
      <c r="DX23" s="138">
        <v>0</v>
      </c>
      <c r="DY23" s="140">
        <v>0</v>
      </c>
      <c r="DZ23" s="118">
        <v>0</v>
      </c>
      <c r="EA23" s="118">
        <v>0</v>
      </c>
      <c r="EB23" s="119">
        <v>8</v>
      </c>
      <c r="EC23" s="118">
        <v>0</v>
      </c>
      <c r="ED23" s="138">
        <v>1</v>
      </c>
      <c r="EE23" s="125">
        <v>1</v>
      </c>
      <c r="EF23" s="118">
        <v>0</v>
      </c>
      <c r="EG23" s="118">
        <v>0</v>
      </c>
      <c r="EH23" s="118">
        <v>1</v>
      </c>
      <c r="EI23" s="118">
        <v>0</v>
      </c>
      <c r="EJ23" s="118">
        <v>0</v>
      </c>
      <c r="EK23" s="118">
        <v>1</v>
      </c>
      <c r="EL23" s="118">
        <v>1</v>
      </c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38">
        <f t="shared" si="0"/>
        <v>4</v>
      </c>
      <c r="EY23" s="125">
        <v>0</v>
      </c>
      <c r="EZ23" s="118">
        <v>0</v>
      </c>
      <c r="FA23" s="118">
        <v>0</v>
      </c>
      <c r="FB23" s="118">
        <v>0</v>
      </c>
      <c r="FC23" s="118">
        <v>0</v>
      </c>
      <c r="FD23" s="118">
        <v>0</v>
      </c>
      <c r="FE23" s="118">
        <v>0</v>
      </c>
      <c r="FF23" s="118">
        <v>1</v>
      </c>
      <c r="FG23" s="118">
        <v>1</v>
      </c>
      <c r="FH23" s="118"/>
      <c r="FI23" s="118"/>
      <c r="FJ23" s="118"/>
      <c r="FK23" s="118"/>
      <c r="FL23" s="118"/>
      <c r="FM23" s="118"/>
      <c r="FN23" s="118"/>
      <c r="FO23" s="118"/>
      <c r="FP23" s="118"/>
      <c r="FQ23" s="118"/>
      <c r="FR23" s="138">
        <f t="shared" si="1"/>
        <v>2</v>
      </c>
      <c r="FS23" s="166">
        <f t="shared" si="2"/>
        <v>0</v>
      </c>
      <c r="FT23" s="167">
        <f t="shared" si="3"/>
        <v>0</v>
      </c>
      <c r="FU23" s="142"/>
    </row>
    <row r="24" spans="1:177" x14ac:dyDescent="0.25">
      <c r="A24" s="121">
        <v>40298</v>
      </c>
      <c r="B24" s="121" t="s">
        <v>133</v>
      </c>
      <c r="C24" s="121" t="s">
        <v>131</v>
      </c>
      <c r="D24" s="121" t="s">
        <v>513</v>
      </c>
      <c r="E24" s="120">
        <v>750</v>
      </c>
      <c r="F24" s="124">
        <v>1</v>
      </c>
      <c r="G24" s="118" t="s">
        <v>493</v>
      </c>
      <c r="H24" s="118">
        <v>0</v>
      </c>
      <c r="I24" s="118">
        <v>1</v>
      </c>
      <c r="J24" s="119">
        <v>5</v>
      </c>
      <c r="K24" s="118">
        <v>6</v>
      </c>
      <c r="L24" s="118">
        <v>6</v>
      </c>
      <c r="M24" s="118">
        <v>6</v>
      </c>
      <c r="N24" s="118">
        <v>3</v>
      </c>
      <c r="O24" s="118">
        <v>8</v>
      </c>
      <c r="P24" s="118">
        <v>1</v>
      </c>
      <c r="Q24" s="118">
        <v>0</v>
      </c>
      <c r="R24" s="118">
        <v>23</v>
      </c>
      <c r="S24" s="118"/>
      <c r="T24" s="118"/>
      <c r="U24" s="118">
        <v>0</v>
      </c>
      <c r="V24" s="138">
        <v>0</v>
      </c>
      <c r="W24" s="125">
        <v>0</v>
      </c>
      <c r="X24" s="118">
        <v>0</v>
      </c>
      <c r="Y24" s="118">
        <v>0</v>
      </c>
      <c r="Z24" s="118">
        <v>0</v>
      </c>
      <c r="AA24" s="118">
        <v>0</v>
      </c>
      <c r="AB24" s="119">
        <v>3</v>
      </c>
      <c r="AC24" s="118">
        <v>6</v>
      </c>
      <c r="AD24" s="118">
        <v>3</v>
      </c>
      <c r="AE24" s="118">
        <v>3</v>
      </c>
      <c r="AF24" s="118">
        <v>1</v>
      </c>
      <c r="AG24" s="118">
        <v>5</v>
      </c>
      <c r="AH24" s="118">
        <v>1</v>
      </c>
      <c r="AI24" s="118">
        <v>0</v>
      </c>
      <c r="AJ24" s="118">
        <v>16</v>
      </c>
      <c r="AK24" s="118"/>
      <c r="AL24" s="138"/>
      <c r="AM24" s="125" t="s">
        <v>486</v>
      </c>
      <c r="AN24" s="118">
        <v>5</v>
      </c>
      <c r="AO24" s="118">
        <v>0</v>
      </c>
      <c r="AP24" s="118">
        <v>0</v>
      </c>
      <c r="AQ24" s="118">
        <v>0</v>
      </c>
      <c r="AR24" s="118">
        <v>0</v>
      </c>
      <c r="AS24" s="118">
        <v>1</v>
      </c>
      <c r="AT24" s="118">
        <v>0</v>
      </c>
      <c r="AU24" s="118">
        <v>0</v>
      </c>
      <c r="AV24" s="138">
        <v>0</v>
      </c>
      <c r="AW24" s="125" t="s">
        <v>485</v>
      </c>
      <c r="AX24" s="118">
        <v>4</v>
      </c>
      <c r="AY24" s="118">
        <v>0</v>
      </c>
      <c r="AZ24" s="118">
        <v>1</v>
      </c>
      <c r="BA24" s="118">
        <v>0</v>
      </c>
      <c r="BB24" s="118">
        <v>0</v>
      </c>
      <c r="BC24" s="118">
        <v>0</v>
      </c>
      <c r="BD24" s="118">
        <v>0</v>
      </c>
      <c r="BE24" s="118">
        <v>0</v>
      </c>
      <c r="BF24" s="138">
        <v>0</v>
      </c>
      <c r="BG24" s="125" t="s">
        <v>484</v>
      </c>
      <c r="BH24" s="118">
        <v>4</v>
      </c>
      <c r="BI24" s="118">
        <v>1</v>
      </c>
      <c r="BJ24" s="118">
        <v>2</v>
      </c>
      <c r="BK24" s="118">
        <v>0</v>
      </c>
      <c r="BL24" s="118">
        <v>0</v>
      </c>
      <c r="BM24" s="118">
        <v>1</v>
      </c>
      <c r="BN24" s="118">
        <v>0</v>
      </c>
      <c r="BO24" s="118">
        <v>0</v>
      </c>
      <c r="BP24" s="138">
        <v>3</v>
      </c>
      <c r="BQ24" s="125" t="s">
        <v>496</v>
      </c>
      <c r="BR24" s="118">
        <v>4</v>
      </c>
      <c r="BS24" s="118">
        <v>1</v>
      </c>
      <c r="BT24" s="118">
        <v>1</v>
      </c>
      <c r="BU24" s="118">
        <v>0</v>
      </c>
      <c r="BV24" s="118">
        <v>0</v>
      </c>
      <c r="BW24" s="118">
        <v>1</v>
      </c>
      <c r="BX24" s="118">
        <v>0</v>
      </c>
      <c r="BY24" s="118">
        <v>0</v>
      </c>
      <c r="BZ24" s="138">
        <v>1</v>
      </c>
      <c r="CA24" s="125" t="s">
        <v>473</v>
      </c>
      <c r="CB24" s="118">
        <v>4</v>
      </c>
      <c r="CC24" s="118">
        <v>0</v>
      </c>
      <c r="CD24" s="118">
        <v>1</v>
      </c>
      <c r="CE24" s="118">
        <v>0</v>
      </c>
      <c r="CF24" s="118">
        <v>0</v>
      </c>
      <c r="CG24" s="118">
        <v>1</v>
      </c>
      <c r="CH24" s="118">
        <v>0</v>
      </c>
      <c r="CI24" s="118">
        <v>0</v>
      </c>
      <c r="CJ24" s="138">
        <v>1</v>
      </c>
      <c r="CK24" s="125" t="s">
        <v>480</v>
      </c>
      <c r="CL24" s="118">
        <v>4</v>
      </c>
      <c r="CM24" s="118">
        <v>0</v>
      </c>
      <c r="CN24" s="118">
        <v>1</v>
      </c>
      <c r="CO24" s="118">
        <v>0</v>
      </c>
      <c r="CP24" s="118">
        <v>0</v>
      </c>
      <c r="CQ24" s="118">
        <v>1</v>
      </c>
      <c r="CR24" s="118">
        <v>0</v>
      </c>
      <c r="CS24" s="118">
        <v>0</v>
      </c>
      <c r="CT24" s="138">
        <v>1</v>
      </c>
      <c r="CU24" s="125" t="s">
        <v>489</v>
      </c>
      <c r="CV24" s="118">
        <v>4</v>
      </c>
      <c r="CW24" s="118">
        <v>0</v>
      </c>
      <c r="CX24" s="118">
        <v>1</v>
      </c>
      <c r="CY24" s="118">
        <v>1</v>
      </c>
      <c r="CZ24" s="118">
        <v>0</v>
      </c>
      <c r="DA24" s="118">
        <v>1</v>
      </c>
      <c r="DB24" s="118">
        <v>0</v>
      </c>
      <c r="DC24" s="118">
        <v>0</v>
      </c>
      <c r="DD24" s="138">
        <v>1</v>
      </c>
      <c r="DE24" s="125" t="s">
        <v>482</v>
      </c>
      <c r="DF24" s="118">
        <v>4</v>
      </c>
      <c r="DG24" s="118">
        <v>0</v>
      </c>
      <c r="DH24" s="118">
        <v>1</v>
      </c>
      <c r="DI24" s="118">
        <v>0</v>
      </c>
      <c r="DJ24" s="118">
        <v>0</v>
      </c>
      <c r="DK24" s="118">
        <v>2</v>
      </c>
      <c r="DL24" s="118">
        <v>0</v>
      </c>
      <c r="DM24" s="118">
        <v>0</v>
      </c>
      <c r="DN24" s="138">
        <v>1</v>
      </c>
      <c r="DO24" s="125" t="s">
        <v>491</v>
      </c>
      <c r="DP24" s="118">
        <v>4</v>
      </c>
      <c r="DQ24" s="118">
        <v>0</v>
      </c>
      <c r="DR24" s="118">
        <v>1</v>
      </c>
      <c r="DS24" s="118">
        <v>0</v>
      </c>
      <c r="DT24" s="118">
        <v>0</v>
      </c>
      <c r="DU24" s="118">
        <v>1</v>
      </c>
      <c r="DV24" s="118">
        <v>0</v>
      </c>
      <c r="DW24" s="118">
        <v>0</v>
      </c>
      <c r="DX24" s="138">
        <v>1</v>
      </c>
      <c r="DY24" s="140">
        <v>0</v>
      </c>
      <c r="DZ24" s="118">
        <v>0</v>
      </c>
      <c r="EA24" s="118">
        <v>0</v>
      </c>
      <c r="EB24" s="119">
        <v>9</v>
      </c>
      <c r="EC24" s="118">
        <v>0</v>
      </c>
      <c r="ED24" s="138">
        <v>0</v>
      </c>
      <c r="EE24" s="125">
        <v>0</v>
      </c>
      <c r="EF24" s="118">
        <v>0</v>
      </c>
      <c r="EG24" s="118">
        <v>0</v>
      </c>
      <c r="EH24" s="118">
        <v>0</v>
      </c>
      <c r="EI24" s="118">
        <v>0</v>
      </c>
      <c r="EJ24" s="118">
        <v>0</v>
      </c>
      <c r="EK24" s="118">
        <v>0</v>
      </c>
      <c r="EL24" s="118">
        <v>0</v>
      </c>
      <c r="EM24" s="118">
        <v>2</v>
      </c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38">
        <f t="shared" si="0"/>
        <v>2</v>
      </c>
      <c r="EY24" s="125">
        <v>0</v>
      </c>
      <c r="EZ24" s="118">
        <v>5</v>
      </c>
      <c r="FA24" s="118">
        <v>0</v>
      </c>
      <c r="FB24" s="118">
        <v>0</v>
      </c>
      <c r="FC24" s="118">
        <v>1</v>
      </c>
      <c r="FD24" s="118">
        <v>0</v>
      </c>
      <c r="FE24" s="118">
        <v>1</v>
      </c>
      <c r="FF24" s="118">
        <v>2</v>
      </c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18"/>
      <c r="FR24" s="138">
        <f t="shared" si="1"/>
        <v>9</v>
      </c>
      <c r="FS24" s="166">
        <f t="shared" si="2"/>
        <v>0</v>
      </c>
      <c r="FT24" s="167">
        <f t="shared" si="3"/>
        <v>0</v>
      </c>
      <c r="FU24" s="142"/>
    </row>
    <row r="25" spans="1:177" x14ac:dyDescent="0.25">
      <c r="A25" s="121">
        <v>40299</v>
      </c>
      <c r="B25" s="121" t="s">
        <v>133</v>
      </c>
      <c r="C25" s="121" t="s">
        <v>129</v>
      </c>
      <c r="D25" s="121" t="s">
        <v>513</v>
      </c>
      <c r="E25" s="120">
        <v>3353</v>
      </c>
      <c r="F25" s="124">
        <v>2</v>
      </c>
      <c r="G25" s="118" t="s">
        <v>498</v>
      </c>
      <c r="H25" s="118">
        <v>0</v>
      </c>
      <c r="I25" s="118">
        <v>0</v>
      </c>
      <c r="J25" s="119">
        <f>4+1/3</f>
        <v>4.333333333333333</v>
      </c>
      <c r="K25" s="118">
        <v>9</v>
      </c>
      <c r="L25" s="118">
        <v>5</v>
      </c>
      <c r="M25" s="118">
        <v>4</v>
      </c>
      <c r="N25" s="118">
        <v>0</v>
      </c>
      <c r="O25" s="118">
        <v>4</v>
      </c>
      <c r="P25" s="118">
        <v>0</v>
      </c>
      <c r="Q25" s="118">
        <v>1</v>
      </c>
      <c r="R25" s="118">
        <v>23</v>
      </c>
      <c r="S25" s="118"/>
      <c r="T25" s="118"/>
      <c r="U25" s="118">
        <v>1</v>
      </c>
      <c r="V25" s="138">
        <v>1</v>
      </c>
      <c r="W25" s="125">
        <v>0</v>
      </c>
      <c r="X25" s="118">
        <v>0</v>
      </c>
      <c r="Y25" s="118">
        <v>0</v>
      </c>
      <c r="Z25" s="118">
        <v>0</v>
      </c>
      <c r="AA25" s="118">
        <v>0</v>
      </c>
      <c r="AB25" s="119">
        <f>4+2/3</f>
        <v>4.666666666666667</v>
      </c>
      <c r="AC25" s="118">
        <v>3</v>
      </c>
      <c r="AD25" s="118">
        <v>1</v>
      </c>
      <c r="AE25" s="118">
        <v>1</v>
      </c>
      <c r="AF25" s="118">
        <v>2</v>
      </c>
      <c r="AG25" s="118">
        <v>8</v>
      </c>
      <c r="AH25" s="118">
        <v>0</v>
      </c>
      <c r="AI25" s="118">
        <v>0</v>
      </c>
      <c r="AJ25" s="118">
        <v>19</v>
      </c>
      <c r="AK25" s="118"/>
      <c r="AL25" s="138"/>
      <c r="AM25" s="125" t="s">
        <v>486</v>
      </c>
      <c r="AN25" s="118">
        <v>4</v>
      </c>
      <c r="AO25" s="118">
        <v>1</v>
      </c>
      <c r="AP25" s="118">
        <v>1</v>
      </c>
      <c r="AQ25" s="118">
        <v>2</v>
      </c>
      <c r="AR25" s="118">
        <v>1</v>
      </c>
      <c r="AS25" s="118">
        <v>1</v>
      </c>
      <c r="AT25" s="118">
        <v>0</v>
      </c>
      <c r="AU25" s="118">
        <v>0</v>
      </c>
      <c r="AV25" s="138">
        <v>1</v>
      </c>
      <c r="AW25" s="125" t="s">
        <v>485</v>
      </c>
      <c r="AX25" s="118">
        <v>4</v>
      </c>
      <c r="AY25" s="118">
        <v>1</v>
      </c>
      <c r="AZ25" s="118">
        <v>1</v>
      </c>
      <c r="BA25" s="118">
        <v>0</v>
      </c>
      <c r="BB25" s="118">
        <v>0</v>
      </c>
      <c r="BC25" s="118">
        <v>2</v>
      </c>
      <c r="BD25" s="118">
        <v>1</v>
      </c>
      <c r="BE25" s="118">
        <v>0</v>
      </c>
      <c r="BF25" s="138">
        <v>1</v>
      </c>
      <c r="BG25" s="125" t="s">
        <v>496</v>
      </c>
      <c r="BH25" s="118">
        <v>5</v>
      </c>
      <c r="BI25" s="118">
        <v>0</v>
      </c>
      <c r="BJ25" s="118">
        <v>1</v>
      </c>
      <c r="BK25" s="118">
        <v>2</v>
      </c>
      <c r="BL25" s="118">
        <v>0</v>
      </c>
      <c r="BM25" s="118">
        <v>1</v>
      </c>
      <c r="BN25" s="118">
        <v>0</v>
      </c>
      <c r="BO25" s="118">
        <v>0</v>
      </c>
      <c r="BP25" s="138">
        <v>2</v>
      </c>
      <c r="BQ25" s="125" t="s">
        <v>473</v>
      </c>
      <c r="BR25" s="118">
        <v>4</v>
      </c>
      <c r="BS25" s="118">
        <v>2</v>
      </c>
      <c r="BT25" s="118">
        <v>1</v>
      </c>
      <c r="BU25" s="118">
        <v>0</v>
      </c>
      <c r="BV25" s="118">
        <v>1</v>
      </c>
      <c r="BW25" s="118">
        <v>1</v>
      </c>
      <c r="BX25" s="118">
        <v>0</v>
      </c>
      <c r="BY25" s="118">
        <v>0</v>
      </c>
      <c r="BZ25" s="138">
        <v>1</v>
      </c>
      <c r="CA25" s="125" t="s">
        <v>483</v>
      </c>
      <c r="CB25" s="118">
        <v>4</v>
      </c>
      <c r="CC25" s="118">
        <v>1</v>
      </c>
      <c r="CD25" s="118">
        <v>1</v>
      </c>
      <c r="CE25" s="118">
        <v>2</v>
      </c>
      <c r="CF25" s="118">
        <v>0</v>
      </c>
      <c r="CG25" s="118">
        <v>0</v>
      </c>
      <c r="CH25" s="118">
        <v>0</v>
      </c>
      <c r="CI25" s="118">
        <v>0</v>
      </c>
      <c r="CJ25" s="138">
        <v>4</v>
      </c>
      <c r="CK25" s="125" t="s">
        <v>489</v>
      </c>
      <c r="CL25" s="118">
        <v>4</v>
      </c>
      <c r="CM25" s="118">
        <v>2</v>
      </c>
      <c r="CN25" s="118">
        <v>3</v>
      </c>
      <c r="CO25" s="118">
        <v>0</v>
      </c>
      <c r="CP25" s="118">
        <v>1</v>
      </c>
      <c r="CQ25" s="118">
        <v>1</v>
      </c>
      <c r="CR25" s="118">
        <v>0</v>
      </c>
      <c r="CS25" s="118">
        <v>0</v>
      </c>
      <c r="CT25" s="138">
        <v>4</v>
      </c>
      <c r="CU25" s="125" t="s">
        <v>479</v>
      </c>
      <c r="CV25" s="118">
        <v>4</v>
      </c>
      <c r="CW25" s="118">
        <v>1</v>
      </c>
      <c r="CX25" s="118">
        <v>1</v>
      </c>
      <c r="CY25" s="118">
        <v>1</v>
      </c>
      <c r="CZ25" s="118">
        <v>0</v>
      </c>
      <c r="DA25" s="118">
        <v>0</v>
      </c>
      <c r="DB25" s="118">
        <v>0</v>
      </c>
      <c r="DC25" s="118">
        <v>0</v>
      </c>
      <c r="DD25" s="138">
        <v>1</v>
      </c>
      <c r="DE25" s="125" t="s">
        <v>482</v>
      </c>
      <c r="DF25" s="118">
        <v>4</v>
      </c>
      <c r="DG25" s="118">
        <v>2</v>
      </c>
      <c r="DH25" s="118">
        <v>1</v>
      </c>
      <c r="DI25" s="118">
        <v>2</v>
      </c>
      <c r="DJ25" s="118">
        <v>0</v>
      </c>
      <c r="DK25" s="118">
        <v>1</v>
      </c>
      <c r="DL25" s="118">
        <v>0</v>
      </c>
      <c r="DM25" s="118">
        <v>0</v>
      </c>
      <c r="DN25" s="138">
        <v>4</v>
      </c>
      <c r="DO25" s="125" t="s">
        <v>335</v>
      </c>
      <c r="DP25" s="118">
        <v>4</v>
      </c>
      <c r="DQ25" s="118">
        <v>1</v>
      </c>
      <c r="DR25" s="118">
        <v>1</v>
      </c>
      <c r="DS25" s="118">
        <v>1</v>
      </c>
      <c r="DT25" s="118">
        <v>0</v>
      </c>
      <c r="DU25" s="118">
        <v>1</v>
      </c>
      <c r="DV25" s="118">
        <v>0</v>
      </c>
      <c r="DW25" s="118">
        <v>0</v>
      </c>
      <c r="DX25" s="138">
        <v>1</v>
      </c>
      <c r="DY25" s="140">
        <v>5</v>
      </c>
      <c r="DZ25" s="118">
        <v>0</v>
      </c>
      <c r="EA25" s="118">
        <v>0</v>
      </c>
      <c r="EB25" s="119">
        <v>4</v>
      </c>
      <c r="EC25" s="118">
        <v>0</v>
      </c>
      <c r="ED25" s="138">
        <v>0</v>
      </c>
      <c r="EE25" s="125">
        <v>0</v>
      </c>
      <c r="EF25" s="118">
        <v>0</v>
      </c>
      <c r="EG25" s="118">
        <v>2</v>
      </c>
      <c r="EH25" s="118">
        <v>2</v>
      </c>
      <c r="EI25" s="118">
        <v>0</v>
      </c>
      <c r="EJ25" s="118">
        <v>2</v>
      </c>
      <c r="EK25" s="118">
        <v>0</v>
      </c>
      <c r="EL25" s="118">
        <v>5</v>
      </c>
      <c r="EM25" s="118">
        <v>0</v>
      </c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38">
        <f t="shared" si="0"/>
        <v>11</v>
      </c>
      <c r="EY25" s="125">
        <v>0</v>
      </c>
      <c r="EZ25" s="118">
        <v>0</v>
      </c>
      <c r="FA25" s="118">
        <v>0</v>
      </c>
      <c r="FB25" s="118">
        <v>1</v>
      </c>
      <c r="FC25" s="118">
        <v>5</v>
      </c>
      <c r="FD25" s="118">
        <v>0</v>
      </c>
      <c r="FE25" s="118">
        <v>0</v>
      </c>
      <c r="FF25" s="118">
        <v>0</v>
      </c>
      <c r="FG25" s="118">
        <v>0</v>
      </c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38">
        <f t="shared" si="1"/>
        <v>6</v>
      </c>
      <c r="FS25" s="166">
        <f t="shared" si="2"/>
        <v>0</v>
      </c>
      <c r="FT25" s="167">
        <f t="shared" si="3"/>
        <v>0</v>
      </c>
      <c r="FU25" s="142"/>
    </row>
    <row r="26" spans="1:177" x14ac:dyDescent="0.25">
      <c r="A26" s="121">
        <v>40300</v>
      </c>
      <c r="B26" s="121" t="s">
        <v>133</v>
      </c>
      <c r="C26" s="121" t="s">
        <v>129</v>
      </c>
      <c r="D26" s="121" t="s">
        <v>513</v>
      </c>
      <c r="E26" s="120">
        <v>625</v>
      </c>
      <c r="F26" s="124">
        <v>3</v>
      </c>
      <c r="G26" s="118" t="s">
        <v>490</v>
      </c>
      <c r="H26" s="118">
        <v>1</v>
      </c>
      <c r="I26" s="118">
        <v>0</v>
      </c>
      <c r="J26" s="119">
        <v>6</v>
      </c>
      <c r="K26" s="118">
        <v>3</v>
      </c>
      <c r="L26" s="118">
        <v>0</v>
      </c>
      <c r="M26" s="118">
        <v>0</v>
      </c>
      <c r="N26" s="118">
        <v>1</v>
      </c>
      <c r="O26" s="118">
        <v>5</v>
      </c>
      <c r="P26" s="118">
        <v>0</v>
      </c>
      <c r="Q26" s="118">
        <v>0</v>
      </c>
      <c r="R26" s="118">
        <v>22</v>
      </c>
      <c r="S26" s="118"/>
      <c r="T26" s="118"/>
      <c r="U26" s="118">
        <v>2</v>
      </c>
      <c r="V26" s="138">
        <v>0</v>
      </c>
      <c r="W26" s="125">
        <v>0</v>
      </c>
      <c r="X26" s="118">
        <v>0</v>
      </c>
      <c r="Y26" s="118">
        <v>1</v>
      </c>
      <c r="Z26" s="118">
        <v>1</v>
      </c>
      <c r="AA26" s="118">
        <v>0</v>
      </c>
      <c r="AB26" s="119">
        <v>3</v>
      </c>
      <c r="AC26" s="118">
        <v>2</v>
      </c>
      <c r="AD26" s="118">
        <v>1</v>
      </c>
      <c r="AE26" s="118">
        <v>1</v>
      </c>
      <c r="AF26" s="118">
        <v>2</v>
      </c>
      <c r="AG26" s="118">
        <v>4</v>
      </c>
      <c r="AH26" s="118">
        <v>0</v>
      </c>
      <c r="AI26" s="118">
        <v>0</v>
      </c>
      <c r="AJ26" s="118">
        <v>13</v>
      </c>
      <c r="AK26" s="118"/>
      <c r="AL26" s="138"/>
      <c r="AM26" s="125" t="s">
        <v>486</v>
      </c>
      <c r="AN26" s="118">
        <v>4</v>
      </c>
      <c r="AO26" s="118">
        <v>0</v>
      </c>
      <c r="AP26" s="118">
        <v>2</v>
      </c>
      <c r="AQ26" s="118">
        <v>0</v>
      </c>
      <c r="AR26" s="118">
        <v>0</v>
      </c>
      <c r="AS26" s="118">
        <v>0</v>
      </c>
      <c r="AT26" s="118">
        <v>0</v>
      </c>
      <c r="AU26" s="118">
        <v>0</v>
      </c>
      <c r="AV26" s="138">
        <v>2</v>
      </c>
      <c r="AW26" s="125" t="s">
        <v>485</v>
      </c>
      <c r="AX26" s="118">
        <v>4</v>
      </c>
      <c r="AY26" s="118">
        <v>0</v>
      </c>
      <c r="AZ26" s="118">
        <v>0</v>
      </c>
      <c r="BA26" s="118">
        <v>0</v>
      </c>
      <c r="BB26" s="118">
        <v>0</v>
      </c>
      <c r="BC26" s="118">
        <v>2</v>
      </c>
      <c r="BD26" s="118">
        <v>0</v>
      </c>
      <c r="BE26" s="118">
        <v>0</v>
      </c>
      <c r="BF26" s="138">
        <v>0</v>
      </c>
      <c r="BG26" s="125" t="s">
        <v>484</v>
      </c>
      <c r="BH26" s="118">
        <v>4</v>
      </c>
      <c r="BI26" s="118">
        <v>0</v>
      </c>
      <c r="BJ26" s="118">
        <v>2</v>
      </c>
      <c r="BK26" s="118">
        <v>0</v>
      </c>
      <c r="BL26" s="118">
        <v>0</v>
      </c>
      <c r="BM26" s="118">
        <v>2</v>
      </c>
      <c r="BN26" s="118">
        <v>0</v>
      </c>
      <c r="BO26" s="118">
        <v>0</v>
      </c>
      <c r="BP26" s="138">
        <v>2</v>
      </c>
      <c r="BQ26" s="125" t="s">
        <v>496</v>
      </c>
      <c r="BR26" s="118">
        <v>4</v>
      </c>
      <c r="BS26" s="118">
        <v>0</v>
      </c>
      <c r="BT26" s="118">
        <v>0</v>
      </c>
      <c r="BU26" s="118">
        <v>0</v>
      </c>
      <c r="BV26" s="118">
        <v>0</v>
      </c>
      <c r="BW26" s="118">
        <v>1</v>
      </c>
      <c r="BX26" s="118">
        <v>0</v>
      </c>
      <c r="BY26" s="118">
        <v>0</v>
      </c>
      <c r="BZ26" s="138">
        <v>0</v>
      </c>
      <c r="CA26" s="125" t="s">
        <v>481</v>
      </c>
      <c r="CB26" s="118">
        <v>4</v>
      </c>
      <c r="CC26" s="118">
        <v>0</v>
      </c>
      <c r="CD26" s="118">
        <v>1</v>
      </c>
      <c r="CE26" s="118">
        <v>0</v>
      </c>
      <c r="CF26" s="118">
        <v>0</v>
      </c>
      <c r="CG26" s="118">
        <v>0</v>
      </c>
      <c r="CH26" s="118">
        <v>0</v>
      </c>
      <c r="CI26" s="118">
        <v>0</v>
      </c>
      <c r="CJ26" s="138">
        <v>2</v>
      </c>
      <c r="CK26" s="125" t="s">
        <v>489</v>
      </c>
      <c r="CL26" s="118">
        <v>4</v>
      </c>
      <c r="CM26" s="118">
        <v>0</v>
      </c>
      <c r="CN26" s="118">
        <v>0</v>
      </c>
      <c r="CO26" s="118">
        <v>0</v>
      </c>
      <c r="CP26" s="118">
        <v>0</v>
      </c>
      <c r="CQ26" s="118">
        <v>1</v>
      </c>
      <c r="CR26" s="118">
        <v>0</v>
      </c>
      <c r="CS26" s="118">
        <v>0</v>
      </c>
      <c r="CT26" s="138">
        <v>0</v>
      </c>
      <c r="CU26" s="125" t="s">
        <v>480</v>
      </c>
      <c r="CV26" s="118">
        <v>4</v>
      </c>
      <c r="CW26" s="118">
        <v>2</v>
      </c>
      <c r="CX26" s="118">
        <v>3</v>
      </c>
      <c r="CY26" s="118">
        <v>0</v>
      </c>
      <c r="CZ26" s="118">
        <v>0</v>
      </c>
      <c r="DA26" s="118">
        <v>1</v>
      </c>
      <c r="DB26" s="118">
        <v>0</v>
      </c>
      <c r="DC26" s="118">
        <v>0</v>
      </c>
      <c r="DD26" s="138">
        <v>3</v>
      </c>
      <c r="DE26" s="125" t="s">
        <v>482</v>
      </c>
      <c r="DF26" s="118">
        <v>4</v>
      </c>
      <c r="DG26" s="118">
        <v>1</v>
      </c>
      <c r="DH26" s="118">
        <v>2</v>
      </c>
      <c r="DI26" s="118">
        <v>0</v>
      </c>
      <c r="DJ26" s="118">
        <v>0</v>
      </c>
      <c r="DK26" s="118">
        <v>0</v>
      </c>
      <c r="DL26" s="118">
        <v>0</v>
      </c>
      <c r="DM26" s="118">
        <v>0</v>
      </c>
      <c r="DN26" s="138">
        <v>2</v>
      </c>
      <c r="DO26" s="125" t="s">
        <v>479</v>
      </c>
      <c r="DP26" s="118">
        <v>4</v>
      </c>
      <c r="DQ26" s="118">
        <v>0</v>
      </c>
      <c r="DR26" s="118">
        <v>2</v>
      </c>
      <c r="DS26" s="118">
        <v>2</v>
      </c>
      <c r="DT26" s="118">
        <v>0</v>
      </c>
      <c r="DU26" s="118">
        <v>0</v>
      </c>
      <c r="DV26" s="118">
        <v>0</v>
      </c>
      <c r="DW26" s="118">
        <v>0</v>
      </c>
      <c r="DX26" s="138">
        <v>2</v>
      </c>
      <c r="DY26" s="140">
        <v>0</v>
      </c>
      <c r="DZ26" s="118">
        <v>0</v>
      </c>
      <c r="EA26" s="118">
        <v>0</v>
      </c>
      <c r="EB26" s="119">
        <v>9</v>
      </c>
      <c r="EC26" s="118">
        <v>1</v>
      </c>
      <c r="ED26" s="138">
        <v>0</v>
      </c>
      <c r="EE26" s="125">
        <v>0</v>
      </c>
      <c r="EF26" s="118">
        <v>0</v>
      </c>
      <c r="EG26" s="118">
        <v>0</v>
      </c>
      <c r="EH26" s="118">
        <v>0</v>
      </c>
      <c r="EI26" s="118">
        <v>2</v>
      </c>
      <c r="EJ26" s="118">
        <v>0</v>
      </c>
      <c r="EK26" s="118">
        <v>1</v>
      </c>
      <c r="EL26" s="118">
        <v>0</v>
      </c>
      <c r="EM26" s="118">
        <v>0</v>
      </c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38">
        <f t="shared" si="0"/>
        <v>3</v>
      </c>
      <c r="EY26" s="125">
        <v>0</v>
      </c>
      <c r="EZ26" s="118">
        <v>0</v>
      </c>
      <c r="FA26" s="118">
        <v>0</v>
      </c>
      <c r="FB26" s="118">
        <v>0</v>
      </c>
      <c r="FC26" s="118">
        <v>0</v>
      </c>
      <c r="FD26" s="118">
        <v>0</v>
      </c>
      <c r="FE26" s="118">
        <v>0</v>
      </c>
      <c r="FF26" s="118">
        <v>0</v>
      </c>
      <c r="FG26" s="118">
        <v>1</v>
      </c>
      <c r="FH26" s="118"/>
      <c r="FI26" s="118"/>
      <c r="FJ26" s="118"/>
      <c r="FK26" s="118"/>
      <c r="FL26" s="118"/>
      <c r="FM26" s="118"/>
      <c r="FN26" s="118"/>
      <c r="FO26" s="118"/>
      <c r="FP26" s="118"/>
      <c r="FQ26" s="118"/>
      <c r="FR26" s="138">
        <f t="shared" si="1"/>
        <v>1</v>
      </c>
      <c r="FS26" s="166">
        <f t="shared" si="2"/>
        <v>0</v>
      </c>
      <c r="FT26" s="167">
        <f t="shared" si="3"/>
        <v>0</v>
      </c>
      <c r="FU26" s="142"/>
    </row>
    <row r="27" spans="1:177" x14ac:dyDescent="0.25">
      <c r="A27" s="121">
        <v>40301</v>
      </c>
      <c r="B27" s="121" t="s">
        <v>133</v>
      </c>
      <c r="C27" s="121" t="s">
        <v>129</v>
      </c>
      <c r="D27" s="121" t="s">
        <v>514</v>
      </c>
      <c r="E27" s="120">
        <v>457</v>
      </c>
      <c r="F27" s="124">
        <v>4</v>
      </c>
      <c r="G27" s="118" t="s">
        <v>487</v>
      </c>
      <c r="H27" s="118">
        <v>1</v>
      </c>
      <c r="I27" s="118">
        <v>0</v>
      </c>
      <c r="J27" s="119">
        <v>7</v>
      </c>
      <c r="K27" s="118">
        <v>5</v>
      </c>
      <c r="L27" s="118">
        <v>2</v>
      </c>
      <c r="M27" s="118">
        <v>2</v>
      </c>
      <c r="N27" s="118">
        <v>2</v>
      </c>
      <c r="O27" s="118">
        <v>9</v>
      </c>
      <c r="P27" s="118">
        <v>0</v>
      </c>
      <c r="Q27" s="118">
        <v>0</v>
      </c>
      <c r="R27" s="118">
        <v>27</v>
      </c>
      <c r="S27" s="118"/>
      <c r="T27" s="118"/>
      <c r="U27" s="118">
        <v>0</v>
      </c>
      <c r="V27" s="138">
        <v>0</v>
      </c>
      <c r="W27" s="125">
        <v>0</v>
      </c>
      <c r="X27" s="118">
        <v>0</v>
      </c>
      <c r="Y27" s="118">
        <v>0</v>
      </c>
      <c r="Z27" s="118">
        <v>0</v>
      </c>
      <c r="AA27" s="118">
        <v>0</v>
      </c>
      <c r="AB27" s="119">
        <v>2</v>
      </c>
      <c r="AC27" s="118">
        <v>4</v>
      </c>
      <c r="AD27" s="118">
        <v>1</v>
      </c>
      <c r="AE27" s="118">
        <v>1</v>
      </c>
      <c r="AF27" s="118">
        <v>0</v>
      </c>
      <c r="AG27" s="118">
        <v>5</v>
      </c>
      <c r="AH27" s="118">
        <v>1</v>
      </c>
      <c r="AI27" s="118">
        <v>0</v>
      </c>
      <c r="AJ27" s="118">
        <v>10</v>
      </c>
      <c r="AK27" s="118"/>
      <c r="AL27" s="138"/>
      <c r="AM27" s="125" t="s">
        <v>486</v>
      </c>
      <c r="AN27" s="118">
        <v>4</v>
      </c>
      <c r="AO27" s="118">
        <v>0</v>
      </c>
      <c r="AP27" s="118">
        <v>0</v>
      </c>
      <c r="AQ27" s="118">
        <v>0</v>
      </c>
      <c r="AR27" s="118">
        <v>1</v>
      </c>
      <c r="AS27" s="118">
        <v>1</v>
      </c>
      <c r="AT27" s="118">
        <v>0</v>
      </c>
      <c r="AU27" s="118">
        <v>0</v>
      </c>
      <c r="AV27" s="138">
        <v>0</v>
      </c>
      <c r="AW27" s="125" t="s">
        <v>491</v>
      </c>
      <c r="AX27" s="118">
        <v>3</v>
      </c>
      <c r="AY27" s="118">
        <v>1</v>
      </c>
      <c r="AZ27" s="118">
        <v>1</v>
      </c>
      <c r="BA27" s="118">
        <v>0</v>
      </c>
      <c r="BB27" s="118">
        <v>2</v>
      </c>
      <c r="BC27" s="118">
        <v>0</v>
      </c>
      <c r="BD27" s="118">
        <v>0</v>
      </c>
      <c r="BE27" s="118">
        <v>0</v>
      </c>
      <c r="BF27" s="138">
        <v>2</v>
      </c>
      <c r="BG27" s="125" t="s">
        <v>496</v>
      </c>
      <c r="BH27" s="118">
        <v>5</v>
      </c>
      <c r="BI27" s="118">
        <v>1</v>
      </c>
      <c r="BJ27" s="118">
        <v>1</v>
      </c>
      <c r="BK27" s="118">
        <v>1</v>
      </c>
      <c r="BL27" s="118">
        <v>0</v>
      </c>
      <c r="BM27" s="118">
        <v>0</v>
      </c>
      <c r="BN27" s="118">
        <v>0</v>
      </c>
      <c r="BO27" s="118">
        <v>0</v>
      </c>
      <c r="BP27" s="138">
        <v>2</v>
      </c>
      <c r="BQ27" s="125" t="s">
        <v>473</v>
      </c>
      <c r="BR27" s="118">
        <v>3</v>
      </c>
      <c r="BS27" s="118">
        <v>1</v>
      </c>
      <c r="BT27" s="118">
        <v>1</v>
      </c>
      <c r="BU27" s="118">
        <v>1</v>
      </c>
      <c r="BV27" s="118">
        <v>2</v>
      </c>
      <c r="BW27" s="118">
        <v>0</v>
      </c>
      <c r="BX27" s="118">
        <v>0</v>
      </c>
      <c r="BY27" s="118">
        <v>0</v>
      </c>
      <c r="BZ27" s="138">
        <v>2</v>
      </c>
      <c r="CA27" s="125" t="s">
        <v>481</v>
      </c>
      <c r="CB27" s="118">
        <v>3</v>
      </c>
      <c r="CC27" s="118">
        <v>1</v>
      </c>
      <c r="CD27" s="118">
        <v>1</v>
      </c>
      <c r="CE27" s="118">
        <v>2</v>
      </c>
      <c r="CF27" s="118">
        <v>2</v>
      </c>
      <c r="CG27" s="118">
        <v>0</v>
      </c>
      <c r="CH27" s="118">
        <v>0</v>
      </c>
      <c r="CI27" s="118">
        <v>0</v>
      </c>
      <c r="CJ27" s="138">
        <v>3</v>
      </c>
      <c r="CK27" s="125" t="s">
        <v>489</v>
      </c>
      <c r="CL27" s="118">
        <v>4</v>
      </c>
      <c r="CM27" s="118">
        <v>0</v>
      </c>
      <c r="CN27" s="118">
        <v>1</v>
      </c>
      <c r="CO27" s="118">
        <v>0</v>
      </c>
      <c r="CP27" s="118">
        <v>1</v>
      </c>
      <c r="CQ27" s="118">
        <v>0</v>
      </c>
      <c r="CR27" s="118">
        <v>0</v>
      </c>
      <c r="CS27" s="118">
        <v>0</v>
      </c>
      <c r="CT27" s="138">
        <v>2</v>
      </c>
      <c r="CU27" s="125" t="s">
        <v>512</v>
      </c>
      <c r="CV27" s="118">
        <v>5</v>
      </c>
      <c r="CW27" s="118">
        <v>0</v>
      </c>
      <c r="CX27" s="118">
        <v>2</v>
      </c>
      <c r="CY27" s="118">
        <v>1</v>
      </c>
      <c r="CZ27" s="118">
        <v>0</v>
      </c>
      <c r="DA27" s="118">
        <v>0</v>
      </c>
      <c r="DB27" s="118">
        <v>0</v>
      </c>
      <c r="DC27" s="118">
        <v>0</v>
      </c>
      <c r="DD27" s="138">
        <v>2</v>
      </c>
      <c r="DE27" s="125" t="s">
        <v>482</v>
      </c>
      <c r="DF27" s="118">
        <v>4</v>
      </c>
      <c r="DG27" s="118">
        <v>1</v>
      </c>
      <c r="DH27" s="118">
        <v>1</v>
      </c>
      <c r="DI27" s="118">
        <v>0</v>
      </c>
      <c r="DJ27" s="118">
        <v>0</v>
      </c>
      <c r="DK27" s="118">
        <v>1</v>
      </c>
      <c r="DL27" s="118">
        <v>1</v>
      </c>
      <c r="DM27" s="118">
        <v>0</v>
      </c>
      <c r="DN27" s="138">
        <v>3</v>
      </c>
      <c r="DO27" s="125" t="s">
        <v>479</v>
      </c>
      <c r="DP27" s="118">
        <v>4</v>
      </c>
      <c r="DQ27" s="118">
        <v>1</v>
      </c>
      <c r="DR27" s="118">
        <v>1</v>
      </c>
      <c r="DS27" s="118">
        <v>1</v>
      </c>
      <c r="DT27" s="118">
        <v>0</v>
      </c>
      <c r="DU27" s="118">
        <v>0</v>
      </c>
      <c r="DV27" s="118">
        <v>0</v>
      </c>
      <c r="DW27" s="118">
        <v>0</v>
      </c>
      <c r="DX27" s="138">
        <v>1</v>
      </c>
      <c r="DY27" s="140">
        <f>3+1/3</f>
        <v>3.3333333333333335</v>
      </c>
      <c r="DZ27" s="118">
        <v>0</v>
      </c>
      <c r="EA27" s="118">
        <v>0</v>
      </c>
      <c r="EB27" s="119">
        <f>5+2/3</f>
        <v>5.666666666666667</v>
      </c>
      <c r="EC27" s="118">
        <v>1</v>
      </c>
      <c r="ED27" s="138">
        <v>0</v>
      </c>
      <c r="EE27" s="125">
        <v>1</v>
      </c>
      <c r="EF27" s="118">
        <v>0</v>
      </c>
      <c r="EG27" s="118">
        <v>0</v>
      </c>
      <c r="EH27" s="118">
        <v>0</v>
      </c>
      <c r="EI27" s="118">
        <v>5</v>
      </c>
      <c r="EJ27" s="118">
        <v>0</v>
      </c>
      <c r="EK27" s="118">
        <v>0</v>
      </c>
      <c r="EL27" s="118">
        <v>0</v>
      </c>
      <c r="EM27" s="118">
        <v>0</v>
      </c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38">
        <f t="shared" si="0"/>
        <v>6</v>
      </c>
      <c r="EY27" s="125">
        <v>1</v>
      </c>
      <c r="EZ27" s="118">
        <v>0</v>
      </c>
      <c r="FA27" s="118">
        <v>0</v>
      </c>
      <c r="FB27" s="118">
        <v>1</v>
      </c>
      <c r="FC27" s="118">
        <v>0</v>
      </c>
      <c r="FD27" s="118">
        <v>0</v>
      </c>
      <c r="FE27" s="118">
        <v>0</v>
      </c>
      <c r="FF27" s="118">
        <v>1</v>
      </c>
      <c r="FG27" s="118">
        <v>0</v>
      </c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38">
        <f t="shared" si="1"/>
        <v>3</v>
      </c>
      <c r="FS27" s="166">
        <f t="shared" si="2"/>
        <v>0</v>
      </c>
      <c r="FT27" s="167">
        <f t="shared" si="3"/>
        <v>0</v>
      </c>
      <c r="FU27" s="142"/>
    </row>
    <row r="28" spans="1:177" x14ac:dyDescent="0.25">
      <c r="A28" s="121">
        <v>40302</v>
      </c>
      <c r="B28" s="121" t="s">
        <v>133</v>
      </c>
      <c r="C28" s="121" t="s">
        <v>129</v>
      </c>
      <c r="D28" s="121" t="s">
        <v>514</v>
      </c>
      <c r="E28" s="120">
        <v>2138</v>
      </c>
      <c r="F28" s="124">
        <v>5</v>
      </c>
      <c r="G28" s="118" t="s">
        <v>492</v>
      </c>
      <c r="H28" s="118">
        <v>0</v>
      </c>
      <c r="I28" s="118">
        <v>0</v>
      </c>
      <c r="J28" s="119">
        <f>3+2/3</f>
        <v>3.6666666666666665</v>
      </c>
      <c r="K28" s="118">
        <v>8</v>
      </c>
      <c r="L28" s="118">
        <v>4</v>
      </c>
      <c r="M28" s="118">
        <v>3</v>
      </c>
      <c r="N28" s="118">
        <v>1</v>
      </c>
      <c r="O28" s="118">
        <v>3</v>
      </c>
      <c r="P28" s="118">
        <v>0</v>
      </c>
      <c r="Q28" s="118">
        <v>0</v>
      </c>
      <c r="R28" s="118">
        <v>21</v>
      </c>
      <c r="S28" s="118"/>
      <c r="T28" s="118"/>
      <c r="U28" s="118">
        <v>2</v>
      </c>
      <c r="V28" s="138">
        <v>0</v>
      </c>
      <c r="W28" s="125">
        <v>1</v>
      </c>
      <c r="X28" s="118">
        <v>0</v>
      </c>
      <c r="Y28" s="118">
        <v>1</v>
      </c>
      <c r="Z28" s="118">
        <v>0</v>
      </c>
      <c r="AA28" s="118">
        <v>0</v>
      </c>
      <c r="AB28" s="119">
        <f>5+1/3</f>
        <v>5.333333333333333</v>
      </c>
      <c r="AC28" s="118">
        <v>4</v>
      </c>
      <c r="AD28" s="118">
        <v>2</v>
      </c>
      <c r="AE28" s="118">
        <v>2</v>
      </c>
      <c r="AF28" s="118">
        <v>5</v>
      </c>
      <c r="AG28" s="118">
        <v>7</v>
      </c>
      <c r="AH28" s="118">
        <v>0</v>
      </c>
      <c r="AI28" s="118">
        <v>1</v>
      </c>
      <c r="AJ28" s="118">
        <v>25</v>
      </c>
      <c r="AK28" s="118"/>
      <c r="AL28" s="138"/>
      <c r="AM28" s="125" t="s">
        <v>486</v>
      </c>
      <c r="AN28" s="118">
        <v>6</v>
      </c>
      <c r="AO28" s="118">
        <v>1</v>
      </c>
      <c r="AP28" s="118">
        <v>3</v>
      </c>
      <c r="AQ28" s="118">
        <v>2</v>
      </c>
      <c r="AR28" s="118">
        <v>0</v>
      </c>
      <c r="AS28" s="118">
        <v>1</v>
      </c>
      <c r="AT28" s="118">
        <v>0</v>
      </c>
      <c r="AU28" s="118">
        <v>0</v>
      </c>
      <c r="AV28" s="138">
        <v>4</v>
      </c>
      <c r="AW28" s="125" t="s">
        <v>491</v>
      </c>
      <c r="AX28" s="118">
        <v>6</v>
      </c>
      <c r="AY28" s="118">
        <v>1</v>
      </c>
      <c r="AZ28" s="118">
        <v>3</v>
      </c>
      <c r="BA28" s="118">
        <v>1</v>
      </c>
      <c r="BB28" s="118">
        <v>0</v>
      </c>
      <c r="BC28" s="118">
        <v>1</v>
      </c>
      <c r="BD28" s="118">
        <v>0</v>
      </c>
      <c r="BE28" s="118">
        <v>0</v>
      </c>
      <c r="BF28" s="138">
        <v>3</v>
      </c>
      <c r="BG28" s="125" t="s">
        <v>484</v>
      </c>
      <c r="BH28" s="118">
        <v>5</v>
      </c>
      <c r="BI28" s="118">
        <v>2</v>
      </c>
      <c r="BJ28" s="118">
        <v>1</v>
      </c>
      <c r="BK28" s="118">
        <v>2</v>
      </c>
      <c r="BL28" s="118">
        <v>1</v>
      </c>
      <c r="BM28" s="118">
        <v>1</v>
      </c>
      <c r="BN28" s="118">
        <v>0</v>
      </c>
      <c r="BO28" s="118">
        <v>0</v>
      </c>
      <c r="BP28" s="138">
        <v>2</v>
      </c>
      <c r="BQ28" s="125" t="s">
        <v>473</v>
      </c>
      <c r="BR28" s="118">
        <v>3</v>
      </c>
      <c r="BS28" s="118">
        <v>2</v>
      </c>
      <c r="BT28" s="118">
        <v>3</v>
      </c>
      <c r="BU28" s="118">
        <v>2</v>
      </c>
      <c r="BV28" s="118">
        <v>3</v>
      </c>
      <c r="BW28" s="118">
        <v>0</v>
      </c>
      <c r="BX28" s="118">
        <v>0</v>
      </c>
      <c r="BY28" s="118">
        <v>0</v>
      </c>
      <c r="BZ28" s="138">
        <v>6</v>
      </c>
      <c r="CA28" s="125" t="s">
        <v>489</v>
      </c>
      <c r="CB28" s="118">
        <v>5</v>
      </c>
      <c r="CC28" s="118">
        <v>0</v>
      </c>
      <c r="CD28" s="118">
        <v>1</v>
      </c>
      <c r="CE28" s="118">
        <v>1</v>
      </c>
      <c r="CF28" s="118">
        <v>1</v>
      </c>
      <c r="CG28" s="118">
        <v>0</v>
      </c>
      <c r="CH28" s="118">
        <v>0</v>
      </c>
      <c r="CI28" s="118">
        <v>0</v>
      </c>
      <c r="CJ28" s="138">
        <v>1</v>
      </c>
      <c r="CK28" s="125" t="s">
        <v>483</v>
      </c>
      <c r="CL28" s="118">
        <v>6</v>
      </c>
      <c r="CM28" s="118">
        <v>1</v>
      </c>
      <c r="CN28" s="118">
        <v>2</v>
      </c>
      <c r="CO28" s="118">
        <v>0</v>
      </c>
      <c r="CP28" s="118">
        <v>0</v>
      </c>
      <c r="CQ28" s="118">
        <v>1</v>
      </c>
      <c r="CR28" s="118">
        <v>0</v>
      </c>
      <c r="CS28" s="118">
        <v>0</v>
      </c>
      <c r="CT28" s="138">
        <v>3</v>
      </c>
      <c r="CU28" s="125" t="s">
        <v>512</v>
      </c>
      <c r="CV28" s="118">
        <v>4</v>
      </c>
      <c r="CW28" s="118">
        <v>2</v>
      </c>
      <c r="CX28" s="118">
        <v>3</v>
      </c>
      <c r="CY28" s="118">
        <v>1</v>
      </c>
      <c r="CZ28" s="118">
        <v>1</v>
      </c>
      <c r="DA28" s="118">
        <v>0</v>
      </c>
      <c r="DB28" s="118">
        <v>0</v>
      </c>
      <c r="DC28" s="118">
        <v>0</v>
      </c>
      <c r="DD28" s="138">
        <v>3</v>
      </c>
      <c r="DE28" s="125" t="s">
        <v>482</v>
      </c>
      <c r="DF28" s="118">
        <v>2</v>
      </c>
      <c r="DG28" s="118">
        <v>1</v>
      </c>
      <c r="DH28" s="118">
        <v>0</v>
      </c>
      <c r="DI28" s="118">
        <v>1</v>
      </c>
      <c r="DJ28" s="118">
        <v>3</v>
      </c>
      <c r="DK28" s="118">
        <v>1</v>
      </c>
      <c r="DL28" s="118">
        <v>0</v>
      </c>
      <c r="DM28" s="118">
        <v>0</v>
      </c>
      <c r="DN28" s="138">
        <v>0</v>
      </c>
      <c r="DO28" s="125" t="s">
        <v>479</v>
      </c>
      <c r="DP28" s="118">
        <v>5</v>
      </c>
      <c r="DQ28" s="118">
        <v>0</v>
      </c>
      <c r="DR28" s="118">
        <v>1</v>
      </c>
      <c r="DS28" s="118">
        <v>0</v>
      </c>
      <c r="DT28" s="118">
        <v>0</v>
      </c>
      <c r="DU28" s="118">
        <v>2</v>
      </c>
      <c r="DV28" s="118">
        <v>0</v>
      </c>
      <c r="DW28" s="118">
        <v>0</v>
      </c>
      <c r="DX28" s="138">
        <v>1</v>
      </c>
      <c r="DY28" s="140">
        <f>1+1/3</f>
        <v>1.3333333333333333</v>
      </c>
      <c r="DZ28" s="118">
        <v>0</v>
      </c>
      <c r="EA28" s="118">
        <v>0</v>
      </c>
      <c r="EB28" s="119">
        <f>7+2/3</f>
        <v>7.666666666666667</v>
      </c>
      <c r="EC28" s="118">
        <v>1</v>
      </c>
      <c r="ED28" s="138">
        <v>1</v>
      </c>
      <c r="EE28" s="125">
        <v>0</v>
      </c>
      <c r="EF28" s="118">
        <v>2</v>
      </c>
      <c r="EG28" s="118">
        <v>1</v>
      </c>
      <c r="EH28" s="118">
        <v>1</v>
      </c>
      <c r="EI28" s="118">
        <v>5</v>
      </c>
      <c r="EJ28" s="118">
        <v>1</v>
      </c>
      <c r="EK28" s="118">
        <v>0</v>
      </c>
      <c r="EL28" s="118">
        <v>0</v>
      </c>
      <c r="EM28" s="118">
        <v>0</v>
      </c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38">
        <f t="shared" si="0"/>
        <v>10</v>
      </c>
      <c r="EY28" s="125">
        <v>1</v>
      </c>
      <c r="EZ28" s="118">
        <v>0</v>
      </c>
      <c r="FA28" s="118">
        <v>2</v>
      </c>
      <c r="FB28" s="118">
        <v>1</v>
      </c>
      <c r="FC28" s="118">
        <v>2</v>
      </c>
      <c r="FD28" s="118">
        <v>0</v>
      </c>
      <c r="FE28" s="118">
        <v>0</v>
      </c>
      <c r="FF28" s="118">
        <v>0</v>
      </c>
      <c r="FG28" s="118">
        <v>0</v>
      </c>
      <c r="FH28" s="118"/>
      <c r="FI28" s="118"/>
      <c r="FJ28" s="118"/>
      <c r="FK28" s="118"/>
      <c r="FL28" s="118"/>
      <c r="FM28" s="118"/>
      <c r="FN28" s="118"/>
      <c r="FO28" s="118"/>
      <c r="FP28" s="118"/>
      <c r="FQ28" s="118"/>
      <c r="FR28" s="138">
        <f t="shared" si="1"/>
        <v>6</v>
      </c>
      <c r="FS28" s="166">
        <f t="shared" si="2"/>
        <v>0</v>
      </c>
      <c r="FT28" s="167">
        <f t="shared" si="3"/>
        <v>0</v>
      </c>
      <c r="FU28" s="142"/>
    </row>
    <row r="29" spans="1:177" x14ac:dyDescent="0.25">
      <c r="A29" s="121">
        <v>40303</v>
      </c>
      <c r="B29" s="121" t="s">
        <v>133</v>
      </c>
      <c r="C29" s="121" t="s">
        <v>131</v>
      </c>
      <c r="D29" s="121" t="s">
        <v>514</v>
      </c>
      <c r="E29" s="120">
        <v>669</v>
      </c>
      <c r="F29" s="124">
        <v>1</v>
      </c>
      <c r="G29" s="118" t="s">
        <v>493</v>
      </c>
      <c r="H29" s="118">
        <v>0</v>
      </c>
      <c r="I29" s="118">
        <v>1</v>
      </c>
      <c r="J29" s="119">
        <v>5</v>
      </c>
      <c r="K29" s="118">
        <v>7</v>
      </c>
      <c r="L29" s="118">
        <v>4</v>
      </c>
      <c r="M29" s="118">
        <v>4</v>
      </c>
      <c r="N29" s="118">
        <v>3</v>
      </c>
      <c r="O29" s="118">
        <v>9</v>
      </c>
      <c r="P29" s="118">
        <v>0</v>
      </c>
      <c r="Q29" s="118">
        <v>0</v>
      </c>
      <c r="R29" s="118">
        <v>24</v>
      </c>
      <c r="S29" s="118"/>
      <c r="T29" s="118"/>
      <c r="U29" s="118">
        <v>0</v>
      </c>
      <c r="V29" s="138">
        <v>0</v>
      </c>
      <c r="W29" s="125">
        <v>0</v>
      </c>
      <c r="X29" s="118">
        <v>0</v>
      </c>
      <c r="Y29" s="118">
        <v>0</v>
      </c>
      <c r="Z29" s="118">
        <v>0</v>
      </c>
      <c r="AA29" s="118">
        <v>0</v>
      </c>
      <c r="AB29" s="119">
        <v>3</v>
      </c>
      <c r="AC29" s="118">
        <v>2</v>
      </c>
      <c r="AD29" s="118">
        <v>4</v>
      </c>
      <c r="AE29" s="118">
        <v>4</v>
      </c>
      <c r="AF29" s="118">
        <v>1</v>
      </c>
      <c r="AG29" s="118">
        <v>5</v>
      </c>
      <c r="AH29" s="118">
        <v>0</v>
      </c>
      <c r="AI29" s="118">
        <v>2</v>
      </c>
      <c r="AJ29" s="118">
        <v>14</v>
      </c>
      <c r="AK29" s="118"/>
      <c r="AL29" s="138"/>
      <c r="AM29" s="125" t="s">
        <v>486</v>
      </c>
      <c r="AN29" s="118">
        <v>3</v>
      </c>
      <c r="AO29" s="118">
        <v>0</v>
      </c>
      <c r="AP29" s="118">
        <v>1</v>
      </c>
      <c r="AQ29" s="118">
        <v>0</v>
      </c>
      <c r="AR29" s="118">
        <v>1</v>
      </c>
      <c r="AS29" s="118">
        <v>1</v>
      </c>
      <c r="AT29" s="118">
        <v>0</v>
      </c>
      <c r="AU29" s="118">
        <v>0</v>
      </c>
      <c r="AV29" s="138">
        <v>1</v>
      </c>
      <c r="AW29" s="125" t="s">
        <v>491</v>
      </c>
      <c r="AX29" s="118">
        <v>3</v>
      </c>
      <c r="AY29" s="118">
        <v>0</v>
      </c>
      <c r="AZ29" s="118">
        <v>0</v>
      </c>
      <c r="BA29" s="118">
        <v>1</v>
      </c>
      <c r="BB29" s="118">
        <v>1</v>
      </c>
      <c r="BC29" s="118">
        <v>0</v>
      </c>
      <c r="BD29" s="118">
        <v>0</v>
      </c>
      <c r="BE29" s="118">
        <v>0</v>
      </c>
      <c r="BF29" s="138">
        <v>0</v>
      </c>
      <c r="BG29" s="125" t="s">
        <v>496</v>
      </c>
      <c r="BH29" s="118">
        <v>3</v>
      </c>
      <c r="BI29" s="118">
        <v>0</v>
      </c>
      <c r="BJ29" s="118">
        <v>1</v>
      </c>
      <c r="BK29" s="118">
        <v>0</v>
      </c>
      <c r="BL29" s="118">
        <v>0</v>
      </c>
      <c r="BM29" s="118">
        <v>0</v>
      </c>
      <c r="BN29" s="118">
        <v>1</v>
      </c>
      <c r="BO29" s="118">
        <v>0</v>
      </c>
      <c r="BP29" s="138">
        <v>1</v>
      </c>
      <c r="BQ29" s="125" t="s">
        <v>473</v>
      </c>
      <c r="BR29" s="118">
        <v>4</v>
      </c>
      <c r="BS29" s="118">
        <v>0</v>
      </c>
      <c r="BT29" s="118">
        <v>0</v>
      </c>
      <c r="BU29" s="118">
        <v>0</v>
      </c>
      <c r="BV29" s="118">
        <v>0</v>
      </c>
      <c r="BW29" s="118">
        <v>1</v>
      </c>
      <c r="BX29" s="118">
        <v>0</v>
      </c>
      <c r="BY29" s="118">
        <v>0</v>
      </c>
      <c r="BZ29" s="138">
        <v>0</v>
      </c>
      <c r="CA29" s="125" t="s">
        <v>481</v>
      </c>
      <c r="CB29" s="118">
        <v>4</v>
      </c>
      <c r="CC29" s="118">
        <v>0</v>
      </c>
      <c r="CD29" s="118">
        <v>0</v>
      </c>
      <c r="CE29" s="118">
        <v>0</v>
      </c>
      <c r="CF29" s="118">
        <v>0</v>
      </c>
      <c r="CG29" s="118">
        <v>1</v>
      </c>
      <c r="CH29" s="118">
        <v>0</v>
      </c>
      <c r="CI29" s="118">
        <v>0</v>
      </c>
      <c r="CJ29" s="138">
        <v>0</v>
      </c>
      <c r="CK29" s="125" t="s">
        <v>489</v>
      </c>
      <c r="CL29" s="118">
        <v>4</v>
      </c>
      <c r="CM29" s="118">
        <v>1</v>
      </c>
      <c r="CN29" s="118">
        <v>1</v>
      </c>
      <c r="CO29" s="118">
        <v>0</v>
      </c>
      <c r="CP29" s="118">
        <v>0</v>
      </c>
      <c r="CQ29" s="118">
        <v>1</v>
      </c>
      <c r="CR29" s="118">
        <v>0</v>
      </c>
      <c r="CS29" s="118">
        <v>0</v>
      </c>
      <c r="CT29" s="138">
        <v>2</v>
      </c>
      <c r="CU29" s="125" t="s">
        <v>480</v>
      </c>
      <c r="CV29" s="118">
        <v>4</v>
      </c>
      <c r="CW29" s="118">
        <v>0</v>
      </c>
      <c r="CX29" s="118">
        <v>1</v>
      </c>
      <c r="CY29" s="118">
        <v>0</v>
      </c>
      <c r="CZ29" s="118">
        <v>0</v>
      </c>
      <c r="DA29" s="118">
        <v>0</v>
      </c>
      <c r="DB29" s="118">
        <v>0</v>
      </c>
      <c r="DC29" s="118">
        <v>0</v>
      </c>
      <c r="DD29" s="138">
        <v>1</v>
      </c>
      <c r="DE29" s="125" t="s">
        <v>482</v>
      </c>
      <c r="DF29" s="118">
        <v>4</v>
      </c>
      <c r="DG29" s="118">
        <v>0</v>
      </c>
      <c r="DH29" s="118">
        <v>1</v>
      </c>
      <c r="DI29" s="118">
        <v>0</v>
      </c>
      <c r="DJ29" s="118">
        <v>0</v>
      </c>
      <c r="DK29" s="118">
        <v>1</v>
      </c>
      <c r="DL29" s="118">
        <v>0</v>
      </c>
      <c r="DM29" s="118">
        <v>0</v>
      </c>
      <c r="DN29" s="138">
        <v>1</v>
      </c>
      <c r="DO29" s="125" t="s">
        <v>479</v>
      </c>
      <c r="DP29" s="118">
        <v>3</v>
      </c>
      <c r="DQ29" s="118">
        <v>1</v>
      </c>
      <c r="DR29" s="118">
        <v>0</v>
      </c>
      <c r="DS29" s="118">
        <v>0</v>
      </c>
      <c r="DT29" s="118">
        <v>1</v>
      </c>
      <c r="DU29" s="118">
        <v>2</v>
      </c>
      <c r="DV29" s="118">
        <v>0</v>
      </c>
      <c r="DW29" s="118">
        <v>0</v>
      </c>
      <c r="DX29" s="138">
        <v>0</v>
      </c>
      <c r="DY29" s="140">
        <v>0</v>
      </c>
      <c r="DZ29" s="118">
        <v>0</v>
      </c>
      <c r="EA29" s="118">
        <v>0</v>
      </c>
      <c r="EB29" s="119">
        <v>9</v>
      </c>
      <c r="EC29" s="118">
        <v>0</v>
      </c>
      <c r="ED29" s="138">
        <v>0</v>
      </c>
      <c r="EE29" s="125">
        <v>0</v>
      </c>
      <c r="EF29" s="118">
        <v>0</v>
      </c>
      <c r="EG29" s="118">
        <v>0</v>
      </c>
      <c r="EH29" s="118">
        <v>0</v>
      </c>
      <c r="EI29" s="118">
        <v>0</v>
      </c>
      <c r="EJ29" s="118">
        <v>0</v>
      </c>
      <c r="EK29" s="118">
        <v>2</v>
      </c>
      <c r="EL29" s="118">
        <v>0</v>
      </c>
      <c r="EM29" s="118">
        <v>0</v>
      </c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38">
        <f t="shared" si="0"/>
        <v>2</v>
      </c>
      <c r="EY29" s="125">
        <v>3</v>
      </c>
      <c r="EZ29" s="118">
        <v>0</v>
      </c>
      <c r="FA29" s="118">
        <v>0</v>
      </c>
      <c r="FB29" s="118">
        <v>1</v>
      </c>
      <c r="FC29" s="118">
        <v>0</v>
      </c>
      <c r="FD29" s="118">
        <v>0</v>
      </c>
      <c r="FE29" s="118">
        <v>4</v>
      </c>
      <c r="FF29" s="118">
        <v>0</v>
      </c>
      <c r="FG29" s="118"/>
      <c r="FH29" s="118"/>
      <c r="FI29" s="118"/>
      <c r="FJ29" s="118"/>
      <c r="FK29" s="118"/>
      <c r="FL29" s="118"/>
      <c r="FM29" s="118"/>
      <c r="FN29" s="118"/>
      <c r="FO29" s="118"/>
      <c r="FP29" s="118"/>
      <c r="FQ29" s="118"/>
      <c r="FR29" s="138">
        <f t="shared" si="1"/>
        <v>8</v>
      </c>
      <c r="FS29" s="166">
        <f t="shared" si="2"/>
        <v>0</v>
      </c>
      <c r="FT29" s="167">
        <f t="shared" si="3"/>
        <v>0</v>
      </c>
      <c r="FU29" s="142"/>
    </row>
    <row r="30" spans="1:177" x14ac:dyDescent="0.25">
      <c r="A30" s="121">
        <v>40304</v>
      </c>
      <c r="B30" s="121" t="s">
        <v>19</v>
      </c>
      <c r="C30" s="121" t="s">
        <v>129</v>
      </c>
      <c r="D30" s="121" t="s">
        <v>513</v>
      </c>
      <c r="E30" s="120">
        <v>2376</v>
      </c>
      <c r="F30" s="124">
        <v>2</v>
      </c>
      <c r="G30" s="118" t="s">
        <v>498</v>
      </c>
      <c r="H30" s="118">
        <v>1</v>
      </c>
      <c r="I30" s="118">
        <v>0</v>
      </c>
      <c r="J30" s="119">
        <f>7+2/3</f>
        <v>7.666666666666667</v>
      </c>
      <c r="K30" s="118">
        <v>3</v>
      </c>
      <c r="L30" s="118">
        <v>1</v>
      </c>
      <c r="M30" s="118">
        <v>1</v>
      </c>
      <c r="N30" s="118">
        <v>0</v>
      </c>
      <c r="O30" s="118">
        <v>5</v>
      </c>
      <c r="P30" s="118">
        <v>0</v>
      </c>
      <c r="Q30" s="118">
        <v>3</v>
      </c>
      <c r="R30" s="118">
        <v>27</v>
      </c>
      <c r="S30" s="118"/>
      <c r="T30" s="118"/>
      <c r="U30" s="118">
        <v>0</v>
      </c>
      <c r="V30" s="138">
        <v>0</v>
      </c>
      <c r="W30" s="125">
        <v>0</v>
      </c>
      <c r="X30" s="118">
        <v>0</v>
      </c>
      <c r="Y30" s="118">
        <v>0</v>
      </c>
      <c r="Z30" s="118">
        <v>0</v>
      </c>
      <c r="AA30" s="118">
        <v>0</v>
      </c>
      <c r="AB30" s="119">
        <f>1+1/3</f>
        <v>1.3333333333333333</v>
      </c>
      <c r="AC30" s="118">
        <v>0</v>
      </c>
      <c r="AD30" s="118">
        <v>0</v>
      </c>
      <c r="AE30" s="118">
        <v>0</v>
      </c>
      <c r="AF30" s="118">
        <v>0</v>
      </c>
      <c r="AG30" s="118">
        <v>1</v>
      </c>
      <c r="AH30" s="118">
        <v>0</v>
      </c>
      <c r="AI30" s="118">
        <v>0</v>
      </c>
      <c r="AJ30" s="118">
        <v>4</v>
      </c>
      <c r="AK30" s="118"/>
      <c r="AL30" s="138"/>
      <c r="AM30" s="125" t="s">
        <v>486</v>
      </c>
      <c r="AN30" s="118">
        <v>4</v>
      </c>
      <c r="AO30" s="118">
        <v>1</v>
      </c>
      <c r="AP30" s="118">
        <v>2</v>
      </c>
      <c r="AQ30" s="118">
        <v>1</v>
      </c>
      <c r="AR30" s="118">
        <v>1</v>
      </c>
      <c r="AS30" s="118">
        <v>0</v>
      </c>
      <c r="AT30" s="118">
        <v>0</v>
      </c>
      <c r="AU30" s="118">
        <v>0</v>
      </c>
      <c r="AV30" s="138">
        <v>4</v>
      </c>
      <c r="AW30" s="125" t="s">
        <v>485</v>
      </c>
      <c r="AX30" s="118">
        <v>4</v>
      </c>
      <c r="AY30" s="118">
        <v>0</v>
      </c>
      <c r="AZ30" s="118">
        <v>0</v>
      </c>
      <c r="BA30" s="118">
        <v>0</v>
      </c>
      <c r="BB30" s="118">
        <v>1</v>
      </c>
      <c r="BC30" s="118">
        <v>3</v>
      </c>
      <c r="BD30" s="118">
        <v>0</v>
      </c>
      <c r="BE30" s="118">
        <v>0</v>
      </c>
      <c r="BF30" s="138">
        <v>0</v>
      </c>
      <c r="BG30" s="125" t="s">
        <v>489</v>
      </c>
      <c r="BH30" s="118">
        <v>5</v>
      </c>
      <c r="BI30" s="118">
        <v>0</v>
      </c>
      <c r="BJ30" s="118">
        <v>0</v>
      </c>
      <c r="BK30" s="118">
        <v>1</v>
      </c>
      <c r="BL30" s="118">
        <v>0</v>
      </c>
      <c r="BM30" s="118">
        <v>0</v>
      </c>
      <c r="BN30" s="118">
        <v>0</v>
      </c>
      <c r="BO30" s="118">
        <v>0</v>
      </c>
      <c r="BP30" s="138">
        <v>0</v>
      </c>
      <c r="BQ30" s="125" t="s">
        <v>496</v>
      </c>
      <c r="BR30" s="118">
        <v>3</v>
      </c>
      <c r="BS30" s="118">
        <v>1</v>
      </c>
      <c r="BT30" s="118">
        <v>2</v>
      </c>
      <c r="BU30" s="118">
        <v>1</v>
      </c>
      <c r="BV30" s="118">
        <v>1</v>
      </c>
      <c r="BW30" s="118">
        <v>0</v>
      </c>
      <c r="BX30" s="118">
        <v>0</v>
      </c>
      <c r="BY30" s="118">
        <v>0</v>
      </c>
      <c r="BZ30" s="138">
        <v>5</v>
      </c>
      <c r="CA30" s="125" t="s">
        <v>473</v>
      </c>
      <c r="CB30" s="118">
        <v>4</v>
      </c>
      <c r="CC30" s="118">
        <v>0</v>
      </c>
      <c r="CD30" s="118">
        <v>0</v>
      </c>
      <c r="CE30" s="118">
        <v>0</v>
      </c>
      <c r="CF30" s="118">
        <v>0</v>
      </c>
      <c r="CG30" s="118">
        <v>3</v>
      </c>
      <c r="CH30" s="118">
        <v>0</v>
      </c>
      <c r="CI30" s="118">
        <v>0</v>
      </c>
      <c r="CJ30" s="138">
        <v>0</v>
      </c>
      <c r="CK30" s="125" t="s">
        <v>483</v>
      </c>
      <c r="CL30" s="118">
        <v>4</v>
      </c>
      <c r="CM30" s="118">
        <v>1</v>
      </c>
      <c r="CN30" s="118">
        <v>2</v>
      </c>
      <c r="CO30" s="118">
        <v>1</v>
      </c>
      <c r="CP30" s="118">
        <v>0</v>
      </c>
      <c r="CQ30" s="118">
        <v>1</v>
      </c>
      <c r="CR30" s="118">
        <v>0</v>
      </c>
      <c r="CS30" s="118">
        <v>0</v>
      </c>
      <c r="CT30" s="138">
        <v>5</v>
      </c>
      <c r="CU30" s="125" t="s">
        <v>481</v>
      </c>
      <c r="CV30" s="118">
        <v>3</v>
      </c>
      <c r="CW30" s="118">
        <v>1</v>
      </c>
      <c r="CX30" s="118">
        <v>2</v>
      </c>
      <c r="CY30" s="118">
        <v>0</v>
      </c>
      <c r="CZ30" s="118">
        <v>0</v>
      </c>
      <c r="DA30" s="118">
        <v>0</v>
      </c>
      <c r="DB30" s="118">
        <v>1</v>
      </c>
      <c r="DC30" s="118">
        <v>0</v>
      </c>
      <c r="DD30" s="138">
        <v>2</v>
      </c>
      <c r="DE30" s="125" t="s">
        <v>482</v>
      </c>
      <c r="DF30" s="118">
        <v>4</v>
      </c>
      <c r="DG30" s="118">
        <v>2</v>
      </c>
      <c r="DH30" s="118">
        <v>2</v>
      </c>
      <c r="DI30" s="118">
        <v>0</v>
      </c>
      <c r="DJ30" s="118">
        <v>0</v>
      </c>
      <c r="DK30" s="118">
        <v>2</v>
      </c>
      <c r="DL30" s="118">
        <v>0</v>
      </c>
      <c r="DM30" s="118">
        <v>0</v>
      </c>
      <c r="DN30" s="138">
        <v>4</v>
      </c>
      <c r="DO30" s="125" t="s">
        <v>479</v>
      </c>
      <c r="DP30" s="118">
        <v>4</v>
      </c>
      <c r="DQ30" s="118">
        <v>2</v>
      </c>
      <c r="DR30" s="118">
        <v>3</v>
      </c>
      <c r="DS30" s="118">
        <v>2</v>
      </c>
      <c r="DT30" s="118">
        <v>0</v>
      </c>
      <c r="DU30" s="118">
        <v>1</v>
      </c>
      <c r="DV30" s="118">
        <v>0</v>
      </c>
      <c r="DW30" s="118">
        <v>0</v>
      </c>
      <c r="DX30" s="138">
        <v>6</v>
      </c>
      <c r="DY30" s="140">
        <v>6</v>
      </c>
      <c r="DZ30" s="118">
        <v>4</v>
      </c>
      <c r="EA30" s="118">
        <v>0</v>
      </c>
      <c r="EB30" s="119">
        <v>2</v>
      </c>
      <c r="EC30" s="118">
        <v>0</v>
      </c>
      <c r="ED30" s="138">
        <v>0</v>
      </c>
      <c r="EE30" s="125">
        <v>0</v>
      </c>
      <c r="EF30" s="118">
        <v>3</v>
      </c>
      <c r="EG30" s="118">
        <v>0</v>
      </c>
      <c r="EH30" s="118">
        <v>1</v>
      </c>
      <c r="EI30" s="118">
        <v>1</v>
      </c>
      <c r="EJ30" s="118">
        <v>1</v>
      </c>
      <c r="EK30" s="118">
        <v>0</v>
      </c>
      <c r="EL30" s="118">
        <v>2</v>
      </c>
      <c r="EM30" s="118"/>
      <c r="EN30" s="118"/>
      <c r="EO30" s="118"/>
      <c r="EP30" s="118"/>
      <c r="EQ30" s="118"/>
      <c r="ER30" s="118"/>
      <c r="ES30" s="118"/>
      <c r="ET30" s="118"/>
      <c r="EU30" s="118"/>
      <c r="EV30" s="118"/>
      <c r="EW30" s="118"/>
      <c r="EX30" s="138">
        <f t="shared" si="0"/>
        <v>8</v>
      </c>
      <c r="EY30" s="125">
        <v>0</v>
      </c>
      <c r="EZ30" s="118">
        <v>1</v>
      </c>
      <c r="FA30" s="118">
        <v>0</v>
      </c>
      <c r="FB30" s="118">
        <v>0</v>
      </c>
      <c r="FC30" s="118">
        <v>0</v>
      </c>
      <c r="FD30" s="118">
        <v>0</v>
      </c>
      <c r="FE30" s="118">
        <v>0</v>
      </c>
      <c r="FF30" s="118">
        <v>0</v>
      </c>
      <c r="FG30" s="118">
        <v>0</v>
      </c>
      <c r="FH30" s="118"/>
      <c r="FI30" s="118"/>
      <c r="FJ30" s="118"/>
      <c r="FK30" s="118"/>
      <c r="FL30" s="118"/>
      <c r="FM30" s="118"/>
      <c r="FN30" s="118"/>
      <c r="FO30" s="118"/>
      <c r="FP30" s="118"/>
      <c r="FQ30" s="118"/>
      <c r="FR30" s="138">
        <f t="shared" si="1"/>
        <v>1</v>
      </c>
      <c r="FS30" s="166">
        <f t="shared" si="2"/>
        <v>0</v>
      </c>
      <c r="FT30" s="167">
        <f t="shared" si="3"/>
        <v>0</v>
      </c>
      <c r="FU30" s="142"/>
    </row>
    <row r="31" spans="1:177" x14ac:dyDescent="0.25">
      <c r="A31" s="121">
        <v>40305</v>
      </c>
      <c r="B31" s="121" t="s">
        <v>19</v>
      </c>
      <c r="C31" s="121" t="s">
        <v>131</v>
      </c>
      <c r="D31" s="121" t="s">
        <v>513</v>
      </c>
      <c r="E31" s="120">
        <v>3316</v>
      </c>
      <c r="F31" s="124">
        <v>3</v>
      </c>
      <c r="G31" s="118" t="s">
        <v>490</v>
      </c>
      <c r="H31" s="118">
        <v>0</v>
      </c>
      <c r="I31" s="118">
        <v>1</v>
      </c>
      <c r="J31" s="119">
        <v>4</v>
      </c>
      <c r="K31" s="118">
        <v>5</v>
      </c>
      <c r="L31" s="118">
        <v>5</v>
      </c>
      <c r="M31" s="118">
        <v>4</v>
      </c>
      <c r="N31" s="118">
        <v>2</v>
      </c>
      <c r="O31" s="118">
        <v>3</v>
      </c>
      <c r="P31" s="118">
        <v>0</v>
      </c>
      <c r="Q31" s="118">
        <v>1</v>
      </c>
      <c r="R31" s="118">
        <v>21</v>
      </c>
      <c r="S31" s="118"/>
      <c r="T31" s="118"/>
      <c r="U31" s="118">
        <v>0</v>
      </c>
      <c r="V31" s="138">
        <v>0</v>
      </c>
      <c r="W31" s="125">
        <v>0</v>
      </c>
      <c r="X31" s="118">
        <v>0</v>
      </c>
      <c r="Y31" s="118">
        <v>0</v>
      </c>
      <c r="Z31" s="118">
        <v>0</v>
      </c>
      <c r="AA31" s="118">
        <v>0</v>
      </c>
      <c r="AB31" s="119">
        <v>5</v>
      </c>
      <c r="AC31" s="118">
        <v>6</v>
      </c>
      <c r="AD31" s="118">
        <v>1</v>
      </c>
      <c r="AE31" s="118">
        <v>1</v>
      </c>
      <c r="AF31" s="118">
        <v>0</v>
      </c>
      <c r="AG31" s="118">
        <v>7</v>
      </c>
      <c r="AH31" s="118">
        <v>0</v>
      </c>
      <c r="AI31" s="118">
        <v>0</v>
      </c>
      <c r="AJ31" s="118">
        <v>20</v>
      </c>
      <c r="AK31" s="118"/>
      <c r="AL31" s="138"/>
      <c r="AM31" s="125" t="s">
        <v>486</v>
      </c>
      <c r="AN31" s="118">
        <v>4</v>
      </c>
      <c r="AO31" s="118">
        <v>0</v>
      </c>
      <c r="AP31" s="118">
        <v>1</v>
      </c>
      <c r="AQ31" s="118">
        <v>0</v>
      </c>
      <c r="AR31" s="118">
        <v>0</v>
      </c>
      <c r="AS31" s="118">
        <v>0</v>
      </c>
      <c r="AT31" s="118">
        <v>0</v>
      </c>
      <c r="AU31" s="118">
        <v>0</v>
      </c>
      <c r="AV31" s="138">
        <v>1</v>
      </c>
      <c r="AW31" s="125" t="s">
        <v>485</v>
      </c>
      <c r="AX31" s="118">
        <v>4</v>
      </c>
      <c r="AY31" s="118">
        <v>0</v>
      </c>
      <c r="AZ31" s="118">
        <v>0</v>
      </c>
      <c r="BA31" s="118">
        <v>0</v>
      </c>
      <c r="BB31" s="118">
        <v>0</v>
      </c>
      <c r="BC31" s="118">
        <v>3</v>
      </c>
      <c r="BD31" s="118">
        <v>0</v>
      </c>
      <c r="BE31" s="118">
        <v>0</v>
      </c>
      <c r="BF31" s="138">
        <v>0</v>
      </c>
      <c r="BG31" s="125" t="s">
        <v>473</v>
      </c>
      <c r="BH31" s="118">
        <v>4</v>
      </c>
      <c r="BI31" s="118">
        <v>0</v>
      </c>
      <c r="BJ31" s="118">
        <v>2</v>
      </c>
      <c r="BK31" s="118">
        <v>0</v>
      </c>
      <c r="BL31" s="118">
        <v>0</v>
      </c>
      <c r="BM31" s="118">
        <v>0</v>
      </c>
      <c r="BN31" s="118">
        <v>0</v>
      </c>
      <c r="BO31" s="118">
        <v>0</v>
      </c>
      <c r="BP31" s="138">
        <v>3</v>
      </c>
      <c r="BQ31" s="125" t="s">
        <v>496</v>
      </c>
      <c r="BR31" s="118">
        <v>4</v>
      </c>
      <c r="BS31" s="118">
        <v>0</v>
      </c>
      <c r="BT31" s="118">
        <v>0</v>
      </c>
      <c r="BU31" s="118">
        <v>0</v>
      </c>
      <c r="BV31" s="118">
        <v>0</v>
      </c>
      <c r="BW31" s="118">
        <v>1</v>
      </c>
      <c r="BX31" s="118">
        <v>0</v>
      </c>
      <c r="BY31" s="118">
        <v>0</v>
      </c>
      <c r="BZ31" s="138">
        <v>0</v>
      </c>
      <c r="CA31" s="125" t="s">
        <v>484</v>
      </c>
      <c r="CB31" s="118">
        <v>4</v>
      </c>
      <c r="CC31" s="118">
        <v>1</v>
      </c>
      <c r="CD31" s="118">
        <v>1</v>
      </c>
      <c r="CE31" s="118">
        <v>0</v>
      </c>
      <c r="CF31" s="118">
        <v>0</v>
      </c>
      <c r="CG31" s="118">
        <v>0</v>
      </c>
      <c r="CH31" s="118">
        <v>0</v>
      </c>
      <c r="CI31" s="118">
        <v>0</v>
      </c>
      <c r="CJ31" s="138">
        <v>2</v>
      </c>
      <c r="CK31" s="125" t="s">
        <v>481</v>
      </c>
      <c r="CL31" s="118">
        <v>2</v>
      </c>
      <c r="CM31" s="118">
        <v>0</v>
      </c>
      <c r="CN31" s="118">
        <v>0</v>
      </c>
      <c r="CO31" s="118">
        <v>0</v>
      </c>
      <c r="CP31" s="118">
        <v>1</v>
      </c>
      <c r="CQ31" s="118">
        <v>0</v>
      </c>
      <c r="CR31" s="118">
        <v>0</v>
      </c>
      <c r="CS31" s="118">
        <v>0</v>
      </c>
      <c r="CT31" s="138">
        <v>0</v>
      </c>
      <c r="CU31" s="125" t="s">
        <v>489</v>
      </c>
      <c r="CV31" s="118">
        <v>4</v>
      </c>
      <c r="CW31" s="118">
        <v>0</v>
      </c>
      <c r="CX31" s="118">
        <v>0</v>
      </c>
      <c r="CY31" s="118">
        <v>1</v>
      </c>
      <c r="CZ31" s="118">
        <v>0</v>
      </c>
      <c r="DA31" s="118">
        <v>0</v>
      </c>
      <c r="DB31" s="118">
        <v>0</v>
      </c>
      <c r="DC31" s="118">
        <v>0</v>
      </c>
      <c r="DD31" s="138">
        <v>0</v>
      </c>
      <c r="DE31" s="125" t="s">
        <v>480</v>
      </c>
      <c r="DF31" s="118">
        <v>3</v>
      </c>
      <c r="DG31" s="118">
        <v>0</v>
      </c>
      <c r="DH31" s="118">
        <v>1</v>
      </c>
      <c r="DI31" s="118">
        <v>0</v>
      </c>
      <c r="DJ31" s="118">
        <v>0</v>
      </c>
      <c r="DK31" s="118">
        <v>2</v>
      </c>
      <c r="DL31" s="118">
        <v>0</v>
      </c>
      <c r="DM31" s="118">
        <v>0</v>
      </c>
      <c r="DN31" s="138">
        <v>2</v>
      </c>
      <c r="DO31" s="125" t="s">
        <v>491</v>
      </c>
      <c r="DP31" s="118">
        <v>3</v>
      </c>
      <c r="DQ31" s="118">
        <v>0</v>
      </c>
      <c r="DR31" s="118">
        <v>0</v>
      </c>
      <c r="DS31" s="118">
        <v>0</v>
      </c>
      <c r="DT31" s="118">
        <v>0</v>
      </c>
      <c r="DU31" s="118">
        <v>1</v>
      </c>
      <c r="DV31" s="118">
        <v>0</v>
      </c>
      <c r="DW31" s="118">
        <v>0</v>
      </c>
      <c r="DX31" s="138">
        <v>0</v>
      </c>
      <c r="DY31" s="140">
        <v>0</v>
      </c>
      <c r="DZ31" s="118">
        <v>0</v>
      </c>
      <c r="EA31" s="118">
        <v>0</v>
      </c>
      <c r="EB31" s="119">
        <v>9</v>
      </c>
      <c r="EC31" s="118">
        <v>0</v>
      </c>
      <c r="ED31" s="138">
        <v>0</v>
      </c>
      <c r="EE31" s="125">
        <v>0</v>
      </c>
      <c r="EF31" s="118">
        <v>1</v>
      </c>
      <c r="EG31" s="118">
        <v>0</v>
      </c>
      <c r="EH31" s="118">
        <v>0</v>
      </c>
      <c r="EI31" s="118">
        <v>0</v>
      </c>
      <c r="EJ31" s="118">
        <v>0</v>
      </c>
      <c r="EK31" s="118">
        <v>0</v>
      </c>
      <c r="EL31" s="118">
        <v>0</v>
      </c>
      <c r="EM31" s="118">
        <v>0</v>
      </c>
      <c r="EN31" s="118"/>
      <c r="EO31" s="118"/>
      <c r="EP31" s="118"/>
      <c r="EQ31" s="118"/>
      <c r="ER31" s="118"/>
      <c r="ES31" s="118"/>
      <c r="ET31" s="118"/>
      <c r="EU31" s="118"/>
      <c r="EV31" s="118"/>
      <c r="EW31" s="118"/>
      <c r="EX31" s="138">
        <f t="shared" si="0"/>
        <v>1</v>
      </c>
      <c r="EY31" s="125">
        <v>1</v>
      </c>
      <c r="EZ31" s="118">
        <v>1</v>
      </c>
      <c r="FA31" s="118">
        <v>2</v>
      </c>
      <c r="FB31" s="118">
        <v>1</v>
      </c>
      <c r="FC31" s="118">
        <v>0</v>
      </c>
      <c r="FD31" s="118">
        <v>1</v>
      </c>
      <c r="FE31" s="118">
        <v>0</v>
      </c>
      <c r="FF31" s="118">
        <v>0</v>
      </c>
      <c r="FG31" s="118">
        <v>0</v>
      </c>
      <c r="FH31" s="118"/>
      <c r="FI31" s="118"/>
      <c r="FJ31" s="118"/>
      <c r="FK31" s="118"/>
      <c r="FL31" s="118"/>
      <c r="FM31" s="118"/>
      <c r="FN31" s="118"/>
      <c r="FO31" s="118"/>
      <c r="FP31" s="118"/>
      <c r="FQ31" s="118"/>
      <c r="FR31" s="138">
        <f t="shared" si="1"/>
        <v>6</v>
      </c>
      <c r="FS31" s="166">
        <f t="shared" si="2"/>
        <v>0</v>
      </c>
      <c r="FT31" s="167">
        <f t="shared" si="3"/>
        <v>0</v>
      </c>
      <c r="FU31" s="142"/>
    </row>
    <row r="32" spans="1:177" x14ac:dyDescent="0.25">
      <c r="A32" s="121">
        <v>40306</v>
      </c>
      <c r="B32" s="121" t="s">
        <v>19</v>
      </c>
      <c r="C32" s="121" t="s">
        <v>131</v>
      </c>
      <c r="D32" s="121" t="s">
        <v>513</v>
      </c>
      <c r="E32" s="120">
        <v>5797</v>
      </c>
      <c r="F32" s="124">
        <v>4</v>
      </c>
      <c r="G32" s="118" t="s">
        <v>487</v>
      </c>
      <c r="H32" s="118">
        <v>0</v>
      </c>
      <c r="I32" s="118">
        <v>1</v>
      </c>
      <c r="J32" s="119">
        <f>5+1/3</f>
        <v>5.333333333333333</v>
      </c>
      <c r="K32" s="118">
        <v>10</v>
      </c>
      <c r="L32" s="118">
        <v>7</v>
      </c>
      <c r="M32" s="118">
        <v>6</v>
      </c>
      <c r="N32" s="118">
        <v>3</v>
      </c>
      <c r="O32" s="118">
        <v>4</v>
      </c>
      <c r="P32" s="118">
        <v>1</v>
      </c>
      <c r="Q32" s="118">
        <v>0</v>
      </c>
      <c r="R32" s="118">
        <v>28</v>
      </c>
      <c r="S32" s="118"/>
      <c r="T32" s="118"/>
      <c r="U32" s="118">
        <v>1</v>
      </c>
      <c r="V32" s="138">
        <v>1</v>
      </c>
      <c r="W32" s="125">
        <v>0</v>
      </c>
      <c r="X32" s="118">
        <v>0</v>
      </c>
      <c r="Y32" s="118">
        <v>0</v>
      </c>
      <c r="Z32" s="118">
        <v>0</v>
      </c>
      <c r="AA32" s="118">
        <v>0</v>
      </c>
      <c r="AB32" s="119">
        <f>3+2/3</f>
        <v>3.6666666666666665</v>
      </c>
      <c r="AC32" s="118">
        <v>0</v>
      </c>
      <c r="AD32" s="118">
        <v>0</v>
      </c>
      <c r="AE32" s="118">
        <v>0</v>
      </c>
      <c r="AF32" s="118">
        <v>1</v>
      </c>
      <c r="AG32" s="118">
        <v>5</v>
      </c>
      <c r="AH32" s="118">
        <v>0</v>
      </c>
      <c r="AI32" s="118">
        <v>1</v>
      </c>
      <c r="AJ32" s="118">
        <v>15</v>
      </c>
      <c r="AK32" s="118"/>
      <c r="AL32" s="138"/>
      <c r="AM32" s="125" t="s">
        <v>486</v>
      </c>
      <c r="AN32" s="118">
        <v>5</v>
      </c>
      <c r="AO32" s="118">
        <v>0</v>
      </c>
      <c r="AP32" s="118">
        <v>1</v>
      </c>
      <c r="AQ32" s="118">
        <v>0</v>
      </c>
      <c r="AR32" s="118">
        <v>0</v>
      </c>
      <c r="AS32" s="118">
        <v>1</v>
      </c>
      <c r="AT32" s="118">
        <v>0</v>
      </c>
      <c r="AU32" s="118">
        <v>0</v>
      </c>
      <c r="AV32" s="138">
        <v>1</v>
      </c>
      <c r="AW32" s="125" t="s">
        <v>485</v>
      </c>
      <c r="AX32" s="118">
        <v>4</v>
      </c>
      <c r="AY32" s="118">
        <v>1</v>
      </c>
      <c r="AZ32" s="118">
        <v>1</v>
      </c>
      <c r="BA32" s="118">
        <v>1</v>
      </c>
      <c r="BB32" s="118">
        <v>0</v>
      </c>
      <c r="BC32" s="118">
        <v>1</v>
      </c>
      <c r="BD32" s="118">
        <v>0</v>
      </c>
      <c r="BE32" s="118">
        <v>0</v>
      </c>
      <c r="BF32" s="138">
        <v>4</v>
      </c>
      <c r="BG32" s="125" t="s">
        <v>484</v>
      </c>
      <c r="BH32" s="118">
        <v>4</v>
      </c>
      <c r="BI32" s="118">
        <v>0</v>
      </c>
      <c r="BJ32" s="118">
        <v>1</v>
      </c>
      <c r="BK32" s="118">
        <v>0</v>
      </c>
      <c r="BL32" s="118">
        <v>0</v>
      </c>
      <c r="BM32" s="118">
        <v>0</v>
      </c>
      <c r="BN32" s="118">
        <v>0</v>
      </c>
      <c r="BO32" s="118">
        <v>0</v>
      </c>
      <c r="BP32" s="138">
        <v>1</v>
      </c>
      <c r="BQ32" s="125" t="s">
        <v>473</v>
      </c>
      <c r="BR32" s="118">
        <v>4</v>
      </c>
      <c r="BS32" s="118">
        <v>2</v>
      </c>
      <c r="BT32" s="118">
        <v>2</v>
      </c>
      <c r="BU32" s="118">
        <v>0</v>
      </c>
      <c r="BV32" s="118">
        <v>0</v>
      </c>
      <c r="BW32" s="118">
        <v>2</v>
      </c>
      <c r="BX32" s="118">
        <v>0</v>
      </c>
      <c r="BY32" s="118">
        <v>0</v>
      </c>
      <c r="BZ32" s="138">
        <v>3</v>
      </c>
      <c r="CA32" s="125" t="s">
        <v>489</v>
      </c>
      <c r="CB32" s="118">
        <v>4</v>
      </c>
      <c r="CC32" s="118">
        <v>1</v>
      </c>
      <c r="CD32" s="118">
        <v>2</v>
      </c>
      <c r="CE32" s="118">
        <v>0</v>
      </c>
      <c r="CF32" s="118">
        <v>0</v>
      </c>
      <c r="CG32" s="118">
        <v>0</v>
      </c>
      <c r="CH32" s="118">
        <v>0</v>
      </c>
      <c r="CI32" s="118">
        <v>0</v>
      </c>
      <c r="CJ32" s="138">
        <v>2</v>
      </c>
      <c r="CK32" s="125" t="s">
        <v>512</v>
      </c>
      <c r="CL32" s="118">
        <v>3</v>
      </c>
      <c r="CM32" s="118">
        <v>0</v>
      </c>
      <c r="CN32" s="118">
        <v>0</v>
      </c>
      <c r="CO32" s="118">
        <v>0</v>
      </c>
      <c r="CP32" s="118">
        <v>0</v>
      </c>
      <c r="CQ32" s="118">
        <v>1</v>
      </c>
      <c r="CR32" s="118">
        <v>1</v>
      </c>
      <c r="CS32" s="118">
        <v>0</v>
      </c>
      <c r="CT32" s="138">
        <v>0</v>
      </c>
      <c r="CU32" s="125" t="s">
        <v>491</v>
      </c>
      <c r="CV32" s="118">
        <v>3</v>
      </c>
      <c r="CW32" s="118">
        <v>1</v>
      </c>
      <c r="CX32" s="118">
        <v>1</v>
      </c>
      <c r="CY32" s="118">
        <v>0</v>
      </c>
      <c r="CZ32" s="118">
        <v>1</v>
      </c>
      <c r="DA32" s="118">
        <v>1</v>
      </c>
      <c r="DB32" s="118">
        <v>0</v>
      </c>
      <c r="DC32" s="118">
        <v>0</v>
      </c>
      <c r="DD32" s="138">
        <v>1</v>
      </c>
      <c r="DE32" s="125" t="s">
        <v>482</v>
      </c>
      <c r="DF32" s="118">
        <v>4</v>
      </c>
      <c r="DG32" s="118">
        <v>0</v>
      </c>
      <c r="DH32" s="118">
        <v>2</v>
      </c>
      <c r="DI32" s="118">
        <v>4</v>
      </c>
      <c r="DJ32" s="118">
        <v>0</v>
      </c>
      <c r="DK32" s="118">
        <v>0</v>
      </c>
      <c r="DL32" s="118">
        <v>0</v>
      </c>
      <c r="DM32" s="118">
        <v>0</v>
      </c>
      <c r="DN32" s="138">
        <v>4</v>
      </c>
      <c r="DO32" s="125" t="s">
        <v>479</v>
      </c>
      <c r="DP32" s="118">
        <v>4</v>
      </c>
      <c r="DQ32" s="118">
        <v>0</v>
      </c>
      <c r="DR32" s="118">
        <v>0</v>
      </c>
      <c r="DS32" s="118">
        <v>0</v>
      </c>
      <c r="DT32" s="118">
        <v>0</v>
      </c>
      <c r="DU32" s="118">
        <v>0</v>
      </c>
      <c r="DV32" s="118">
        <v>0</v>
      </c>
      <c r="DW32" s="118">
        <v>0</v>
      </c>
      <c r="DX32" s="138">
        <v>0</v>
      </c>
      <c r="DY32" s="140">
        <v>0</v>
      </c>
      <c r="DZ32" s="118">
        <v>0</v>
      </c>
      <c r="EA32" s="118">
        <v>0</v>
      </c>
      <c r="EB32" s="119">
        <v>9</v>
      </c>
      <c r="EC32" s="118">
        <v>1</v>
      </c>
      <c r="ED32" s="138">
        <v>1</v>
      </c>
      <c r="EE32" s="125">
        <v>0</v>
      </c>
      <c r="EF32" s="118">
        <v>1</v>
      </c>
      <c r="EG32" s="118">
        <v>1</v>
      </c>
      <c r="EH32" s="118">
        <v>0</v>
      </c>
      <c r="EI32" s="118">
        <v>0</v>
      </c>
      <c r="EJ32" s="118">
        <v>3</v>
      </c>
      <c r="EK32" s="118">
        <v>0</v>
      </c>
      <c r="EL32" s="118">
        <v>0</v>
      </c>
      <c r="EM32" s="118">
        <v>0</v>
      </c>
      <c r="EN32" s="118"/>
      <c r="EO32" s="118"/>
      <c r="EP32" s="118"/>
      <c r="EQ32" s="118"/>
      <c r="ER32" s="118"/>
      <c r="ES32" s="118"/>
      <c r="ET32" s="118"/>
      <c r="EU32" s="118"/>
      <c r="EV32" s="118"/>
      <c r="EW32" s="118"/>
      <c r="EX32" s="138">
        <f t="shared" si="0"/>
        <v>5</v>
      </c>
      <c r="EY32" s="125">
        <v>0</v>
      </c>
      <c r="EZ32" s="118">
        <v>1</v>
      </c>
      <c r="FA32" s="118">
        <v>0</v>
      </c>
      <c r="FB32" s="118">
        <v>2</v>
      </c>
      <c r="FC32" s="118">
        <v>1</v>
      </c>
      <c r="FD32" s="118">
        <v>3</v>
      </c>
      <c r="FE32" s="118">
        <v>0</v>
      </c>
      <c r="FF32" s="118">
        <v>0</v>
      </c>
      <c r="FG32" s="118">
        <v>0</v>
      </c>
      <c r="FH32" s="118"/>
      <c r="FI32" s="118"/>
      <c r="FJ32" s="118"/>
      <c r="FK32" s="118"/>
      <c r="FL32" s="118"/>
      <c r="FM32" s="118"/>
      <c r="FN32" s="118"/>
      <c r="FO32" s="118"/>
      <c r="FP32" s="118"/>
      <c r="FQ32" s="118"/>
      <c r="FR32" s="138">
        <f t="shared" si="1"/>
        <v>7</v>
      </c>
      <c r="FS32" s="166">
        <f t="shared" si="2"/>
        <v>0</v>
      </c>
      <c r="FT32" s="167">
        <f t="shared" si="3"/>
        <v>0</v>
      </c>
      <c r="FU32" s="142"/>
    </row>
    <row r="33" spans="1:177" x14ac:dyDescent="0.25">
      <c r="A33" s="121">
        <v>40308</v>
      </c>
      <c r="B33" s="121" t="s">
        <v>133</v>
      </c>
      <c r="C33" s="121" t="s">
        <v>129</v>
      </c>
      <c r="D33" s="121" t="s">
        <v>511</v>
      </c>
      <c r="E33" s="120">
        <v>461</v>
      </c>
      <c r="F33" s="124">
        <v>5</v>
      </c>
      <c r="G33" s="118" t="s">
        <v>492</v>
      </c>
      <c r="H33" s="118">
        <v>1</v>
      </c>
      <c r="I33" s="118">
        <v>0</v>
      </c>
      <c r="J33" s="119">
        <f>5+1/3</f>
        <v>5.333333333333333</v>
      </c>
      <c r="K33" s="118">
        <v>5</v>
      </c>
      <c r="L33" s="118">
        <v>1</v>
      </c>
      <c r="M33" s="118">
        <v>1</v>
      </c>
      <c r="N33" s="118">
        <v>4</v>
      </c>
      <c r="O33" s="118">
        <v>2</v>
      </c>
      <c r="P33" s="118">
        <v>0</v>
      </c>
      <c r="Q33" s="118">
        <v>0</v>
      </c>
      <c r="R33" s="118">
        <v>26</v>
      </c>
      <c r="S33" s="118"/>
      <c r="T33" s="118"/>
      <c r="U33" s="118">
        <v>1</v>
      </c>
      <c r="V33" s="138">
        <v>0</v>
      </c>
      <c r="W33" s="125">
        <v>0</v>
      </c>
      <c r="X33" s="118">
        <v>0</v>
      </c>
      <c r="Y33" s="118">
        <v>1</v>
      </c>
      <c r="Z33" s="118">
        <v>1</v>
      </c>
      <c r="AA33" s="118">
        <v>0</v>
      </c>
      <c r="AB33" s="119">
        <f>3+2/3</f>
        <v>3.6666666666666665</v>
      </c>
      <c r="AC33" s="118">
        <v>1</v>
      </c>
      <c r="AD33" s="118">
        <v>0</v>
      </c>
      <c r="AE33" s="118">
        <v>0</v>
      </c>
      <c r="AF33" s="118">
        <v>0</v>
      </c>
      <c r="AG33" s="118">
        <v>2</v>
      </c>
      <c r="AH33" s="118">
        <v>0</v>
      </c>
      <c r="AI33" s="118">
        <v>0</v>
      </c>
      <c r="AJ33" s="118">
        <v>11</v>
      </c>
      <c r="AK33" s="118"/>
      <c r="AL33" s="138"/>
      <c r="AM33" s="125" t="s">
        <v>486</v>
      </c>
      <c r="AN33" s="118">
        <v>4</v>
      </c>
      <c r="AO33" s="118">
        <v>0</v>
      </c>
      <c r="AP33" s="118">
        <v>1</v>
      </c>
      <c r="AQ33" s="118">
        <v>0</v>
      </c>
      <c r="AR33" s="118">
        <v>0</v>
      </c>
      <c r="AS33" s="118">
        <v>1</v>
      </c>
      <c r="AT33" s="118">
        <v>0</v>
      </c>
      <c r="AU33" s="118">
        <v>0</v>
      </c>
      <c r="AV33" s="138">
        <v>1</v>
      </c>
      <c r="AW33" s="125" t="s">
        <v>485</v>
      </c>
      <c r="AX33" s="118">
        <v>3</v>
      </c>
      <c r="AY33" s="118">
        <v>1</v>
      </c>
      <c r="AZ33" s="118">
        <v>1</v>
      </c>
      <c r="BA33" s="118">
        <v>0</v>
      </c>
      <c r="BB33" s="118">
        <v>1</v>
      </c>
      <c r="BC33" s="118">
        <v>0</v>
      </c>
      <c r="BD33" s="118">
        <v>0</v>
      </c>
      <c r="BE33" s="118">
        <v>0</v>
      </c>
      <c r="BF33" s="138">
        <v>1</v>
      </c>
      <c r="BG33" s="125" t="s">
        <v>501</v>
      </c>
      <c r="BH33" s="118">
        <v>4</v>
      </c>
      <c r="BI33" s="118">
        <v>0</v>
      </c>
      <c r="BJ33" s="118">
        <v>0</v>
      </c>
      <c r="BK33" s="118">
        <v>0</v>
      </c>
      <c r="BL33" s="118">
        <v>0</v>
      </c>
      <c r="BM33" s="118">
        <v>2</v>
      </c>
      <c r="BN33" s="118">
        <v>0</v>
      </c>
      <c r="BO33" s="118">
        <v>0</v>
      </c>
      <c r="BP33" s="138">
        <v>0</v>
      </c>
      <c r="BQ33" s="125" t="s">
        <v>496</v>
      </c>
      <c r="BR33" s="118">
        <v>4</v>
      </c>
      <c r="BS33" s="118">
        <v>1</v>
      </c>
      <c r="BT33" s="118">
        <v>1</v>
      </c>
      <c r="BU33" s="118">
        <v>2</v>
      </c>
      <c r="BV33" s="118">
        <v>0</v>
      </c>
      <c r="BW33" s="118">
        <v>2</v>
      </c>
      <c r="BX33" s="118">
        <v>0</v>
      </c>
      <c r="BY33" s="118">
        <v>0</v>
      </c>
      <c r="BZ33" s="138">
        <v>4</v>
      </c>
      <c r="CA33" s="125" t="s">
        <v>473</v>
      </c>
      <c r="CB33" s="118">
        <v>4</v>
      </c>
      <c r="CC33" s="118">
        <v>0</v>
      </c>
      <c r="CD33" s="118">
        <v>0</v>
      </c>
      <c r="CE33" s="118">
        <v>0</v>
      </c>
      <c r="CF33" s="118">
        <v>0</v>
      </c>
      <c r="CG33" s="118">
        <v>3</v>
      </c>
      <c r="CH33" s="118">
        <v>0</v>
      </c>
      <c r="CI33" s="118">
        <v>0</v>
      </c>
      <c r="CJ33" s="138">
        <v>0</v>
      </c>
      <c r="CK33" s="125" t="s">
        <v>483</v>
      </c>
      <c r="CL33" s="118">
        <v>4</v>
      </c>
      <c r="CM33" s="118">
        <v>0</v>
      </c>
      <c r="CN33" s="118">
        <v>1</v>
      </c>
      <c r="CO33" s="118">
        <v>0</v>
      </c>
      <c r="CP33" s="118">
        <v>0</v>
      </c>
      <c r="CQ33" s="118">
        <v>2</v>
      </c>
      <c r="CR33" s="118">
        <v>0</v>
      </c>
      <c r="CS33" s="118">
        <v>0</v>
      </c>
      <c r="CT33" s="138">
        <v>1</v>
      </c>
      <c r="CU33" s="125" t="s">
        <v>481</v>
      </c>
      <c r="CV33" s="118">
        <v>2</v>
      </c>
      <c r="CW33" s="118">
        <v>0</v>
      </c>
      <c r="CX33" s="118">
        <v>0</v>
      </c>
      <c r="CY33" s="118">
        <v>0</v>
      </c>
      <c r="CZ33" s="118">
        <v>0</v>
      </c>
      <c r="DA33" s="118">
        <v>1</v>
      </c>
      <c r="DB33" s="118">
        <v>1</v>
      </c>
      <c r="DC33" s="118">
        <v>0</v>
      </c>
      <c r="DD33" s="138">
        <v>0</v>
      </c>
      <c r="DE33" s="125" t="s">
        <v>482</v>
      </c>
      <c r="DF33" s="118">
        <v>2</v>
      </c>
      <c r="DG33" s="118">
        <v>0</v>
      </c>
      <c r="DH33" s="118">
        <v>0</v>
      </c>
      <c r="DI33" s="118">
        <v>0</v>
      </c>
      <c r="DJ33" s="118">
        <v>0</v>
      </c>
      <c r="DK33" s="118">
        <v>1</v>
      </c>
      <c r="DL33" s="118">
        <v>1</v>
      </c>
      <c r="DM33" s="118">
        <v>0</v>
      </c>
      <c r="DN33" s="138">
        <v>0</v>
      </c>
      <c r="DO33" s="125" t="s">
        <v>479</v>
      </c>
      <c r="DP33" s="118">
        <v>3</v>
      </c>
      <c r="DQ33" s="118">
        <v>0</v>
      </c>
      <c r="DR33" s="118">
        <v>0</v>
      </c>
      <c r="DS33" s="118">
        <v>0</v>
      </c>
      <c r="DT33" s="118">
        <v>0</v>
      </c>
      <c r="DU33" s="118">
        <v>2</v>
      </c>
      <c r="DV33" s="118">
        <v>0</v>
      </c>
      <c r="DW33" s="118">
        <v>0</v>
      </c>
      <c r="DX33" s="138">
        <v>0</v>
      </c>
      <c r="DY33" s="140">
        <f>7+1/3</f>
        <v>7.333333333333333</v>
      </c>
      <c r="DZ33" s="118">
        <v>2</v>
      </c>
      <c r="EA33" s="118">
        <v>1</v>
      </c>
      <c r="EB33" s="119">
        <f>1+2/3</f>
        <v>1.6666666666666665</v>
      </c>
      <c r="EC33" s="118">
        <v>0</v>
      </c>
      <c r="ED33" s="138">
        <v>1</v>
      </c>
      <c r="EE33" s="125">
        <v>0</v>
      </c>
      <c r="EF33" s="118">
        <v>0</v>
      </c>
      <c r="EG33" s="118">
        <v>0</v>
      </c>
      <c r="EH33" s="118">
        <v>2</v>
      </c>
      <c r="EI33" s="118">
        <v>0</v>
      </c>
      <c r="EJ33" s="118">
        <v>0</v>
      </c>
      <c r="EK33" s="118">
        <v>0</v>
      </c>
      <c r="EL33" s="118">
        <v>0</v>
      </c>
      <c r="EM33" s="118">
        <v>0</v>
      </c>
      <c r="EN33" s="118"/>
      <c r="EO33" s="118"/>
      <c r="EP33" s="118"/>
      <c r="EQ33" s="118"/>
      <c r="ER33" s="118"/>
      <c r="ES33" s="118"/>
      <c r="ET33" s="118"/>
      <c r="EU33" s="118"/>
      <c r="EV33" s="118"/>
      <c r="EW33" s="118"/>
      <c r="EX33" s="138">
        <f t="shared" si="0"/>
        <v>2</v>
      </c>
      <c r="EY33" s="125">
        <v>1</v>
      </c>
      <c r="EZ33" s="118">
        <v>0</v>
      </c>
      <c r="FA33" s="118">
        <v>0</v>
      </c>
      <c r="FB33" s="118">
        <v>0</v>
      </c>
      <c r="FC33" s="118">
        <v>0</v>
      </c>
      <c r="FD33" s="118">
        <v>0</v>
      </c>
      <c r="FE33" s="118">
        <v>0</v>
      </c>
      <c r="FF33" s="118">
        <v>0</v>
      </c>
      <c r="FG33" s="118">
        <v>0</v>
      </c>
      <c r="FH33" s="118"/>
      <c r="FI33" s="118"/>
      <c r="FJ33" s="118"/>
      <c r="FK33" s="118"/>
      <c r="FL33" s="118"/>
      <c r="FM33" s="118"/>
      <c r="FN33" s="118"/>
      <c r="FO33" s="118"/>
      <c r="FP33" s="118"/>
      <c r="FQ33" s="118"/>
      <c r="FR33" s="138">
        <f t="shared" si="1"/>
        <v>1</v>
      </c>
      <c r="FS33" s="166">
        <f t="shared" si="2"/>
        <v>0</v>
      </c>
      <c r="FT33" s="167">
        <f t="shared" si="3"/>
        <v>0</v>
      </c>
      <c r="FU33" s="142"/>
    </row>
    <row r="34" spans="1:177" x14ac:dyDescent="0.25">
      <c r="A34" s="121">
        <v>40309</v>
      </c>
      <c r="B34" s="121" t="s">
        <v>133</v>
      </c>
      <c r="C34" s="121" t="s">
        <v>131</v>
      </c>
      <c r="D34" s="121" t="s">
        <v>511</v>
      </c>
      <c r="E34" s="120">
        <v>374</v>
      </c>
      <c r="F34" s="124">
        <v>1</v>
      </c>
      <c r="G34" s="118" t="s">
        <v>493</v>
      </c>
      <c r="H34" s="118">
        <v>0</v>
      </c>
      <c r="I34" s="118">
        <v>1</v>
      </c>
      <c r="J34" s="119">
        <v>6</v>
      </c>
      <c r="K34" s="118">
        <v>5</v>
      </c>
      <c r="L34" s="118">
        <v>3</v>
      </c>
      <c r="M34" s="118">
        <v>3</v>
      </c>
      <c r="N34" s="118">
        <v>2</v>
      </c>
      <c r="O34" s="118">
        <v>7</v>
      </c>
      <c r="P34" s="118">
        <v>0</v>
      </c>
      <c r="Q34" s="118">
        <v>1</v>
      </c>
      <c r="R34" s="118">
        <v>25</v>
      </c>
      <c r="S34" s="118"/>
      <c r="T34" s="118"/>
      <c r="U34" s="118">
        <v>1</v>
      </c>
      <c r="V34" s="138">
        <v>1</v>
      </c>
      <c r="W34" s="125">
        <v>0</v>
      </c>
      <c r="X34" s="118">
        <v>0</v>
      </c>
      <c r="Y34" s="118">
        <v>0</v>
      </c>
      <c r="Z34" s="118">
        <v>0</v>
      </c>
      <c r="AA34" s="118">
        <v>0</v>
      </c>
      <c r="AB34" s="119">
        <v>2</v>
      </c>
      <c r="AC34" s="118">
        <v>3</v>
      </c>
      <c r="AD34" s="118">
        <v>0</v>
      </c>
      <c r="AE34" s="118">
        <v>0</v>
      </c>
      <c r="AF34" s="118">
        <v>0</v>
      </c>
      <c r="AG34" s="118">
        <v>0</v>
      </c>
      <c r="AH34" s="118">
        <v>5</v>
      </c>
      <c r="AI34" s="118">
        <v>0</v>
      </c>
      <c r="AJ34" s="118">
        <v>9</v>
      </c>
      <c r="AK34" s="118"/>
      <c r="AL34" s="138"/>
      <c r="AM34" s="125" t="s">
        <v>486</v>
      </c>
      <c r="AN34" s="118">
        <v>4</v>
      </c>
      <c r="AO34" s="118">
        <v>0</v>
      </c>
      <c r="AP34" s="118">
        <v>1</v>
      </c>
      <c r="AQ34" s="118">
        <v>0</v>
      </c>
      <c r="AR34" s="118">
        <v>0</v>
      </c>
      <c r="AS34" s="118">
        <v>1</v>
      </c>
      <c r="AT34" s="118">
        <v>0</v>
      </c>
      <c r="AU34" s="118">
        <v>0</v>
      </c>
      <c r="AV34" s="138">
        <v>1</v>
      </c>
      <c r="AW34" s="125" t="s">
        <v>485</v>
      </c>
      <c r="AX34" s="118">
        <v>2</v>
      </c>
      <c r="AY34" s="118">
        <v>0</v>
      </c>
      <c r="AZ34" s="118">
        <v>0</v>
      </c>
      <c r="BA34" s="118">
        <v>0</v>
      </c>
      <c r="BB34" s="118">
        <v>2</v>
      </c>
      <c r="BC34" s="118">
        <v>1</v>
      </c>
      <c r="BD34" s="118">
        <v>0</v>
      </c>
      <c r="BE34" s="118">
        <v>0</v>
      </c>
      <c r="BF34" s="138">
        <v>0</v>
      </c>
      <c r="BG34" s="125" t="s">
        <v>501</v>
      </c>
      <c r="BH34" s="118">
        <v>3</v>
      </c>
      <c r="BI34" s="118">
        <v>0</v>
      </c>
      <c r="BJ34" s="118">
        <v>1</v>
      </c>
      <c r="BK34" s="118">
        <v>0</v>
      </c>
      <c r="BL34" s="118">
        <v>1</v>
      </c>
      <c r="BM34" s="118">
        <v>0</v>
      </c>
      <c r="BN34" s="118">
        <v>0</v>
      </c>
      <c r="BO34" s="118">
        <v>0</v>
      </c>
      <c r="BP34" s="138">
        <v>1</v>
      </c>
      <c r="BQ34" s="125" t="s">
        <v>496</v>
      </c>
      <c r="BR34" s="118">
        <v>4</v>
      </c>
      <c r="BS34" s="118">
        <v>0</v>
      </c>
      <c r="BT34" s="118">
        <v>1</v>
      </c>
      <c r="BU34" s="118">
        <v>0</v>
      </c>
      <c r="BV34" s="118">
        <v>0</v>
      </c>
      <c r="BW34" s="118">
        <v>0</v>
      </c>
      <c r="BX34" s="118">
        <v>0</v>
      </c>
      <c r="BY34" s="118">
        <v>0</v>
      </c>
      <c r="BZ34" s="138">
        <v>1</v>
      </c>
      <c r="CA34" s="125" t="s">
        <v>473</v>
      </c>
      <c r="CB34" s="118">
        <v>4</v>
      </c>
      <c r="CC34" s="118">
        <v>0</v>
      </c>
      <c r="CD34" s="118">
        <v>0</v>
      </c>
      <c r="CE34" s="118">
        <v>0</v>
      </c>
      <c r="CF34" s="118">
        <v>0</v>
      </c>
      <c r="CG34" s="118">
        <v>1</v>
      </c>
      <c r="CH34" s="118">
        <v>0</v>
      </c>
      <c r="CI34" s="118">
        <v>0</v>
      </c>
      <c r="CJ34" s="138">
        <v>0</v>
      </c>
      <c r="CK34" s="125" t="s">
        <v>481</v>
      </c>
      <c r="CL34" s="118">
        <v>3</v>
      </c>
      <c r="CM34" s="118">
        <v>0</v>
      </c>
      <c r="CN34" s="118">
        <v>0</v>
      </c>
      <c r="CO34" s="118">
        <v>0</v>
      </c>
      <c r="CP34" s="118">
        <v>0</v>
      </c>
      <c r="CQ34" s="118">
        <v>1</v>
      </c>
      <c r="CR34" s="118">
        <v>0</v>
      </c>
      <c r="CS34" s="118">
        <v>0</v>
      </c>
      <c r="CT34" s="138">
        <v>0</v>
      </c>
      <c r="CU34" s="125" t="s">
        <v>489</v>
      </c>
      <c r="CV34" s="118">
        <v>2</v>
      </c>
      <c r="CW34" s="118">
        <v>0</v>
      </c>
      <c r="CX34" s="118">
        <v>0</v>
      </c>
      <c r="CY34" s="118">
        <v>0</v>
      </c>
      <c r="CZ34" s="118">
        <v>1</v>
      </c>
      <c r="DA34" s="118">
        <v>1</v>
      </c>
      <c r="DB34" s="118">
        <v>0</v>
      </c>
      <c r="DC34" s="118">
        <v>0</v>
      </c>
      <c r="DD34" s="138">
        <v>0</v>
      </c>
      <c r="DE34" s="125" t="s">
        <v>480</v>
      </c>
      <c r="DF34" s="118">
        <v>3</v>
      </c>
      <c r="DG34" s="118">
        <v>0</v>
      </c>
      <c r="DH34" s="118">
        <v>0</v>
      </c>
      <c r="DI34" s="118">
        <v>0</v>
      </c>
      <c r="DJ34" s="118">
        <v>0</v>
      </c>
      <c r="DK34" s="118">
        <v>1</v>
      </c>
      <c r="DL34" s="118">
        <v>0</v>
      </c>
      <c r="DM34" s="118">
        <v>0</v>
      </c>
      <c r="DN34" s="138">
        <v>0</v>
      </c>
      <c r="DO34" s="125" t="s">
        <v>491</v>
      </c>
      <c r="DP34" s="118">
        <v>3</v>
      </c>
      <c r="DQ34" s="118">
        <v>0</v>
      </c>
      <c r="DR34" s="118">
        <v>0</v>
      </c>
      <c r="DS34" s="118">
        <v>0</v>
      </c>
      <c r="DT34" s="118">
        <v>0</v>
      </c>
      <c r="DU34" s="118">
        <v>1</v>
      </c>
      <c r="DV34" s="118">
        <v>0</v>
      </c>
      <c r="DW34" s="118">
        <v>0</v>
      </c>
      <c r="DX34" s="138">
        <v>0</v>
      </c>
      <c r="DY34" s="140">
        <v>2</v>
      </c>
      <c r="DZ34" s="118">
        <v>0</v>
      </c>
      <c r="EA34" s="118">
        <v>0</v>
      </c>
      <c r="EB34" s="119">
        <v>7</v>
      </c>
      <c r="EC34" s="118">
        <v>0</v>
      </c>
      <c r="ED34" s="138">
        <v>1</v>
      </c>
      <c r="EE34" s="125">
        <v>0</v>
      </c>
      <c r="EF34" s="118">
        <v>0</v>
      </c>
      <c r="EG34" s="118">
        <v>0</v>
      </c>
      <c r="EH34" s="118">
        <v>0</v>
      </c>
      <c r="EI34" s="118">
        <v>0</v>
      </c>
      <c r="EJ34" s="118">
        <v>0</v>
      </c>
      <c r="EK34" s="118">
        <v>0</v>
      </c>
      <c r="EL34" s="118">
        <v>0</v>
      </c>
      <c r="EM34" s="118">
        <v>0</v>
      </c>
      <c r="EN34" s="118"/>
      <c r="EO34" s="118"/>
      <c r="EP34" s="118"/>
      <c r="EQ34" s="118"/>
      <c r="ER34" s="118"/>
      <c r="ES34" s="118"/>
      <c r="ET34" s="118"/>
      <c r="EU34" s="118"/>
      <c r="EV34" s="118"/>
      <c r="EW34" s="118"/>
      <c r="EX34" s="138">
        <f t="shared" si="0"/>
        <v>0</v>
      </c>
      <c r="EY34" s="125">
        <v>0</v>
      </c>
      <c r="EZ34" s="118">
        <v>1</v>
      </c>
      <c r="FA34" s="118">
        <v>1</v>
      </c>
      <c r="FB34" s="118">
        <v>0</v>
      </c>
      <c r="FC34" s="118">
        <v>0</v>
      </c>
      <c r="FD34" s="118">
        <v>0</v>
      </c>
      <c r="FE34" s="118">
        <v>1</v>
      </c>
      <c r="FF34" s="118">
        <v>0</v>
      </c>
      <c r="FG34" s="118"/>
      <c r="FH34" s="118"/>
      <c r="FI34" s="118"/>
      <c r="FJ34" s="118"/>
      <c r="FK34" s="118"/>
      <c r="FL34" s="118"/>
      <c r="FM34" s="118"/>
      <c r="FN34" s="118"/>
      <c r="FO34" s="118"/>
      <c r="FP34" s="118"/>
      <c r="FQ34" s="118"/>
      <c r="FR34" s="138">
        <f t="shared" si="1"/>
        <v>3</v>
      </c>
      <c r="FS34" s="166">
        <f t="shared" si="2"/>
        <v>0</v>
      </c>
      <c r="FT34" s="167">
        <f t="shared" si="3"/>
        <v>0</v>
      </c>
      <c r="FU34" s="142"/>
    </row>
    <row r="35" spans="1:177" x14ac:dyDescent="0.25">
      <c r="A35" s="121">
        <v>40310</v>
      </c>
      <c r="B35" s="121" t="s">
        <v>133</v>
      </c>
      <c r="C35" s="121" t="s">
        <v>131</v>
      </c>
      <c r="D35" s="121" t="s">
        <v>511</v>
      </c>
      <c r="E35" s="120">
        <v>474</v>
      </c>
      <c r="F35" s="124">
        <v>2</v>
      </c>
      <c r="G35" s="118" t="s">
        <v>498</v>
      </c>
      <c r="H35" s="118">
        <v>0</v>
      </c>
      <c r="I35" s="118">
        <v>1</v>
      </c>
      <c r="J35" s="119">
        <f>5+2/3</f>
        <v>5.666666666666667</v>
      </c>
      <c r="K35" s="118">
        <v>7</v>
      </c>
      <c r="L35" s="118">
        <v>3</v>
      </c>
      <c r="M35" s="118">
        <v>3</v>
      </c>
      <c r="N35" s="118">
        <v>1</v>
      </c>
      <c r="O35" s="118">
        <v>9</v>
      </c>
      <c r="P35" s="118">
        <v>0</v>
      </c>
      <c r="Q35" s="118">
        <v>0</v>
      </c>
      <c r="R35" s="118">
        <v>24</v>
      </c>
      <c r="S35" s="118"/>
      <c r="T35" s="118"/>
      <c r="U35" s="118">
        <v>1</v>
      </c>
      <c r="V35" s="138">
        <v>0</v>
      </c>
      <c r="W35" s="125">
        <v>0</v>
      </c>
      <c r="X35" s="118">
        <v>0</v>
      </c>
      <c r="Y35" s="118">
        <v>0</v>
      </c>
      <c r="Z35" s="118">
        <v>0</v>
      </c>
      <c r="AA35" s="118">
        <v>0</v>
      </c>
      <c r="AB35" s="119">
        <f>2+1/3</f>
        <v>2.3333333333333335</v>
      </c>
      <c r="AC35" s="118">
        <v>1</v>
      </c>
      <c r="AD35" s="118">
        <v>0</v>
      </c>
      <c r="AE35" s="118">
        <v>0</v>
      </c>
      <c r="AF35" s="118">
        <v>0</v>
      </c>
      <c r="AG35" s="118">
        <v>2</v>
      </c>
      <c r="AH35" s="118">
        <v>0</v>
      </c>
      <c r="AI35" s="118">
        <v>0</v>
      </c>
      <c r="AJ35" s="118">
        <v>7</v>
      </c>
      <c r="AK35" s="118"/>
      <c r="AL35" s="138"/>
      <c r="AM35" s="125" t="s">
        <v>486</v>
      </c>
      <c r="AN35" s="118">
        <v>4</v>
      </c>
      <c r="AO35" s="118">
        <v>0</v>
      </c>
      <c r="AP35" s="118">
        <v>1</v>
      </c>
      <c r="AQ35" s="118">
        <v>0</v>
      </c>
      <c r="AR35" s="118">
        <v>0</v>
      </c>
      <c r="AS35" s="118">
        <v>0</v>
      </c>
      <c r="AT35" s="118">
        <v>0</v>
      </c>
      <c r="AU35" s="118">
        <v>0</v>
      </c>
      <c r="AV35" s="138">
        <v>1</v>
      </c>
      <c r="AW35" s="125" t="s">
        <v>485</v>
      </c>
      <c r="AX35" s="118">
        <v>4</v>
      </c>
      <c r="AY35" s="118">
        <v>0</v>
      </c>
      <c r="AZ35" s="118">
        <v>1</v>
      </c>
      <c r="BA35" s="118">
        <v>0</v>
      </c>
      <c r="BB35" s="118">
        <v>0</v>
      </c>
      <c r="BC35" s="118">
        <v>1</v>
      </c>
      <c r="BD35" s="118">
        <v>0</v>
      </c>
      <c r="BE35" s="118">
        <v>0</v>
      </c>
      <c r="BF35" s="138">
        <v>1</v>
      </c>
      <c r="BG35" s="125" t="s">
        <v>473</v>
      </c>
      <c r="BH35" s="118">
        <v>4</v>
      </c>
      <c r="BI35" s="118">
        <v>0</v>
      </c>
      <c r="BJ35" s="118">
        <v>0</v>
      </c>
      <c r="BK35" s="118">
        <v>0</v>
      </c>
      <c r="BL35" s="118">
        <v>0</v>
      </c>
      <c r="BM35" s="118">
        <v>1</v>
      </c>
      <c r="BN35" s="118">
        <v>0</v>
      </c>
      <c r="BO35" s="118">
        <v>0</v>
      </c>
      <c r="BP35" s="138">
        <v>0</v>
      </c>
      <c r="BQ35" s="125" t="s">
        <v>496</v>
      </c>
      <c r="BR35" s="118">
        <v>4</v>
      </c>
      <c r="BS35" s="118">
        <v>0</v>
      </c>
      <c r="BT35" s="118">
        <v>1</v>
      </c>
      <c r="BU35" s="118">
        <v>0</v>
      </c>
      <c r="BV35" s="118">
        <v>0</v>
      </c>
      <c r="BW35" s="118">
        <v>1</v>
      </c>
      <c r="BX35" s="118">
        <v>0</v>
      </c>
      <c r="BY35" s="118">
        <v>0</v>
      </c>
      <c r="BZ35" s="138">
        <v>1</v>
      </c>
      <c r="CA35" s="125" t="s">
        <v>501</v>
      </c>
      <c r="CB35" s="118">
        <v>4</v>
      </c>
      <c r="CC35" s="118">
        <v>1</v>
      </c>
      <c r="CD35" s="118">
        <v>1</v>
      </c>
      <c r="CE35" s="118">
        <v>1</v>
      </c>
      <c r="CF35" s="118">
        <v>0</v>
      </c>
      <c r="CG35" s="118">
        <v>1</v>
      </c>
      <c r="CH35" s="118">
        <v>0</v>
      </c>
      <c r="CI35" s="118">
        <v>0</v>
      </c>
      <c r="CJ35" s="138">
        <v>4</v>
      </c>
      <c r="CK35" s="125" t="s">
        <v>481</v>
      </c>
      <c r="CL35" s="118">
        <v>4</v>
      </c>
      <c r="CM35" s="118">
        <v>0</v>
      </c>
      <c r="CN35" s="118">
        <v>1</v>
      </c>
      <c r="CO35" s="118">
        <v>0</v>
      </c>
      <c r="CP35" s="118">
        <v>0</v>
      </c>
      <c r="CQ35" s="118">
        <v>1</v>
      </c>
      <c r="CR35" s="118">
        <v>0</v>
      </c>
      <c r="CS35" s="118">
        <v>0</v>
      </c>
      <c r="CT35" s="138">
        <v>1</v>
      </c>
      <c r="CU35" s="125" t="s">
        <v>480</v>
      </c>
      <c r="CV35" s="118">
        <v>4</v>
      </c>
      <c r="CW35" s="118">
        <v>0</v>
      </c>
      <c r="CX35" s="118">
        <v>1</v>
      </c>
      <c r="CY35" s="118">
        <v>0</v>
      </c>
      <c r="CZ35" s="118">
        <v>0</v>
      </c>
      <c r="DA35" s="118">
        <v>2</v>
      </c>
      <c r="DB35" s="118">
        <v>0</v>
      </c>
      <c r="DC35" s="118">
        <v>0</v>
      </c>
      <c r="DD35" s="138">
        <v>1</v>
      </c>
      <c r="DE35" s="125" t="s">
        <v>482</v>
      </c>
      <c r="DF35" s="118">
        <v>4</v>
      </c>
      <c r="DG35" s="118">
        <v>0</v>
      </c>
      <c r="DH35" s="118">
        <v>0</v>
      </c>
      <c r="DI35" s="118">
        <v>0</v>
      </c>
      <c r="DJ35" s="118">
        <v>0</v>
      </c>
      <c r="DK35" s="118">
        <v>1</v>
      </c>
      <c r="DL35" s="118">
        <v>0</v>
      </c>
      <c r="DM35" s="118">
        <v>0</v>
      </c>
      <c r="DN35" s="138">
        <v>0</v>
      </c>
      <c r="DO35" s="125" t="s">
        <v>479</v>
      </c>
      <c r="DP35" s="118">
        <v>2</v>
      </c>
      <c r="DQ35" s="118">
        <v>0</v>
      </c>
      <c r="DR35" s="118">
        <v>0</v>
      </c>
      <c r="DS35" s="118">
        <v>0</v>
      </c>
      <c r="DT35" s="118">
        <v>0</v>
      </c>
      <c r="DU35" s="118">
        <v>2</v>
      </c>
      <c r="DV35" s="118">
        <v>1</v>
      </c>
      <c r="DW35" s="118">
        <v>0</v>
      </c>
      <c r="DX35" s="138">
        <v>0</v>
      </c>
      <c r="DY35" s="140">
        <v>1</v>
      </c>
      <c r="DZ35" s="118">
        <v>0</v>
      </c>
      <c r="EA35" s="118">
        <v>0</v>
      </c>
      <c r="EB35" s="119">
        <v>8</v>
      </c>
      <c r="EC35" s="118">
        <v>0</v>
      </c>
      <c r="ED35" s="138">
        <v>0</v>
      </c>
      <c r="EE35" s="125">
        <v>0</v>
      </c>
      <c r="EF35" s="118">
        <v>0</v>
      </c>
      <c r="EG35" s="118">
        <v>0</v>
      </c>
      <c r="EH35" s="118">
        <v>0</v>
      </c>
      <c r="EI35" s="118">
        <v>0</v>
      </c>
      <c r="EJ35" s="118">
        <v>0</v>
      </c>
      <c r="EK35" s="118">
        <v>1</v>
      </c>
      <c r="EL35" s="118">
        <v>0</v>
      </c>
      <c r="EM35" s="118">
        <v>0</v>
      </c>
      <c r="EN35" s="118"/>
      <c r="EO35" s="118"/>
      <c r="EP35" s="118"/>
      <c r="EQ35" s="118"/>
      <c r="ER35" s="118"/>
      <c r="ES35" s="118"/>
      <c r="ET35" s="118"/>
      <c r="EU35" s="118"/>
      <c r="EV35" s="118"/>
      <c r="EW35" s="118"/>
      <c r="EX35" s="138">
        <f t="shared" si="0"/>
        <v>1</v>
      </c>
      <c r="EY35" s="125">
        <v>0</v>
      </c>
      <c r="EZ35" s="118">
        <v>0</v>
      </c>
      <c r="FA35" s="118">
        <v>0</v>
      </c>
      <c r="FB35" s="118">
        <v>3</v>
      </c>
      <c r="FC35" s="118">
        <v>0</v>
      </c>
      <c r="FD35" s="118">
        <v>0</v>
      </c>
      <c r="FE35" s="118">
        <v>0</v>
      </c>
      <c r="FF35" s="118">
        <v>0</v>
      </c>
      <c r="FG35" s="118"/>
      <c r="FH35" s="118"/>
      <c r="FI35" s="118"/>
      <c r="FJ35" s="118"/>
      <c r="FK35" s="118"/>
      <c r="FL35" s="118"/>
      <c r="FM35" s="118"/>
      <c r="FN35" s="118"/>
      <c r="FO35" s="118"/>
      <c r="FP35" s="118"/>
      <c r="FQ35" s="118"/>
      <c r="FR35" s="138">
        <f t="shared" si="1"/>
        <v>3</v>
      </c>
      <c r="FS35" s="166">
        <f t="shared" si="2"/>
        <v>0</v>
      </c>
      <c r="FT35" s="167">
        <f t="shared" si="3"/>
        <v>0</v>
      </c>
      <c r="FU35" s="142"/>
    </row>
    <row r="36" spans="1:177" x14ac:dyDescent="0.25">
      <c r="A36" s="121">
        <v>40311</v>
      </c>
      <c r="B36" s="121" t="s">
        <v>133</v>
      </c>
      <c r="C36" s="121" t="s">
        <v>131</v>
      </c>
      <c r="D36" s="121" t="s">
        <v>511</v>
      </c>
      <c r="E36" s="120">
        <v>465</v>
      </c>
      <c r="F36" s="124">
        <v>3</v>
      </c>
      <c r="G36" s="118" t="s">
        <v>490</v>
      </c>
      <c r="H36" s="118">
        <v>0</v>
      </c>
      <c r="I36" s="118">
        <v>1</v>
      </c>
      <c r="J36" s="119">
        <v>5</v>
      </c>
      <c r="K36" s="118">
        <v>6</v>
      </c>
      <c r="L36" s="118">
        <v>4</v>
      </c>
      <c r="M36" s="118">
        <v>4</v>
      </c>
      <c r="N36" s="118">
        <v>2</v>
      </c>
      <c r="O36" s="118">
        <v>4</v>
      </c>
      <c r="P36" s="118">
        <v>0</v>
      </c>
      <c r="Q36" s="118">
        <v>0</v>
      </c>
      <c r="R36" s="118">
        <v>24</v>
      </c>
      <c r="S36" s="118"/>
      <c r="T36" s="118"/>
      <c r="U36" s="118">
        <v>0</v>
      </c>
      <c r="V36" s="138">
        <v>0</v>
      </c>
      <c r="W36" s="125">
        <v>0</v>
      </c>
      <c r="X36" s="118">
        <v>0</v>
      </c>
      <c r="Y36" s="118">
        <v>0</v>
      </c>
      <c r="Z36" s="118">
        <v>0</v>
      </c>
      <c r="AA36" s="118">
        <v>0</v>
      </c>
      <c r="AB36" s="119">
        <v>3</v>
      </c>
      <c r="AC36" s="118">
        <v>2</v>
      </c>
      <c r="AD36" s="118">
        <v>0</v>
      </c>
      <c r="AE36" s="118">
        <v>0</v>
      </c>
      <c r="AF36" s="118">
        <v>0</v>
      </c>
      <c r="AG36" s="118">
        <v>2</v>
      </c>
      <c r="AH36" s="118">
        <v>0</v>
      </c>
      <c r="AI36" s="118">
        <v>0</v>
      </c>
      <c r="AJ36" s="118">
        <v>11</v>
      </c>
      <c r="AK36" s="118"/>
      <c r="AL36" s="138"/>
      <c r="AM36" s="125" t="s">
        <v>486</v>
      </c>
      <c r="AN36" s="118">
        <v>4</v>
      </c>
      <c r="AO36" s="118">
        <v>0</v>
      </c>
      <c r="AP36" s="118">
        <v>1</v>
      </c>
      <c r="AQ36" s="118">
        <v>0</v>
      </c>
      <c r="AR36" s="118">
        <v>1</v>
      </c>
      <c r="AS36" s="118">
        <v>1</v>
      </c>
      <c r="AT36" s="118">
        <v>0</v>
      </c>
      <c r="AU36" s="118">
        <v>0</v>
      </c>
      <c r="AV36" s="138">
        <v>1</v>
      </c>
      <c r="AW36" s="125" t="s">
        <v>485</v>
      </c>
      <c r="AX36" s="118">
        <v>5</v>
      </c>
      <c r="AY36" s="118">
        <v>0</v>
      </c>
      <c r="AZ36" s="118">
        <v>1</v>
      </c>
      <c r="BA36" s="118">
        <v>0</v>
      </c>
      <c r="BB36" s="118">
        <v>0</v>
      </c>
      <c r="BC36" s="118">
        <v>1</v>
      </c>
      <c r="BD36" s="118">
        <v>0</v>
      </c>
      <c r="BE36" s="118">
        <v>0</v>
      </c>
      <c r="BF36" s="138">
        <v>1</v>
      </c>
      <c r="BG36" s="125" t="s">
        <v>484</v>
      </c>
      <c r="BH36" s="118">
        <v>4</v>
      </c>
      <c r="BI36" s="118">
        <v>0</v>
      </c>
      <c r="BJ36" s="118">
        <v>2</v>
      </c>
      <c r="BK36" s="118">
        <v>0</v>
      </c>
      <c r="BL36" s="118">
        <v>0</v>
      </c>
      <c r="BM36" s="118">
        <v>0</v>
      </c>
      <c r="BN36" s="118">
        <v>0</v>
      </c>
      <c r="BO36" s="118">
        <v>0</v>
      </c>
      <c r="BP36" s="138">
        <v>4</v>
      </c>
      <c r="BQ36" s="125" t="s">
        <v>496</v>
      </c>
      <c r="BR36" s="118">
        <v>3</v>
      </c>
      <c r="BS36" s="118">
        <v>0</v>
      </c>
      <c r="BT36" s="118">
        <v>0</v>
      </c>
      <c r="BU36" s="118">
        <v>0</v>
      </c>
      <c r="BV36" s="118">
        <v>1</v>
      </c>
      <c r="BW36" s="118">
        <v>1</v>
      </c>
      <c r="BX36" s="118">
        <v>0</v>
      </c>
      <c r="BY36" s="118">
        <v>0</v>
      </c>
      <c r="BZ36" s="138">
        <v>0</v>
      </c>
      <c r="CA36" s="125" t="s">
        <v>501</v>
      </c>
      <c r="CB36" s="118">
        <v>3</v>
      </c>
      <c r="CC36" s="118">
        <v>1</v>
      </c>
      <c r="CD36" s="118">
        <v>2</v>
      </c>
      <c r="CE36" s="118">
        <v>0</v>
      </c>
      <c r="CF36" s="118">
        <v>1</v>
      </c>
      <c r="CG36" s="118">
        <v>1</v>
      </c>
      <c r="CH36" s="118">
        <v>0</v>
      </c>
      <c r="CI36" s="118">
        <v>0</v>
      </c>
      <c r="CJ36" s="138">
        <v>2</v>
      </c>
      <c r="CK36" s="125" t="s">
        <v>473</v>
      </c>
      <c r="CL36" s="118">
        <v>4</v>
      </c>
      <c r="CM36" s="118">
        <v>1</v>
      </c>
      <c r="CN36" s="118">
        <v>2</v>
      </c>
      <c r="CO36" s="118">
        <v>2</v>
      </c>
      <c r="CP36" s="118">
        <v>0</v>
      </c>
      <c r="CQ36" s="118">
        <v>1</v>
      </c>
      <c r="CR36" s="118">
        <v>0</v>
      </c>
      <c r="CS36" s="118">
        <v>0</v>
      </c>
      <c r="CT36" s="138">
        <v>5</v>
      </c>
      <c r="CU36" s="125" t="s">
        <v>489</v>
      </c>
      <c r="CV36" s="118">
        <v>4</v>
      </c>
      <c r="CW36" s="118">
        <v>0</v>
      </c>
      <c r="CX36" s="118">
        <v>1</v>
      </c>
      <c r="CY36" s="118">
        <v>0</v>
      </c>
      <c r="CZ36" s="118">
        <v>0</v>
      </c>
      <c r="DA36" s="118">
        <v>0</v>
      </c>
      <c r="DB36" s="118">
        <v>0</v>
      </c>
      <c r="DC36" s="118">
        <v>0</v>
      </c>
      <c r="DD36" s="138">
        <v>1</v>
      </c>
      <c r="DE36" s="125" t="s">
        <v>482</v>
      </c>
      <c r="DF36" s="118">
        <v>3</v>
      </c>
      <c r="DG36" s="118">
        <v>0</v>
      </c>
      <c r="DH36" s="118">
        <v>1</v>
      </c>
      <c r="DI36" s="118">
        <v>0</v>
      </c>
      <c r="DJ36" s="118">
        <v>0</v>
      </c>
      <c r="DK36" s="118">
        <v>1</v>
      </c>
      <c r="DL36" s="118">
        <v>1</v>
      </c>
      <c r="DM36" s="118">
        <v>0</v>
      </c>
      <c r="DN36" s="138">
        <v>1</v>
      </c>
      <c r="DO36" s="125" t="s">
        <v>479</v>
      </c>
      <c r="DP36" s="118">
        <v>4</v>
      </c>
      <c r="DQ36" s="118">
        <v>0</v>
      </c>
      <c r="DR36" s="118">
        <v>0</v>
      </c>
      <c r="DS36" s="118">
        <v>0</v>
      </c>
      <c r="DT36" s="118">
        <v>0</v>
      </c>
      <c r="DU36" s="118">
        <v>0</v>
      </c>
      <c r="DV36" s="118">
        <v>0</v>
      </c>
      <c r="DW36" s="118">
        <v>0</v>
      </c>
      <c r="DX36" s="138">
        <v>0</v>
      </c>
      <c r="DY36" s="140">
        <v>0</v>
      </c>
      <c r="DZ36" s="118">
        <v>0</v>
      </c>
      <c r="EA36" s="118">
        <v>0</v>
      </c>
      <c r="EB36" s="119">
        <v>9</v>
      </c>
      <c r="EC36" s="118">
        <v>0</v>
      </c>
      <c r="ED36" s="138">
        <v>0</v>
      </c>
      <c r="EE36" s="125">
        <v>0</v>
      </c>
      <c r="EF36" s="118">
        <v>0</v>
      </c>
      <c r="EG36" s="118">
        <v>0</v>
      </c>
      <c r="EH36" s="118">
        <v>2</v>
      </c>
      <c r="EI36" s="118">
        <v>0</v>
      </c>
      <c r="EJ36" s="118">
        <v>0</v>
      </c>
      <c r="EK36" s="118">
        <v>0</v>
      </c>
      <c r="EL36" s="118">
        <v>0</v>
      </c>
      <c r="EM36" s="118">
        <v>0</v>
      </c>
      <c r="EN36" s="118"/>
      <c r="EO36" s="118"/>
      <c r="EP36" s="118"/>
      <c r="EQ36" s="118"/>
      <c r="ER36" s="118"/>
      <c r="ES36" s="118"/>
      <c r="ET36" s="118"/>
      <c r="EU36" s="118"/>
      <c r="EV36" s="118"/>
      <c r="EW36" s="118"/>
      <c r="EX36" s="138">
        <f t="shared" ref="EX36:EX67" si="4">SUM(EE36:EW36)</f>
        <v>2</v>
      </c>
      <c r="EY36" s="125">
        <v>2</v>
      </c>
      <c r="EZ36" s="118">
        <v>0</v>
      </c>
      <c r="FA36" s="118">
        <v>1</v>
      </c>
      <c r="FB36" s="118">
        <v>1</v>
      </c>
      <c r="FC36" s="118">
        <v>0</v>
      </c>
      <c r="FD36" s="118">
        <v>0</v>
      </c>
      <c r="FE36" s="118">
        <v>0</v>
      </c>
      <c r="FF36" s="118">
        <v>0</v>
      </c>
      <c r="FG36" s="118"/>
      <c r="FH36" s="118"/>
      <c r="FI36" s="118"/>
      <c r="FJ36" s="118"/>
      <c r="FK36" s="118"/>
      <c r="FL36" s="118"/>
      <c r="FM36" s="118"/>
      <c r="FN36" s="118"/>
      <c r="FO36" s="118"/>
      <c r="FP36" s="118"/>
      <c r="FQ36" s="118"/>
      <c r="FR36" s="138">
        <f t="shared" ref="FR36:FR67" si="5">SUM(EY36:FQ36)</f>
        <v>4</v>
      </c>
      <c r="FS36" s="166">
        <f t="shared" ref="FS36:FS67" si="6">((L36+AD36)-FR36)</f>
        <v>0</v>
      </c>
      <c r="FT36" s="167">
        <f t="shared" ref="FT36:FT67" si="7">((AO36+AY36+BI36+BS36+CC36+CM36+CW36+DG36+DQ36)-EX36)</f>
        <v>0</v>
      </c>
      <c r="FU36" s="142"/>
    </row>
    <row r="37" spans="1:177" x14ac:dyDescent="0.25">
      <c r="A37" s="121">
        <v>40312</v>
      </c>
      <c r="B37" s="121" t="s">
        <v>133</v>
      </c>
      <c r="C37" s="121" t="s">
        <v>131</v>
      </c>
      <c r="D37" s="121" t="s">
        <v>488</v>
      </c>
      <c r="E37" s="120">
        <v>611</v>
      </c>
      <c r="F37" s="124">
        <v>4</v>
      </c>
      <c r="G37" s="118" t="s">
        <v>510</v>
      </c>
      <c r="H37" s="118">
        <v>0</v>
      </c>
      <c r="I37" s="118">
        <v>1</v>
      </c>
      <c r="J37" s="119">
        <v>3</v>
      </c>
      <c r="K37" s="118">
        <v>6</v>
      </c>
      <c r="L37" s="118">
        <v>4</v>
      </c>
      <c r="M37" s="118">
        <v>4</v>
      </c>
      <c r="N37" s="118">
        <v>2</v>
      </c>
      <c r="O37" s="118">
        <v>4</v>
      </c>
      <c r="P37" s="118">
        <v>0</v>
      </c>
      <c r="Q37" s="118">
        <v>0</v>
      </c>
      <c r="R37" s="118">
        <v>16</v>
      </c>
      <c r="S37" s="118"/>
      <c r="T37" s="118"/>
      <c r="U37" s="118">
        <v>0</v>
      </c>
      <c r="V37" s="138">
        <v>0</v>
      </c>
      <c r="W37" s="125">
        <v>0</v>
      </c>
      <c r="X37" s="118">
        <v>0</v>
      </c>
      <c r="Y37" s="118">
        <v>0</v>
      </c>
      <c r="Z37" s="118">
        <v>0</v>
      </c>
      <c r="AA37" s="118">
        <v>0</v>
      </c>
      <c r="AB37" s="119">
        <v>3</v>
      </c>
      <c r="AC37" s="118">
        <v>0</v>
      </c>
      <c r="AD37" s="118">
        <v>0</v>
      </c>
      <c r="AE37" s="118">
        <v>0</v>
      </c>
      <c r="AF37" s="118">
        <v>3</v>
      </c>
      <c r="AG37" s="118">
        <v>3</v>
      </c>
      <c r="AH37" s="118">
        <v>0</v>
      </c>
      <c r="AI37" s="118">
        <v>0</v>
      </c>
      <c r="AJ37" s="118">
        <v>12</v>
      </c>
      <c r="AK37" s="118"/>
      <c r="AL37" s="138"/>
      <c r="AM37" s="125" t="s">
        <v>486</v>
      </c>
      <c r="AN37" s="118">
        <v>3</v>
      </c>
      <c r="AO37" s="118">
        <v>0</v>
      </c>
      <c r="AP37" s="118">
        <v>0</v>
      </c>
      <c r="AQ37" s="118">
        <v>0</v>
      </c>
      <c r="AR37" s="118">
        <v>0</v>
      </c>
      <c r="AS37" s="118">
        <v>1</v>
      </c>
      <c r="AT37" s="118">
        <v>0</v>
      </c>
      <c r="AU37" s="118">
        <v>0</v>
      </c>
      <c r="AV37" s="138">
        <v>0</v>
      </c>
      <c r="AW37" s="125" t="s">
        <v>485</v>
      </c>
      <c r="AX37" s="118">
        <v>3</v>
      </c>
      <c r="AY37" s="118">
        <v>0</v>
      </c>
      <c r="AZ37" s="118">
        <v>0</v>
      </c>
      <c r="BA37" s="118">
        <v>0</v>
      </c>
      <c r="BB37" s="118">
        <v>0</v>
      </c>
      <c r="BC37" s="118">
        <v>2</v>
      </c>
      <c r="BD37" s="118">
        <v>0</v>
      </c>
      <c r="BE37" s="118">
        <v>0</v>
      </c>
      <c r="BF37" s="138">
        <v>0</v>
      </c>
      <c r="BG37" s="125" t="s">
        <v>501</v>
      </c>
      <c r="BH37" s="118">
        <v>3</v>
      </c>
      <c r="BI37" s="118">
        <v>2</v>
      </c>
      <c r="BJ37" s="118">
        <v>1</v>
      </c>
      <c r="BK37" s="118">
        <v>0</v>
      </c>
      <c r="BL37" s="118">
        <v>0</v>
      </c>
      <c r="BM37" s="118">
        <v>0</v>
      </c>
      <c r="BN37" s="118">
        <v>0</v>
      </c>
      <c r="BO37" s="118">
        <v>0</v>
      </c>
      <c r="BP37" s="138">
        <v>2</v>
      </c>
      <c r="BQ37" s="125" t="s">
        <v>496</v>
      </c>
      <c r="BR37" s="118">
        <v>3</v>
      </c>
      <c r="BS37" s="118">
        <v>0</v>
      </c>
      <c r="BT37" s="118">
        <v>2</v>
      </c>
      <c r="BU37" s="118">
        <v>1</v>
      </c>
      <c r="BV37" s="118">
        <v>0</v>
      </c>
      <c r="BW37" s="118">
        <v>0</v>
      </c>
      <c r="BX37" s="118">
        <v>0</v>
      </c>
      <c r="BY37" s="118">
        <v>0</v>
      </c>
      <c r="BZ37" s="138">
        <v>3</v>
      </c>
      <c r="CA37" s="125" t="s">
        <v>473</v>
      </c>
      <c r="CB37" s="118">
        <v>2</v>
      </c>
      <c r="CC37" s="118">
        <v>0</v>
      </c>
      <c r="CD37" s="118">
        <v>0</v>
      </c>
      <c r="CE37" s="118">
        <v>1</v>
      </c>
      <c r="CF37" s="118">
        <v>0</v>
      </c>
      <c r="CG37" s="118">
        <v>1</v>
      </c>
      <c r="CH37" s="118">
        <v>0</v>
      </c>
      <c r="CI37" s="118">
        <v>1</v>
      </c>
      <c r="CJ37" s="138">
        <v>0</v>
      </c>
      <c r="CK37" s="125" t="s">
        <v>484</v>
      </c>
      <c r="CL37" s="118">
        <v>2</v>
      </c>
      <c r="CM37" s="118">
        <v>0</v>
      </c>
      <c r="CN37" s="118">
        <v>1</v>
      </c>
      <c r="CO37" s="118">
        <v>0</v>
      </c>
      <c r="CP37" s="118">
        <v>1</v>
      </c>
      <c r="CQ37" s="118">
        <v>0</v>
      </c>
      <c r="CR37" s="118">
        <v>0</v>
      </c>
      <c r="CS37" s="118">
        <v>0</v>
      </c>
      <c r="CT37" s="138">
        <v>1</v>
      </c>
      <c r="CU37" s="125" t="s">
        <v>481</v>
      </c>
      <c r="CV37" s="118">
        <v>3</v>
      </c>
      <c r="CW37" s="118">
        <v>0</v>
      </c>
      <c r="CX37" s="118">
        <v>1</v>
      </c>
      <c r="CY37" s="118">
        <v>0</v>
      </c>
      <c r="CZ37" s="118">
        <v>0</v>
      </c>
      <c r="DA37" s="118">
        <v>0</v>
      </c>
      <c r="DB37" s="118">
        <v>0</v>
      </c>
      <c r="DC37" s="118">
        <v>0</v>
      </c>
      <c r="DD37" s="138">
        <v>0</v>
      </c>
      <c r="DE37" s="125" t="s">
        <v>480</v>
      </c>
      <c r="DF37" s="118">
        <v>2</v>
      </c>
      <c r="DG37" s="118">
        <v>0</v>
      </c>
      <c r="DH37" s="118">
        <v>1</v>
      </c>
      <c r="DI37" s="118">
        <v>0</v>
      </c>
      <c r="DJ37" s="118">
        <v>0</v>
      </c>
      <c r="DK37" s="118">
        <v>0</v>
      </c>
      <c r="DL37" s="118">
        <v>0</v>
      </c>
      <c r="DM37" s="118">
        <v>0</v>
      </c>
      <c r="DN37" s="138">
        <v>1</v>
      </c>
      <c r="DO37" s="125" t="s">
        <v>491</v>
      </c>
      <c r="DP37" s="118">
        <v>2</v>
      </c>
      <c r="DQ37" s="118">
        <v>0</v>
      </c>
      <c r="DR37" s="118">
        <v>0</v>
      </c>
      <c r="DS37" s="118">
        <v>0</v>
      </c>
      <c r="DT37" s="118">
        <v>0</v>
      </c>
      <c r="DU37" s="118">
        <v>0</v>
      </c>
      <c r="DV37" s="118">
        <v>0</v>
      </c>
      <c r="DW37" s="118">
        <v>0</v>
      </c>
      <c r="DX37" s="138">
        <v>0</v>
      </c>
      <c r="DY37" s="140">
        <v>0</v>
      </c>
      <c r="DZ37" s="118">
        <v>0</v>
      </c>
      <c r="EA37" s="118">
        <v>0</v>
      </c>
      <c r="EB37" s="119">
        <v>7</v>
      </c>
      <c r="EC37" s="118">
        <v>0</v>
      </c>
      <c r="ED37" s="138">
        <v>0</v>
      </c>
      <c r="EE37" s="125">
        <v>1</v>
      </c>
      <c r="EF37" s="118">
        <v>0</v>
      </c>
      <c r="EG37" s="118">
        <v>0</v>
      </c>
      <c r="EH37" s="118">
        <v>1</v>
      </c>
      <c r="EI37" s="118">
        <v>0</v>
      </c>
      <c r="EJ37" s="118">
        <v>0</v>
      </c>
      <c r="EK37" s="118">
        <v>0</v>
      </c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38">
        <f t="shared" si="4"/>
        <v>2</v>
      </c>
      <c r="EY37" s="125">
        <v>3</v>
      </c>
      <c r="EZ37" s="118">
        <v>0</v>
      </c>
      <c r="FA37" s="118">
        <v>1</v>
      </c>
      <c r="FB37" s="118">
        <v>0</v>
      </c>
      <c r="FC37" s="118">
        <v>0</v>
      </c>
      <c r="FD37" s="118">
        <v>0</v>
      </c>
      <c r="FE37" s="118"/>
      <c r="FF37" s="118"/>
      <c r="FG37" s="118"/>
      <c r="FH37" s="118"/>
      <c r="FI37" s="118"/>
      <c r="FJ37" s="118"/>
      <c r="FK37" s="118"/>
      <c r="FL37" s="118"/>
      <c r="FM37" s="118"/>
      <c r="FN37" s="118"/>
      <c r="FO37" s="118"/>
      <c r="FP37" s="118"/>
      <c r="FQ37" s="118"/>
      <c r="FR37" s="138">
        <f t="shared" si="5"/>
        <v>4</v>
      </c>
      <c r="FS37" s="166">
        <f t="shared" si="6"/>
        <v>0</v>
      </c>
      <c r="FT37" s="167">
        <f t="shared" si="7"/>
        <v>0</v>
      </c>
      <c r="FU37" s="142" t="s">
        <v>509</v>
      </c>
    </row>
    <row r="38" spans="1:177" x14ac:dyDescent="0.25">
      <c r="A38" s="121">
        <v>40313</v>
      </c>
      <c r="B38" s="121" t="s">
        <v>133</v>
      </c>
      <c r="C38" s="121" t="s">
        <v>129</v>
      </c>
      <c r="D38" s="121" t="s">
        <v>488</v>
      </c>
      <c r="E38" s="120">
        <v>1086</v>
      </c>
      <c r="F38" s="124">
        <v>5</v>
      </c>
      <c r="G38" s="118" t="s">
        <v>492</v>
      </c>
      <c r="H38" s="118">
        <v>1</v>
      </c>
      <c r="I38" s="118">
        <v>0</v>
      </c>
      <c r="J38" s="119">
        <f>8+1/3</f>
        <v>8.3333333333333339</v>
      </c>
      <c r="K38" s="118">
        <v>1</v>
      </c>
      <c r="L38" s="118">
        <v>0</v>
      </c>
      <c r="M38" s="118">
        <v>0</v>
      </c>
      <c r="N38" s="118">
        <v>2</v>
      </c>
      <c r="O38" s="118">
        <v>2</v>
      </c>
      <c r="P38" s="118">
        <v>0</v>
      </c>
      <c r="Q38" s="118">
        <v>3</v>
      </c>
      <c r="R38" s="118">
        <v>31</v>
      </c>
      <c r="S38" s="118"/>
      <c r="T38" s="118"/>
      <c r="U38" s="118">
        <v>1</v>
      </c>
      <c r="V38" s="138">
        <v>0</v>
      </c>
      <c r="W38" s="125">
        <v>0</v>
      </c>
      <c r="X38" s="118">
        <v>0</v>
      </c>
      <c r="Y38" s="118">
        <v>0</v>
      </c>
      <c r="Z38" s="118">
        <v>0</v>
      </c>
      <c r="AA38" s="118">
        <v>0</v>
      </c>
      <c r="AB38" s="119">
        <f>0+2/3</f>
        <v>0.66666666666666663</v>
      </c>
      <c r="AC38" s="118">
        <v>0</v>
      </c>
      <c r="AD38" s="118">
        <v>0</v>
      </c>
      <c r="AE38" s="118">
        <v>0</v>
      </c>
      <c r="AF38" s="118">
        <v>0</v>
      </c>
      <c r="AG38" s="118">
        <v>1</v>
      </c>
      <c r="AH38" s="118">
        <v>0</v>
      </c>
      <c r="AI38" s="118">
        <v>0</v>
      </c>
      <c r="AJ38" s="118">
        <v>2</v>
      </c>
      <c r="AK38" s="118"/>
      <c r="AL38" s="138"/>
      <c r="AM38" s="125" t="s">
        <v>486</v>
      </c>
      <c r="AN38" s="118">
        <v>4</v>
      </c>
      <c r="AO38" s="118">
        <v>0</v>
      </c>
      <c r="AP38" s="118">
        <v>0</v>
      </c>
      <c r="AQ38" s="118">
        <v>0</v>
      </c>
      <c r="AR38" s="118">
        <v>0</v>
      </c>
      <c r="AS38" s="118">
        <v>1</v>
      </c>
      <c r="AT38" s="118">
        <v>0</v>
      </c>
      <c r="AU38" s="118">
        <v>0</v>
      </c>
      <c r="AV38" s="138">
        <v>0</v>
      </c>
      <c r="AW38" s="125" t="s">
        <v>485</v>
      </c>
      <c r="AX38" s="118">
        <v>4</v>
      </c>
      <c r="AY38" s="118">
        <v>1</v>
      </c>
      <c r="AZ38" s="118">
        <v>1</v>
      </c>
      <c r="BA38" s="118">
        <v>2</v>
      </c>
      <c r="BB38" s="118">
        <v>0</v>
      </c>
      <c r="BC38" s="118">
        <v>1</v>
      </c>
      <c r="BD38" s="118">
        <v>0</v>
      </c>
      <c r="BE38" s="118">
        <v>0</v>
      </c>
      <c r="BF38" s="138">
        <v>4</v>
      </c>
      <c r="BG38" s="125" t="s">
        <v>501</v>
      </c>
      <c r="BH38" s="118">
        <v>4</v>
      </c>
      <c r="BI38" s="118">
        <v>0</v>
      </c>
      <c r="BJ38" s="118">
        <v>0</v>
      </c>
      <c r="BK38" s="118">
        <v>0</v>
      </c>
      <c r="BL38" s="118">
        <v>0</v>
      </c>
      <c r="BM38" s="118">
        <v>0</v>
      </c>
      <c r="BN38" s="118">
        <v>0</v>
      </c>
      <c r="BO38" s="118">
        <v>0</v>
      </c>
      <c r="BP38" s="138">
        <v>0</v>
      </c>
      <c r="BQ38" s="125" t="s">
        <v>496</v>
      </c>
      <c r="BR38" s="118">
        <v>3</v>
      </c>
      <c r="BS38" s="118">
        <v>1</v>
      </c>
      <c r="BT38" s="118">
        <v>1</v>
      </c>
      <c r="BU38" s="118">
        <v>0</v>
      </c>
      <c r="BV38" s="118">
        <v>1</v>
      </c>
      <c r="BW38" s="118">
        <v>0</v>
      </c>
      <c r="BX38" s="118">
        <v>0</v>
      </c>
      <c r="BY38" s="118">
        <v>0</v>
      </c>
      <c r="BZ38" s="138">
        <v>1</v>
      </c>
      <c r="CA38" s="125" t="s">
        <v>473</v>
      </c>
      <c r="CB38" s="118">
        <v>4</v>
      </c>
      <c r="CC38" s="118">
        <v>1</v>
      </c>
      <c r="CD38" s="118">
        <v>1</v>
      </c>
      <c r="CE38" s="118">
        <v>2</v>
      </c>
      <c r="CF38" s="118">
        <v>0</v>
      </c>
      <c r="CG38" s="118">
        <v>1</v>
      </c>
      <c r="CH38" s="118">
        <v>0</v>
      </c>
      <c r="CI38" s="118">
        <v>0</v>
      </c>
      <c r="CJ38" s="138">
        <v>4</v>
      </c>
      <c r="CK38" s="125" t="s">
        <v>489</v>
      </c>
      <c r="CL38" s="118">
        <v>4</v>
      </c>
      <c r="CM38" s="118">
        <v>0</v>
      </c>
      <c r="CN38" s="118">
        <v>1</v>
      </c>
      <c r="CO38" s="118">
        <v>0</v>
      </c>
      <c r="CP38" s="118">
        <v>0</v>
      </c>
      <c r="CQ38" s="118">
        <v>0</v>
      </c>
      <c r="CR38" s="118">
        <v>0</v>
      </c>
      <c r="CS38" s="118">
        <v>0</v>
      </c>
      <c r="CT38" s="138">
        <v>3</v>
      </c>
      <c r="CU38" s="125" t="s">
        <v>481</v>
      </c>
      <c r="CV38" s="118">
        <v>4</v>
      </c>
      <c r="CW38" s="118">
        <v>0</v>
      </c>
      <c r="CX38" s="118">
        <v>0</v>
      </c>
      <c r="CY38" s="118">
        <v>0</v>
      </c>
      <c r="CZ38" s="118">
        <v>0</v>
      </c>
      <c r="DA38" s="118">
        <v>1</v>
      </c>
      <c r="DB38" s="118">
        <v>0</v>
      </c>
      <c r="DC38" s="118">
        <v>0</v>
      </c>
      <c r="DD38" s="138">
        <v>0</v>
      </c>
      <c r="DE38" s="125" t="s">
        <v>482</v>
      </c>
      <c r="DF38" s="118">
        <v>3</v>
      </c>
      <c r="DG38" s="118">
        <v>0</v>
      </c>
      <c r="DH38" s="118">
        <v>1</v>
      </c>
      <c r="DI38" s="118">
        <v>0</v>
      </c>
      <c r="DJ38" s="118">
        <v>1</v>
      </c>
      <c r="DK38" s="118">
        <v>1</v>
      </c>
      <c r="DL38" s="118">
        <v>0</v>
      </c>
      <c r="DM38" s="118">
        <v>0</v>
      </c>
      <c r="DN38" s="138">
        <v>0</v>
      </c>
      <c r="DO38" s="125" t="s">
        <v>491</v>
      </c>
      <c r="DP38" s="118">
        <v>3</v>
      </c>
      <c r="DQ38" s="118">
        <v>1</v>
      </c>
      <c r="DR38" s="118">
        <v>1</v>
      </c>
      <c r="DS38" s="118">
        <v>0</v>
      </c>
      <c r="DT38" s="118">
        <v>0</v>
      </c>
      <c r="DU38" s="118">
        <v>0</v>
      </c>
      <c r="DV38" s="118">
        <v>0</v>
      </c>
      <c r="DW38" s="118">
        <v>0</v>
      </c>
      <c r="DX38" s="138">
        <v>2</v>
      </c>
      <c r="DY38" s="140">
        <v>0</v>
      </c>
      <c r="DZ38" s="118">
        <v>0</v>
      </c>
      <c r="EA38" s="118">
        <v>0</v>
      </c>
      <c r="EB38" s="119">
        <v>9</v>
      </c>
      <c r="EC38" s="118">
        <v>0</v>
      </c>
      <c r="ED38" s="138">
        <v>1</v>
      </c>
      <c r="EE38" s="125">
        <v>0</v>
      </c>
      <c r="EF38" s="118">
        <v>0</v>
      </c>
      <c r="EG38" s="118">
        <v>2</v>
      </c>
      <c r="EH38" s="118">
        <v>0</v>
      </c>
      <c r="EI38" s="118">
        <v>0</v>
      </c>
      <c r="EJ38" s="118">
        <v>0</v>
      </c>
      <c r="EK38" s="118">
        <v>0</v>
      </c>
      <c r="EL38" s="118">
        <v>0</v>
      </c>
      <c r="EM38" s="118">
        <v>2</v>
      </c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38">
        <f t="shared" si="4"/>
        <v>4</v>
      </c>
      <c r="EY38" s="125">
        <v>0</v>
      </c>
      <c r="EZ38" s="118">
        <v>0</v>
      </c>
      <c r="FA38" s="118">
        <v>0</v>
      </c>
      <c r="FB38" s="118">
        <v>0</v>
      </c>
      <c r="FC38" s="118">
        <v>0</v>
      </c>
      <c r="FD38" s="118">
        <v>0</v>
      </c>
      <c r="FE38" s="118">
        <v>0</v>
      </c>
      <c r="FF38" s="118">
        <v>0</v>
      </c>
      <c r="FG38" s="118">
        <v>0</v>
      </c>
      <c r="FH38" s="118"/>
      <c r="FI38" s="118"/>
      <c r="FJ38" s="118"/>
      <c r="FK38" s="118"/>
      <c r="FL38" s="118"/>
      <c r="FM38" s="118"/>
      <c r="FN38" s="118"/>
      <c r="FO38" s="118"/>
      <c r="FP38" s="118"/>
      <c r="FQ38" s="118"/>
      <c r="FR38" s="138">
        <f t="shared" si="5"/>
        <v>0</v>
      </c>
      <c r="FS38" s="166">
        <f t="shared" si="6"/>
        <v>0</v>
      </c>
      <c r="FT38" s="167">
        <f t="shared" si="7"/>
        <v>0</v>
      </c>
      <c r="FU38" s="142"/>
    </row>
    <row r="39" spans="1:177" x14ac:dyDescent="0.25">
      <c r="A39" s="121">
        <v>40315</v>
      </c>
      <c r="B39" s="121" t="s">
        <v>19</v>
      </c>
      <c r="C39" s="121" t="s">
        <v>131</v>
      </c>
      <c r="D39" s="121" t="s">
        <v>507</v>
      </c>
      <c r="E39" s="120"/>
      <c r="F39" s="124">
        <v>1</v>
      </c>
      <c r="G39" s="118" t="s">
        <v>493</v>
      </c>
      <c r="H39" s="118">
        <v>0</v>
      </c>
      <c r="I39" s="118">
        <v>1</v>
      </c>
      <c r="J39" s="119">
        <v>5</v>
      </c>
      <c r="K39" s="118">
        <v>7</v>
      </c>
      <c r="L39" s="118">
        <v>7</v>
      </c>
      <c r="M39" s="118">
        <v>6</v>
      </c>
      <c r="N39" s="118">
        <v>4</v>
      </c>
      <c r="O39" s="118">
        <v>3</v>
      </c>
      <c r="P39" s="118">
        <v>0</v>
      </c>
      <c r="Q39" s="118">
        <v>2</v>
      </c>
      <c r="R39" s="118">
        <v>28</v>
      </c>
      <c r="S39" s="118"/>
      <c r="T39" s="118"/>
      <c r="U39" s="118">
        <v>0</v>
      </c>
      <c r="V39" s="138">
        <v>0</v>
      </c>
      <c r="W39" s="125">
        <v>0</v>
      </c>
      <c r="X39" s="118">
        <v>0</v>
      </c>
      <c r="Y39" s="118">
        <v>0</v>
      </c>
      <c r="Z39" s="118">
        <v>0</v>
      </c>
      <c r="AA39" s="118">
        <v>0</v>
      </c>
      <c r="AB39" s="119">
        <v>2</v>
      </c>
      <c r="AC39" s="118">
        <v>0</v>
      </c>
      <c r="AD39" s="118">
        <v>0</v>
      </c>
      <c r="AE39" s="118">
        <v>0</v>
      </c>
      <c r="AF39" s="118">
        <v>1</v>
      </c>
      <c r="AG39" s="118">
        <v>2</v>
      </c>
      <c r="AH39" s="118">
        <v>0</v>
      </c>
      <c r="AI39" s="118">
        <v>0</v>
      </c>
      <c r="AJ39" s="118">
        <v>7</v>
      </c>
      <c r="AK39" s="118"/>
      <c r="AL39" s="138"/>
      <c r="AM39" s="125" t="s">
        <v>486</v>
      </c>
      <c r="AN39" s="118">
        <v>4</v>
      </c>
      <c r="AO39" s="118">
        <v>0</v>
      </c>
      <c r="AP39" s="118">
        <v>1</v>
      </c>
      <c r="AQ39" s="118">
        <v>0</v>
      </c>
      <c r="AR39" s="118">
        <v>0</v>
      </c>
      <c r="AS39" s="118">
        <v>1</v>
      </c>
      <c r="AT39" s="118">
        <v>0</v>
      </c>
      <c r="AU39" s="118">
        <v>0</v>
      </c>
      <c r="AV39" s="138">
        <v>2</v>
      </c>
      <c r="AW39" s="125" t="s">
        <v>485</v>
      </c>
      <c r="AX39" s="118">
        <v>4</v>
      </c>
      <c r="AY39" s="118">
        <v>0</v>
      </c>
      <c r="AZ39" s="118">
        <v>1</v>
      </c>
      <c r="BA39" s="118">
        <v>1</v>
      </c>
      <c r="BB39" s="118">
        <v>0</v>
      </c>
      <c r="BC39" s="118">
        <v>0</v>
      </c>
      <c r="BD39" s="118">
        <v>0</v>
      </c>
      <c r="BE39" s="118">
        <v>0</v>
      </c>
      <c r="BF39" s="138">
        <v>1</v>
      </c>
      <c r="BG39" s="125" t="s">
        <v>501</v>
      </c>
      <c r="BH39" s="118">
        <v>4</v>
      </c>
      <c r="BI39" s="118">
        <v>1</v>
      </c>
      <c r="BJ39" s="118">
        <v>1</v>
      </c>
      <c r="BK39" s="118">
        <v>0</v>
      </c>
      <c r="BL39" s="118">
        <v>0</v>
      </c>
      <c r="BM39" s="118">
        <v>0</v>
      </c>
      <c r="BN39" s="118">
        <v>0</v>
      </c>
      <c r="BO39" s="118">
        <v>0</v>
      </c>
      <c r="BP39" s="138">
        <v>1</v>
      </c>
      <c r="BQ39" s="125" t="s">
        <v>496</v>
      </c>
      <c r="BR39" s="118">
        <v>4</v>
      </c>
      <c r="BS39" s="118">
        <v>2</v>
      </c>
      <c r="BT39" s="118">
        <v>2</v>
      </c>
      <c r="BU39" s="118">
        <v>2</v>
      </c>
      <c r="BV39" s="118">
        <v>0</v>
      </c>
      <c r="BW39" s="118">
        <v>0</v>
      </c>
      <c r="BX39" s="118">
        <v>0</v>
      </c>
      <c r="BY39" s="118">
        <v>0</v>
      </c>
      <c r="BZ39" s="138">
        <v>5</v>
      </c>
      <c r="CA39" s="125" t="s">
        <v>484</v>
      </c>
      <c r="CB39" s="118">
        <v>3</v>
      </c>
      <c r="CC39" s="118">
        <v>2</v>
      </c>
      <c r="CD39" s="118">
        <v>2</v>
      </c>
      <c r="CE39" s="118">
        <v>3</v>
      </c>
      <c r="CF39" s="118">
        <v>0</v>
      </c>
      <c r="CG39" s="118">
        <v>0</v>
      </c>
      <c r="CH39" s="118">
        <v>0</v>
      </c>
      <c r="CI39" s="118">
        <v>0</v>
      </c>
      <c r="CJ39" s="138">
        <v>8</v>
      </c>
      <c r="CK39" s="125" t="s">
        <v>489</v>
      </c>
      <c r="CL39" s="118">
        <v>3</v>
      </c>
      <c r="CM39" s="118">
        <v>0</v>
      </c>
      <c r="CN39" s="118">
        <v>1</v>
      </c>
      <c r="CO39" s="118">
        <v>0</v>
      </c>
      <c r="CP39" s="118">
        <v>0</v>
      </c>
      <c r="CQ39" s="118">
        <v>0</v>
      </c>
      <c r="CR39" s="118">
        <v>0</v>
      </c>
      <c r="CS39" s="118">
        <v>0</v>
      </c>
      <c r="CT39" s="138">
        <v>1</v>
      </c>
      <c r="CU39" s="125" t="s">
        <v>483</v>
      </c>
      <c r="CV39" s="118">
        <v>3</v>
      </c>
      <c r="CW39" s="118">
        <v>0</v>
      </c>
      <c r="CX39" s="118">
        <v>0</v>
      </c>
      <c r="CY39" s="118">
        <v>0</v>
      </c>
      <c r="CZ39" s="118">
        <v>0</v>
      </c>
      <c r="DA39" s="118">
        <v>2</v>
      </c>
      <c r="DB39" s="118">
        <v>0</v>
      </c>
      <c r="DC39" s="118">
        <v>0</v>
      </c>
      <c r="DD39" s="138">
        <v>0</v>
      </c>
      <c r="DE39" s="125" t="s">
        <v>482</v>
      </c>
      <c r="DF39" s="118">
        <v>1</v>
      </c>
      <c r="DG39" s="118">
        <v>1</v>
      </c>
      <c r="DH39" s="118">
        <v>0</v>
      </c>
      <c r="DI39" s="118">
        <v>0</v>
      </c>
      <c r="DJ39" s="118">
        <v>2</v>
      </c>
      <c r="DK39" s="118">
        <v>0</v>
      </c>
      <c r="DL39" s="118">
        <v>0</v>
      </c>
      <c r="DM39" s="118">
        <v>0</v>
      </c>
      <c r="DN39" s="138">
        <v>0</v>
      </c>
      <c r="DO39" s="125" t="s">
        <v>491</v>
      </c>
      <c r="DP39" s="118">
        <v>3</v>
      </c>
      <c r="DQ39" s="118">
        <v>0</v>
      </c>
      <c r="DR39" s="118">
        <v>0</v>
      </c>
      <c r="DS39" s="118">
        <v>0</v>
      </c>
      <c r="DT39" s="118">
        <v>0</v>
      </c>
      <c r="DU39" s="118">
        <v>2</v>
      </c>
      <c r="DV39" s="118">
        <v>0</v>
      </c>
      <c r="DW39" s="118">
        <v>0</v>
      </c>
      <c r="DX39" s="138">
        <v>0</v>
      </c>
      <c r="DY39" s="140">
        <v>0</v>
      </c>
      <c r="DZ39" s="118">
        <v>0</v>
      </c>
      <c r="EA39" s="118">
        <v>0</v>
      </c>
      <c r="EB39" s="119">
        <v>7</v>
      </c>
      <c r="EC39" s="118">
        <v>0</v>
      </c>
      <c r="ED39" s="138">
        <v>0</v>
      </c>
      <c r="EE39" s="125">
        <v>0</v>
      </c>
      <c r="EF39" s="118">
        <v>0</v>
      </c>
      <c r="EG39" s="118">
        <v>0</v>
      </c>
      <c r="EH39" s="118">
        <v>0</v>
      </c>
      <c r="EI39" s="118">
        <v>2</v>
      </c>
      <c r="EJ39" s="118">
        <v>3</v>
      </c>
      <c r="EK39" s="118">
        <v>1</v>
      </c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38">
        <f t="shared" si="4"/>
        <v>6</v>
      </c>
      <c r="EY39" s="125">
        <v>2</v>
      </c>
      <c r="EZ39" s="118">
        <v>0</v>
      </c>
      <c r="FA39" s="118">
        <v>0</v>
      </c>
      <c r="FB39" s="118">
        <v>4</v>
      </c>
      <c r="FC39" s="118">
        <v>1</v>
      </c>
      <c r="FD39" s="118">
        <v>0</v>
      </c>
      <c r="FE39" s="118">
        <v>0</v>
      </c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38">
        <f t="shared" si="5"/>
        <v>7</v>
      </c>
      <c r="FS39" s="166">
        <f t="shared" si="6"/>
        <v>0</v>
      </c>
      <c r="FT39" s="167">
        <f t="shared" si="7"/>
        <v>0</v>
      </c>
      <c r="FU39" s="142" t="s">
        <v>508</v>
      </c>
    </row>
    <row r="40" spans="1:177" x14ac:dyDescent="0.25">
      <c r="A40" s="121">
        <v>40315</v>
      </c>
      <c r="B40" s="121" t="s">
        <v>19</v>
      </c>
      <c r="C40" s="121" t="s">
        <v>131</v>
      </c>
      <c r="D40" s="121" t="s">
        <v>507</v>
      </c>
      <c r="E40" s="120">
        <v>1505</v>
      </c>
      <c r="F40" s="124"/>
      <c r="G40" s="118" t="s">
        <v>494</v>
      </c>
      <c r="H40" s="118">
        <v>0</v>
      </c>
      <c r="I40" s="118">
        <v>1</v>
      </c>
      <c r="J40" s="119">
        <v>6</v>
      </c>
      <c r="K40" s="118">
        <v>5</v>
      </c>
      <c r="L40" s="118">
        <v>2</v>
      </c>
      <c r="M40" s="118">
        <v>1</v>
      </c>
      <c r="N40" s="118">
        <v>1</v>
      </c>
      <c r="O40" s="118">
        <v>6</v>
      </c>
      <c r="P40" s="118">
        <v>0</v>
      </c>
      <c r="Q40" s="118">
        <v>0</v>
      </c>
      <c r="R40" s="118">
        <v>25</v>
      </c>
      <c r="S40" s="118"/>
      <c r="T40" s="118"/>
      <c r="U40" s="118">
        <v>0</v>
      </c>
      <c r="V40" s="138">
        <v>0</v>
      </c>
      <c r="W40" s="125">
        <v>0</v>
      </c>
      <c r="X40" s="118">
        <v>0</v>
      </c>
      <c r="Y40" s="118">
        <v>0</v>
      </c>
      <c r="Z40" s="118">
        <v>0</v>
      </c>
      <c r="AA40" s="118">
        <v>0</v>
      </c>
      <c r="AB40" s="119">
        <v>1</v>
      </c>
      <c r="AC40" s="118">
        <v>2</v>
      </c>
      <c r="AD40" s="118">
        <v>0</v>
      </c>
      <c r="AE40" s="118">
        <v>0</v>
      </c>
      <c r="AF40" s="118">
        <v>0</v>
      </c>
      <c r="AG40" s="118">
        <v>2</v>
      </c>
      <c r="AH40" s="118">
        <v>0</v>
      </c>
      <c r="AI40" s="118">
        <v>0</v>
      </c>
      <c r="AJ40" s="118">
        <v>5</v>
      </c>
      <c r="AK40" s="118"/>
      <c r="AL40" s="138"/>
      <c r="AM40" s="125" t="s">
        <v>486</v>
      </c>
      <c r="AN40" s="118">
        <v>2</v>
      </c>
      <c r="AO40" s="118">
        <v>0</v>
      </c>
      <c r="AP40" s="118">
        <v>0</v>
      </c>
      <c r="AQ40" s="118">
        <v>0</v>
      </c>
      <c r="AR40" s="118">
        <v>1</v>
      </c>
      <c r="AS40" s="118">
        <v>0</v>
      </c>
      <c r="AT40" s="118">
        <v>0</v>
      </c>
      <c r="AU40" s="118">
        <v>0</v>
      </c>
      <c r="AV40" s="138">
        <v>0</v>
      </c>
      <c r="AW40" s="125" t="s">
        <v>485</v>
      </c>
      <c r="AX40" s="118">
        <v>3</v>
      </c>
      <c r="AY40" s="118">
        <v>0</v>
      </c>
      <c r="AZ40" s="118">
        <v>0</v>
      </c>
      <c r="BA40" s="118">
        <v>0</v>
      </c>
      <c r="BB40" s="118">
        <v>0</v>
      </c>
      <c r="BC40" s="118">
        <v>0</v>
      </c>
      <c r="BD40" s="118">
        <v>0</v>
      </c>
      <c r="BE40" s="118">
        <v>0</v>
      </c>
      <c r="BF40" s="138">
        <v>0</v>
      </c>
      <c r="BG40" s="125" t="s">
        <v>501</v>
      </c>
      <c r="BH40" s="118">
        <v>3</v>
      </c>
      <c r="BI40" s="118">
        <v>0</v>
      </c>
      <c r="BJ40" s="118">
        <v>0</v>
      </c>
      <c r="BK40" s="118">
        <v>0</v>
      </c>
      <c r="BL40" s="118">
        <v>0</v>
      </c>
      <c r="BM40" s="118">
        <v>0</v>
      </c>
      <c r="BN40" s="118">
        <v>0</v>
      </c>
      <c r="BO40" s="118">
        <v>0</v>
      </c>
      <c r="BP40" s="138">
        <v>0</v>
      </c>
      <c r="BQ40" s="125" t="s">
        <v>496</v>
      </c>
      <c r="BR40" s="118">
        <v>3</v>
      </c>
      <c r="BS40" s="118">
        <v>0</v>
      </c>
      <c r="BT40" s="118">
        <v>1</v>
      </c>
      <c r="BU40" s="118">
        <v>0</v>
      </c>
      <c r="BV40" s="118">
        <v>0</v>
      </c>
      <c r="BW40" s="118">
        <v>0</v>
      </c>
      <c r="BX40" s="118">
        <v>0</v>
      </c>
      <c r="BY40" s="118">
        <v>0</v>
      </c>
      <c r="BZ40" s="138">
        <v>1</v>
      </c>
      <c r="CA40" s="125" t="s">
        <v>484</v>
      </c>
      <c r="CB40" s="118">
        <v>3</v>
      </c>
      <c r="CC40" s="118">
        <v>0</v>
      </c>
      <c r="CD40" s="118">
        <v>1</v>
      </c>
      <c r="CE40" s="118">
        <v>0</v>
      </c>
      <c r="CF40" s="118">
        <v>0</v>
      </c>
      <c r="CG40" s="118">
        <v>0</v>
      </c>
      <c r="CH40" s="118">
        <v>0</v>
      </c>
      <c r="CI40" s="118">
        <v>0</v>
      </c>
      <c r="CJ40" s="138">
        <v>1</v>
      </c>
      <c r="CK40" s="125" t="s">
        <v>481</v>
      </c>
      <c r="CL40" s="118">
        <v>2</v>
      </c>
      <c r="CM40" s="118">
        <v>0</v>
      </c>
      <c r="CN40" s="118">
        <v>0</v>
      </c>
      <c r="CO40" s="118">
        <v>0</v>
      </c>
      <c r="CP40" s="118">
        <v>0</v>
      </c>
      <c r="CQ40" s="118">
        <v>0</v>
      </c>
      <c r="CR40" s="118">
        <v>1</v>
      </c>
      <c r="CS40" s="118">
        <v>0</v>
      </c>
      <c r="CT40" s="138">
        <v>0</v>
      </c>
      <c r="CU40" s="125" t="s">
        <v>489</v>
      </c>
      <c r="CV40" s="118">
        <v>3</v>
      </c>
      <c r="CW40" s="118">
        <v>0</v>
      </c>
      <c r="CX40" s="118">
        <v>1</v>
      </c>
      <c r="CY40" s="118">
        <v>0</v>
      </c>
      <c r="CZ40" s="118">
        <v>0</v>
      </c>
      <c r="DA40" s="118">
        <v>0</v>
      </c>
      <c r="DB40" s="118">
        <v>0</v>
      </c>
      <c r="DC40" s="118">
        <v>0</v>
      </c>
      <c r="DD40" s="138">
        <v>1</v>
      </c>
      <c r="DE40" s="125" t="s">
        <v>480</v>
      </c>
      <c r="DF40" s="118">
        <v>2</v>
      </c>
      <c r="DG40" s="118">
        <v>0</v>
      </c>
      <c r="DH40" s="118">
        <v>1</v>
      </c>
      <c r="DI40" s="118">
        <v>0</v>
      </c>
      <c r="DJ40" s="118">
        <v>0</v>
      </c>
      <c r="DK40" s="118">
        <v>0</v>
      </c>
      <c r="DL40" s="118">
        <v>0</v>
      </c>
      <c r="DM40" s="118">
        <v>0</v>
      </c>
      <c r="DN40" s="138">
        <v>2</v>
      </c>
      <c r="DO40" s="125" t="s">
        <v>479</v>
      </c>
      <c r="DP40" s="118">
        <v>1</v>
      </c>
      <c r="DQ40" s="118">
        <v>0</v>
      </c>
      <c r="DR40" s="118">
        <v>0</v>
      </c>
      <c r="DS40" s="118">
        <v>0</v>
      </c>
      <c r="DT40" s="118">
        <v>1</v>
      </c>
      <c r="DU40" s="118">
        <v>0</v>
      </c>
      <c r="DV40" s="118">
        <v>0</v>
      </c>
      <c r="DW40" s="118">
        <v>0</v>
      </c>
      <c r="DX40" s="138">
        <v>0</v>
      </c>
      <c r="DY40" s="140">
        <v>0</v>
      </c>
      <c r="DZ40" s="118">
        <v>0</v>
      </c>
      <c r="EA40" s="118">
        <v>0</v>
      </c>
      <c r="EB40" s="119">
        <v>7</v>
      </c>
      <c r="EC40" s="118">
        <v>0</v>
      </c>
      <c r="ED40" s="138">
        <v>0</v>
      </c>
      <c r="EE40" s="125">
        <v>0</v>
      </c>
      <c r="EF40" s="118">
        <v>0</v>
      </c>
      <c r="EG40" s="118">
        <v>0</v>
      </c>
      <c r="EH40" s="118">
        <v>0</v>
      </c>
      <c r="EI40" s="118">
        <v>0</v>
      </c>
      <c r="EJ40" s="118">
        <v>0</v>
      </c>
      <c r="EK40" s="118">
        <v>0</v>
      </c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38">
        <f t="shared" si="4"/>
        <v>0</v>
      </c>
      <c r="EY40" s="125">
        <v>0</v>
      </c>
      <c r="EZ40" s="118">
        <v>1</v>
      </c>
      <c r="FA40" s="118">
        <v>0</v>
      </c>
      <c r="FB40" s="118">
        <v>0</v>
      </c>
      <c r="FC40" s="118">
        <v>1</v>
      </c>
      <c r="FD40" s="118">
        <v>0</v>
      </c>
      <c r="FE40" s="118">
        <v>0</v>
      </c>
      <c r="FF40" s="118"/>
      <c r="FG40" s="118"/>
      <c r="FH40" s="118"/>
      <c r="FI40" s="118"/>
      <c r="FJ40" s="118"/>
      <c r="FK40" s="118"/>
      <c r="FL40" s="118"/>
      <c r="FM40" s="118"/>
      <c r="FN40" s="118"/>
      <c r="FO40" s="118"/>
      <c r="FP40" s="118"/>
      <c r="FQ40" s="118"/>
      <c r="FR40" s="138">
        <f t="shared" si="5"/>
        <v>2</v>
      </c>
      <c r="FS40" s="166">
        <f t="shared" si="6"/>
        <v>0</v>
      </c>
      <c r="FT40" s="167">
        <f t="shared" si="7"/>
        <v>0</v>
      </c>
      <c r="FU40" s="142" t="s">
        <v>378</v>
      </c>
    </row>
    <row r="41" spans="1:177" x14ac:dyDescent="0.25">
      <c r="A41" s="121">
        <v>40316</v>
      </c>
      <c r="B41" s="121" t="s">
        <v>19</v>
      </c>
      <c r="C41" s="121" t="s">
        <v>129</v>
      </c>
      <c r="D41" s="121" t="s">
        <v>507</v>
      </c>
      <c r="E41" s="120">
        <v>1679</v>
      </c>
      <c r="F41" s="124">
        <v>2</v>
      </c>
      <c r="G41" s="118" t="s">
        <v>498</v>
      </c>
      <c r="H41" s="118">
        <v>0</v>
      </c>
      <c r="I41" s="118">
        <v>0</v>
      </c>
      <c r="J41" s="119">
        <f>3+2/3</f>
        <v>3.6666666666666665</v>
      </c>
      <c r="K41" s="118">
        <v>4</v>
      </c>
      <c r="L41" s="118">
        <v>3</v>
      </c>
      <c r="M41" s="118">
        <v>3</v>
      </c>
      <c r="N41" s="118">
        <v>4</v>
      </c>
      <c r="O41" s="118">
        <v>3</v>
      </c>
      <c r="P41" s="118">
        <v>0</v>
      </c>
      <c r="Q41" s="118">
        <v>0</v>
      </c>
      <c r="R41" s="118">
        <v>20</v>
      </c>
      <c r="S41" s="118"/>
      <c r="T41" s="118"/>
      <c r="U41" s="118">
        <v>2</v>
      </c>
      <c r="V41" s="138">
        <v>0</v>
      </c>
      <c r="W41" s="125">
        <v>1</v>
      </c>
      <c r="X41" s="118">
        <v>0</v>
      </c>
      <c r="Y41" s="118">
        <v>1</v>
      </c>
      <c r="Z41" s="118">
        <v>1</v>
      </c>
      <c r="AA41" s="118">
        <v>0</v>
      </c>
      <c r="AB41" s="119">
        <f>5+1/3</f>
        <v>5.333333333333333</v>
      </c>
      <c r="AC41" s="118">
        <v>2</v>
      </c>
      <c r="AD41" s="118">
        <v>0</v>
      </c>
      <c r="AE41" s="118">
        <v>0</v>
      </c>
      <c r="AF41" s="118">
        <v>1</v>
      </c>
      <c r="AG41" s="118">
        <v>11</v>
      </c>
      <c r="AH41" s="118">
        <v>0</v>
      </c>
      <c r="AI41" s="118">
        <v>0</v>
      </c>
      <c r="AJ41" s="118">
        <v>18</v>
      </c>
      <c r="AK41" s="118"/>
      <c r="AL41" s="138"/>
      <c r="AM41" s="125" t="s">
        <v>486</v>
      </c>
      <c r="AN41" s="118">
        <v>3</v>
      </c>
      <c r="AO41" s="118">
        <v>0</v>
      </c>
      <c r="AP41" s="118">
        <v>0</v>
      </c>
      <c r="AQ41" s="118">
        <v>0</v>
      </c>
      <c r="AR41" s="118">
        <v>1</v>
      </c>
      <c r="AS41" s="118">
        <v>1</v>
      </c>
      <c r="AT41" s="118">
        <v>0</v>
      </c>
      <c r="AU41" s="118">
        <v>0</v>
      </c>
      <c r="AV41" s="138">
        <v>0</v>
      </c>
      <c r="AW41" s="125" t="s">
        <v>491</v>
      </c>
      <c r="AX41" s="118">
        <v>4</v>
      </c>
      <c r="AY41" s="118">
        <v>0</v>
      </c>
      <c r="AZ41" s="118">
        <v>0</v>
      </c>
      <c r="BA41" s="118">
        <v>0</v>
      </c>
      <c r="BB41" s="118">
        <v>0</v>
      </c>
      <c r="BC41" s="118">
        <v>2</v>
      </c>
      <c r="BD41" s="118">
        <v>0</v>
      </c>
      <c r="BE41" s="118">
        <v>0</v>
      </c>
      <c r="BF41" s="138">
        <v>0</v>
      </c>
      <c r="BG41" s="125" t="s">
        <v>387</v>
      </c>
      <c r="BH41" s="118">
        <v>2</v>
      </c>
      <c r="BI41" s="118">
        <v>1</v>
      </c>
      <c r="BJ41" s="118">
        <v>1</v>
      </c>
      <c r="BK41" s="118">
        <v>1</v>
      </c>
      <c r="BL41" s="118">
        <v>2</v>
      </c>
      <c r="BM41" s="118">
        <v>0</v>
      </c>
      <c r="BN41" s="118">
        <v>0</v>
      </c>
      <c r="BO41" s="118">
        <v>0</v>
      </c>
      <c r="BP41" s="138">
        <v>2</v>
      </c>
      <c r="BQ41" s="125" t="s">
        <v>496</v>
      </c>
      <c r="BR41" s="118">
        <v>4</v>
      </c>
      <c r="BS41" s="118">
        <v>0</v>
      </c>
      <c r="BT41" s="118">
        <v>0</v>
      </c>
      <c r="BU41" s="118">
        <v>0</v>
      </c>
      <c r="BV41" s="118">
        <v>0</v>
      </c>
      <c r="BW41" s="118">
        <v>1</v>
      </c>
      <c r="BX41" s="118">
        <v>0</v>
      </c>
      <c r="BY41" s="118">
        <v>0</v>
      </c>
      <c r="BZ41" s="138">
        <v>0</v>
      </c>
      <c r="CA41" s="125" t="s">
        <v>484</v>
      </c>
      <c r="CB41" s="118">
        <v>3</v>
      </c>
      <c r="CC41" s="118">
        <v>1</v>
      </c>
      <c r="CD41" s="118">
        <v>1</v>
      </c>
      <c r="CE41" s="118">
        <v>1</v>
      </c>
      <c r="CF41" s="118">
        <v>0</v>
      </c>
      <c r="CG41" s="118">
        <v>0</v>
      </c>
      <c r="CH41" s="118">
        <v>0</v>
      </c>
      <c r="CI41" s="118">
        <v>1</v>
      </c>
      <c r="CJ41" s="138">
        <v>1</v>
      </c>
      <c r="CK41" s="125" t="s">
        <v>367</v>
      </c>
      <c r="CL41" s="118">
        <v>4</v>
      </c>
      <c r="CM41" s="118">
        <v>1</v>
      </c>
      <c r="CN41" s="118">
        <v>1</v>
      </c>
      <c r="CO41" s="118">
        <v>0</v>
      </c>
      <c r="CP41" s="118">
        <v>0</v>
      </c>
      <c r="CQ41" s="118">
        <v>0</v>
      </c>
      <c r="CR41" s="118">
        <v>0</v>
      </c>
      <c r="CS41" s="118">
        <v>0</v>
      </c>
      <c r="CT41" s="138">
        <v>2</v>
      </c>
      <c r="CU41" s="125" t="s">
        <v>489</v>
      </c>
      <c r="CV41" s="118">
        <v>3</v>
      </c>
      <c r="CW41" s="118">
        <v>2</v>
      </c>
      <c r="CX41" s="118">
        <v>1</v>
      </c>
      <c r="CY41" s="118">
        <v>1</v>
      </c>
      <c r="CZ41" s="118">
        <v>1</v>
      </c>
      <c r="DA41" s="118">
        <v>0</v>
      </c>
      <c r="DB41" s="118">
        <v>0</v>
      </c>
      <c r="DC41" s="118">
        <v>0</v>
      </c>
      <c r="DD41" s="138">
        <v>1</v>
      </c>
      <c r="DE41" s="125" t="s">
        <v>482</v>
      </c>
      <c r="DF41" s="118">
        <v>2</v>
      </c>
      <c r="DG41" s="118">
        <v>0</v>
      </c>
      <c r="DH41" s="118">
        <v>1</v>
      </c>
      <c r="DI41" s="118">
        <v>2</v>
      </c>
      <c r="DJ41" s="118">
        <v>1</v>
      </c>
      <c r="DK41" s="118">
        <v>0</v>
      </c>
      <c r="DL41" s="118">
        <v>0</v>
      </c>
      <c r="DM41" s="118">
        <v>1</v>
      </c>
      <c r="DN41" s="138">
        <v>2</v>
      </c>
      <c r="DO41" s="125" t="s">
        <v>479</v>
      </c>
      <c r="DP41" s="118">
        <v>4</v>
      </c>
      <c r="DQ41" s="118">
        <v>0</v>
      </c>
      <c r="DR41" s="118">
        <v>0</v>
      </c>
      <c r="DS41" s="118">
        <v>0</v>
      </c>
      <c r="DT41" s="118">
        <v>0</v>
      </c>
      <c r="DU41" s="118">
        <v>2</v>
      </c>
      <c r="DV41" s="118">
        <v>0</v>
      </c>
      <c r="DW41" s="118">
        <v>0</v>
      </c>
      <c r="DX41" s="138">
        <v>0</v>
      </c>
      <c r="DY41" s="140">
        <v>0</v>
      </c>
      <c r="DZ41" s="118">
        <v>0</v>
      </c>
      <c r="EA41" s="118">
        <v>0</v>
      </c>
      <c r="EB41" s="119">
        <v>8</v>
      </c>
      <c r="EC41" s="118">
        <v>0</v>
      </c>
      <c r="ED41" s="138">
        <v>0</v>
      </c>
      <c r="EE41" s="125">
        <v>0</v>
      </c>
      <c r="EF41" s="118">
        <v>2</v>
      </c>
      <c r="EG41" s="118">
        <v>1</v>
      </c>
      <c r="EH41" s="118">
        <v>1</v>
      </c>
      <c r="EI41" s="118">
        <v>1</v>
      </c>
      <c r="EJ41" s="118">
        <v>0</v>
      </c>
      <c r="EK41" s="118">
        <v>0</v>
      </c>
      <c r="EL41" s="118">
        <v>0</v>
      </c>
      <c r="EM41" s="118"/>
      <c r="EN41" s="118"/>
      <c r="EO41" s="118"/>
      <c r="EP41" s="118"/>
      <c r="EQ41" s="118"/>
      <c r="ER41" s="118"/>
      <c r="ES41" s="118"/>
      <c r="ET41" s="118"/>
      <c r="EU41" s="118"/>
      <c r="EV41" s="118"/>
      <c r="EW41" s="118"/>
      <c r="EX41" s="138">
        <f t="shared" si="4"/>
        <v>5</v>
      </c>
      <c r="EY41" s="125">
        <v>0</v>
      </c>
      <c r="EZ41" s="118">
        <v>1</v>
      </c>
      <c r="FA41" s="118">
        <v>0</v>
      </c>
      <c r="FB41" s="118">
        <v>2</v>
      </c>
      <c r="FC41" s="118">
        <v>0</v>
      </c>
      <c r="FD41" s="118">
        <v>0</v>
      </c>
      <c r="FE41" s="118">
        <v>0</v>
      </c>
      <c r="FF41" s="118">
        <v>0</v>
      </c>
      <c r="FG41" s="118">
        <v>0</v>
      </c>
      <c r="FH41" s="118"/>
      <c r="FI41" s="118"/>
      <c r="FJ41" s="118"/>
      <c r="FK41" s="118"/>
      <c r="FL41" s="118"/>
      <c r="FM41" s="118"/>
      <c r="FN41" s="118"/>
      <c r="FO41" s="118"/>
      <c r="FP41" s="118"/>
      <c r="FQ41" s="118"/>
      <c r="FR41" s="138">
        <f t="shared" si="5"/>
        <v>3</v>
      </c>
      <c r="FS41" s="166">
        <f t="shared" si="6"/>
        <v>0</v>
      </c>
      <c r="FT41" s="167">
        <f t="shared" si="7"/>
        <v>0</v>
      </c>
      <c r="FU41" s="142"/>
    </row>
    <row r="42" spans="1:177" x14ac:dyDescent="0.25">
      <c r="A42" s="121">
        <v>40317</v>
      </c>
      <c r="B42" s="121" t="s">
        <v>19</v>
      </c>
      <c r="C42" s="121" t="s">
        <v>129</v>
      </c>
      <c r="D42" s="121" t="s">
        <v>507</v>
      </c>
      <c r="E42" s="120">
        <v>1361</v>
      </c>
      <c r="F42" s="124">
        <v>3</v>
      </c>
      <c r="G42" s="118" t="s">
        <v>490</v>
      </c>
      <c r="H42" s="118">
        <v>1</v>
      </c>
      <c r="I42" s="118">
        <v>0</v>
      </c>
      <c r="J42" s="119">
        <f>6+1/3</f>
        <v>6.333333333333333</v>
      </c>
      <c r="K42" s="118">
        <v>6</v>
      </c>
      <c r="L42" s="118">
        <v>3</v>
      </c>
      <c r="M42" s="118">
        <v>3</v>
      </c>
      <c r="N42" s="118">
        <v>0</v>
      </c>
      <c r="O42" s="118">
        <v>5</v>
      </c>
      <c r="P42" s="118">
        <v>1</v>
      </c>
      <c r="Q42" s="118">
        <v>1</v>
      </c>
      <c r="R42" s="118">
        <v>25</v>
      </c>
      <c r="S42" s="118"/>
      <c r="T42" s="118"/>
      <c r="U42" s="118">
        <v>2</v>
      </c>
      <c r="V42" s="138">
        <v>0</v>
      </c>
      <c r="W42" s="125">
        <v>0</v>
      </c>
      <c r="X42" s="118">
        <v>0</v>
      </c>
      <c r="Y42" s="118">
        <v>1</v>
      </c>
      <c r="Z42" s="118">
        <v>0</v>
      </c>
      <c r="AA42" s="118">
        <v>0</v>
      </c>
      <c r="AB42" s="119">
        <f>2+2/3</f>
        <v>2.6666666666666665</v>
      </c>
      <c r="AC42" s="118">
        <v>1</v>
      </c>
      <c r="AD42" s="118">
        <v>0</v>
      </c>
      <c r="AE42" s="118">
        <v>0</v>
      </c>
      <c r="AF42" s="118">
        <v>1</v>
      </c>
      <c r="AG42" s="118">
        <v>4</v>
      </c>
      <c r="AH42" s="118">
        <v>0</v>
      </c>
      <c r="AI42" s="118">
        <v>0</v>
      </c>
      <c r="AJ42" s="118">
        <v>10</v>
      </c>
      <c r="AK42" s="118"/>
      <c r="AL42" s="138"/>
      <c r="AM42" s="125" t="s">
        <v>482</v>
      </c>
      <c r="AN42" s="118">
        <v>4</v>
      </c>
      <c r="AO42" s="118">
        <v>2</v>
      </c>
      <c r="AP42" s="118">
        <v>2</v>
      </c>
      <c r="AQ42" s="118">
        <v>2</v>
      </c>
      <c r="AR42" s="118">
        <v>1</v>
      </c>
      <c r="AS42" s="118">
        <v>1</v>
      </c>
      <c r="AT42" s="118">
        <v>0</v>
      </c>
      <c r="AU42" s="118">
        <v>0</v>
      </c>
      <c r="AV42" s="138">
        <v>4</v>
      </c>
      <c r="AW42" s="125" t="s">
        <v>485</v>
      </c>
      <c r="AX42" s="118">
        <v>5</v>
      </c>
      <c r="AY42" s="118">
        <v>1</v>
      </c>
      <c r="AZ42" s="118">
        <v>2</v>
      </c>
      <c r="BA42" s="118">
        <v>2</v>
      </c>
      <c r="BB42" s="118">
        <v>0</v>
      </c>
      <c r="BC42" s="118">
        <v>1</v>
      </c>
      <c r="BD42" s="118">
        <v>0</v>
      </c>
      <c r="BE42" s="118">
        <v>0</v>
      </c>
      <c r="BF42" s="138">
        <v>7</v>
      </c>
      <c r="BG42" s="125" t="s">
        <v>501</v>
      </c>
      <c r="BH42" s="118">
        <v>3</v>
      </c>
      <c r="BI42" s="118">
        <v>0</v>
      </c>
      <c r="BJ42" s="118">
        <v>0</v>
      </c>
      <c r="BK42" s="118">
        <v>0</v>
      </c>
      <c r="BL42" s="118">
        <v>1</v>
      </c>
      <c r="BM42" s="118">
        <v>0</v>
      </c>
      <c r="BN42" s="118">
        <v>0</v>
      </c>
      <c r="BO42" s="118">
        <v>0</v>
      </c>
      <c r="BP42" s="138">
        <v>0</v>
      </c>
      <c r="BQ42" s="125" t="s">
        <v>496</v>
      </c>
      <c r="BR42" s="118">
        <v>4</v>
      </c>
      <c r="BS42" s="118">
        <v>1</v>
      </c>
      <c r="BT42" s="118">
        <v>1</v>
      </c>
      <c r="BU42" s="118">
        <v>1</v>
      </c>
      <c r="BV42" s="118">
        <v>0</v>
      </c>
      <c r="BW42" s="118">
        <v>1</v>
      </c>
      <c r="BX42" s="118">
        <v>0</v>
      </c>
      <c r="BY42" s="118">
        <v>0</v>
      </c>
      <c r="BZ42" s="138">
        <v>1</v>
      </c>
      <c r="CA42" s="125" t="s">
        <v>484</v>
      </c>
      <c r="CB42" s="118">
        <v>4</v>
      </c>
      <c r="CC42" s="118">
        <v>0</v>
      </c>
      <c r="CD42" s="118">
        <v>2</v>
      </c>
      <c r="CE42" s="118">
        <v>0</v>
      </c>
      <c r="CF42" s="118">
        <v>0</v>
      </c>
      <c r="CG42" s="118">
        <v>1</v>
      </c>
      <c r="CH42" s="118">
        <v>0</v>
      </c>
      <c r="CI42" s="118">
        <v>0</v>
      </c>
      <c r="CJ42" s="138">
        <v>2</v>
      </c>
      <c r="CK42" s="125" t="s">
        <v>367</v>
      </c>
      <c r="CL42" s="118">
        <v>4</v>
      </c>
      <c r="CM42" s="118">
        <v>0</v>
      </c>
      <c r="CN42" s="118">
        <v>1</v>
      </c>
      <c r="CO42" s="118">
        <v>1</v>
      </c>
      <c r="CP42" s="118">
        <v>0</v>
      </c>
      <c r="CQ42" s="118">
        <v>1</v>
      </c>
      <c r="CR42" s="118">
        <v>0</v>
      </c>
      <c r="CS42" s="118">
        <v>0</v>
      </c>
      <c r="CT42" s="138">
        <v>1</v>
      </c>
      <c r="CU42" s="125" t="s">
        <v>481</v>
      </c>
      <c r="CV42" s="118">
        <v>3</v>
      </c>
      <c r="CW42" s="118">
        <v>1</v>
      </c>
      <c r="CX42" s="118">
        <v>0</v>
      </c>
      <c r="CY42" s="118">
        <v>0</v>
      </c>
      <c r="CZ42" s="118">
        <v>0</v>
      </c>
      <c r="DA42" s="118">
        <v>0</v>
      </c>
      <c r="DB42" s="118">
        <v>1</v>
      </c>
      <c r="DC42" s="118">
        <v>0</v>
      </c>
      <c r="DD42" s="138">
        <v>0</v>
      </c>
      <c r="DE42" s="125" t="s">
        <v>491</v>
      </c>
      <c r="DF42" s="118">
        <v>4</v>
      </c>
      <c r="DG42" s="118">
        <v>2</v>
      </c>
      <c r="DH42" s="118">
        <v>2</v>
      </c>
      <c r="DI42" s="118">
        <v>1</v>
      </c>
      <c r="DJ42" s="118">
        <v>0</v>
      </c>
      <c r="DK42" s="118">
        <v>2</v>
      </c>
      <c r="DL42" s="118">
        <v>0</v>
      </c>
      <c r="DM42" s="118">
        <v>0</v>
      </c>
      <c r="DN42" s="138">
        <v>6</v>
      </c>
      <c r="DO42" s="125" t="s">
        <v>479</v>
      </c>
      <c r="DP42" s="118">
        <v>4</v>
      </c>
      <c r="DQ42" s="118">
        <v>1</v>
      </c>
      <c r="DR42" s="118">
        <v>1</v>
      </c>
      <c r="DS42" s="118">
        <v>1</v>
      </c>
      <c r="DT42" s="118">
        <v>0</v>
      </c>
      <c r="DU42" s="118">
        <v>0</v>
      </c>
      <c r="DV42" s="118">
        <v>0</v>
      </c>
      <c r="DW42" s="118">
        <v>0</v>
      </c>
      <c r="DX42" s="138">
        <v>4</v>
      </c>
      <c r="DY42" s="140">
        <v>0</v>
      </c>
      <c r="DZ42" s="118">
        <v>0</v>
      </c>
      <c r="EA42" s="118">
        <v>0</v>
      </c>
      <c r="EB42" s="119">
        <v>8</v>
      </c>
      <c r="EC42" s="118">
        <v>0</v>
      </c>
      <c r="ED42" s="138">
        <v>0</v>
      </c>
      <c r="EE42" s="125">
        <v>2</v>
      </c>
      <c r="EF42" s="118">
        <v>0</v>
      </c>
      <c r="EG42" s="118">
        <v>0</v>
      </c>
      <c r="EH42" s="118">
        <v>1</v>
      </c>
      <c r="EI42" s="118">
        <v>1</v>
      </c>
      <c r="EJ42" s="118">
        <v>3</v>
      </c>
      <c r="EK42" s="118">
        <v>0</v>
      </c>
      <c r="EL42" s="118">
        <v>1</v>
      </c>
      <c r="EM42" s="118"/>
      <c r="EN42" s="118"/>
      <c r="EO42" s="118"/>
      <c r="EP42" s="118"/>
      <c r="EQ42" s="118"/>
      <c r="ER42" s="118"/>
      <c r="ES42" s="118"/>
      <c r="ET42" s="118"/>
      <c r="EU42" s="118"/>
      <c r="EV42" s="118"/>
      <c r="EW42" s="118"/>
      <c r="EX42" s="138">
        <f t="shared" si="4"/>
        <v>8</v>
      </c>
      <c r="EY42" s="125">
        <v>0</v>
      </c>
      <c r="EZ42" s="118">
        <v>1</v>
      </c>
      <c r="FA42" s="118">
        <v>1</v>
      </c>
      <c r="FB42" s="118">
        <v>0</v>
      </c>
      <c r="FC42" s="118">
        <v>0</v>
      </c>
      <c r="FD42" s="118">
        <v>1</v>
      </c>
      <c r="FE42" s="118">
        <v>0</v>
      </c>
      <c r="FF42" s="118">
        <v>0</v>
      </c>
      <c r="FG42" s="118">
        <v>0</v>
      </c>
      <c r="FH42" s="118"/>
      <c r="FI42" s="118"/>
      <c r="FJ42" s="118"/>
      <c r="FK42" s="118"/>
      <c r="FL42" s="118"/>
      <c r="FM42" s="118"/>
      <c r="FN42" s="118"/>
      <c r="FO42" s="118"/>
      <c r="FP42" s="118"/>
      <c r="FQ42" s="118"/>
      <c r="FR42" s="138">
        <f t="shared" si="5"/>
        <v>3</v>
      </c>
      <c r="FS42" s="166">
        <f t="shared" si="6"/>
        <v>0</v>
      </c>
      <c r="FT42" s="167">
        <f t="shared" si="7"/>
        <v>0</v>
      </c>
      <c r="FU42" s="142"/>
    </row>
    <row r="43" spans="1:177" x14ac:dyDescent="0.25">
      <c r="A43" s="121">
        <v>40318</v>
      </c>
      <c r="B43" s="121" t="s">
        <v>19</v>
      </c>
      <c r="C43" s="121" t="s">
        <v>129</v>
      </c>
      <c r="D43" s="121" t="s">
        <v>506</v>
      </c>
      <c r="E43" s="120">
        <v>2078</v>
      </c>
      <c r="F43" s="124">
        <v>4</v>
      </c>
      <c r="G43" s="118" t="s">
        <v>487</v>
      </c>
      <c r="H43" s="118">
        <v>0</v>
      </c>
      <c r="I43" s="118">
        <v>0</v>
      </c>
      <c r="J43" s="119">
        <f>3+1/3</f>
        <v>3.3333333333333335</v>
      </c>
      <c r="K43" s="118">
        <v>9</v>
      </c>
      <c r="L43" s="118">
        <v>7</v>
      </c>
      <c r="M43" s="118">
        <v>5</v>
      </c>
      <c r="N43" s="118">
        <v>1</v>
      </c>
      <c r="O43" s="118">
        <v>2</v>
      </c>
      <c r="P43" s="118">
        <v>2</v>
      </c>
      <c r="Q43" s="118">
        <v>2</v>
      </c>
      <c r="R43" s="118">
        <v>22</v>
      </c>
      <c r="S43" s="118"/>
      <c r="T43" s="118"/>
      <c r="U43" s="118">
        <v>3</v>
      </c>
      <c r="V43" s="138">
        <v>1</v>
      </c>
      <c r="W43" s="125">
        <v>1</v>
      </c>
      <c r="X43" s="118">
        <v>0</v>
      </c>
      <c r="Y43" s="118">
        <v>1</v>
      </c>
      <c r="Z43" s="118">
        <v>1</v>
      </c>
      <c r="AA43" s="118">
        <v>0</v>
      </c>
      <c r="AB43" s="119">
        <f>5+2/3</f>
        <v>5.666666666666667</v>
      </c>
      <c r="AC43" s="118">
        <v>3</v>
      </c>
      <c r="AD43" s="118">
        <v>1</v>
      </c>
      <c r="AE43" s="118">
        <v>1</v>
      </c>
      <c r="AF43" s="118">
        <v>2</v>
      </c>
      <c r="AG43" s="118">
        <v>6</v>
      </c>
      <c r="AH43" s="118">
        <v>0</v>
      </c>
      <c r="AI43" s="118">
        <v>0</v>
      </c>
      <c r="AJ43" s="118">
        <v>22</v>
      </c>
      <c r="AK43" s="118"/>
      <c r="AL43" s="138"/>
      <c r="AM43" s="125" t="s">
        <v>482</v>
      </c>
      <c r="AN43" s="118">
        <v>4</v>
      </c>
      <c r="AO43" s="118">
        <v>1</v>
      </c>
      <c r="AP43" s="118">
        <v>1</v>
      </c>
      <c r="AQ43" s="118">
        <v>0</v>
      </c>
      <c r="AR43" s="118">
        <v>1</v>
      </c>
      <c r="AS43" s="118">
        <v>0</v>
      </c>
      <c r="AT43" s="118">
        <v>0</v>
      </c>
      <c r="AU43" s="118">
        <v>0</v>
      </c>
      <c r="AV43" s="138">
        <v>1</v>
      </c>
      <c r="AW43" s="125" t="s">
        <v>485</v>
      </c>
      <c r="AX43" s="118">
        <v>5</v>
      </c>
      <c r="AY43" s="118">
        <v>2</v>
      </c>
      <c r="AZ43" s="118">
        <v>2</v>
      </c>
      <c r="BA43" s="118">
        <v>2</v>
      </c>
      <c r="BB43" s="118">
        <v>0</v>
      </c>
      <c r="BC43" s="118">
        <v>2</v>
      </c>
      <c r="BD43" s="118">
        <v>0</v>
      </c>
      <c r="BE43" s="118">
        <v>0</v>
      </c>
      <c r="BF43" s="138">
        <v>3</v>
      </c>
      <c r="BG43" s="125" t="s">
        <v>501</v>
      </c>
      <c r="BH43" s="118">
        <v>4</v>
      </c>
      <c r="BI43" s="118">
        <v>1</v>
      </c>
      <c r="BJ43" s="118">
        <v>0</v>
      </c>
      <c r="BK43" s="118">
        <v>1</v>
      </c>
      <c r="BL43" s="118">
        <v>1</v>
      </c>
      <c r="BM43" s="118">
        <v>0</v>
      </c>
      <c r="BN43" s="118">
        <v>0</v>
      </c>
      <c r="BO43" s="118">
        <v>0</v>
      </c>
      <c r="BP43" s="138">
        <v>0</v>
      </c>
      <c r="BQ43" s="125" t="s">
        <v>496</v>
      </c>
      <c r="BR43" s="118">
        <v>5</v>
      </c>
      <c r="BS43" s="118">
        <v>4</v>
      </c>
      <c r="BT43" s="118">
        <v>5</v>
      </c>
      <c r="BU43" s="118">
        <v>4</v>
      </c>
      <c r="BV43" s="118">
        <v>0</v>
      </c>
      <c r="BW43" s="118">
        <v>0</v>
      </c>
      <c r="BX43" s="118">
        <v>0</v>
      </c>
      <c r="BY43" s="118">
        <v>0</v>
      </c>
      <c r="BZ43" s="138">
        <v>10</v>
      </c>
      <c r="CA43" s="125" t="s">
        <v>387</v>
      </c>
      <c r="CB43" s="118">
        <v>5</v>
      </c>
      <c r="CC43" s="118">
        <v>1</v>
      </c>
      <c r="CD43" s="118">
        <v>2</v>
      </c>
      <c r="CE43" s="118">
        <v>2</v>
      </c>
      <c r="CF43" s="118">
        <v>0</v>
      </c>
      <c r="CG43" s="118">
        <v>1</v>
      </c>
      <c r="CH43" s="118">
        <v>0</v>
      </c>
      <c r="CI43" s="118">
        <v>0</v>
      </c>
      <c r="CJ43" s="138">
        <v>5</v>
      </c>
      <c r="CK43" s="125" t="s">
        <v>367</v>
      </c>
      <c r="CL43" s="118">
        <v>5</v>
      </c>
      <c r="CM43" s="118">
        <v>0</v>
      </c>
      <c r="CN43" s="118">
        <v>0</v>
      </c>
      <c r="CO43" s="118">
        <v>0</v>
      </c>
      <c r="CP43" s="118">
        <v>0</v>
      </c>
      <c r="CQ43" s="118">
        <v>3</v>
      </c>
      <c r="CR43" s="118">
        <v>0</v>
      </c>
      <c r="CS43" s="118">
        <v>0</v>
      </c>
      <c r="CT43" s="138">
        <v>0</v>
      </c>
      <c r="CU43" s="125" t="s">
        <v>481</v>
      </c>
      <c r="CV43" s="118">
        <v>4</v>
      </c>
      <c r="CW43" s="118">
        <v>1</v>
      </c>
      <c r="CX43" s="118">
        <v>2</v>
      </c>
      <c r="CY43" s="118">
        <v>1</v>
      </c>
      <c r="CZ43" s="118">
        <v>0</v>
      </c>
      <c r="DA43" s="118">
        <v>0</v>
      </c>
      <c r="DB43" s="118">
        <v>1</v>
      </c>
      <c r="DC43" s="118">
        <v>0</v>
      </c>
      <c r="DD43" s="138">
        <v>3</v>
      </c>
      <c r="DE43" s="125" t="s">
        <v>491</v>
      </c>
      <c r="DF43" s="118">
        <v>3</v>
      </c>
      <c r="DG43" s="118">
        <v>0</v>
      </c>
      <c r="DH43" s="118">
        <v>1</v>
      </c>
      <c r="DI43" s="118">
        <v>1</v>
      </c>
      <c r="DJ43" s="118">
        <v>2</v>
      </c>
      <c r="DK43" s="118">
        <v>2</v>
      </c>
      <c r="DL43" s="118">
        <v>0</v>
      </c>
      <c r="DM43" s="118">
        <v>0</v>
      </c>
      <c r="DN43" s="138">
        <v>1</v>
      </c>
      <c r="DO43" s="125" t="s">
        <v>479</v>
      </c>
      <c r="DP43" s="118">
        <v>5</v>
      </c>
      <c r="DQ43" s="118">
        <v>1</v>
      </c>
      <c r="DR43" s="118">
        <v>2</v>
      </c>
      <c r="DS43" s="118">
        <v>0</v>
      </c>
      <c r="DT43" s="118">
        <v>0</v>
      </c>
      <c r="DU43" s="118">
        <v>1</v>
      </c>
      <c r="DV43" s="118">
        <v>0</v>
      </c>
      <c r="DW43" s="118">
        <v>0</v>
      </c>
      <c r="DX43" s="138">
        <v>3</v>
      </c>
      <c r="DY43" s="140">
        <v>2</v>
      </c>
      <c r="DZ43" s="118">
        <v>0</v>
      </c>
      <c r="EA43" s="118">
        <v>0</v>
      </c>
      <c r="EB43" s="119">
        <v>6</v>
      </c>
      <c r="EC43" s="118">
        <v>1</v>
      </c>
      <c r="ED43" s="138">
        <v>0</v>
      </c>
      <c r="EE43" s="125">
        <v>1</v>
      </c>
      <c r="EF43" s="118">
        <v>6</v>
      </c>
      <c r="EG43" s="118">
        <v>0</v>
      </c>
      <c r="EH43" s="118">
        <v>1</v>
      </c>
      <c r="EI43" s="118">
        <v>2</v>
      </c>
      <c r="EJ43" s="118">
        <v>0</v>
      </c>
      <c r="EK43" s="118">
        <v>0</v>
      </c>
      <c r="EL43" s="118">
        <v>1</v>
      </c>
      <c r="EM43" s="118"/>
      <c r="EN43" s="118"/>
      <c r="EO43" s="118"/>
      <c r="EP43" s="118"/>
      <c r="EQ43" s="118"/>
      <c r="ER43" s="118"/>
      <c r="ES43" s="118"/>
      <c r="ET43" s="118"/>
      <c r="EU43" s="118"/>
      <c r="EV43" s="118"/>
      <c r="EW43" s="118"/>
      <c r="EX43" s="138">
        <f t="shared" si="4"/>
        <v>11</v>
      </c>
      <c r="EY43" s="125">
        <v>0</v>
      </c>
      <c r="EZ43" s="118">
        <v>3</v>
      </c>
      <c r="FA43" s="118">
        <v>2</v>
      </c>
      <c r="FB43" s="118">
        <v>2</v>
      </c>
      <c r="FC43" s="118">
        <v>0</v>
      </c>
      <c r="FD43" s="118">
        <v>1</v>
      </c>
      <c r="FE43" s="118">
        <v>0</v>
      </c>
      <c r="FF43" s="118">
        <v>0</v>
      </c>
      <c r="FG43" s="118">
        <v>0</v>
      </c>
      <c r="FH43" s="118"/>
      <c r="FI43" s="118"/>
      <c r="FJ43" s="118"/>
      <c r="FK43" s="118"/>
      <c r="FL43" s="118"/>
      <c r="FM43" s="118"/>
      <c r="FN43" s="118"/>
      <c r="FO43" s="118"/>
      <c r="FP43" s="118"/>
      <c r="FQ43" s="118"/>
      <c r="FR43" s="138">
        <f t="shared" si="5"/>
        <v>8</v>
      </c>
      <c r="FS43" s="166">
        <f t="shared" si="6"/>
        <v>0</v>
      </c>
      <c r="FT43" s="167">
        <f t="shared" si="7"/>
        <v>0</v>
      </c>
      <c r="FU43" s="142"/>
    </row>
    <row r="44" spans="1:177" x14ac:dyDescent="0.25">
      <c r="A44" s="121">
        <v>40319</v>
      </c>
      <c r="B44" s="121" t="s">
        <v>19</v>
      </c>
      <c r="C44" s="121" t="s">
        <v>129</v>
      </c>
      <c r="D44" s="121" t="s">
        <v>506</v>
      </c>
      <c r="E44" s="120">
        <v>3398</v>
      </c>
      <c r="F44" s="124">
        <v>5</v>
      </c>
      <c r="G44" s="118" t="s">
        <v>492</v>
      </c>
      <c r="H44" s="118">
        <v>1</v>
      </c>
      <c r="I44" s="118">
        <v>0</v>
      </c>
      <c r="J44" s="119">
        <f>5+1/3</f>
        <v>5.333333333333333</v>
      </c>
      <c r="K44" s="118">
        <v>9</v>
      </c>
      <c r="L44" s="118">
        <v>7</v>
      </c>
      <c r="M44" s="118">
        <v>6</v>
      </c>
      <c r="N44" s="118">
        <v>2</v>
      </c>
      <c r="O44" s="118">
        <v>2</v>
      </c>
      <c r="P44" s="118">
        <v>0</v>
      </c>
      <c r="Q44" s="118">
        <v>2</v>
      </c>
      <c r="R44" s="118">
        <v>28</v>
      </c>
      <c r="S44" s="118"/>
      <c r="T44" s="118"/>
      <c r="U44" s="118">
        <v>2</v>
      </c>
      <c r="V44" s="138">
        <v>0</v>
      </c>
      <c r="W44" s="125">
        <v>0</v>
      </c>
      <c r="X44" s="118">
        <v>0</v>
      </c>
      <c r="Y44" s="118">
        <v>1</v>
      </c>
      <c r="Z44" s="118">
        <v>1</v>
      </c>
      <c r="AA44" s="118">
        <v>0</v>
      </c>
      <c r="AB44" s="119">
        <f>3+2/3</f>
        <v>3.6666666666666665</v>
      </c>
      <c r="AC44" s="118">
        <v>2</v>
      </c>
      <c r="AD44" s="118">
        <v>2</v>
      </c>
      <c r="AE44" s="118">
        <v>2</v>
      </c>
      <c r="AF44" s="118">
        <v>2</v>
      </c>
      <c r="AG44" s="118">
        <v>5</v>
      </c>
      <c r="AH44" s="118">
        <v>0</v>
      </c>
      <c r="AI44" s="118">
        <v>0</v>
      </c>
      <c r="AJ44" s="118">
        <v>15</v>
      </c>
      <c r="AK44" s="118"/>
      <c r="AL44" s="138"/>
      <c r="AM44" s="125" t="s">
        <v>486</v>
      </c>
      <c r="AN44" s="118">
        <v>4</v>
      </c>
      <c r="AO44" s="118">
        <v>2</v>
      </c>
      <c r="AP44" s="118">
        <v>1</v>
      </c>
      <c r="AQ44" s="118">
        <v>0</v>
      </c>
      <c r="AR44" s="118">
        <v>0</v>
      </c>
      <c r="AS44" s="118">
        <v>0</v>
      </c>
      <c r="AT44" s="118">
        <v>0</v>
      </c>
      <c r="AU44" s="118">
        <v>0</v>
      </c>
      <c r="AV44" s="138">
        <v>1</v>
      </c>
      <c r="AW44" s="125" t="s">
        <v>485</v>
      </c>
      <c r="AX44" s="118">
        <v>5</v>
      </c>
      <c r="AY44" s="118">
        <v>3</v>
      </c>
      <c r="AZ44" s="118">
        <v>4</v>
      </c>
      <c r="BA44" s="118">
        <v>2</v>
      </c>
      <c r="BB44" s="118">
        <v>0</v>
      </c>
      <c r="BC44" s="118">
        <v>1</v>
      </c>
      <c r="BD44" s="118">
        <v>0</v>
      </c>
      <c r="BE44" s="118">
        <v>0</v>
      </c>
      <c r="BF44" s="138">
        <v>4</v>
      </c>
      <c r="BG44" s="125" t="s">
        <v>387</v>
      </c>
      <c r="BH44" s="118">
        <v>4</v>
      </c>
      <c r="BI44" s="118">
        <v>0</v>
      </c>
      <c r="BJ44" s="118">
        <v>0</v>
      </c>
      <c r="BK44" s="118">
        <v>1</v>
      </c>
      <c r="BL44" s="118">
        <v>0</v>
      </c>
      <c r="BM44" s="118">
        <v>2</v>
      </c>
      <c r="BN44" s="118">
        <v>0</v>
      </c>
      <c r="BO44" s="118">
        <v>1</v>
      </c>
      <c r="BP44" s="138">
        <v>0</v>
      </c>
      <c r="BQ44" s="125" t="s">
        <v>496</v>
      </c>
      <c r="BR44" s="118">
        <v>4</v>
      </c>
      <c r="BS44" s="118">
        <v>0</v>
      </c>
      <c r="BT44" s="118">
        <v>1</v>
      </c>
      <c r="BU44" s="118">
        <v>2</v>
      </c>
      <c r="BV44" s="118">
        <v>0</v>
      </c>
      <c r="BW44" s="118">
        <v>0</v>
      </c>
      <c r="BX44" s="118">
        <v>0</v>
      </c>
      <c r="BY44" s="118">
        <v>0</v>
      </c>
      <c r="BZ44" s="138">
        <v>1</v>
      </c>
      <c r="CA44" s="125" t="s">
        <v>501</v>
      </c>
      <c r="CB44" s="118">
        <v>4</v>
      </c>
      <c r="CC44" s="118">
        <v>1</v>
      </c>
      <c r="CD44" s="118">
        <v>2</v>
      </c>
      <c r="CE44" s="118">
        <v>3</v>
      </c>
      <c r="CF44" s="118">
        <v>0</v>
      </c>
      <c r="CG44" s="118">
        <v>0</v>
      </c>
      <c r="CH44" s="118">
        <v>0</v>
      </c>
      <c r="CI44" s="118">
        <v>0</v>
      </c>
      <c r="CJ44" s="138">
        <v>5</v>
      </c>
      <c r="CK44" s="125" t="s">
        <v>482</v>
      </c>
      <c r="CL44" s="118">
        <v>3</v>
      </c>
      <c r="CM44" s="118">
        <v>1</v>
      </c>
      <c r="CN44" s="118">
        <v>0</v>
      </c>
      <c r="CO44" s="118">
        <v>0</v>
      </c>
      <c r="CP44" s="118">
        <v>1</v>
      </c>
      <c r="CQ44" s="118">
        <v>1</v>
      </c>
      <c r="CR44" s="118">
        <v>0</v>
      </c>
      <c r="CS44" s="118">
        <v>0</v>
      </c>
      <c r="CT44" s="138">
        <v>0</v>
      </c>
      <c r="CU44" s="125" t="s">
        <v>483</v>
      </c>
      <c r="CV44" s="118">
        <v>4</v>
      </c>
      <c r="CW44" s="118">
        <v>1</v>
      </c>
      <c r="CX44" s="118">
        <v>1</v>
      </c>
      <c r="CY44" s="118">
        <v>0</v>
      </c>
      <c r="CZ44" s="118">
        <v>0</v>
      </c>
      <c r="DA44" s="118">
        <v>1</v>
      </c>
      <c r="DB44" s="118">
        <v>0</v>
      </c>
      <c r="DC44" s="118">
        <v>0</v>
      </c>
      <c r="DD44" s="138">
        <v>2</v>
      </c>
      <c r="DE44" s="125" t="s">
        <v>480</v>
      </c>
      <c r="DF44" s="118">
        <v>3</v>
      </c>
      <c r="DG44" s="118">
        <v>2</v>
      </c>
      <c r="DH44" s="118">
        <v>1</v>
      </c>
      <c r="DI44" s="118">
        <v>1</v>
      </c>
      <c r="DJ44" s="118">
        <v>1</v>
      </c>
      <c r="DK44" s="118">
        <v>1</v>
      </c>
      <c r="DL44" s="118">
        <v>0</v>
      </c>
      <c r="DM44" s="118">
        <v>0</v>
      </c>
      <c r="DN44" s="138">
        <v>2</v>
      </c>
      <c r="DO44" s="125" t="s">
        <v>479</v>
      </c>
      <c r="DP44" s="118">
        <v>4</v>
      </c>
      <c r="DQ44" s="118">
        <v>2</v>
      </c>
      <c r="DR44" s="118">
        <v>2</v>
      </c>
      <c r="DS44" s="118">
        <v>2</v>
      </c>
      <c r="DT44" s="118">
        <v>0</v>
      </c>
      <c r="DU44" s="118">
        <v>0</v>
      </c>
      <c r="DV44" s="118">
        <v>0</v>
      </c>
      <c r="DW44" s="118">
        <v>0</v>
      </c>
      <c r="DX44" s="138">
        <v>3</v>
      </c>
      <c r="DY44" s="140">
        <f>2+1/3</f>
        <v>2.3333333333333335</v>
      </c>
      <c r="DZ44" s="118">
        <v>1</v>
      </c>
      <c r="EA44" s="118">
        <v>0</v>
      </c>
      <c r="EB44" s="119">
        <f>5+2/3</f>
        <v>5.666666666666667</v>
      </c>
      <c r="EC44" s="118">
        <v>0</v>
      </c>
      <c r="ED44" s="138">
        <v>0</v>
      </c>
      <c r="EE44" s="125">
        <v>3</v>
      </c>
      <c r="EF44" s="118">
        <v>0</v>
      </c>
      <c r="EG44" s="118">
        <v>0</v>
      </c>
      <c r="EH44" s="118">
        <v>0</v>
      </c>
      <c r="EI44" s="118">
        <v>5</v>
      </c>
      <c r="EJ44" s="118">
        <v>0</v>
      </c>
      <c r="EK44" s="118">
        <v>1</v>
      </c>
      <c r="EL44" s="118">
        <v>3</v>
      </c>
      <c r="EM44" s="118"/>
      <c r="EN44" s="118"/>
      <c r="EO44" s="118"/>
      <c r="EP44" s="118"/>
      <c r="EQ44" s="118"/>
      <c r="ER44" s="118"/>
      <c r="ES44" s="118"/>
      <c r="ET44" s="118"/>
      <c r="EU44" s="118"/>
      <c r="EV44" s="118"/>
      <c r="EW44" s="118"/>
      <c r="EX44" s="138">
        <f t="shared" si="4"/>
        <v>12</v>
      </c>
      <c r="EY44" s="125">
        <v>5</v>
      </c>
      <c r="EZ44" s="118">
        <v>1</v>
      </c>
      <c r="FA44" s="118">
        <v>0</v>
      </c>
      <c r="FB44" s="118">
        <v>0</v>
      </c>
      <c r="FC44" s="118">
        <v>0</v>
      </c>
      <c r="FD44" s="118">
        <v>1</v>
      </c>
      <c r="FE44" s="118">
        <v>0</v>
      </c>
      <c r="FF44" s="118">
        <v>0</v>
      </c>
      <c r="FG44" s="118">
        <v>2</v>
      </c>
      <c r="FH44" s="118"/>
      <c r="FI44" s="118"/>
      <c r="FJ44" s="118"/>
      <c r="FK44" s="118"/>
      <c r="FL44" s="118"/>
      <c r="FM44" s="118"/>
      <c r="FN44" s="118"/>
      <c r="FO44" s="118"/>
      <c r="FP44" s="118"/>
      <c r="FQ44" s="118"/>
      <c r="FR44" s="138">
        <f t="shared" si="5"/>
        <v>9</v>
      </c>
      <c r="FS44" s="166">
        <f t="shared" si="6"/>
        <v>0</v>
      </c>
      <c r="FT44" s="167">
        <f t="shared" si="7"/>
        <v>0</v>
      </c>
      <c r="FU44" s="142"/>
    </row>
    <row r="45" spans="1:177" x14ac:dyDescent="0.25">
      <c r="A45" s="121">
        <v>40320</v>
      </c>
      <c r="B45" s="121" t="s">
        <v>19</v>
      </c>
      <c r="C45" s="121" t="s">
        <v>129</v>
      </c>
      <c r="D45" s="121" t="s">
        <v>506</v>
      </c>
      <c r="E45" s="120">
        <v>6558</v>
      </c>
      <c r="F45" s="124">
        <v>1</v>
      </c>
      <c r="G45" s="118" t="s">
        <v>493</v>
      </c>
      <c r="H45" s="118">
        <v>0</v>
      </c>
      <c r="I45" s="118">
        <v>0</v>
      </c>
      <c r="J45" s="119">
        <v>5</v>
      </c>
      <c r="K45" s="118">
        <v>5</v>
      </c>
      <c r="L45" s="118">
        <v>3</v>
      </c>
      <c r="M45" s="118">
        <v>3</v>
      </c>
      <c r="N45" s="118">
        <v>5</v>
      </c>
      <c r="O45" s="118">
        <v>8</v>
      </c>
      <c r="P45" s="118">
        <v>0</v>
      </c>
      <c r="Q45" s="118">
        <v>0</v>
      </c>
      <c r="R45" s="118">
        <v>25</v>
      </c>
      <c r="S45" s="118"/>
      <c r="T45" s="118"/>
      <c r="U45" s="118">
        <v>0</v>
      </c>
      <c r="V45" s="138">
        <v>0</v>
      </c>
      <c r="W45" s="125">
        <v>1</v>
      </c>
      <c r="X45" s="118">
        <v>0</v>
      </c>
      <c r="Y45" s="118">
        <v>0</v>
      </c>
      <c r="Z45" s="118">
        <v>0</v>
      </c>
      <c r="AA45" s="118">
        <v>1</v>
      </c>
      <c r="AB45" s="119">
        <v>10</v>
      </c>
      <c r="AC45" s="118">
        <v>10</v>
      </c>
      <c r="AD45" s="118">
        <v>1</v>
      </c>
      <c r="AE45" s="118">
        <v>1</v>
      </c>
      <c r="AF45" s="118">
        <v>4</v>
      </c>
      <c r="AG45" s="118">
        <v>12</v>
      </c>
      <c r="AH45" s="118">
        <v>0</v>
      </c>
      <c r="AI45" s="118">
        <v>0</v>
      </c>
      <c r="AJ45" s="118">
        <v>41</v>
      </c>
      <c r="AK45" s="118"/>
      <c r="AL45" s="138"/>
      <c r="AM45" s="125" t="s">
        <v>486</v>
      </c>
      <c r="AN45" s="118">
        <v>7</v>
      </c>
      <c r="AO45" s="118">
        <v>0</v>
      </c>
      <c r="AP45" s="118">
        <v>3</v>
      </c>
      <c r="AQ45" s="118">
        <v>1</v>
      </c>
      <c r="AR45" s="118">
        <v>1</v>
      </c>
      <c r="AS45" s="118">
        <v>2</v>
      </c>
      <c r="AT45" s="118">
        <v>0</v>
      </c>
      <c r="AU45" s="118">
        <v>0</v>
      </c>
      <c r="AV45" s="138">
        <v>3</v>
      </c>
      <c r="AW45" s="125" t="s">
        <v>485</v>
      </c>
      <c r="AX45" s="118">
        <v>4</v>
      </c>
      <c r="AY45" s="118">
        <v>1</v>
      </c>
      <c r="AZ45" s="118">
        <v>2</v>
      </c>
      <c r="BA45" s="118">
        <v>2</v>
      </c>
      <c r="BB45" s="118">
        <v>0</v>
      </c>
      <c r="BC45" s="118">
        <v>0</v>
      </c>
      <c r="BD45" s="118">
        <v>1</v>
      </c>
      <c r="BE45" s="118">
        <v>0</v>
      </c>
      <c r="BF45" s="138">
        <v>7</v>
      </c>
      <c r="BG45" s="125" t="s">
        <v>501</v>
      </c>
      <c r="BH45" s="118">
        <v>7</v>
      </c>
      <c r="BI45" s="118">
        <v>0</v>
      </c>
      <c r="BJ45" s="118">
        <v>0</v>
      </c>
      <c r="BK45" s="118">
        <v>0</v>
      </c>
      <c r="BL45" s="118">
        <v>0</v>
      </c>
      <c r="BM45" s="118">
        <v>0</v>
      </c>
      <c r="BN45" s="118">
        <v>0</v>
      </c>
      <c r="BO45" s="118">
        <v>0</v>
      </c>
      <c r="BP45" s="138">
        <v>0</v>
      </c>
      <c r="BQ45" s="125" t="s">
        <v>496</v>
      </c>
      <c r="BR45" s="118">
        <v>5</v>
      </c>
      <c r="BS45" s="118">
        <v>1</v>
      </c>
      <c r="BT45" s="118">
        <v>1</v>
      </c>
      <c r="BU45" s="118">
        <v>1</v>
      </c>
      <c r="BV45" s="118">
        <v>2</v>
      </c>
      <c r="BW45" s="118">
        <v>1</v>
      </c>
      <c r="BX45" s="118">
        <v>0</v>
      </c>
      <c r="BY45" s="118">
        <v>0</v>
      </c>
      <c r="BZ45" s="138">
        <v>4</v>
      </c>
      <c r="CA45" s="125" t="s">
        <v>481</v>
      </c>
      <c r="CB45" s="118">
        <v>6</v>
      </c>
      <c r="CC45" s="118">
        <v>0</v>
      </c>
      <c r="CD45" s="118">
        <v>1</v>
      </c>
      <c r="CE45" s="118">
        <v>0</v>
      </c>
      <c r="CF45" s="118">
        <v>1</v>
      </c>
      <c r="CG45" s="118">
        <v>2</v>
      </c>
      <c r="CH45" s="118">
        <v>0</v>
      </c>
      <c r="CI45" s="118">
        <v>0</v>
      </c>
      <c r="CJ45" s="138">
        <v>1</v>
      </c>
      <c r="CK45" s="125" t="s">
        <v>367</v>
      </c>
      <c r="CL45" s="118">
        <v>7</v>
      </c>
      <c r="CM45" s="118">
        <v>2</v>
      </c>
      <c r="CN45" s="118">
        <v>5</v>
      </c>
      <c r="CO45" s="118">
        <v>0</v>
      </c>
      <c r="CP45" s="118">
        <v>0</v>
      </c>
      <c r="CQ45" s="118">
        <v>0</v>
      </c>
      <c r="CR45" s="118">
        <v>0</v>
      </c>
      <c r="CS45" s="118">
        <v>0</v>
      </c>
      <c r="CT45" s="138">
        <v>5</v>
      </c>
      <c r="CU45" s="125" t="s">
        <v>489</v>
      </c>
      <c r="CV45" s="118">
        <v>4</v>
      </c>
      <c r="CW45" s="118">
        <v>0</v>
      </c>
      <c r="CX45" s="118">
        <v>0</v>
      </c>
      <c r="CY45" s="118">
        <v>0</v>
      </c>
      <c r="CZ45" s="118">
        <v>1</v>
      </c>
      <c r="DA45" s="118">
        <v>0</v>
      </c>
      <c r="DB45" s="118">
        <v>0</v>
      </c>
      <c r="DC45" s="118">
        <v>0</v>
      </c>
      <c r="DD45" s="138">
        <v>0</v>
      </c>
      <c r="DE45" s="125" t="s">
        <v>480</v>
      </c>
      <c r="DF45" s="118">
        <v>6</v>
      </c>
      <c r="DG45" s="118">
        <v>1</v>
      </c>
      <c r="DH45" s="118">
        <v>2</v>
      </c>
      <c r="DI45" s="118">
        <v>0</v>
      </c>
      <c r="DJ45" s="118">
        <v>1</v>
      </c>
      <c r="DK45" s="118">
        <v>1</v>
      </c>
      <c r="DL45" s="118">
        <v>0</v>
      </c>
      <c r="DM45" s="118">
        <v>0</v>
      </c>
      <c r="DN45" s="138">
        <v>2</v>
      </c>
      <c r="DO45" s="125" t="s">
        <v>479</v>
      </c>
      <c r="DP45" s="118">
        <v>6</v>
      </c>
      <c r="DQ45" s="118">
        <v>0</v>
      </c>
      <c r="DR45" s="118">
        <v>0</v>
      </c>
      <c r="DS45" s="118">
        <v>0</v>
      </c>
      <c r="DT45" s="118">
        <v>1</v>
      </c>
      <c r="DU45" s="118">
        <v>0</v>
      </c>
      <c r="DV45" s="118">
        <v>0</v>
      </c>
      <c r="DW45" s="118">
        <v>0</v>
      </c>
      <c r="DX45" s="138">
        <v>0</v>
      </c>
      <c r="DY45" s="140">
        <f>14+1/3</f>
        <v>14.333333333333334</v>
      </c>
      <c r="DZ45" s="118">
        <v>1</v>
      </c>
      <c r="EA45" s="118">
        <v>2</v>
      </c>
      <c r="EB45" s="119">
        <v>0</v>
      </c>
      <c r="EC45" s="118">
        <v>0</v>
      </c>
      <c r="ED45" s="138">
        <v>0</v>
      </c>
      <c r="EE45" s="125">
        <v>0</v>
      </c>
      <c r="EF45" s="118">
        <v>0</v>
      </c>
      <c r="EG45" s="118">
        <v>2</v>
      </c>
      <c r="EH45" s="118">
        <v>0</v>
      </c>
      <c r="EI45" s="118">
        <v>0</v>
      </c>
      <c r="EJ45" s="118">
        <v>2</v>
      </c>
      <c r="EK45" s="118">
        <v>0</v>
      </c>
      <c r="EL45" s="118">
        <v>0</v>
      </c>
      <c r="EM45" s="118">
        <v>0</v>
      </c>
      <c r="EN45" s="118">
        <v>0</v>
      </c>
      <c r="EO45" s="118">
        <v>0</v>
      </c>
      <c r="EP45" s="118">
        <v>0</v>
      </c>
      <c r="EQ45" s="118">
        <v>0</v>
      </c>
      <c r="ER45" s="118">
        <v>0</v>
      </c>
      <c r="ES45" s="118">
        <v>1</v>
      </c>
      <c r="ET45" s="118"/>
      <c r="EU45" s="118"/>
      <c r="EV45" s="118"/>
      <c r="EW45" s="118"/>
      <c r="EX45" s="138">
        <f t="shared" si="4"/>
        <v>5</v>
      </c>
      <c r="EY45" s="125">
        <v>0</v>
      </c>
      <c r="EZ45" s="118">
        <v>0</v>
      </c>
      <c r="FA45" s="118">
        <v>0</v>
      </c>
      <c r="FB45" s="118">
        <v>0</v>
      </c>
      <c r="FC45" s="118">
        <v>3</v>
      </c>
      <c r="FD45" s="118">
        <v>0</v>
      </c>
      <c r="FE45" s="118">
        <v>0</v>
      </c>
      <c r="FF45" s="118">
        <v>1</v>
      </c>
      <c r="FG45" s="118">
        <v>0</v>
      </c>
      <c r="FH45" s="118">
        <v>0</v>
      </c>
      <c r="FI45" s="118">
        <v>0</v>
      </c>
      <c r="FJ45" s="118">
        <v>0</v>
      </c>
      <c r="FK45" s="118">
        <v>0</v>
      </c>
      <c r="FL45" s="118">
        <v>0</v>
      </c>
      <c r="FM45" s="118">
        <v>0</v>
      </c>
      <c r="FN45" s="118"/>
      <c r="FO45" s="118"/>
      <c r="FP45" s="118"/>
      <c r="FQ45" s="118"/>
      <c r="FR45" s="138">
        <f t="shared" si="5"/>
        <v>4</v>
      </c>
      <c r="FS45" s="166">
        <f t="shared" si="6"/>
        <v>0</v>
      </c>
      <c r="FT45" s="167">
        <f t="shared" si="7"/>
        <v>0</v>
      </c>
      <c r="FU45" s="142"/>
    </row>
    <row r="46" spans="1:177" x14ac:dyDescent="0.25">
      <c r="A46" s="121">
        <v>40321</v>
      </c>
      <c r="B46" s="121" t="s">
        <v>19</v>
      </c>
      <c r="C46" s="121" t="s">
        <v>129</v>
      </c>
      <c r="D46" s="121" t="s">
        <v>506</v>
      </c>
      <c r="E46" s="120">
        <v>1658</v>
      </c>
      <c r="F46" s="124">
        <v>2</v>
      </c>
      <c r="G46" s="118" t="s">
        <v>494</v>
      </c>
      <c r="H46" s="118">
        <v>1</v>
      </c>
      <c r="I46" s="118">
        <v>0</v>
      </c>
      <c r="J46" s="119">
        <v>6</v>
      </c>
      <c r="K46" s="118">
        <v>4</v>
      </c>
      <c r="L46" s="118">
        <v>2</v>
      </c>
      <c r="M46" s="118">
        <v>2</v>
      </c>
      <c r="N46" s="118">
        <v>2</v>
      </c>
      <c r="O46" s="118">
        <v>3</v>
      </c>
      <c r="P46" s="118">
        <v>0</v>
      </c>
      <c r="Q46" s="118">
        <v>2</v>
      </c>
      <c r="R46" s="118">
        <v>26</v>
      </c>
      <c r="S46" s="118"/>
      <c r="T46" s="118"/>
      <c r="U46" s="118">
        <v>0</v>
      </c>
      <c r="V46" s="138">
        <v>0</v>
      </c>
      <c r="W46" s="125">
        <v>0</v>
      </c>
      <c r="X46" s="118">
        <v>0</v>
      </c>
      <c r="Y46" s="118">
        <v>0</v>
      </c>
      <c r="Z46" s="118">
        <v>0</v>
      </c>
      <c r="AA46" s="118">
        <v>0</v>
      </c>
      <c r="AB46" s="119">
        <v>3</v>
      </c>
      <c r="AC46" s="118">
        <v>4</v>
      </c>
      <c r="AD46" s="118">
        <v>1</v>
      </c>
      <c r="AE46" s="118">
        <v>1</v>
      </c>
      <c r="AF46" s="118">
        <v>1</v>
      </c>
      <c r="AG46" s="118">
        <v>2</v>
      </c>
      <c r="AH46" s="118">
        <v>0</v>
      </c>
      <c r="AI46" s="118">
        <v>0</v>
      </c>
      <c r="AJ46" s="118">
        <v>14</v>
      </c>
      <c r="AK46" s="118"/>
      <c r="AL46" s="138"/>
      <c r="AM46" s="125" t="s">
        <v>486</v>
      </c>
      <c r="AN46" s="118">
        <v>4</v>
      </c>
      <c r="AO46" s="118">
        <v>0</v>
      </c>
      <c r="AP46" s="118">
        <v>1</v>
      </c>
      <c r="AQ46" s="118">
        <v>0</v>
      </c>
      <c r="AR46" s="118">
        <v>0</v>
      </c>
      <c r="AS46" s="118">
        <v>1</v>
      </c>
      <c r="AT46" s="118">
        <v>1</v>
      </c>
      <c r="AU46" s="118">
        <v>0</v>
      </c>
      <c r="AV46" s="138">
        <v>1</v>
      </c>
      <c r="AW46" s="125" t="s">
        <v>485</v>
      </c>
      <c r="AX46" s="118">
        <v>3</v>
      </c>
      <c r="AY46" s="118">
        <v>2</v>
      </c>
      <c r="AZ46" s="118">
        <v>1</v>
      </c>
      <c r="BA46" s="118">
        <v>0</v>
      </c>
      <c r="BB46" s="118">
        <v>2</v>
      </c>
      <c r="BC46" s="118">
        <v>0</v>
      </c>
      <c r="BD46" s="118">
        <v>0</v>
      </c>
      <c r="BE46" s="118">
        <v>0</v>
      </c>
      <c r="BF46" s="138">
        <v>1</v>
      </c>
      <c r="BG46" s="125" t="s">
        <v>387</v>
      </c>
      <c r="BH46" s="118">
        <v>3</v>
      </c>
      <c r="BI46" s="118">
        <v>2</v>
      </c>
      <c r="BJ46" s="118">
        <v>2</v>
      </c>
      <c r="BK46" s="118">
        <v>0</v>
      </c>
      <c r="BL46" s="118">
        <v>2</v>
      </c>
      <c r="BM46" s="118">
        <v>0</v>
      </c>
      <c r="BN46" s="118">
        <v>0</v>
      </c>
      <c r="BO46" s="118">
        <v>0</v>
      </c>
      <c r="BP46" s="138">
        <v>3</v>
      </c>
      <c r="BQ46" s="125" t="s">
        <v>496</v>
      </c>
      <c r="BR46" s="118">
        <v>4</v>
      </c>
      <c r="BS46" s="118">
        <v>1</v>
      </c>
      <c r="BT46" s="118">
        <v>0</v>
      </c>
      <c r="BU46" s="118">
        <v>0</v>
      </c>
      <c r="BV46" s="118">
        <v>1</v>
      </c>
      <c r="BW46" s="118">
        <v>1</v>
      </c>
      <c r="BX46" s="118">
        <v>0</v>
      </c>
      <c r="BY46" s="118">
        <v>0</v>
      </c>
      <c r="BZ46" s="138">
        <v>0</v>
      </c>
      <c r="CA46" s="125" t="s">
        <v>484</v>
      </c>
      <c r="CB46" s="118">
        <v>4</v>
      </c>
      <c r="CC46" s="118">
        <v>3</v>
      </c>
      <c r="CD46" s="118">
        <v>3</v>
      </c>
      <c r="CE46" s="118">
        <v>2</v>
      </c>
      <c r="CF46" s="118">
        <v>1</v>
      </c>
      <c r="CG46" s="118">
        <v>1</v>
      </c>
      <c r="CH46" s="118">
        <v>0</v>
      </c>
      <c r="CI46" s="118">
        <v>0</v>
      </c>
      <c r="CJ46" s="138">
        <v>4</v>
      </c>
      <c r="CK46" s="125" t="s">
        <v>367</v>
      </c>
      <c r="CL46" s="118">
        <v>4</v>
      </c>
      <c r="CM46" s="118">
        <v>1</v>
      </c>
      <c r="CN46" s="118">
        <v>1</v>
      </c>
      <c r="CO46" s="118">
        <v>0</v>
      </c>
      <c r="CP46" s="118">
        <v>1</v>
      </c>
      <c r="CQ46" s="118">
        <v>0</v>
      </c>
      <c r="CR46" s="118">
        <v>0</v>
      </c>
      <c r="CS46" s="118">
        <v>0</v>
      </c>
      <c r="CT46" s="138">
        <v>1</v>
      </c>
      <c r="CU46" s="125" t="s">
        <v>501</v>
      </c>
      <c r="CV46" s="118">
        <v>5</v>
      </c>
      <c r="CW46" s="118">
        <v>1</v>
      </c>
      <c r="CX46" s="118">
        <v>2</v>
      </c>
      <c r="CY46" s="118">
        <v>2</v>
      </c>
      <c r="CZ46" s="118">
        <v>0</v>
      </c>
      <c r="DA46" s="118">
        <v>0</v>
      </c>
      <c r="DB46" s="118">
        <v>0</v>
      </c>
      <c r="DC46" s="118">
        <v>0</v>
      </c>
      <c r="DD46" s="138">
        <v>3</v>
      </c>
      <c r="DE46" s="125" t="s">
        <v>482</v>
      </c>
      <c r="DF46" s="118">
        <v>3</v>
      </c>
      <c r="DG46" s="118">
        <v>0</v>
      </c>
      <c r="DH46" s="118">
        <v>3</v>
      </c>
      <c r="DI46" s="118">
        <v>2</v>
      </c>
      <c r="DJ46" s="118">
        <v>2</v>
      </c>
      <c r="DK46" s="118">
        <v>0</v>
      </c>
      <c r="DL46" s="118">
        <v>0</v>
      </c>
      <c r="DM46" s="118">
        <v>0</v>
      </c>
      <c r="DN46" s="138">
        <v>6</v>
      </c>
      <c r="DO46" s="125" t="s">
        <v>479</v>
      </c>
      <c r="DP46" s="118">
        <v>5</v>
      </c>
      <c r="DQ46" s="118">
        <v>0</v>
      </c>
      <c r="DR46" s="118">
        <v>0</v>
      </c>
      <c r="DS46" s="118">
        <v>0</v>
      </c>
      <c r="DT46" s="118">
        <v>0</v>
      </c>
      <c r="DU46" s="118">
        <v>2</v>
      </c>
      <c r="DV46" s="118">
        <v>0</v>
      </c>
      <c r="DW46" s="118">
        <v>0</v>
      </c>
      <c r="DX46" s="138">
        <v>0</v>
      </c>
      <c r="DY46" s="140">
        <f>1+1/3</f>
        <v>1.3333333333333333</v>
      </c>
      <c r="DZ46" s="118">
        <v>4</v>
      </c>
      <c r="EA46" s="118">
        <v>0</v>
      </c>
      <c r="EB46" s="119">
        <f>6+2/3</f>
        <v>6.666666666666667</v>
      </c>
      <c r="EC46" s="118">
        <v>0</v>
      </c>
      <c r="ED46" s="138">
        <v>0</v>
      </c>
      <c r="EE46" s="125">
        <v>0</v>
      </c>
      <c r="EF46" s="118">
        <v>1</v>
      </c>
      <c r="EG46" s="118">
        <v>4</v>
      </c>
      <c r="EH46" s="118">
        <v>2</v>
      </c>
      <c r="EI46" s="118">
        <v>0</v>
      </c>
      <c r="EJ46" s="118">
        <v>2</v>
      </c>
      <c r="EK46" s="118">
        <v>0</v>
      </c>
      <c r="EL46" s="118">
        <v>1</v>
      </c>
      <c r="EM46" s="118"/>
      <c r="EN46" s="118"/>
      <c r="EO46" s="118"/>
      <c r="EP46" s="118"/>
      <c r="EQ46" s="118"/>
      <c r="ER46" s="118"/>
      <c r="ES46" s="118"/>
      <c r="ET46" s="118"/>
      <c r="EU46" s="118"/>
      <c r="EV46" s="118"/>
      <c r="EW46" s="118"/>
      <c r="EX46" s="138">
        <f t="shared" si="4"/>
        <v>10</v>
      </c>
      <c r="EY46" s="125">
        <v>1</v>
      </c>
      <c r="EZ46" s="118">
        <v>0</v>
      </c>
      <c r="FA46" s="118">
        <v>1</v>
      </c>
      <c r="FB46" s="118">
        <v>0</v>
      </c>
      <c r="FC46" s="118">
        <v>0</v>
      </c>
      <c r="FD46" s="118">
        <v>0</v>
      </c>
      <c r="FE46" s="118">
        <v>0</v>
      </c>
      <c r="FF46" s="118">
        <v>1</v>
      </c>
      <c r="FG46" s="118">
        <v>0</v>
      </c>
      <c r="FH46" s="118"/>
      <c r="FI46" s="118"/>
      <c r="FJ46" s="118"/>
      <c r="FK46" s="118"/>
      <c r="FL46" s="118"/>
      <c r="FM46" s="118"/>
      <c r="FN46" s="118"/>
      <c r="FO46" s="118"/>
      <c r="FP46" s="118"/>
      <c r="FQ46" s="118"/>
      <c r="FR46" s="138">
        <f t="shared" si="5"/>
        <v>3</v>
      </c>
      <c r="FS46" s="166">
        <f t="shared" si="6"/>
        <v>0</v>
      </c>
      <c r="FT46" s="167">
        <f t="shared" si="7"/>
        <v>0</v>
      </c>
      <c r="FU46" s="142"/>
    </row>
    <row r="47" spans="1:177" x14ac:dyDescent="0.25">
      <c r="A47" s="121">
        <v>40322</v>
      </c>
      <c r="B47" s="121" t="s">
        <v>19</v>
      </c>
      <c r="C47" s="121" t="s">
        <v>131</v>
      </c>
      <c r="D47" s="121" t="s">
        <v>488</v>
      </c>
      <c r="E47" s="120">
        <v>1386</v>
      </c>
      <c r="F47" s="124">
        <v>3</v>
      </c>
      <c r="G47" s="118" t="s">
        <v>498</v>
      </c>
      <c r="H47" s="118">
        <v>0</v>
      </c>
      <c r="I47" s="118">
        <v>1</v>
      </c>
      <c r="J47" s="119">
        <v>6</v>
      </c>
      <c r="K47" s="118">
        <v>8</v>
      </c>
      <c r="L47" s="118">
        <v>4</v>
      </c>
      <c r="M47" s="118">
        <v>3</v>
      </c>
      <c r="N47" s="118">
        <v>1</v>
      </c>
      <c r="O47" s="118">
        <v>6</v>
      </c>
      <c r="P47" s="118">
        <v>0</v>
      </c>
      <c r="Q47" s="118">
        <v>1</v>
      </c>
      <c r="R47" s="118">
        <v>28</v>
      </c>
      <c r="S47" s="118"/>
      <c r="T47" s="118"/>
      <c r="U47" s="118">
        <v>3</v>
      </c>
      <c r="V47" s="138">
        <v>1</v>
      </c>
      <c r="W47" s="125">
        <v>0</v>
      </c>
      <c r="X47" s="118">
        <v>0</v>
      </c>
      <c r="Y47" s="118">
        <v>0</v>
      </c>
      <c r="Z47" s="118">
        <v>0</v>
      </c>
      <c r="AA47" s="118">
        <v>0</v>
      </c>
      <c r="AB47" s="119">
        <v>3</v>
      </c>
      <c r="AC47" s="118">
        <v>0</v>
      </c>
      <c r="AD47" s="118">
        <v>0</v>
      </c>
      <c r="AE47" s="118">
        <v>0</v>
      </c>
      <c r="AF47" s="118">
        <v>1</v>
      </c>
      <c r="AG47" s="118">
        <v>2</v>
      </c>
      <c r="AH47" s="118">
        <v>0</v>
      </c>
      <c r="AI47" s="118">
        <v>0</v>
      </c>
      <c r="AJ47" s="118">
        <v>10</v>
      </c>
      <c r="AK47" s="118"/>
      <c r="AL47" s="138"/>
      <c r="AM47" s="125" t="s">
        <v>486</v>
      </c>
      <c r="AN47" s="118">
        <v>5</v>
      </c>
      <c r="AO47" s="118">
        <v>1</v>
      </c>
      <c r="AP47" s="118">
        <v>1</v>
      </c>
      <c r="AQ47" s="118">
        <v>0</v>
      </c>
      <c r="AR47" s="118">
        <v>0</v>
      </c>
      <c r="AS47" s="118">
        <v>1</v>
      </c>
      <c r="AT47" s="118">
        <v>0</v>
      </c>
      <c r="AU47" s="118">
        <v>0</v>
      </c>
      <c r="AV47" s="138">
        <v>1</v>
      </c>
      <c r="AW47" s="125" t="s">
        <v>485</v>
      </c>
      <c r="AX47" s="118">
        <v>4</v>
      </c>
      <c r="AY47" s="118">
        <v>1</v>
      </c>
      <c r="AZ47" s="118">
        <v>2</v>
      </c>
      <c r="BA47" s="118">
        <v>0</v>
      </c>
      <c r="BB47" s="118">
        <v>1</v>
      </c>
      <c r="BC47" s="118">
        <v>1</v>
      </c>
      <c r="BD47" s="118">
        <v>0</v>
      </c>
      <c r="BE47" s="118">
        <v>0</v>
      </c>
      <c r="BF47" s="138">
        <v>3</v>
      </c>
      <c r="BG47" s="125" t="s">
        <v>387</v>
      </c>
      <c r="BH47" s="118">
        <v>2</v>
      </c>
      <c r="BI47" s="118">
        <v>0</v>
      </c>
      <c r="BJ47" s="118">
        <v>1</v>
      </c>
      <c r="BK47" s="118">
        <v>0</v>
      </c>
      <c r="BL47" s="118">
        <v>3</v>
      </c>
      <c r="BM47" s="118">
        <v>1</v>
      </c>
      <c r="BN47" s="118">
        <v>0</v>
      </c>
      <c r="BO47" s="118">
        <v>0</v>
      </c>
      <c r="BP47" s="138">
        <v>1</v>
      </c>
      <c r="BQ47" s="125" t="s">
        <v>496</v>
      </c>
      <c r="BR47" s="118">
        <v>5</v>
      </c>
      <c r="BS47" s="118">
        <v>1</v>
      </c>
      <c r="BT47" s="118">
        <v>1</v>
      </c>
      <c r="BU47" s="118">
        <v>1</v>
      </c>
      <c r="BV47" s="118">
        <v>0</v>
      </c>
      <c r="BW47" s="118">
        <v>0</v>
      </c>
      <c r="BX47" s="118">
        <v>0</v>
      </c>
      <c r="BY47" s="118">
        <v>0</v>
      </c>
      <c r="BZ47" s="138">
        <v>2</v>
      </c>
      <c r="CA47" s="125" t="s">
        <v>481</v>
      </c>
      <c r="CB47" s="118">
        <v>5</v>
      </c>
      <c r="CC47" s="118">
        <v>0</v>
      </c>
      <c r="CD47" s="118">
        <v>1</v>
      </c>
      <c r="CE47" s="118">
        <v>0</v>
      </c>
      <c r="CF47" s="118">
        <v>0</v>
      </c>
      <c r="CG47" s="118">
        <v>0</v>
      </c>
      <c r="CH47" s="118">
        <v>0</v>
      </c>
      <c r="CI47" s="118">
        <v>0</v>
      </c>
      <c r="CJ47" s="138">
        <v>1</v>
      </c>
      <c r="CK47" s="125" t="s">
        <v>367</v>
      </c>
      <c r="CL47" s="118">
        <v>4</v>
      </c>
      <c r="CM47" s="118">
        <v>0</v>
      </c>
      <c r="CN47" s="118">
        <v>1</v>
      </c>
      <c r="CO47" s="118">
        <v>1</v>
      </c>
      <c r="CP47" s="118">
        <v>0</v>
      </c>
      <c r="CQ47" s="118">
        <v>1</v>
      </c>
      <c r="CR47" s="118">
        <v>1</v>
      </c>
      <c r="CS47" s="118">
        <v>0</v>
      </c>
      <c r="CT47" s="138">
        <v>1</v>
      </c>
      <c r="CU47" s="125" t="s">
        <v>501</v>
      </c>
      <c r="CV47" s="118">
        <v>4</v>
      </c>
      <c r="CW47" s="118">
        <v>0</v>
      </c>
      <c r="CX47" s="118">
        <v>1</v>
      </c>
      <c r="CY47" s="118">
        <v>0</v>
      </c>
      <c r="CZ47" s="118">
        <v>0</v>
      </c>
      <c r="DA47" s="118">
        <v>0</v>
      </c>
      <c r="DB47" s="118">
        <v>0</v>
      </c>
      <c r="DC47" s="118">
        <v>0</v>
      </c>
      <c r="DD47" s="138">
        <v>1</v>
      </c>
      <c r="DE47" s="125" t="s">
        <v>489</v>
      </c>
      <c r="DF47" s="118">
        <v>4</v>
      </c>
      <c r="DG47" s="118">
        <v>0</v>
      </c>
      <c r="DH47" s="118">
        <v>1</v>
      </c>
      <c r="DI47" s="118">
        <v>0</v>
      </c>
      <c r="DJ47" s="118">
        <v>0</v>
      </c>
      <c r="DK47" s="118">
        <v>0</v>
      </c>
      <c r="DL47" s="118">
        <v>0</v>
      </c>
      <c r="DM47" s="118">
        <v>0</v>
      </c>
      <c r="DN47" s="138">
        <v>1</v>
      </c>
      <c r="DO47" s="125" t="s">
        <v>491</v>
      </c>
      <c r="DP47" s="118">
        <v>4</v>
      </c>
      <c r="DQ47" s="118">
        <v>0</v>
      </c>
      <c r="DR47" s="118">
        <v>1</v>
      </c>
      <c r="DS47" s="118">
        <v>0</v>
      </c>
      <c r="DT47" s="118">
        <v>0</v>
      </c>
      <c r="DU47" s="118">
        <v>1</v>
      </c>
      <c r="DV47" s="118">
        <v>0</v>
      </c>
      <c r="DW47" s="118">
        <v>0</v>
      </c>
      <c r="DX47" s="138">
        <v>1</v>
      </c>
      <c r="DY47" s="140">
        <v>0</v>
      </c>
      <c r="DZ47" s="118">
        <v>0</v>
      </c>
      <c r="EA47" s="118">
        <v>0</v>
      </c>
      <c r="EB47" s="119">
        <v>9</v>
      </c>
      <c r="EC47" s="118">
        <v>1</v>
      </c>
      <c r="ED47" s="138">
        <v>0</v>
      </c>
      <c r="EE47" s="125">
        <v>1</v>
      </c>
      <c r="EF47" s="118">
        <v>0</v>
      </c>
      <c r="EG47" s="118">
        <v>0</v>
      </c>
      <c r="EH47" s="118">
        <v>0</v>
      </c>
      <c r="EI47" s="118">
        <v>0</v>
      </c>
      <c r="EJ47" s="118">
        <v>0</v>
      </c>
      <c r="EK47" s="118">
        <v>0</v>
      </c>
      <c r="EL47" s="118">
        <v>1</v>
      </c>
      <c r="EM47" s="118">
        <v>1</v>
      </c>
      <c r="EN47" s="118"/>
      <c r="EO47" s="118"/>
      <c r="EP47" s="118"/>
      <c r="EQ47" s="118"/>
      <c r="ER47" s="118"/>
      <c r="ES47" s="118"/>
      <c r="ET47" s="118"/>
      <c r="EU47" s="118"/>
      <c r="EV47" s="118"/>
      <c r="EW47" s="118"/>
      <c r="EX47" s="138">
        <f t="shared" si="4"/>
        <v>3</v>
      </c>
      <c r="EY47" s="125">
        <v>0</v>
      </c>
      <c r="EZ47" s="118">
        <v>2</v>
      </c>
      <c r="FA47" s="118">
        <v>1</v>
      </c>
      <c r="FB47" s="118">
        <v>0</v>
      </c>
      <c r="FC47" s="118">
        <v>0</v>
      </c>
      <c r="FD47" s="118">
        <v>0</v>
      </c>
      <c r="FE47" s="118">
        <v>1</v>
      </c>
      <c r="FF47" s="118">
        <v>0</v>
      </c>
      <c r="FG47" s="118">
        <v>0</v>
      </c>
      <c r="FH47" s="118"/>
      <c r="FI47" s="118"/>
      <c r="FJ47" s="118"/>
      <c r="FK47" s="118"/>
      <c r="FL47" s="118"/>
      <c r="FM47" s="118"/>
      <c r="FN47" s="118"/>
      <c r="FO47" s="118"/>
      <c r="FP47" s="118"/>
      <c r="FQ47" s="118"/>
      <c r="FR47" s="138">
        <f t="shared" si="5"/>
        <v>4</v>
      </c>
      <c r="FS47" s="166">
        <f t="shared" si="6"/>
        <v>0</v>
      </c>
      <c r="FT47" s="167">
        <f t="shared" si="7"/>
        <v>0</v>
      </c>
      <c r="FU47" s="142" t="s">
        <v>505</v>
      </c>
    </row>
    <row r="48" spans="1:177" x14ac:dyDescent="0.25">
      <c r="A48" s="121">
        <v>40324</v>
      </c>
      <c r="B48" s="121" t="s">
        <v>133</v>
      </c>
      <c r="C48" s="121" t="s">
        <v>131</v>
      </c>
      <c r="D48" s="121" t="s">
        <v>488</v>
      </c>
      <c r="E48" s="120">
        <v>1001</v>
      </c>
      <c r="F48" s="124">
        <v>4</v>
      </c>
      <c r="G48" s="118" t="s">
        <v>490</v>
      </c>
      <c r="H48" s="118">
        <v>0</v>
      </c>
      <c r="I48" s="118">
        <v>1</v>
      </c>
      <c r="J48" s="119">
        <v>5</v>
      </c>
      <c r="K48" s="118">
        <v>10</v>
      </c>
      <c r="L48" s="118">
        <v>7</v>
      </c>
      <c r="M48" s="118">
        <v>7</v>
      </c>
      <c r="N48" s="118">
        <v>0</v>
      </c>
      <c r="O48" s="118">
        <v>8</v>
      </c>
      <c r="P48" s="118">
        <v>0</v>
      </c>
      <c r="Q48" s="118">
        <v>1</v>
      </c>
      <c r="R48" s="118">
        <v>26</v>
      </c>
      <c r="S48" s="118"/>
      <c r="T48" s="118"/>
      <c r="U48" s="118">
        <v>0</v>
      </c>
      <c r="V48" s="138">
        <v>0</v>
      </c>
      <c r="W48" s="125">
        <v>0</v>
      </c>
      <c r="X48" s="118">
        <v>0</v>
      </c>
      <c r="Y48" s="118">
        <v>0</v>
      </c>
      <c r="Z48" s="118">
        <v>0</v>
      </c>
      <c r="AA48" s="118">
        <v>0</v>
      </c>
      <c r="AB48" s="119">
        <v>3</v>
      </c>
      <c r="AC48" s="118">
        <v>4</v>
      </c>
      <c r="AD48" s="118">
        <v>3</v>
      </c>
      <c r="AE48" s="118">
        <v>1</v>
      </c>
      <c r="AF48" s="118">
        <v>0</v>
      </c>
      <c r="AG48" s="118">
        <v>1</v>
      </c>
      <c r="AH48" s="118">
        <v>0</v>
      </c>
      <c r="AI48" s="118">
        <v>0</v>
      </c>
      <c r="AJ48" s="118">
        <v>14</v>
      </c>
      <c r="AK48" s="118"/>
      <c r="AL48" s="138"/>
      <c r="AM48" s="125" t="s">
        <v>486</v>
      </c>
      <c r="AN48" s="118">
        <v>4</v>
      </c>
      <c r="AO48" s="118">
        <v>0</v>
      </c>
      <c r="AP48" s="118">
        <v>1</v>
      </c>
      <c r="AQ48" s="118">
        <v>1</v>
      </c>
      <c r="AR48" s="118">
        <v>0</v>
      </c>
      <c r="AS48" s="118">
        <v>0</v>
      </c>
      <c r="AT48" s="118">
        <v>1</v>
      </c>
      <c r="AU48" s="118">
        <v>0</v>
      </c>
      <c r="AV48" s="138">
        <v>1</v>
      </c>
      <c r="AW48" s="125" t="s">
        <v>485</v>
      </c>
      <c r="AX48" s="118">
        <v>4</v>
      </c>
      <c r="AY48" s="118">
        <v>0</v>
      </c>
      <c r="AZ48" s="118">
        <v>0</v>
      </c>
      <c r="BA48" s="118">
        <v>0</v>
      </c>
      <c r="BB48" s="118">
        <v>1</v>
      </c>
      <c r="BC48" s="118">
        <v>1</v>
      </c>
      <c r="BD48" s="118">
        <v>0</v>
      </c>
      <c r="BE48" s="118">
        <v>0</v>
      </c>
      <c r="BF48" s="138">
        <v>0</v>
      </c>
      <c r="BG48" s="125" t="s">
        <v>387</v>
      </c>
      <c r="BH48" s="118">
        <v>4</v>
      </c>
      <c r="BI48" s="118">
        <v>1</v>
      </c>
      <c r="BJ48" s="118">
        <v>1</v>
      </c>
      <c r="BK48" s="118">
        <v>0</v>
      </c>
      <c r="BL48" s="118">
        <v>0</v>
      </c>
      <c r="BM48" s="118">
        <v>0</v>
      </c>
      <c r="BN48" s="118">
        <v>0</v>
      </c>
      <c r="BO48" s="118">
        <v>0</v>
      </c>
      <c r="BP48" s="138">
        <v>2</v>
      </c>
      <c r="BQ48" s="125" t="s">
        <v>496</v>
      </c>
      <c r="BR48" s="118">
        <v>4</v>
      </c>
      <c r="BS48" s="118">
        <v>0</v>
      </c>
      <c r="BT48" s="118">
        <v>1</v>
      </c>
      <c r="BU48" s="118">
        <v>0</v>
      </c>
      <c r="BV48" s="118">
        <v>0</v>
      </c>
      <c r="BW48" s="118">
        <v>0</v>
      </c>
      <c r="BX48" s="118">
        <v>0</v>
      </c>
      <c r="BY48" s="118">
        <v>0</v>
      </c>
      <c r="BZ48" s="138">
        <v>1</v>
      </c>
      <c r="CA48" s="125" t="s">
        <v>484</v>
      </c>
      <c r="CB48" s="118">
        <v>4</v>
      </c>
      <c r="CC48" s="118">
        <v>1</v>
      </c>
      <c r="CD48" s="118">
        <v>0</v>
      </c>
      <c r="CE48" s="118">
        <v>1</v>
      </c>
      <c r="CF48" s="118">
        <v>0</v>
      </c>
      <c r="CG48" s="118">
        <v>0</v>
      </c>
      <c r="CH48" s="118">
        <v>0</v>
      </c>
      <c r="CI48" s="118">
        <v>0</v>
      </c>
      <c r="CJ48" s="138">
        <v>0</v>
      </c>
      <c r="CK48" s="125" t="s">
        <v>481</v>
      </c>
      <c r="CL48" s="118">
        <v>4</v>
      </c>
      <c r="CM48" s="118">
        <v>0</v>
      </c>
      <c r="CN48" s="118">
        <v>0</v>
      </c>
      <c r="CO48" s="118">
        <v>0</v>
      </c>
      <c r="CP48" s="118">
        <v>0</v>
      </c>
      <c r="CQ48" s="118">
        <v>0</v>
      </c>
      <c r="CR48" s="118">
        <v>0</v>
      </c>
      <c r="CS48" s="118">
        <v>0</v>
      </c>
      <c r="CT48" s="138">
        <v>0</v>
      </c>
      <c r="CU48" s="125" t="s">
        <v>501</v>
      </c>
      <c r="CV48" s="118">
        <v>3</v>
      </c>
      <c r="CW48" s="118">
        <v>1</v>
      </c>
      <c r="CX48" s="118">
        <v>3</v>
      </c>
      <c r="CY48" s="118">
        <v>1</v>
      </c>
      <c r="CZ48" s="118">
        <v>0</v>
      </c>
      <c r="DA48" s="118">
        <v>0</v>
      </c>
      <c r="DB48" s="118">
        <v>1</v>
      </c>
      <c r="DC48" s="118">
        <v>0</v>
      </c>
      <c r="DD48" s="138">
        <v>3</v>
      </c>
      <c r="DE48" s="125" t="s">
        <v>489</v>
      </c>
      <c r="DF48" s="118">
        <v>3</v>
      </c>
      <c r="DG48" s="118">
        <v>1</v>
      </c>
      <c r="DH48" s="118">
        <v>1</v>
      </c>
      <c r="DI48" s="118">
        <v>1</v>
      </c>
      <c r="DJ48" s="118">
        <v>1</v>
      </c>
      <c r="DK48" s="118">
        <v>0</v>
      </c>
      <c r="DL48" s="118">
        <v>0</v>
      </c>
      <c r="DM48" s="118">
        <v>0</v>
      </c>
      <c r="DN48" s="138">
        <v>1</v>
      </c>
      <c r="DO48" s="125" t="s">
        <v>479</v>
      </c>
      <c r="DP48" s="118">
        <v>3</v>
      </c>
      <c r="DQ48" s="118">
        <v>0</v>
      </c>
      <c r="DR48" s="118">
        <v>0</v>
      </c>
      <c r="DS48" s="118">
        <v>0</v>
      </c>
      <c r="DT48" s="118">
        <v>1</v>
      </c>
      <c r="DU48" s="118">
        <v>2</v>
      </c>
      <c r="DV48" s="118">
        <v>0</v>
      </c>
      <c r="DW48" s="118">
        <v>0</v>
      </c>
      <c r="DX48" s="138">
        <v>0</v>
      </c>
      <c r="DY48" s="140">
        <v>0</v>
      </c>
      <c r="DZ48" s="118">
        <v>0</v>
      </c>
      <c r="EA48" s="118">
        <v>0</v>
      </c>
      <c r="EB48" s="119">
        <v>9</v>
      </c>
      <c r="EC48" s="118">
        <v>0</v>
      </c>
      <c r="ED48" s="138">
        <v>0</v>
      </c>
      <c r="EE48" s="125">
        <v>0</v>
      </c>
      <c r="EF48" s="118">
        <v>0</v>
      </c>
      <c r="EG48" s="118">
        <v>0</v>
      </c>
      <c r="EH48" s="118">
        <v>2</v>
      </c>
      <c r="EI48" s="118">
        <v>1</v>
      </c>
      <c r="EJ48" s="118">
        <v>0</v>
      </c>
      <c r="EK48" s="118">
        <v>0</v>
      </c>
      <c r="EL48" s="118">
        <v>1</v>
      </c>
      <c r="EM48" s="118">
        <v>0</v>
      </c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38">
        <f t="shared" si="4"/>
        <v>4</v>
      </c>
      <c r="EY48" s="125">
        <v>5</v>
      </c>
      <c r="EZ48" s="118">
        <v>2</v>
      </c>
      <c r="FA48" s="118">
        <v>0</v>
      </c>
      <c r="FB48" s="118">
        <v>0</v>
      </c>
      <c r="FC48" s="118">
        <v>0</v>
      </c>
      <c r="FD48" s="118">
        <v>0</v>
      </c>
      <c r="FE48" s="118">
        <v>1</v>
      </c>
      <c r="FF48" s="118">
        <v>2</v>
      </c>
      <c r="FG48" s="118"/>
      <c r="FH48" s="118"/>
      <c r="FI48" s="118"/>
      <c r="FJ48" s="118"/>
      <c r="FK48" s="118"/>
      <c r="FL48" s="118"/>
      <c r="FM48" s="118"/>
      <c r="FN48" s="118"/>
      <c r="FO48" s="118"/>
      <c r="FP48" s="118"/>
      <c r="FQ48" s="118"/>
      <c r="FR48" s="138">
        <f t="shared" si="5"/>
        <v>10</v>
      </c>
      <c r="FS48" s="166">
        <f t="shared" si="6"/>
        <v>0</v>
      </c>
      <c r="FT48" s="167">
        <f t="shared" si="7"/>
        <v>0</v>
      </c>
      <c r="FU48" s="142"/>
    </row>
    <row r="49" spans="1:177" x14ac:dyDescent="0.25">
      <c r="A49" s="121">
        <v>40325</v>
      </c>
      <c r="B49" s="121" t="s">
        <v>133</v>
      </c>
      <c r="C49" s="121" t="s">
        <v>131</v>
      </c>
      <c r="D49" s="121" t="s">
        <v>503</v>
      </c>
      <c r="E49" s="120">
        <v>848</v>
      </c>
      <c r="F49" s="124">
        <v>5</v>
      </c>
      <c r="G49" s="118" t="s">
        <v>487</v>
      </c>
      <c r="H49" s="118">
        <v>0</v>
      </c>
      <c r="I49" s="118">
        <v>1</v>
      </c>
      <c r="J49" s="119">
        <v>5</v>
      </c>
      <c r="K49" s="118">
        <v>8</v>
      </c>
      <c r="L49" s="118">
        <v>8</v>
      </c>
      <c r="M49" s="118">
        <v>6</v>
      </c>
      <c r="N49" s="118">
        <v>1</v>
      </c>
      <c r="O49" s="118">
        <v>4</v>
      </c>
      <c r="P49" s="118">
        <v>1</v>
      </c>
      <c r="Q49" s="118">
        <v>0</v>
      </c>
      <c r="R49" s="118">
        <v>24</v>
      </c>
      <c r="S49" s="118"/>
      <c r="T49" s="118"/>
      <c r="U49" s="118">
        <v>0</v>
      </c>
      <c r="V49" s="138">
        <v>0</v>
      </c>
      <c r="W49" s="125">
        <v>0</v>
      </c>
      <c r="X49" s="118">
        <v>0</v>
      </c>
      <c r="Y49" s="118">
        <v>0</v>
      </c>
      <c r="Z49" s="118">
        <v>0</v>
      </c>
      <c r="AA49" s="118">
        <v>0</v>
      </c>
      <c r="AB49" s="119">
        <v>3</v>
      </c>
      <c r="AC49" s="118">
        <v>1</v>
      </c>
      <c r="AD49" s="118">
        <v>0</v>
      </c>
      <c r="AE49" s="118">
        <v>0</v>
      </c>
      <c r="AF49" s="118">
        <v>0</v>
      </c>
      <c r="AG49" s="118">
        <v>4</v>
      </c>
      <c r="AH49" s="118">
        <v>0</v>
      </c>
      <c r="AI49" s="118">
        <v>0</v>
      </c>
      <c r="AJ49" s="118">
        <v>10</v>
      </c>
      <c r="AK49" s="118"/>
      <c r="AL49" s="138"/>
      <c r="AM49" s="125" t="s">
        <v>486</v>
      </c>
      <c r="AN49" s="118">
        <v>4</v>
      </c>
      <c r="AO49" s="118">
        <v>0</v>
      </c>
      <c r="AP49" s="118">
        <v>0</v>
      </c>
      <c r="AQ49" s="118">
        <v>0</v>
      </c>
      <c r="AR49" s="118">
        <v>0</v>
      </c>
      <c r="AS49" s="118">
        <v>0</v>
      </c>
      <c r="AT49" s="118">
        <v>0</v>
      </c>
      <c r="AU49" s="118">
        <v>0</v>
      </c>
      <c r="AV49" s="138">
        <v>0</v>
      </c>
      <c r="AW49" s="125" t="s">
        <v>485</v>
      </c>
      <c r="AX49" s="118">
        <v>4</v>
      </c>
      <c r="AY49" s="118">
        <v>1</v>
      </c>
      <c r="AZ49" s="118">
        <v>2</v>
      </c>
      <c r="BA49" s="118">
        <v>0</v>
      </c>
      <c r="BB49" s="118">
        <v>0</v>
      </c>
      <c r="BC49" s="118">
        <v>1</v>
      </c>
      <c r="BD49" s="118">
        <v>0</v>
      </c>
      <c r="BE49" s="118">
        <v>0</v>
      </c>
      <c r="BF49" s="138">
        <v>3</v>
      </c>
      <c r="BG49" s="125" t="s">
        <v>482</v>
      </c>
      <c r="BH49" s="118">
        <v>1</v>
      </c>
      <c r="BI49" s="118">
        <v>1</v>
      </c>
      <c r="BJ49" s="118">
        <v>0</v>
      </c>
      <c r="BK49" s="118">
        <v>0</v>
      </c>
      <c r="BL49" s="118">
        <v>2</v>
      </c>
      <c r="BM49" s="118">
        <v>0</v>
      </c>
      <c r="BN49" s="118">
        <v>1</v>
      </c>
      <c r="BO49" s="118">
        <v>0</v>
      </c>
      <c r="BP49" s="138">
        <v>0</v>
      </c>
      <c r="BQ49" s="125" t="s">
        <v>496</v>
      </c>
      <c r="BR49" s="118">
        <v>4</v>
      </c>
      <c r="BS49" s="118">
        <v>0</v>
      </c>
      <c r="BT49" s="118">
        <v>0</v>
      </c>
      <c r="BU49" s="118">
        <v>0</v>
      </c>
      <c r="BV49" s="118">
        <v>0</v>
      </c>
      <c r="BW49" s="118">
        <v>0</v>
      </c>
      <c r="BX49" s="118">
        <v>0</v>
      </c>
      <c r="BY49" s="118">
        <v>0</v>
      </c>
      <c r="BZ49" s="138">
        <v>0</v>
      </c>
      <c r="CA49" s="125" t="s">
        <v>387</v>
      </c>
      <c r="CB49" s="118">
        <v>4</v>
      </c>
      <c r="CC49" s="118">
        <v>1</v>
      </c>
      <c r="CD49" s="118">
        <v>1</v>
      </c>
      <c r="CE49" s="118">
        <v>4</v>
      </c>
      <c r="CF49" s="118">
        <v>0</v>
      </c>
      <c r="CG49" s="118">
        <v>2</v>
      </c>
      <c r="CH49" s="118">
        <v>0</v>
      </c>
      <c r="CI49" s="118">
        <v>0</v>
      </c>
      <c r="CJ49" s="138">
        <v>4</v>
      </c>
      <c r="CK49" s="125" t="s">
        <v>367</v>
      </c>
      <c r="CL49" s="118">
        <v>4</v>
      </c>
      <c r="CM49" s="118">
        <v>1</v>
      </c>
      <c r="CN49" s="118">
        <v>1</v>
      </c>
      <c r="CO49" s="118">
        <v>0</v>
      </c>
      <c r="CP49" s="118">
        <v>0</v>
      </c>
      <c r="CQ49" s="118">
        <v>1</v>
      </c>
      <c r="CR49" s="118">
        <v>0</v>
      </c>
      <c r="CS49" s="118">
        <v>0</v>
      </c>
      <c r="CT49" s="138">
        <v>2</v>
      </c>
      <c r="CU49" s="125" t="s">
        <v>480</v>
      </c>
      <c r="CV49" s="118">
        <v>4</v>
      </c>
      <c r="CW49" s="118">
        <v>0</v>
      </c>
      <c r="CX49" s="118">
        <v>0</v>
      </c>
      <c r="CY49" s="118">
        <v>0</v>
      </c>
      <c r="CZ49" s="118">
        <v>0</v>
      </c>
      <c r="DA49" s="118">
        <v>2</v>
      </c>
      <c r="DB49" s="118">
        <v>0</v>
      </c>
      <c r="DC49" s="118">
        <v>0</v>
      </c>
      <c r="DD49" s="138">
        <v>0</v>
      </c>
      <c r="DE49" s="125" t="s">
        <v>483</v>
      </c>
      <c r="DF49" s="118">
        <v>2</v>
      </c>
      <c r="DG49" s="118">
        <v>1</v>
      </c>
      <c r="DH49" s="118">
        <v>2</v>
      </c>
      <c r="DI49" s="118">
        <v>2</v>
      </c>
      <c r="DJ49" s="118">
        <v>1</v>
      </c>
      <c r="DK49" s="118">
        <v>0</v>
      </c>
      <c r="DL49" s="118">
        <v>0</v>
      </c>
      <c r="DM49" s="118">
        <v>0</v>
      </c>
      <c r="DN49" s="138">
        <v>5</v>
      </c>
      <c r="DO49" s="125" t="s">
        <v>491</v>
      </c>
      <c r="DP49" s="118">
        <v>3</v>
      </c>
      <c r="DQ49" s="118">
        <v>1</v>
      </c>
      <c r="DR49" s="118">
        <v>1</v>
      </c>
      <c r="DS49" s="118">
        <v>0</v>
      </c>
      <c r="DT49" s="118">
        <v>0</v>
      </c>
      <c r="DU49" s="118">
        <v>1</v>
      </c>
      <c r="DV49" s="118">
        <v>0</v>
      </c>
      <c r="DW49" s="118">
        <v>0</v>
      </c>
      <c r="DX49" s="138">
        <v>1</v>
      </c>
      <c r="DY49" s="140">
        <v>0</v>
      </c>
      <c r="DZ49" s="118">
        <v>0</v>
      </c>
      <c r="EA49" s="118">
        <v>0</v>
      </c>
      <c r="EB49" s="119">
        <v>9</v>
      </c>
      <c r="EC49" s="118">
        <v>0</v>
      </c>
      <c r="ED49" s="138">
        <v>1</v>
      </c>
      <c r="EE49" s="125">
        <v>0</v>
      </c>
      <c r="EF49" s="118">
        <v>0</v>
      </c>
      <c r="EG49" s="118">
        <v>0</v>
      </c>
      <c r="EH49" s="118">
        <v>0</v>
      </c>
      <c r="EI49" s="118">
        <v>1</v>
      </c>
      <c r="EJ49" s="118">
        <v>4</v>
      </c>
      <c r="EK49" s="118">
        <v>1</v>
      </c>
      <c r="EL49" s="118">
        <v>0</v>
      </c>
      <c r="EM49" s="118">
        <v>0</v>
      </c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38">
        <f t="shared" si="4"/>
        <v>6</v>
      </c>
      <c r="EY49" s="125">
        <v>0</v>
      </c>
      <c r="EZ49" s="118">
        <v>3</v>
      </c>
      <c r="FA49" s="118">
        <v>1</v>
      </c>
      <c r="FB49" s="118">
        <v>1</v>
      </c>
      <c r="FC49" s="118">
        <v>3</v>
      </c>
      <c r="FD49" s="118">
        <v>0</v>
      </c>
      <c r="FE49" s="118">
        <v>0</v>
      </c>
      <c r="FF49" s="118">
        <v>0</v>
      </c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38">
        <f t="shared" si="5"/>
        <v>8</v>
      </c>
      <c r="FS49" s="166">
        <f t="shared" si="6"/>
        <v>0</v>
      </c>
      <c r="FT49" s="167">
        <f t="shared" si="7"/>
        <v>0</v>
      </c>
      <c r="FU49" s="142"/>
    </row>
    <row r="50" spans="1:177" x14ac:dyDescent="0.25">
      <c r="A50" s="121">
        <v>40326</v>
      </c>
      <c r="B50" s="121" t="s">
        <v>133</v>
      </c>
      <c r="C50" s="121" t="s">
        <v>131</v>
      </c>
      <c r="D50" s="121" t="s">
        <v>503</v>
      </c>
      <c r="E50" s="120">
        <v>910</v>
      </c>
      <c r="F50" s="124">
        <v>1</v>
      </c>
      <c r="G50" s="118" t="s">
        <v>493</v>
      </c>
      <c r="H50" s="118">
        <v>0</v>
      </c>
      <c r="I50" s="118">
        <v>1</v>
      </c>
      <c r="J50" s="119">
        <v>6</v>
      </c>
      <c r="K50" s="118">
        <v>8</v>
      </c>
      <c r="L50" s="118">
        <v>5</v>
      </c>
      <c r="M50" s="118">
        <v>5</v>
      </c>
      <c r="N50" s="118">
        <v>1</v>
      </c>
      <c r="O50" s="118">
        <v>11</v>
      </c>
      <c r="P50" s="118">
        <v>1</v>
      </c>
      <c r="Q50" s="118">
        <v>0</v>
      </c>
      <c r="R50" s="118">
        <v>27</v>
      </c>
      <c r="S50" s="118"/>
      <c r="T50" s="118"/>
      <c r="U50" s="118">
        <v>0</v>
      </c>
      <c r="V50" s="138">
        <v>0</v>
      </c>
      <c r="W50" s="125">
        <v>0</v>
      </c>
      <c r="X50" s="118">
        <v>0</v>
      </c>
      <c r="Y50" s="118">
        <v>0</v>
      </c>
      <c r="Z50" s="118">
        <v>0</v>
      </c>
      <c r="AA50" s="118">
        <v>0</v>
      </c>
      <c r="AB50" s="119">
        <v>2</v>
      </c>
      <c r="AC50" s="118">
        <v>0</v>
      </c>
      <c r="AD50" s="118">
        <v>0</v>
      </c>
      <c r="AE50" s="118">
        <v>0</v>
      </c>
      <c r="AF50" s="118">
        <v>0</v>
      </c>
      <c r="AG50" s="118">
        <v>3</v>
      </c>
      <c r="AH50" s="118">
        <v>0</v>
      </c>
      <c r="AI50" s="118">
        <v>0</v>
      </c>
      <c r="AJ50" s="118">
        <v>6</v>
      </c>
      <c r="AK50" s="118"/>
      <c r="AL50" s="138"/>
      <c r="AM50" s="125" t="s">
        <v>482</v>
      </c>
      <c r="AN50" s="118">
        <v>4</v>
      </c>
      <c r="AO50" s="118">
        <v>0</v>
      </c>
      <c r="AP50" s="118">
        <v>1</v>
      </c>
      <c r="AQ50" s="118">
        <v>0</v>
      </c>
      <c r="AR50" s="118">
        <v>0</v>
      </c>
      <c r="AS50" s="118">
        <v>1</v>
      </c>
      <c r="AT50" s="118">
        <v>0</v>
      </c>
      <c r="AU50" s="118">
        <v>0</v>
      </c>
      <c r="AV50" s="138">
        <v>1</v>
      </c>
      <c r="AW50" s="125" t="s">
        <v>485</v>
      </c>
      <c r="AX50" s="118">
        <v>4</v>
      </c>
      <c r="AY50" s="118">
        <v>0</v>
      </c>
      <c r="AZ50" s="118">
        <v>0</v>
      </c>
      <c r="BA50" s="118">
        <v>0</v>
      </c>
      <c r="BB50" s="118">
        <v>0</v>
      </c>
      <c r="BC50" s="118">
        <v>1</v>
      </c>
      <c r="BD50" s="118">
        <v>0</v>
      </c>
      <c r="BE50" s="118">
        <v>0</v>
      </c>
      <c r="BF50" s="138">
        <v>0</v>
      </c>
      <c r="BG50" s="125" t="s">
        <v>387</v>
      </c>
      <c r="BH50" s="118">
        <v>4</v>
      </c>
      <c r="BI50" s="118">
        <v>0</v>
      </c>
      <c r="BJ50" s="118">
        <v>1</v>
      </c>
      <c r="BK50" s="118">
        <v>0</v>
      </c>
      <c r="BL50" s="118">
        <v>0</v>
      </c>
      <c r="BM50" s="118">
        <v>2</v>
      </c>
      <c r="BN50" s="118">
        <v>0</v>
      </c>
      <c r="BO50" s="118">
        <v>0</v>
      </c>
      <c r="BP50" s="138">
        <v>2</v>
      </c>
      <c r="BQ50" s="125" t="s">
        <v>496</v>
      </c>
      <c r="BR50" s="118">
        <v>4</v>
      </c>
      <c r="BS50" s="118">
        <v>0</v>
      </c>
      <c r="BT50" s="118">
        <v>1</v>
      </c>
      <c r="BU50" s="118">
        <v>0</v>
      </c>
      <c r="BV50" s="118">
        <v>0</v>
      </c>
      <c r="BW50" s="118">
        <v>0</v>
      </c>
      <c r="BX50" s="118">
        <v>0</v>
      </c>
      <c r="BY50" s="118">
        <v>0</v>
      </c>
      <c r="BZ50" s="138">
        <v>1</v>
      </c>
      <c r="CA50" s="125" t="s">
        <v>484</v>
      </c>
      <c r="CB50" s="118">
        <v>4</v>
      </c>
      <c r="CC50" s="118">
        <v>0</v>
      </c>
      <c r="CD50" s="118">
        <v>1</v>
      </c>
      <c r="CE50" s="118">
        <v>0</v>
      </c>
      <c r="CF50" s="118">
        <v>0</v>
      </c>
      <c r="CG50" s="118">
        <v>0</v>
      </c>
      <c r="CH50" s="118">
        <v>0</v>
      </c>
      <c r="CI50" s="118">
        <v>0</v>
      </c>
      <c r="CJ50" s="138">
        <v>1</v>
      </c>
      <c r="CK50" s="125" t="s">
        <v>501</v>
      </c>
      <c r="CL50" s="118">
        <v>4</v>
      </c>
      <c r="CM50" s="118">
        <v>0</v>
      </c>
      <c r="CN50" s="118">
        <v>1</v>
      </c>
      <c r="CO50" s="118">
        <v>0</v>
      </c>
      <c r="CP50" s="118">
        <v>0</v>
      </c>
      <c r="CQ50" s="118">
        <v>0</v>
      </c>
      <c r="CR50" s="118">
        <v>0</v>
      </c>
      <c r="CS50" s="118">
        <v>0</v>
      </c>
      <c r="CT50" s="138">
        <v>1</v>
      </c>
      <c r="CU50" s="125" t="s">
        <v>481</v>
      </c>
      <c r="CV50" s="118">
        <v>2</v>
      </c>
      <c r="CW50" s="118">
        <v>0</v>
      </c>
      <c r="CX50" s="118">
        <v>1</v>
      </c>
      <c r="CY50" s="118">
        <v>0</v>
      </c>
      <c r="CZ50" s="118">
        <v>2</v>
      </c>
      <c r="DA50" s="118">
        <v>0</v>
      </c>
      <c r="DB50" s="118">
        <v>0</v>
      </c>
      <c r="DC50" s="118">
        <v>0</v>
      </c>
      <c r="DD50" s="138">
        <v>2</v>
      </c>
      <c r="DE50" s="125" t="s">
        <v>491</v>
      </c>
      <c r="DF50" s="118">
        <v>4</v>
      </c>
      <c r="DG50" s="118">
        <v>0</v>
      </c>
      <c r="DH50" s="118">
        <v>0</v>
      </c>
      <c r="DI50" s="118">
        <v>0</v>
      </c>
      <c r="DJ50" s="118">
        <v>0</v>
      </c>
      <c r="DK50" s="118">
        <v>1</v>
      </c>
      <c r="DL50" s="118">
        <v>0</v>
      </c>
      <c r="DM50" s="118">
        <v>0</v>
      </c>
      <c r="DN50" s="138">
        <v>0</v>
      </c>
      <c r="DO50" s="125" t="s">
        <v>479</v>
      </c>
      <c r="DP50" s="118">
        <v>3</v>
      </c>
      <c r="DQ50" s="118">
        <v>0</v>
      </c>
      <c r="DR50" s="118">
        <v>1</v>
      </c>
      <c r="DS50" s="118">
        <v>0</v>
      </c>
      <c r="DT50" s="118">
        <v>0</v>
      </c>
      <c r="DU50" s="118">
        <v>2</v>
      </c>
      <c r="DV50" s="118">
        <v>0</v>
      </c>
      <c r="DW50" s="118">
        <v>0</v>
      </c>
      <c r="DX50" s="138">
        <v>1</v>
      </c>
      <c r="DY50" s="140">
        <v>4</v>
      </c>
      <c r="DZ50" s="118">
        <v>0</v>
      </c>
      <c r="EA50" s="118">
        <v>0</v>
      </c>
      <c r="EB50" s="119">
        <v>5</v>
      </c>
      <c r="EC50" s="118">
        <v>0</v>
      </c>
      <c r="ED50" s="138">
        <v>0</v>
      </c>
      <c r="EE50" s="125">
        <v>0</v>
      </c>
      <c r="EF50" s="118">
        <v>0</v>
      </c>
      <c r="EG50" s="118">
        <v>0</v>
      </c>
      <c r="EH50" s="118">
        <v>0</v>
      </c>
      <c r="EI50" s="118">
        <v>0</v>
      </c>
      <c r="EJ50" s="118">
        <v>0</v>
      </c>
      <c r="EK50" s="118">
        <v>0</v>
      </c>
      <c r="EL50" s="118">
        <v>0</v>
      </c>
      <c r="EM50" s="118">
        <v>0</v>
      </c>
      <c r="EN50" s="118"/>
      <c r="EO50" s="118"/>
      <c r="EP50" s="118"/>
      <c r="EQ50" s="118"/>
      <c r="ER50" s="118"/>
      <c r="ES50" s="118"/>
      <c r="ET50" s="118"/>
      <c r="EU50" s="118"/>
      <c r="EV50" s="118"/>
      <c r="EW50" s="118"/>
      <c r="EX50" s="138">
        <f t="shared" si="4"/>
        <v>0</v>
      </c>
      <c r="EY50" s="125">
        <v>0</v>
      </c>
      <c r="EZ50" s="118">
        <v>0</v>
      </c>
      <c r="FA50" s="118">
        <v>0</v>
      </c>
      <c r="FB50" s="118">
        <v>0</v>
      </c>
      <c r="FC50" s="118">
        <v>5</v>
      </c>
      <c r="FD50" s="118">
        <v>0</v>
      </c>
      <c r="FE50" s="118">
        <v>0</v>
      </c>
      <c r="FF50" s="118">
        <v>0</v>
      </c>
      <c r="FG50" s="118"/>
      <c r="FH50" s="118"/>
      <c r="FI50" s="118"/>
      <c r="FJ50" s="118"/>
      <c r="FK50" s="118"/>
      <c r="FL50" s="118"/>
      <c r="FM50" s="118"/>
      <c r="FN50" s="118"/>
      <c r="FO50" s="118"/>
      <c r="FP50" s="118"/>
      <c r="FQ50" s="118"/>
      <c r="FR50" s="138">
        <f t="shared" si="5"/>
        <v>5</v>
      </c>
      <c r="FS50" s="166">
        <f t="shared" si="6"/>
        <v>0</v>
      </c>
      <c r="FT50" s="167">
        <f t="shared" si="7"/>
        <v>0</v>
      </c>
      <c r="FU50" s="142" t="s">
        <v>504</v>
      </c>
    </row>
    <row r="51" spans="1:177" x14ac:dyDescent="0.25">
      <c r="A51" s="121">
        <v>40328</v>
      </c>
      <c r="B51" s="121" t="s">
        <v>133</v>
      </c>
      <c r="C51" s="121" t="s">
        <v>129</v>
      </c>
      <c r="D51" s="121" t="s">
        <v>503</v>
      </c>
      <c r="E51" s="120"/>
      <c r="F51" s="124">
        <v>2</v>
      </c>
      <c r="G51" s="118" t="s">
        <v>494</v>
      </c>
      <c r="H51" s="118">
        <v>1</v>
      </c>
      <c r="I51" s="118">
        <v>0</v>
      </c>
      <c r="J51" s="119">
        <v>6</v>
      </c>
      <c r="K51" s="118">
        <v>5</v>
      </c>
      <c r="L51" s="118">
        <v>2</v>
      </c>
      <c r="M51" s="118">
        <v>0</v>
      </c>
      <c r="N51" s="118">
        <v>0</v>
      </c>
      <c r="O51" s="118">
        <v>5</v>
      </c>
      <c r="P51" s="118">
        <v>0</v>
      </c>
      <c r="Q51" s="118">
        <v>0</v>
      </c>
      <c r="R51" s="118">
        <v>24</v>
      </c>
      <c r="S51" s="118"/>
      <c r="T51" s="118"/>
      <c r="U51" s="118">
        <v>0</v>
      </c>
      <c r="V51" s="138">
        <v>0</v>
      </c>
      <c r="W51" s="125">
        <v>0</v>
      </c>
      <c r="X51" s="118">
        <v>0</v>
      </c>
      <c r="Y51" s="118">
        <v>0</v>
      </c>
      <c r="Z51" s="118">
        <v>1</v>
      </c>
      <c r="AA51" s="118">
        <v>0</v>
      </c>
      <c r="AB51" s="119">
        <v>1</v>
      </c>
      <c r="AC51" s="118">
        <v>1</v>
      </c>
      <c r="AD51" s="118">
        <v>0</v>
      </c>
      <c r="AE51" s="118">
        <v>0</v>
      </c>
      <c r="AF51" s="118">
        <v>0</v>
      </c>
      <c r="AG51" s="118">
        <v>3</v>
      </c>
      <c r="AH51" s="118">
        <v>0</v>
      </c>
      <c r="AI51" s="118">
        <v>0</v>
      </c>
      <c r="AJ51" s="118">
        <v>4</v>
      </c>
      <c r="AK51" s="118"/>
      <c r="AL51" s="138"/>
      <c r="AM51" s="125" t="s">
        <v>486</v>
      </c>
      <c r="AN51" s="118">
        <v>3</v>
      </c>
      <c r="AO51" s="118">
        <v>0</v>
      </c>
      <c r="AP51" s="118">
        <v>0</v>
      </c>
      <c r="AQ51" s="118">
        <v>0</v>
      </c>
      <c r="AR51" s="118">
        <v>1</v>
      </c>
      <c r="AS51" s="118">
        <v>1</v>
      </c>
      <c r="AT51" s="118">
        <v>0</v>
      </c>
      <c r="AU51" s="118">
        <v>0</v>
      </c>
      <c r="AV51" s="138">
        <v>0</v>
      </c>
      <c r="AW51" s="125" t="s">
        <v>485</v>
      </c>
      <c r="AX51" s="118">
        <v>3</v>
      </c>
      <c r="AY51" s="118">
        <v>0</v>
      </c>
      <c r="AZ51" s="118">
        <v>1</v>
      </c>
      <c r="BA51" s="118">
        <v>1</v>
      </c>
      <c r="BB51" s="118">
        <v>1</v>
      </c>
      <c r="BC51" s="118">
        <v>2</v>
      </c>
      <c r="BD51" s="118">
        <v>0</v>
      </c>
      <c r="BE51" s="118">
        <v>0</v>
      </c>
      <c r="BF51" s="138">
        <v>1</v>
      </c>
      <c r="BG51" s="125" t="s">
        <v>501</v>
      </c>
      <c r="BH51" s="118">
        <v>4</v>
      </c>
      <c r="BI51" s="118">
        <v>1</v>
      </c>
      <c r="BJ51" s="118">
        <v>2</v>
      </c>
      <c r="BK51" s="118">
        <v>0</v>
      </c>
      <c r="BL51" s="118">
        <v>0</v>
      </c>
      <c r="BM51" s="118">
        <v>1</v>
      </c>
      <c r="BN51" s="118">
        <v>0</v>
      </c>
      <c r="BO51" s="118">
        <v>0</v>
      </c>
      <c r="BP51" s="138">
        <v>2</v>
      </c>
      <c r="BQ51" s="125" t="s">
        <v>496</v>
      </c>
      <c r="BR51" s="118">
        <v>3</v>
      </c>
      <c r="BS51" s="118">
        <v>1</v>
      </c>
      <c r="BT51" s="118">
        <v>0</v>
      </c>
      <c r="BU51" s="118">
        <v>0</v>
      </c>
      <c r="BV51" s="118">
        <v>1</v>
      </c>
      <c r="BW51" s="118">
        <v>0</v>
      </c>
      <c r="BX51" s="118">
        <v>0</v>
      </c>
      <c r="BY51" s="118">
        <v>0</v>
      </c>
      <c r="BZ51" s="138">
        <v>0</v>
      </c>
      <c r="CA51" s="125" t="s">
        <v>387</v>
      </c>
      <c r="CB51" s="118">
        <v>1</v>
      </c>
      <c r="CC51" s="118">
        <v>0</v>
      </c>
      <c r="CD51" s="118">
        <v>0</v>
      </c>
      <c r="CE51" s="118">
        <v>0</v>
      </c>
      <c r="CF51" s="118">
        <v>2</v>
      </c>
      <c r="CG51" s="118">
        <v>1</v>
      </c>
      <c r="CH51" s="118">
        <v>0</v>
      </c>
      <c r="CI51" s="118">
        <v>0</v>
      </c>
      <c r="CJ51" s="138">
        <v>0</v>
      </c>
      <c r="CK51" s="125" t="s">
        <v>481</v>
      </c>
      <c r="CL51" s="118">
        <v>2</v>
      </c>
      <c r="CM51" s="118">
        <v>0</v>
      </c>
      <c r="CN51" s="118">
        <v>1</v>
      </c>
      <c r="CO51" s="118">
        <v>2</v>
      </c>
      <c r="CP51" s="118">
        <v>0</v>
      </c>
      <c r="CQ51" s="118">
        <v>0</v>
      </c>
      <c r="CR51" s="118">
        <v>0</v>
      </c>
      <c r="CS51" s="118">
        <v>0</v>
      </c>
      <c r="CT51" s="138">
        <v>1</v>
      </c>
      <c r="CU51" s="125" t="s">
        <v>482</v>
      </c>
      <c r="CV51" s="118">
        <v>3</v>
      </c>
      <c r="CW51" s="118">
        <v>0</v>
      </c>
      <c r="CX51" s="118">
        <v>0</v>
      </c>
      <c r="CY51" s="118">
        <v>0</v>
      </c>
      <c r="CZ51" s="118">
        <v>0</v>
      </c>
      <c r="DA51" s="118">
        <v>3</v>
      </c>
      <c r="DB51" s="118">
        <v>0</v>
      </c>
      <c r="DC51" s="118">
        <v>0</v>
      </c>
      <c r="DD51" s="138">
        <v>0</v>
      </c>
      <c r="DE51" s="125" t="s">
        <v>480</v>
      </c>
      <c r="DF51" s="118">
        <v>2</v>
      </c>
      <c r="DG51" s="118">
        <v>1</v>
      </c>
      <c r="DH51" s="118">
        <v>0</v>
      </c>
      <c r="DI51" s="118">
        <v>0</v>
      </c>
      <c r="DJ51" s="118">
        <v>1</v>
      </c>
      <c r="DK51" s="118">
        <v>2</v>
      </c>
      <c r="DL51" s="118">
        <v>0</v>
      </c>
      <c r="DM51" s="118">
        <v>0</v>
      </c>
      <c r="DN51" s="138">
        <v>0</v>
      </c>
      <c r="DO51" s="125" t="s">
        <v>479</v>
      </c>
      <c r="DP51" s="118">
        <v>3</v>
      </c>
      <c r="DQ51" s="118">
        <v>0</v>
      </c>
      <c r="DR51" s="118">
        <v>0</v>
      </c>
      <c r="DS51" s="118">
        <v>0</v>
      </c>
      <c r="DT51" s="118">
        <v>0</v>
      </c>
      <c r="DU51" s="118">
        <v>3</v>
      </c>
      <c r="DV51" s="118">
        <v>0</v>
      </c>
      <c r="DW51" s="118">
        <v>0</v>
      </c>
      <c r="DX51" s="138">
        <v>0</v>
      </c>
      <c r="DY51" s="140">
        <v>0</v>
      </c>
      <c r="DZ51" s="118">
        <v>0</v>
      </c>
      <c r="EA51" s="118">
        <v>0</v>
      </c>
      <c r="EB51" s="119">
        <v>7</v>
      </c>
      <c r="EC51" s="118">
        <v>0</v>
      </c>
      <c r="ED51" s="138">
        <v>0</v>
      </c>
      <c r="EE51" s="125">
        <v>2</v>
      </c>
      <c r="EF51" s="118">
        <v>0</v>
      </c>
      <c r="EG51" s="118">
        <v>0</v>
      </c>
      <c r="EH51" s="118">
        <v>0</v>
      </c>
      <c r="EI51" s="118">
        <v>0</v>
      </c>
      <c r="EJ51" s="118">
        <v>0</v>
      </c>
      <c r="EK51" s="118">
        <v>1</v>
      </c>
      <c r="EL51" s="118"/>
      <c r="EM51" s="118"/>
      <c r="EN51" s="118"/>
      <c r="EO51" s="118"/>
      <c r="EP51" s="118"/>
      <c r="EQ51" s="118"/>
      <c r="ER51" s="118"/>
      <c r="ES51" s="118"/>
      <c r="ET51" s="118"/>
      <c r="EU51" s="118"/>
      <c r="EV51" s="118"/>
      <c r="EW51" s="118"/>
      <c r="EX51" s="138">
        <f t="shared" si="4"/>
        <v>3</v>
      </c>
      <c r="EY51" s="125">
        <v>1</v>
      </c>
      <c r="EZ51" s="118">
        <v>0</v>
      </c>
      <c r="FA51" s="118">
        <v>0</v>
      </c>
      <c r="FB51" s="118">
        <v>0</v>
      </c>
      <c r="FC51" s="118">
        <v>1</v>
      </c>
      <c r="FD51" s="118">
        <v>0</v>
      </c>
      <c r="FE51" s="118">
        <v>0</v>
      </c>
      <c r="FF51" s="118"/>
      <c r="FG51" s="118"/>
      <c r="FH51" s="118"/>
      <c r="FI51" s="118"/>
      <c r="FJ51" s="118"/>
      <c r="FK51" s="118"/>
      <c r="FL51" s="118"/>
      <c r="FM51" s="118"/>
      <c r="FN51" s="118"/>
      <c r="FO51" s="118"/>
      <c r="FP51" s="118"/>
      <c r="FQ51" s="118"/>
      <c r="FR51" s="138">
        <f t="shared" si="5"/>
        <v>2</v>
      </c>
      <c r="FS51" s="166">
        <f t="shared" si="6"/>
        <v>0</v>
      </c>
      <c r="FT51" s="167">
        <f t="shared" si="7"/>
        <v>0</v>
      </c>
      <c r="FU51" s="142" t="s">
        <v>475</v>
      </c>
    </row>
    <row r="52" spans="1:177" x14ac:dyDescent="0.25">
      <c r="A52" s="121">
        <v>40328</v>
      </c>
      <c r="B52" s="121" t="s">
        <v>133</v>
      </c>
      <c r="C52" s="121" t="s">
        <v>129</v>
      </c>
      <c r="D52" s="121" t="s">
        <v>503</v>
      </c>
      <c r="E52" s="120">
        <v>398</v>
      </c>
      <c r="F52" s="124">
        <v>3</v>
      </c>
      <c r="G52" s="118" t="s">
        <v>498</v>
      </c>
      <c r="H52" s="118">
        <v>1</v>
      </c>
      <c r="I52" s="118">
        <v>0</v>
      </c>
      <c r="J52" s="119">
        <v>5</v>
      </c>
      <c r="K52" s="118">
        <v>5</v>
      </c>
      <c r="L52" s="118">
        <v>3</v>
      </c>
      <c r="M52" s="118">
        <v>1</v>
      </c>
      <c r="N52" s="118">
        <v>4</v>
      </c>
      <c r="O52" s="118">
        <v>7</v>
      </c>
      <c r="P52" s="118">
        <v>0</v>
      </c>
      <c r="Q52" s="118">
        <v>0</v>
      </c>
      <c r="R52" s="118">
        <v>25</v>
      </c>
      <c r="S52" s="118"/>
      <c r="T52" s="118"/>
      <c r="U52" s="118">
        <v>0</v>
      </c>
      <c r="V52" s="138">
        <v>0</v>
      </c>
      <c r="W52" s="125">
        <v>0</v>
      </c>
      <c r="X52" s="118">
        <v>0</v>
      </c>
      <c r="Y52" s="118">
        <v>0</v>
      </c>
      <c r="Z52" s="118">
        <v>1</v>
      </c>
      <c r="AA52" s="118">
        <v>0</v>
      </c>
      <c r="AB52" s="119">
        <v>2</v>
      </c>
      <c r="AC52" s="118">
        <v>1</v>
      </c>
      <c r="AD52" s="118">
        <v>0</v>
      </c>
      <c r="AE52" s="118">
        <v>0</v>
      </c>
      <c r="AF52" s="118">
        <v>0</v>
      </c>
      <c r="AG52" s="118">
        <v>4</v>
      </c>
      <c r="AH52" s="118">
        <v>0</v>
      </c>
      <c r="AI52" s="118">
        <v>0</v>
      </c>
      <c r="AJ52" s="118">
        <v>7</v>
      </c>
      <c r="AK52" s="118"/>
      <c r="AL52" s="138"/>
      <c r="AM52" s="125" t="s">
        <v>486</v>
      </c>
      <c r="AN52" s="118">
        <v>3</v>
      </c>
      <c r="AO52" s="118">
        <v>0</v>
      </c>
      <c r="AP52" s="118">
        <v>0</v>
      </c>
      <c r="AQ52" s="118">
        <v>1</v>
      </c>
      <c r="AR52" s="118">
        <v>0</v>
      </c>
      <c r="AS52" s="118">
        <v>1</v>
      </c>
      <c r="AT52" s="118">
        <v>0</v>
      </c>
      <c r="AU52" s="118">
        <v>1</v>
      </c>
      <c r="AV52" s="138">
        <v>0</v>
      </c>
      <c r="AW52" s="125" t="s">
        <v>485</v>
      </c>
      <c r="AX52" s="118">
        <v>3</v>
      </c>
      <c r="AY52" s="118">
        <v>0</v>
      </c>
      <c r="AZ52" s="118">
        <v>0</v>
      </c>
      <c r="BA52" s="118">
        <v>1</v>
      </c>
      <c r="BB52" s="118">
        <v>0</v>
      </c>
      <c r="BC52" s="118">
        <v>1</v>
      </c>
      <c r="BD52" s="118">
        <v>0</v>
      </c>
      <c r="BE52" s="118">
        <v>1</v>
      </c>
      <c r="BF52" s="138">
        <v>0</v>
      </c>
      <c r="BG52" s="125" t="s">
        <v>387</v>
      </c>
      <c r="BH52" s="118">
        <v>3</v>
      </c>
      <c r="BI52" s="118">
        <v>0</v>
      </c>
      <c r="BJ52" s="118">
        <v>3</v>
      </c>
      <c r="BK52" s="118">
        <v>0</v>
      </c>
      <c r="BL52" s="118">
        <v>1</v>
      </c>
      <c r="BM52" s="118">
        <v>0</v>
      </c>
      <c r="BN52" s="118">
        <v>0</v>
      </c>
      <c r="BO52" s="118">
        <v>0</v>
      </c>
      <c r="BP52" s="138">
        <v>4</v>
      </c>
      <c r="BQ52" s="125" t="s">
        <v>367</v>
      </c>
      <c r="BR52" s="118">
        <v>4</v>
      </c>
      <c r="BS52" s="118">
        <v>0</v>
      </c>
      <c r="BT52" s="118">
        <v>0</v>
      </c>
      <c r="BU52" s="118">
        <v>0</v>
      </c>
      <c r="BV52" s="118">
        <v>0</v>
      </c>
      <c r="BW52" s="118">
        <v>1</v>
      </c>
      <c r="BX52" s="118">
        <v>0</v>
      </c>
      <c r="BY52" s="118">
        <v>0</v>
      </c>
      <c r="BZ52" s="138">
        <v>0</v>
      </c>
      <c r="CA52" s="125" t="s">
        <v>484</v>
      </c>
      <c r="CB52" s="118">
        <v>3</v>
      </c>
      <c r="CC52" s="118">
        <v>2</v>
      </c>
      <c r="CD52" s="118">
        <v>2</v>
      </c>
      <c r="CE52" s="118">
        <v>0</v>
      </c>
      <c r="CF52" s="118">
        <v>1</v>
      </c>
      <c r="CG52" s="118">
        <v>0</v>
      </c>
      <c r="CH52" s="118">
        <v>0</v>
      </c>
      <c r="CI52" s="118">
        <v>0</v>
      </c>
      <c r="CJ52" s="138">
        <v>3</v>
      </c>
      <c r="CK52" s="125" t="s">
        <v>496</v>
      </c>
      <c r="CL52" s="118">
        <v>4</v>
      </c>
      <c r="CM52" s="118">
        <v>1</v>
      </c>
      <c r="CN52" s="118">
        <v>2</v>
      </c>
      <c r="CO52" s="118">
        <v>0</v>
      </c>
      <c r="CP52" s="118">
        <v>0</v>
      </c>
      <c r="CQ52" s="118">
        <v>0</v>
      </c>
      <c r="CR52" s="118">
        <v>0</v>
      </c>
      <c r="CS52" s="118">
        <v>0</v>
      </c>
      <c r="CT52" s="138">
        <v>3</v>
      </c>
      <c r="CU52" s="125" t="s">
        <v>489</v>
      </c>
      <c r="CV52" s="118">
        <v>3</v>
      </c>
      <c r="CW52" s="118">
        <v>1</v>
      </c>
      <c r="CX52" s="118">
        <v>3</v>
      </c>
      <c r="CY52" s="118">
        <v>1</v>
      </c>
      <c r="CZ52" s="118">
        <v>1</v>
      </c>
      <c r="DA52" s="118">
        <v>0</v>
      </c>
      <c r="DB52" s="118">
        <v>0</v>
      </c>
      <c r="DC52" s="118">
        <v>0</v>
      </c>
      <c r="DD52" s="138">
        <v>4</v>
      </c>
      <c r="DE52" s="125" t="s">
        <v>482</v>
      </c>
      <c r="DF52" s="118">
        <v>3</v>
      </c>
      <c r="DG52" s="118">
        <v>1</v>
      </c>
      <c r="DH52" s="118">
        <v>0</v>
      </c>
      <c r="DI52" s="118">
        <v>0</v>
      </c>
      <c r="DJ52" s="118">
        <v>1</v>
      </c>
      <c r="DK52" s="118">
        <v>1</v>
      </c>
      <c r="DL52" s="118">
        <v>0</v>
      </c>
      <c r="DM52" s="118">
        <v>0</v>
      </c>
      <c r="DN52" s="138">
        <v>0</v>
      </c>
      <c r="DO52" s="125" t="s">
        <v>491</v>
      </c>
      <c r="DP52" s="118">
        <v>3</v>
      </c>
      <c r="DQ52" s="118">
        <v>0</v>
      </c>
      <c r="DR52" s="118">
        <v>1</v>
      </c>
      <c r="DS52" s="118">
        <v>1</v>
      </c>
      <c r="DT52" s="118">
        <v>0</v>
      </c>
      <c r="DU52" s="118">
        <v>0</v>
      </c>
      <c r="DV52" s="118">
        <v>0</v>
      </c>
      <c r="DW52" s="118">
        <v>0</v>
      </c>
      <c r="DX52" s="138">
        <v>1</v>
      </c>
      <c r="DY52" s="140">
        <v>0</v>
      </c>
      <c r="DZ52" s="118">
        <v>0</v>
      </c>
      <c r="EA52" s="118">
        <v>0</v>
      </c>
      <c r="EB52" s="119">
        <v>7</v>
      </c>
      <c r="EC52" s="118">
        <v>0</v>
      </c>
      <c r="ED52" s="138">
        <v>0</v>
      </c>
      <c r="EE52" s="125">
        <v>0</v>
      </c>
      <c r="EF52" s="118">
        <v>4</v>
      </c>
      <c r="EG52" s="118">
        <v>0</v>
      </c>
      <c r="EH52" s="118">
        <v>0</v>
      </c>
      <c r="EI52" s="118">
        <v>0</v>
      </c>
      <c r="EJ52" s="118">
        <v>0</v>
      </c>
      <c r="EK52" s="118">
        <v>1</v>
      </c>
      <c r="EL52" s="118"/>
      <c r="EM52" s="118"/>
      <c r="EN52" s="118"/>
      <c r="EO52" s="118"/>
      <c r="EP52" s="118"/>
      <c r="EQ52" s="118"/>
      <c r="ER52" s="118"/>
      <c r="ES52" s="118"/>
      <c r="ET52" s="118"/>
      <c r="EU52" s="118"/>
      <c r="EV52" s="118"/>
      <c r="EW52" s="118"/>
      <c r="EX52" s="138">
        <f t="shared" si="4"/>
        <v>5</v>
      </c>
      <c r="EY52" s="125">
        <v>0</v>
      </c>
      <c r="EZ52" s="118">
        <v>2</v>
      </c>
      <c r="FA52" s="118">
        <v>1</v>
      </c>
      <c r="FB52" s="118">
        <v>0</v>
      </c>
      <c r="FC52" s="118">
        <v>0</v>
      </c>
      <c r="FD52" s="118">
        <v>0</v>
      </c>
      <c r="FE52" s="118">
        <v>0</v>
      </c>
      <c r="FF52" s="118"/>
      <c r="FG52" s="118"/>
      <c r="FH52" s="118"/>
      <c r="FI52" s="118"/>
      <c r="FJ52" s="118"/>
      <c r="FK52" s="118"/>
      <c r="FL52" s="118"/>
      <c r="FM52" s="118"/>
      <c r="FN52" s="118"/>
      <c r="FO52" s="118"/>
      <c r="FP52" s="118"/>
      <c r="FQ52" s="118"/>
      <c r="FR52" s="138">
        <f t="shared" si="5"/>
        <v>3</v>
      </c>
      <c r="FS52" s="166">
        <f t="shared" si="6"/>
        <v>0</v>
      </c>
      <c r="FT52" s="167">
        <f t="shared" si="7"/>
        <v>0</v>
      </c>
      <c r="FU52" s="142" t="s">
        <v>378</v>
      </c>
    </row>
    <row r="53" spans="1:177" x14ac:dyDescent="0.25">
      <c r="A53" s="121">
        <v>40330</v>
      </c>
      <c r="B53" s="121" t="s">
        <v>133</v>
      </c>
      <c r="C53" s="121" t="s">
        <v>129</v>
      </c>
      <c r="D53" s="121" t="s">
        <v>502</v>
      </c>
      <c r="E53" s="120">
        <v>1147</v>
      </c>
      <c r="F53" s="124">
        <v>4</v>
      </c>
      <c r="G53" s="118" t="s">
        <v>490</v>
      </c>
      <c r="H53" s="118">
        <v>1</v>
      </c>
      <c r="I53" s="118">
        <v>0</v>
      </c>
      <c r="J53" s="119">
        <v>6</v>
      </c>
      <c r="K53" s="118">
        <v>5</v>
      </c>
      <c r="L53" s="118">
        <v>1</v>
      </c>
      <c r="M53" s="118">
        <v>1</v>
      </c>
      <c r="N53" s="118">
        <v>3</v>
      </c>
      <c r="O53" s="118">
        <v>5</v>
      </c>
      <c r="P53" s="118">
        <v>0</v>
      </c>
      <c r="Q53" s="118">
        <v>0</v>
      </c>
      <c r="R53" s="118">
        <v>24</v>
      </c>
      <c r="S53" s="118"/>
      <c r="T53" s="118"/>
      <c r="U53" s="118">
        <v>0</v>
      </c>
      <c r="V53" s="138">
        <v>0</v>
      </c>
      <c r="W53" s="125">
        <v>0</v>
      </c>
      <c r="X53" s="118">
        <v>0</v>
      </c>
      <c r="Y53" s="118">
        <v>1</v>
      </c>
      <c r="Z53" s="118">
        <v>1</v>
      </c>
      <c r="AA53" s="118">
        <v>0</v>
      </c>
      <c r="AB53" s="119">
        <v>3</v>
      </c>
      <c r="AC53" s="118">
        <v>3</v>
      </c>
      <c r="AD53" s="118">
        <v>0</v>
      </c>
      <c r="AE53" s="118">
        <v>0</v>
      </c>
      <c r="AF53" s="118">
        <v>0</v>
      </c>
      <c r="AG53" s="118">
        <v>4</v>
      </c>
      <c r="AH53" s="118">
        <v>0</v>
      </c>
      <c r="AI53" s="118">
        <v>0</v>
      </c>
      <c r="AJ53" s="118">
        <v>12</v>
      </c>
      <c r="AK53" s="118"/>
      <c r="AL53" s="138"/>
      <c r="AM53" s="125" t="s">
        <v>486</v>
      </c>
      <c r="AN53" s="118">
        <v>4</v>
      </c>
      <c r="AO53" s="118">
        <v>0</v>
      </c>
      <c r="AP53" s="118">
        <v>0</v>
      </c>
      <c r="AQ53" s="118">
        <v>0</v>
      </c>
      <c r="AR53" s="118">
        <v>1</v>
      </c>
      <c r="AS53" s="118">
        <v>1</v>
      </c>
      <c r="AT53" s="118">
        <v>0</v>
      </c>
      <c r="AU53" s="118">
        <v>0</v>
      </c>
      <c r="AV53" s="138">
        <v>0</v>
      </c>
      <c r="AW53" s="125" t="s">
        <v>485</v>
      </c>
      <c r="AX53" s="118">
        <v>4</v>
      </c>
      <c r="AY53" s="118">
        <v>0</v>
      </c>
      <c r="AZ53" s="118">
        <v>1</v>
      </c>
      <c r="BA53" s="118">
        <v>1</v>
      </c>
      <c r="BB53" s="118">
        <v>1</v>
      </c>
      <c r="BC53" s="118">
        <v>1</v>
      </c>
      <c r="BD53" s="118">
        <v>0</v>
      </c>
      <c r="BE53" s="118">
        <v>0</v>
      </c>
      <c r="BF53" s="138">
        <v>1</v>
      </c>
      <c r="BG53" s="125" t="s">
        <v>484</v>
      </c>
      <c r="BH53" s="118">
        <v>4</v>
      </c>
      <c r="BI53" s="118">
        <v>0</v>
      </c>
      <c r="BJ53" s="118">
        <v>2</v>
      </c>
      <c r="BK53" s="118">
        <v>0</v>
      </c>
      <c r="BL53" s="118">
        <v>1</v>
      </c>
      <c r="BM53" s="118">
        <v>1</v>
      </c>
      <c r="BN53" s="118">
        <v>0</v>
      </c>
      <c r="BO53" s="118">
        <v>0</v>
      </c>
      <c r="BP53" s="138">
        <v>2</v>
      </c>
      <c r="BQ53" s="125" t="s">
        <v>496</v>
      </c>
      <c r="BR53" s="118">
        <v>5</v>
      </c>
      <c r="BS53" s="118">
        <v>0</v>
      </c>
      <c r="BT53" s="118">
        <v>1</v>
      </c>
      <c r="BU53" s="118">
        <v>0</v>
      </c>
      <c r="BV53" s="118">
        <v>0</v>
      </c>
      <c r="BW53" s="118">
        <v>1</v>
      </c>
      <c r="BX53" s="118">
        <v>0</v>
      </c>
      <c r="BY53" s="118">
        <v>0</v>
      </c>
      <c r="BZ53" s="138">
        <v>1</v>
      </c>
      <c r="CA53" s="125" t="s">
        <v>481</v>
      </c>
      <c r="CB53" s="118">
        <v>5</v>
      </c>
      <c r="CC53" s="118">
        <v>1</v>
      </c>
      <c r="CD53" s="118">
        <v>1</v>
      </c>
      <c r="CE53" s="118">
        <v>0</v>
      </c>
      <c r="CF53" s="118">
        <v>0</v>
      </c>
      <c r="CG53" s="118">
        <v>0</v>
      </c>
      <c r="CH53" s="118">
        <v>0</v>
      </c>
      <c r="CI53" s="118">
        <v>0</v>
      </c>
      <c r="CJ53" s="138">
        <v>2</v>
      </c>
      <c r="CK53" s="125" t="s">
        <v>367</v>
      </c>
      <c r="CL53" s="118">
        <v>4</v>
      </c>
      <c r="CM53" s="118">
        <v>1</v>
      </c>
      <c r="CN53" s="118">
        <v>2</v>
      </c>
      <c r="CO53" s="118">
        <v>0</v>
      </c>
      <c r="CP53" s="118">
        <v>1</v>
      </c>
      <c r="CQ53" s="118">
        <v>0</v>
      </c>
      <c r="CR53" s="118">
        <v>0</v>
      </c>
      <c r="CS53" s="118">
        <v>0</v>
      </c>
      <c r="CT53" s="138">
        <v>2</v>
      </c>
      <c r="CU53" s="125" t="s">
        <v>501</v>
      </c>
      <c r="CV53" s="118">
        <v>5</v>
      </c>
      <c r="CW53" s="118">
        <v>2</v>
      </c>
      <c r="CX53" s="118">
        <v>3</v>
      </c>
      <c r="CY53" s="118">
        <v>3</v>
      </c>
      <c r="CZ53" s="118">
        <v>0</v>
      </c>
      <c r="DA53" s="118">
        <v>0</v>
      </c>
      <c r="DB53" s="118">
        <v>0</v>
      </c>
      <c r="DC53" s="118">
        <v>0</v>
      </c>
      <c r="DD53" s="138">
        <v>7</v>
      </c>
      <c r="DE53" s="125" t="s">
        <v>482</v>
      </c>
      <c r="DF53" s="118">
        <v>3</v>
      </c>
      <c r="DG53" s="118">
        <v>0</v>
      </c>
      <c r="DH53" s="118">
        <v>1</v>
      </c>
      <c r="DI53" s="118">
        <v>0</v>
      </c>
      <c r="DJ53" s="118">
        <v>1</v>
      </c>
      <c r="DK53" s="118">
        <v>1</v>
      </c>
      <c r="DL53" s="118">
        <v>0</v>
      </c>
      <c r="DM53" s="118">
        <v>0</v>
      </c>
      <c r="DN53" s="138">
        <v>2</v>
      </c>
      <c r="DO53" s="125" t="s">
        <v>491</v>
      </c>
      <c r="DP53" s="118">
        <v>3</v>
      </c>
      <c r="DQ53" s="118">
        <v>0</v>
      </c>
      <c r="DR53" s="118">
        <v>0</v>
      </c>
      <c r="DS53" s="118">
        <v>0</v>
      </c>
      <c r="DT53" s="118">
        <v>1</v>
      </c>
      <c r="DU53" s="118">
        <v>0</v>
      </c>
      <c r="DV53" s="118">
        <v>0</v>
      </c>
      <c r="DW53" s="118">
        <v>0</v>
      </c>
      <c r="DX53" s="138">
        <v>0</v>
      </c>
      <c r="DY53" s="140">
        <f>1+1/3</f>
        <v>1.3333333333333333</v>
      </c>
      <c r="DZ53" s="118">
        <v>1</v>
      </c>
      <c r="EA53" s="118">
        <v>0</v>
      </c>
      <c r="EB53" s="119">
        <f>7+2/3</f>
        <v>7.666666666666667</v>
      </c>
      <c r="EC53" s="118">
        <v>1</v>
      </c>
      <c r="ED53" s="138">
        <v>0</v>
      </c>
      <c r="EE53" s="125">
        <v>0</v>
      </c>
      <c r="EF53" s="118">
        <v>3</v>
      </c>
      <c r="EG53" s="118">
        <v>0</v>
      </c>
      <c r="EH53" s="118">
        <v>0</v>
      </c>
      <c r="EI53" s="118">
        <v>0</v>
      </c>
      <c r="EJ53" s="118">
        <v>1</v>
      </c>
      <c r="EK53" s="118">
        <v>0</v>
      </c>
      <c r="EL53" s="118">
        <v>0</v>
      </c>
      <c r="EM53" s="118">
        <v>0</v>
      </c>
      <c r="EN53" s="118"/>
      <c r="EO53" s="118"/>
      <c r="EP53" s="118"/>
      <c r="EQ53" s="118"/>
      <c r="ER53" s="118"/>
      <c r="ES53" s="118"/>
      <c r="ET53" s="118"/>
      <c r="EU53" s="118"/>
      <c r="EV53" s="118"/>
      <c r="EW53" s="118"/>
      <c r="EX53" s="138">
        <f t="shared" si="4"/>
        <v>4</v>
      </c>
      <c r="EY53" s="125">
        <v>0</v>
      </c>
      <c r="EZ53" s="118">
        <v>0</v>
      </c>
      <c r="FA53" s="118">
        <v>0</v>
      </c>
      <c r="FB53" s="118">
        <v>0</v>
      </c>
      <c r="FC53" s="118">
        <v>0</v>
      </c>
      <c r="FD53" s="118">
        <v>1</v>
      </c>
      <c r="FE53" s="118">
        <v>0</v>
      </c>
      <c r="FF53" s="118">
        <v>0</v>
      </c>
      <c r="FG53" s="118">
        <v>0</v>
      </c>
      <c r="FH53" s="118"/>
      <c r="FI53" s="118"/>
      <c r="FJ53" s="118"/>
      <c r="FK53" s="118"/>
      <c r="FL53" s="118"/>
      <c r="FM53" s="118"/>
      <c r="FN53" s="118"/>
      <c r="FO53" s="118"/>
      <c r="FP53" s="118"/>
      <c r="FQ53" s="118"/>
      <c r="FR53" s="138">
        <f t="shared" si="5"/>
        <v>1</v>
      </c>
      <c r="FS53" s="166">
        <f t="shared" si="6"/>
        <v>0</v>
      </c>
      <c r="FT53" s="167">
        <f t="shared" si="7"/>
        <v>0</v>
      </c>
      <c r="FU53" s="142"/>
    </row>
    <row r="54" spans="1:177" x14ac:dyDescent="0.25">
      <c r="A54" s="121">
        <v>40331</v>
      </c>
      <c r="B54" s="121" t="s">
        <v>133</v>
      </c>
      <c r="C54" s="121" t="s">
        <v>129</v>
      </c>
      <c r="D54" s="121" t="s">
        <v>502</v>
      </c>
      <c r="E54" s="120">
        <v>654</v>
      </c>
      <c r="F54" s="124">
        <v>5</v>
      </c>
      <c r="G54" s="118" t="s">
        <v>487</v>
      </c>
      <c r="H54" s="118">
        <v>1</v>
      </c>
      <c r="I54" s="118">
        <v>0</v>
      </c>
      <c r="J54" s="119">
        <v>6</v>
      </c>
      <c r="K54" s="118">
        <v>5</v>
      </c>
      <c r="L54" s="118">
        <v>1</v>
      </c>
      <c r="M54" s="118">
        <v>0</v>
      </c>
      <c r="N54" s="118">
        <v>1</v>
      </c>
      <c r="O54" s="118">
        <v>0</v>
      </c>
      <c r="P54" s="118">
        <v>0</v>
      </c>
      <c r="Q54" s="118">
        <v>0</v>
      </c>
      <c r="R54" s="118">
        <v>25</v>
      </c>
      <c r="S54" s="118"/>
      <c r="T54" s="118"/>
      <c r="U54" s="118">
        <v>0</v>
      </c>
      <c r="V54" s="138">
        <v>0</v>
      </c>
      <c r="W54" s="125">
        <v>0</v>
      </c>
      <c r="X54" s="118">
        <v>0</v>
      </c>
      <c r="Y54" s="118">
        <v>1</v>
      </c>
      <c r="Z54" s="118">
        <v>1</v>
      </c>
      <c r="AA54" s="118">
        <v>0</v>
      </c>
      <c r="AB54" s="119">
        <v>3</v>
      </c>
      <c r="AC54" s="118">
        <v>0</v>
      </c>
      <c r="AD54" s="118">
        <v>0</v>
      </c>
      <c r="AE54" s="118">
        <v>0</v>
      </c>
      <c r="AF54" s="118">
        <v>0</v>
      </c>
      <c r="AG54" s="118">
        <v>4</v>
      </c>
      <c r="AH54" s="118">
        <v>0</v>
      </c>
      <c r="AI54" s="118">
        <v>0</v>
      </c>
      <c r="AJ54" s="118">
        <v>9</v>
      </c>
      <c r="AK54" s="118"/>
      <c r="AL54" s="138"/>
      <c r="AM54" s="125" t="s">
        <v>486</v>
      </c>
      <c r="AN54" s="118">
        <v>5</v>
      </c>
      <c r="AO54" s="118">
        <v>0</v>
      </c>
      <c r="AP54" s="118">
        <v>3</v>
      </c>
      <c r="AQ54" s="118">
        <v>1</v>
      </c>
      <c r="AR54" s="118">
        <v>0</v>
      </c>
      <c r="AS54" s="118">
        <v>0</v>
      </c>
      <c r="AT54" s="118">
        <v>0</v>
      </c>
      <c r="AU54" s="118">
        <v>0</v>
      </c>
      <c r="AV54" s="138">
        <v>4</v>
      </c>
      <c r="AW54" s="125" t="s">
        <v>485</v>
      </c>
      <c r="AX54" s="118">
        <v>5</v>
      </c>
      <c r="AY54" s="118">
        <v>1</v>
      </c>
      <c r="AZ54" s="118">
        <v>1</v>
      </c>
      <c r="BA54" s="118">
        <v>0</v>
      </c>
      <c r="BB54" s="118">
        <v>0</v>
      </c>
      <c r="BC54" s="118">
        <v>2</v>
      </c>
      <c r="BD54" s="118">
        <v>0</v>
      </c>
      <c r="BE54" s="118">
        <v>0</v>
      </c>
      <c r="BF54" s="138">
        <v>1</v>
      </c>
      <c r="BG54" s="125" t="s">
        <v>501</v>
      </c>
      <c r="BH54" s="118">
        <v>4</v>
      </c>
      <c r="BI54" s="118">
        <v>1</v>
      </c>
      <c r="BJ54" s="118">
        <v>1</v>
      </c>
      <c r="BK54" s="118">
        <v>0</v>
      </c>
      <c r="BL54" s="118">
        <v>0</v>
      </c>
      <c r="BM54" s="118">
        <v>0</v>
      </c>
      <c r="BN54" s="118">
        <v>0</v>
      </c>
      <c r="BO54" s="118">
        <v>0</v>
      </c>
      <c r="BP54" s="138">
        <v>1</v>
      </c>
      <c r="BQ54" s="125" t="s">
        <v>496</v>
      </c>
      <c r="BR54" s="118">
        <v>4</v>
      </c>
      <c r="BS54" s="118">
        <v>0</v>
      </c>
      <c r="BT54" s="118">
        <v>2</v>
      </c>
      <c r="BU54" s="118">
        <v>2</v>
      </c>
      <c r="BV54" s="118">
        <v>0</v>
      </c>
      <c r="BW54" s="118">
        <v>0</v>
      </c>
      <c r="BX54" s="118">
        <v>0</v>
      </c>
      <c r="BY54" s="118">
        <v>0</v>
      </c>
      <c r="BZ54" s="138">
        <v>2</v>
      </c>
      <c r="CA54" s="125" t="s">
        <v>481</v>
      </c>
      <c r="CB54" s="118">
        <v>3</v>
      </c>
      <c r="CC54" s="118">
        <v>0</v>
      </c>
      <c r="CD54" s="118">
        <v>1</v>
      </c>
      <c r="CE54" s="118">
        <v>0</v>
      </c>
      <c r="CF54" s="118">
        <v>1</v>
      </c>
      <c r="CG54" s="118">
        <v>0</v>
      </c>
      <c r="CH54" s="118">
        <v>0</v>
      </c>
      <c r="CI54" s="118">
        <v>0</v>
      </c>
      <c r="CJ54" s="138">
        <v>1</v>
      </c>
      <c r="CK54" s="125" t="s">
        <v>367</v>
      </c>
      <c r="CL54" s="118">
        <v>4</v>
      </c>
      <c r="CM54" s="118">
        <v>0</v>
      </c>
      <c r="CN54" s="118">
        <v>0</v>
      </c>
      <c r="CO54" s="118">
        <v>0</v>
      </c>
      <c r="CP54" s="118">
        <v>0</v>
      </c>
      <c r="CQ54" s="118">
        <v>0</v>
      </c>
      <c r="CR54" s="118">
        <v>0</v>
      </c>
      <c r="CS54" s="118">
        <v>0</v>
      </c>
      <c r="CT54" s="138">
        <v>0</v>
      </c>
      <c r="CU54" s="125" t="s">
        <v>489</v>
      </c>
      <c r="CV54" s="118">
        <v>4</v>
      </c>
      <c r="CW54" s="118">
        <v>1</v>
      </c>
      <c r="CX54" s="118">
        <v>1</v>
      </c>
      <c r="CY54" s="118">
        <v>0</v>
      </c>
      <c r="CZ54" s="118">
        <v>0</v>
      </c>
      <c r="DA54" s="118">
        <v>0</v>
      </c>
      <c r="DB54" s="118">
        <v>0</v>
      </c>
      <c r="DC54" s="118">
        <v>0</v>
      </c>
      <c r="DD54" s="138">
        <v>2</v>
      </c>
      <c r="DE54" s="125" t="s">
        <v>480</v>
      </c>
      <c r="DF54" s="118">
        <v>4</v>
      </c>
      <c r="DG54" s="118">
        <v>1</v>
      </c>
      <c r="DH54" s="118">
        <v>2</v>
      </c>
      <c r="DI54" s="118">
        <v>1</v>
      </c>
      <c r="DJ54" s="118">
        <v>0</v>
      </c>
      <c r="DK54" s="118">
        <v>1</v>
      </c>
      <c r="DL54" s="118">
        <v>0</v>
      </c>
      <c r="DM54" s="118">
        <v>0</v>
      </c>
      <c r="DN54" s="138">
        <v>3</v>
      </c>
      <c r="DO54" s="125" t="s">
        <v>491</v>
      </c>
      <c r="DP54" s="118">
        <v>3</v>
      </c>
      <c r="DQ54" s="118">
        <v>0</v>
      </c>
      <c r="DR54" s="118">
        <v>1</v>
      </c>
      <c r="DS54" s="118">
        <v>0</v>
      </c>
      <c r="DT54" s="118">
        <v>0</v>
      </c>
      <c r="DU54" s="118">
        <v>0</v>
      </c>
      <c r="DV54" s="118">
        <v>0</v>
      </c>
      <c r="DW54" s="118">
        <v>0</v>
      </c>
      <c r="DX54" s="138">
        <v>1</v>
      </c>
      <c r="DY54" s="140">
        <v>2</v>
      </c>
      <c r="DZ54" s="118">
        <v>0</v>
      </c>
      <c r="EA54" s="118">
        <v>1</v>
      </c>
      <c r="EB54" s="119">
        <v>7</v>
      </c>
      <c r="EC54" s="118">
        <v>0</v>
      </c>
      <c r="ED54" s="138">
        <v>1</v>
      </c>
      <c r="EE54" s="125">
        <v>2</v>
      </c>
      <c r="EF54" s="118">
        <v>0</v>
      </c>
      <c r="EG54" s="118">
        <v>0</v>
      </c>
      <c r="EH54" s="118">
        <v>0</v>
      </c>
      <c r="EI54" s="118">
        <v>0</v>
      </c>
      <c r="EJ54" s="118">
        <v>0</v>
      </c>
      <c r="EK54" s="118">
        <v>0</v>
      </c>
      <c r="EL54" s="118">
        <v>0</v>
      </c>
      <c r="EM54" s="118">
        <v>2</v>
      </c>
      <c r="EN54" s="118"/>
      <c r="EO54" s="118"/>
      <c r="EP54" s="118"/>
      <c r="EQ54" s="118"/>
      <c r="ER54" s="118"/>
      <c r="ES54" s="118"/>
      <c r="ET54" s="118"/>
      <c r="EU54" s="118"/>
      <c r="EV54" s="118"/>
      <c r="EW54" s="118"/>
      <c r="EX54" s="138">
        <f t="shared" si="4"/>
        <v>4</v>
      </c>
      <c r="EY54" s="125">
        <v>1</v>
      </c>
      <c r="EZ54" s="118">
        <v>0</v>
      </c>
      <c r="FA54" s="118">
        <v>0</v>
      </c>
      <c r="FB54" s="118">
        <v>0</v>
      </c>
      <c r="FC54" s="118">
        <v>0</v>
      </c>
      <c r="FD54" s="118">
        <v>0</v>
      </c>
      <c r="FE54" s="118">
        <v>0</v>
      </c>
      <c r="FF54" s="118">
        <v>0</v>
      </c>
      <c r="FG54" s="118">
        <v>0</v>
      </c>
      <c r="FH54" s="118"/>
      <c r="FI54" s="118"/>
      <c r="FJ54" s="118"/>
      <c r="FK54" s="118"/>
      <c r="FL54" s="118"/>
      <c r="FM54" s="118"/>
      <c r="FN54" s="118"/>
      <c r="FO54" s="118"/>
      <c r="FP54" s="118"/>
      <c r="FQ54" s="118"/>
      <c r="FR54" s="138">
        <f t="shared" si="5"/>
        <v>1</v>
      </c>
      <c r="FS54" s="166">
        <f t="shared" si="6"/>
        <v>0</v>
      </c>
      <c r="FT54" s="167">
        <f t="shared" si="7"/>
        <v>0</v>
      </c>
      <c r="FU54" s="142"/>
    </row>
    <row r="55" spans="1:177" x14ac:dyDescent="0.25">
      <c r="A55" s="121">
        <v>40332</v>
      </c>
      <c r="B55" s="121" t="s">
        <v>133</v>
      </c>
      <c r="C55" s="121" t="s">
        <v>131</v>
      </c>
      <c r="D55" s="121" t="s">
        <v>502</v>
      </c>
      <c r="E55" s="120">
        <v>1213</v>
      </c>
      <c r="F55" s="124">
        <v>1</v>
      </c>
      <c r="G55" s="118" t="s">
        <v>493</v>
      </c>
      <c r="H55" s="118">
        <v>0</v>
      </c>
      <c r="I55" s="118">
        <v>1</v>
      </c>
      <c r="J55" s="119">
        <v>6</v>
      </c>
      <c r="K55" s="118">
        <v>6</v>
      </c>
      <c r="L55" s="118">
        <v>6</v>
      </c>
      <c r="M55" s="118">
        <v>5</v>
      </c>
      <c r="N55" s="118">
        <v>3</v>
      </c>
      <c r="O55" s="118">
        <v>5</v>
      </c>
      <c r="P55" s="118">
        <v>1</v>
      </c>
      <c r="Q55" s="118">
        <v>0</v>
      </c>
      <c r="R55" s="118">
        <v>25</v>
      </c>
      <c r="S55" s="118"/>
      <c r="T55" s="118"/>
      <c r="U55" s="118">
        <v>0</v>
      </c>
      <c r="V55" s="138">
        <v>0</v>
      </c>
      <c r="W55" s="125">
        <v>0</v>
      </c>
      <c r="X55" s="118">
        <v>0</v>
      </c>
      <c r="Y55" s="118">
        <v>0</v>
      </c>
      <c r="Z55" s="118">
        <v>0</v>
      </c>
      <c r="AA55" s="118">
        <v>0</v>
      </c>
      <c r="AB55" s="119">
        <v>2</v>
      </c>
      <c r="AC55" s="118">
        <v>0</v>
      </c>
      <c r="AD55" s="118">
        <v>0</v>
      </c>
      <c r="AE55" s="118">
        <v>0</v>
      </c>
      <c r="AF55" s="118">
        <v>0</v>
      </c>
      <c r="AG55" s="118">
        <v>2</v>
      </c>
      <c r="AH55" s="118">
        <v>0</v>
      </c>
      <c r="AI55" s="118">
        <v>0</v>
      </c>
      <c r="AJ55" s="118">
        <v>7</v>
      </c>
      <c r="AK55" s="118"/>
      <c r="AL55" s="138"/>
      <c r="AM55" s="125" t="s">
        <v>486</v>
      </c>
      <c r="AN55" s="118">
        <v>4</v>
      </c>
      <c r="AO55" s="118">
        <v>0</v>
      </c>
      <c r="AP55" s="118">
        <v>1</v>
      </c>
      <c r="AQ55" s="118">
        <v>0</v>
      </c>
      <c r="AR55" s="118">
        <v>1</v>
      </c>
      <c r="AS55" s="118">
        <v>1</v>
      </c>
      <c r="AT55" s="118">
        <v>0</v>
      </c>
      <c r="AU55" s="118">
        <v>0</v>
      </c>
      <c r="AV55" s="138">
        <v>1</v>
      </c>
      <c r="AW55" s="125" t="s">
        <v>491</v>
      </c>
      <c r="AX55" s="118">
        <v>5</v>
      </c>
      <c r="AY55" s="118">
        <v>0</v>
      </c>
      <c r="AZ55" s="118">
        <v>0</v>
      </c>
      <c r="BA55" s="118">
        <v>0</v>
      </c>
      <c r="BB55" s="118">
        <v>0</v>
      </c>
      <c r="BC55" s="118">
        <v>3</v>
      </c>
      <c r="BD55" s="118">
        <v>0</v>
      </c>
      <c r="BE55" s="118">
        <v>0</v>
      </c>
      <c r="BF55" s="138">
        <v>0</v>
      </c>
      <c r="BG55" s="125" t="s">
        <v>501</v>
      </c>
      <c r="BH55" s="118">
        <v>4</v>
      </c>
      <c r="BI55" s="118">
        <v>0</v>
      </c>
      <c r="BJ55" s="118">
        <v>0</v>
      </c>
      <c r="BK55" s="118">
        <v>0</v>
      </c>
      <c r="BL55" s="118">
        <v>0</v>
      </c>
      <c r="BM55" s="118">
        <v>0</v>
      </c>
      <c r="BN55" s="118">
        <v>0</v>
      </c>
      <c r="BO55" s="118">
        <v>0</v>
      </c>
      <c r="BP55" s="138">
        <v>0</v>
      </c>
      <c r="BQ55" s="125" t="s">
        <v>496</v>
      </c>
      <c r="BR55" s="118">
        <v>4</v>
      </c>
      <c r="BS55" s="118">
        <v>0</v>
      </c>
      <c r="BT55" s="118">
        <v>0</v>
      </c>
      <c r="BU55" s="118">
        <v>0</v>
      </c>
      <c r="BV55" s="118">
        <v>0</v>
      </c>
      <c r="BW55" s="118">
        <v>3</v>
      </c>
      <c r="BX55" s="118">
        <v>0</v>
      </c>
      <c r="BY55" s="118">
        <v>0</v>
      </c>
      <c r="BZ55" s="138">
        <v>0</v>
      </c>
      <c r="CA55" s="125" t="s">
        <v>484</v>
      </c>
      <c r="CB55" s="118">
        <v>4</v>
      </c>
      <c r="CC55" s="118">
        <v>2</v>
      </c>
      <c r="CD55" s="118">
        <v>3</v>
      </c>
      <c r="CE55" s="118">
        <v>1</v>
      </c>
      <c r="CF55" s="118">
        <v>0</v>
      </c>
      <c r="CG55" s="118">
        <v>0</v>
      </c>
      <c r="CH55" s="118">
        <v>0</v>
      </c>
      <c r="CI55" s="118">
        <v>0</v>
      </c>
      <c r="CJ55" s="138">
        <v>6</v>
      </c>
      <c r="CK55" s="125" t="s">
        <v>483</v>
      </c>
      <c r="CL55" s="118">
        <v>3</v>
      </c>
      <c r="CM55" s="118">
        <v>1</v>
      </c>
      <c r="CN55" s="118">
        <v>2</v>
      </c>
      <c r="CO55" s="118">
        <v>1</v>
      </c>
      <c r="CP55" s="118">
        <v>1</v>
      </c>
      <c r="CQ55" s="118">
        <v>0</v>
      </c>
      <c r="CR55" s="118">
        <v>0</v>
      </c>
      <c r="CS55" s="118">
        <v>0</v>
      </c>
      <c r="CT55" s="138">
        <v>3</v>
      </c>
      <c r="CU55" s="125" t="s">
        <v>489</v>
      </c>
      <c r="CV55" s="118">
        <v>3</v>
      </c>
      <c r="CW55" s="118">
        <v>0</v>
      </c>
      <c r="CX55" s="118">
        <v>1</v>
      </c>
      <c r="CY55" s="118">
        <v>0</v>
      </c>
      <c r="CZ55" s="118">
        <v>1</v>
      </c>
      <c r="DA55" s="118">
        <v>1</v>
      </c>
      <c r="DB55" s="118">
        <v>0</v>
      </c>
      <c r="DC55" s="118">
        <v>0</v>
      </c>
      <c r="DD55" s="138">
        <v>1</v>
      </c>
      <c r="DE55" s="125" t="s">
        <v>480</v>
      </c>
      <c r="DF55" s="118">
        <v>4</v>
      </c>
      <c r="DG55" s="118">
        <v>0</v>
      </c>
      <c r="DH55" s="118">
        <v>0</v>
      </c>
      <c r="DI55" s="118">
        <v>0</v>
      </c>
      <c r="DJ55" s="118">
        <v>0</v>
      </c>
      <c r="DK55" s="118">
        <v>1</v>
      </c>
      <c r="DL55" s="118">
        <v>0</v>
      </c>
      <c r="DM55" s="118">
        <v>0</v>
      </c>
      <c r="DN55" s="138">
        <v>0</v>
      </c>
      <c r="DO55" s="125" t="s">
        <v>479</v>
      </c>
      <c r="DP55" s="118">
        <v>4</v>
      </c>
      <c r="DQ55" s="118">
        <v>0</v>
      </c>
      <c r="DR55" s="118">
        <v>1</v>
      </c>
      <c r="DS55" s="118">
        <v>0</v>
      </c>
      <c r="DT55" s="118">
        <v>0</v>
      </c>
      <c r="DU55" s="118">
        <v>2</v>
      </c>
      <c r="DV55" s="118">
        <v>0</v>
      </c>
      <c r="DW55" s="118">
        <v>0</v>
      </c>
      <c r="DX55" s="138">
        <v>1</v>
      </c>
      <c r="DY55" s="140">
        <f>1+1/3</f>
        <v>1.3333333333333333</v>
      </c>
      <c r="DZ55" s="118">
        <v>0</v>
      </c>
      <c r="EA55" s="118">
        <v>0</v>
      </c>
      <c r="EB55" s="119">
        <f>7+2/3</f>
        <v>7.666666666666667</v>
      </c>
      <c r="EC55" s="118">
        <v>0</v>
      </c>
      <c r="ED55" s="138">
        <v>0</v>
      </c>
      <c r="EE55" s="125">
        <v>0</v>
      </c>
      <c r="EF55" s="118">
        <v>1</v>
      </c>
      <c r="EG55" s="118">
        <v>0</v>
      </c>
      <c r="EH55" s="118">
        <v>0</v>
      </c>
      <c r="EI55" s="118">
        <v>0</v>
      </c>
      <c r="EJ55" s="118">
        <v>0</v>
      </c>
      <c r="EK55" s="118">
        <v>0</v>
      </c>
      <c r="EL55" s="118">
        <v>0</v>
      </c>
      <c r="EM55" s="118">
        <v>2</v>
      </c>
      <c r="EN55" s="118"/>
      <c r="EO55" s="118"/>
      <c r="EP55" s="118"/>
      <c r="EQ55" s="118"/>
      <c r="ER55" s="118"/>
      <c r="ES55" s="118"/>
      <c r="ET55" s="118"/>
      <c r="EU55" s="118"/>
      <c r="EV55" s="118"/>
      <c r="EW55" s="118"/>
      <c r="EX55" s="138">
        <f t="shared" si="4"/>
        <v>3</v>
      </c>
      <c r="EY55" s="125">
        <v>5</v>
      </c>
      <c r="EZ55" s="118">
        <v>0</v>
      </c>
      <c r="FA55" s="118">
        <v>0</v>
      </c>
      <c r="FB55" s="118">
        <v>0</v>
      </c>
      <c r="FC55" s="118">
        <v>1</v>
      </c>
      <c r="FD55" s="118">
        <v>0</v>
      </c>
      <c r="FE55" s="118">
        <v>0</v>
      </c>
      <c r="FF55" s="118">
        <v>0</v>
      </c>
      <c r="FG55" s="118"/>
      <c r="FH55" s="118"/>
      <c r="FI55" s="118"/>
      <c r="FJ55" s="118"/>
      <c r="FK55" s="118"/>
      <c r="FL55" s="118"/>
      <c r="FM55" s="118"/>
      <c r="FN55" s="118"/>
      <c r="FO55" s="118"/>
      <c r="FP55" s="118"/>
      <c r="FQ55" s="118"/>
      <c r="FR55" s="138">
        <f t="shared" si="5"/>
        <v>6</v>
      </c>
      <c r="FS55" s="166">
        <f t="shared" si="6"/>
        <v>0</v>
      </c>
      <c r="FT55" s="167">
        <f t="shared" si="7"/>
        <v>0</v>
      </c>
      <c r="FU55" s="142"/>
    </row>
    <row r="56" spans="1:177" x14ac:dyDescent="0.25">
      <c r="A56" s="121">
        <v>40333</v>
      </c>
      <c r="B56" s="121" t="s">
        <v>133</v>
      </c>
      <c r="C56" s="121" t="s">
        <v>129</v>
      </c>
      <c r="D56" s="121" t="s">
        <v>502</v>
      </c>
      <c r="E56" s="120">
        <v>2275</v>
      </c>
      <c r="F56" s="124">
        <v>2</v>
      </c>
      <c r="G56" s="118" t="s">
        <v>494</v>
      </c>
      <c r="H56" s="118">
        <v>0</v>
      </c>
      <c r="I56" s="118">
        <v>0</v>
      </c>
      <c r="J56" s="119">
        <f>7+1/3</f>
        <v>7.333333333333333</v>
      </c>
      <c r="K56" s="118">
        <v>2</v>
      </c>
      <c r="L56" s="118">
        <v>0</v>
      </c>
      <c r="M56" s="118">
        <v>0</v>
      </c>
      <c r="N56" s="118">
        <v>2</v>
      </c>
      <c r="O56" s="118">
        <v>9</v>
      </c>
      <c r="P56" s="118">
        <v>0</v>
      </c>
      <c r="Q56" s="118">
        <v>1</v>
      </c>
      <c r="R56" s="118">
        <v>25</v>
      </c>
      <c r="S56" s="118"/>
      <c r="T56" s="118"/>
      <c r="U56" s="118">
        <v>1</v>
      </c>
      <c r="V56" s="138">
        <v>0</v>
      </c>
      <c r="W56" s="125">
        <v>1</v>
      </c>
      <c r="X56" s="118">
        <v>0</v>
      </c>
      <c r="Y56" s="118">
        <v>0</v>
      </c>
      <c r="Z56" s="118">
        <v>1</v>
      </c>
      <c r="AA56" s="118">
        <v>0</v>
      </c>
      <c r="AB56" s="119">
        <f>4+2/3</f>
        <v>4.666666666666667</v>
      </c>
      <c r="AC56" s="118">
        <v>2</v>
      </c>
      <c r="AD56" s="118">
        <v>0</v>
      </c>
      <c r="AE56" s="118">
        <v>0</v>
      </c>
      <c r="AF56" s="118">
        <v>1</v>
      </c>
      <c r="AG56" s="118">
        <v>9</v>
      </c>
      <c r="AH56" s="118">
        <v>0</v>
      </c>
      <c r="AI56" s="118">
        <v>0</v>
      </c>
      <c r="AJ56" s="118">
        <v>17</v>
      </c>
      <c r="AK56" s="118"/>
      <c r="AL56" s="138"/>
      <c r="AM56" s="125" t="s">
        <v>486</v>
      </c>
      <c r="AN56" s="118">
        <v>6</v>
      </c>
      <c r="AO56" s="118">
        <v>0</v>
      </c>
      <c r="AP56" s="118">
        <v>0</v>
      </c>
      <c r="AQ56" s="118">
        <v>0</v>
      </c>
      <c r="AR56" s="118">
        <v>0</v>
      </c>
      <c r="AS56" s="118">
        <v>0</v>
      </c>
      <c r="AT56" s="118">
        <v>0</v>
      </c>
      <c r="AU56" s="118">
        <v>0</v>
      </c>
      <c r="AV56" s="138">
        <v>0</v>
      </c>
      <c r="AW56" s="125" t="s">
        <v>485</v>
      </c>
      <c r="AX56" s="118">
        <v>4</v>
      </c>
      <c r="AY56" s="118">
        <v>0</v>
      </c>
      <c r="AZ56" s="118">
        <v>0</v>
      </c>
      <c r="BA56" s="118">
        <v>0</v>
      </c>
      <c r="BB56" s="118">
        <v>1</v>
      </c>
      <c r="BC56" s="118">
        <v>1</v>
      </c>
      <c r="BD56" s="118">
        <v>0</v>
      </c>
      <c r="BE56" s="118">
        <v>0</v>
      </c>
      <c r="BF56" s="138">
        <v>0</v>
      </c>
      <c r="BG56" s="125" t="s">
        <v>367</v>
      </c>
      <c r="BH56" s="118">
        <v>5</v>
      </c>
      <c r="BI56" s="118">
        <v>0</v>
      </c>
      <c r="BJ56" s="118">
        <v>2</v>
      </c>
      <c r="BK56" s="118">
        <v>0</v>
      </c>
      <c r="BL56" s="118">
        <v>0</v>
      </c>
      <c r="BM56" s="118">
        <v>0</v>
      </c>
      <c r="BN56" s="118">
        <v>0</v>
      </c>
      <c r="BO56" s="118">
        <v>0</v>
      </c>
      <c r="BP56" s="138">
        <v>2</v>
      </c>
      <c r="BQ56" s="125" t="s">
        <v>496</v>
      </c>
      <c r="BR56" s="118">
        <v>5</v>
      </c>
      <c r="BS56" s="118">
        <v>0</v>
      </c>
      <c r="BT56" s="118">
        <v>2</v>
      </c>
      <c r="BU56" s="118">
        <v>0</v>
      </c>
      <c r="BV56" s="118">
        <v>0</v>
      </c>
      <c r="BW56" s="118">
        <v>0</v>
      </c>
      <c r="BX56" s="118">
        <v>0</v>
      </c>
      <c r="BY56" s="118">
        <v>0</v>
      </c>
      <c r="BZ56" s="138">
        <v>2</v>
      </c>
      <c r="CA56" s="125" t="s">
        <v>483</v>
      </c>
      <c r="CB56" s="118">
        <v>5</v>
      </c>
      <c r="CC56" s="118">
        <v>0</v>
      </c>
      <c r="CD56" s="118">
        <v>1</v>
      </c>
      <c r="CE56" s="118">
        <v>0</v>
      </c>
      <c r="CF56" s="118">
        <v>0</v>
      </c>
      <c r="CG56" s="118">
        <v>1</v>
      </c>
      <c r="CH56" s="118">
        <v>0</v>
      </c>
      <c r="CI56" s="118">
        <v>0</v>
      </c>
      <c r="CJ56" s="138">
        <v>1</v>
      </c>
      <c r="CK56" s="125" t="s">
        <v>481</v>
      </c>
      <c r="CL56" s="118">
        <v>5</v>
      </c>
      <c r="CM56" s="118">
        <v>0</v>
      </c>
      <c r="CN56" s="118">
        <v>1</v>
      </c>
      <c r="CO56" s="118">
        <v>0</v>
      </c>
      <c r="CP56" s="118">
        <v>0</v>
      </c>
      <c r="CQ56" s="118">
        <v>1</v>
      </c>
      <c r="CR56" s="118">
        <v>0</v>
      </c>
      <c r="CS56" s="118">
        <v>0</v>
      </c>
      <c r="CT56" s="138">
        <v>1</v>
      </c>
      <c r="CU56" s="125" t="s">
        <v>501</v>
      </c>
      <c r="CV56" s="118">
        <v>5</v>
      </c>
      <c r="CW56" s="118">
        <v>0</v>
      </c>
      <c r="CX56" s="118">
        <v>1</v>
      </c>
      <c r="CY56" s="118">
        <v>0</v>
      </c>
      <c r="CZ56" s="118">
        <v>0</v>
      </c>
      <c r="DA56" s="118">
        <v>1</v>
      </c>
      <c r="DB56" s="118">
        <v>0</v>
      </c>
      <c r="DC56" s="118">
        <v>0</v>
      </c>
      <c r="DD56" s="138">
        <v>1</v>
      </c>
      <c r="DE56" s="125" t="s">
        <v>489</v>
      </c>
      <c r="DF56" s="118">
        <v>5</v>
      </c>
      <c r="DG56" s="118">
        <v>0</v>
      </c>
      <c r="DH56" s="118">
        <v>1</v>
      </c>
      <c r="DI56" s="118">
        <v>0</v>
      </c>
      <c r="DJ56" s="118">
        <v>0</v>
      </c>
      <c r="DK56" s="118">
        <v>1</v>
      </c>
      <c r="DL56" s="118">
        <v>0</v>
      </c>
      <c r="DM56" s="118">
        <v>0</v>
      </c>
      <c r="DN56" s="138">
        <v>3</v>
      </c>
      <c r="DO56" s="125" t="s">
        <v>479</v>
      </c>
      <c r="DP56" s="118">
        <v>5</v>
      </c>
      <c r="DQ56" s="118">
        <v>1</v>
      </c>
      <c r="DR56" s="118">
        <v>1</v>
      </c>
      <c r="DS56" s="118">
        <v>1</v>
      </c>
      <c r="DT56" s="118">
        <v>0</v>
      </c>
      <c r="DU56" s="118">
        <v>1</v>
      </c>
      <c r="DV56" s="118">
        <v>0</v>
      </c>
      <c r="DW56" s="118">
        <v>0</v>
      </c>
      <c r="DX56" s="138">
        <v>4</v>
      </c>
      <c r="DY56" s="140">
        <v>7</v>
      </c>
      <c r="DZ56" s="118">
        <v>0</v>
      </c>
      <c r="EA56" s="118">
        <v>0</v>
      </c>
      <c r="EB56" s="119">
        <v>5</v>
      </c>
      <c r="EC56" s="118">
        <v>0</v>
      </c>
      <c r="ED56" s="138">
        <v>0</v>
      </c>
      <c r="EE56" s="125">
        <v>0</v>
      </c>
      <c r="EF56" s="118">
        <v>0</v>
      </c>
      <c r="EG56" s="118">
        <v>0</v>
      </c>
      <c r="EH56" s="118">
        <v>0</v>
      </c>
      <c r="EI56" s="118">
        <v>0</v>
      </c>
      <c r="EJ56" s="118">
        <v>0</v>
      </c>
      <c r="EK56" s="118">
        <v>0</v>
      </c>
      <c r="EL56" s="118">
        <v>0</v>
      </c>
      <c r="EM56" s="118">
        <v>0</v>
      </c>
      <c r="EN56" s="118">
        <v>0</v>
      </c>
      <c r="EO56" s="118">
        <v>0</v>
      </c>
      <c r="EP56" s="118">
        <v>1</v>
      </c>
      <c r="EQ56" s="118"/>
      <c r="ER56" s="118"/>
      <c r="ES56" s="118"/>
      <c r="ET56" s="118"/>
      <c r="EU56" s="118"/>
      <c r="EV56" s="118"/>
      <c r="EW56" s="118"/>
      <c r="EX56" s="138">
        <f t="shared" si="4"/>
        <v>1</v>
      </c>
      <c r="EY56" s="125">
        <v>0</v>
      </c>
      <c r="EZ56" s="118">
        <v>0</v>
      </c>
      <c r="FA56" s="118">
        <v>0</v>
      </c>
      <c r="FB56" s="118">
        <v>0</v>
      </c>
      <c r="FC56" s="118">
        <v>0</v>
      </c>
      <c r="FD56" s="118">
        <v>0</v>
      </c>
      <c r="FE56" s="118">
        <v>0</v>
      </c>
      <c r="FF56" s="118">
        <v>0</v>
      </c>
      <c r="FG56" s="118">
        <v>0</v>
      </c>
      <c r="FH56" s="118">
        <v>0</v>
      </c>
      <c r="FI56" s="118">
        <v>0</v>
      </c>
      <c r="FJ56" s="118">
        <v>0</v>
      </c>
      <c r="FK56" s="118"/>
      <c r="FL56" s="118"/>
      <c r="FM56" s="118"/>
      <c r="FN56" s="118"/>
      <c r="FO56" s="118"/>
      <c r="FP56" s="118"/>
      <c r="FQ56" s="118"/>
      <c r="FR56" s="138">
        <f t="shared" si="5"/>
        <v>0</v>
      </c>
      <c r="FS56" s="166">
        <f t="shared" si="6"/>
        <v>0</v>
      </c>
      <c r="FT56" s="167">
        <f t="shared" si="7"/>
        <v>0</v>
      </c>
      <c r="FU56" s="142"/>
    </row>
    <row r="57" spans="1:177" x14ac:dyDescent="0.25">
      <c r="A57" s="121">
        <v>40334</v>
      </c>
      <c r="B57" s="121" t="s">
        <v>19</v>
      </c>
      <c r="C57" s="121" t="s">
        <v>129</v>
      </c>
      <c r="D57" s="121" t="s">
        <v>500</v>
      </c>
      <c r="E57" s="120">
        <v>4732</v>
      </c>
      <c r="F57" s="124">
        <v>3</v>
      </c>
      <c r="G57" s="118" t="s">
        <v>498</v>
      </c>
      <c r="H57" s="118">
        <v>0</v>
      </c>
      <c r="I57" s="118">
        <v>0</v>
      </c>
      <c r="J57" s="119">
        <v>6</v>
      </c>
      <c r="K57" s="118">
        <v>7</v>
      </c>
      <c r="L57" s="118">
        <v>3</v>
      </c>
      <c r="M57" s="118">
        <v>3</v>
      </c>
      <c r="N57" s="118">
        <v>1</v>
      </c>
      <c r="O57" s="118">
        <v>7</v>
      </c>
      <c r="P57" s="118">
        <v>1</v>
      </c>
      <c r="Q57" s="118">
        <v>0</v>
      </c>
      <c r="R57" s="118">
        <v>26</v>
      </c>
      <c r="S57" s="118"/>
      <c r="T57" s="118"/>
      <c r="U57" s="118">
        <v>0</v>
      </c>
      <c r="V57" s="138">
        <v>0</v>
      </c>
      <c r="W57" s="125">
        <v>1</v>
      </c>
      <c r="X57" s="118">
        <v>0</v>
      </c>
      <c r="Y57" s="118">
        <v>0</v>
      </c>
      <c r="Z57" s="118">
        <v>1</v>
      </c>
      <c r="AA57" s="118">
        <v>0</v>
      </c>
      <c r="AB57" s="119">
        <v>3</v>
      </c>
      <c r="AC57" s="118">
        <v>1</v>
      </c>
      <c r="AD57" s="118">
        <v>0</v>
      </c>
      <c r="AE57" s="118">
        <v>0</v>
      </c>
      <c r="AF57" s="118">
        <v>0</v>
      </c>
      <c r="AG57" s="118">
        <v>3</v>
      </c>
      <c r="AH57" s="118">
        <v>0</v>
      </c>
      <c r="AI57" s="118">
        <v>0</v>
      </c>
      <c r="AJ57" s="118">
        <v>10</v>
      </c>
      <c r="AK57" s="118"/>
      <c r="AL57" s="138"/>
      <c r="AM57" s="125" t="s">
        <v>482</v>
      </c>
      <c r="AN57" s="118">
        <v>4</v>
      </c>
      <c r="AO57" s="118">
        <v>0</v>
      </c>
      <c r="AP57" s="118">
        <v>1</v>
      </c>
      <c r="AQ57" s="118">
        <v>0</v>
      </c>
      <c r="AR57" s="118">
        <v>1</v>
      </c>
      <c r="AS57" s="118">
        <v>0</v>
      </c>
      <c r="AT57" s="118">
        <v>0</v>
      </c>
      <c r="AU57" s="118">
        <v>0</v>
      </c>
      <c r="AV57" s="138">
        <v>2</v>
      </c>
      <c r="AW57" s="125" t="s">
        <v>485</v>
      </c>
      <c r="AX57" s="118">
        <v>3</v>
      </c>
      <c r="AY57" s="118">
        <v>0</v>
      </c>
      <c r="AZ57" s="118">
        <v>0</v>
      </c>
      <c r="BA57" s="118">
        <v>0</v>
      </c>
      <c r="BB57" s="118">
        <v>2</v>
      </c>
      <c r="BC57" s="118">
        <v>0</v>
      </c>
      <c r="BD57" s="118">
        <v>0</v>
      </c>
      <c r="BE57" s="118">
        <v>0</v>
      </c>
      <c r="BF57" s="138">
        <v>0</v>
      </c>
      <c r="BG57" s="125" t="s">
        <v>484</v>
      </c>
      <c r="BH57" s="118">
        <v>4</v>
      </c>
      <c r="BI57" s="118">
        <v>1</v>
      </c>
      <c r="BJ57" s="118">
        <v>1</v>
      </c>
      <c r="BK57" s="118">
        <v>0</v>
      </c>
      <c r="BL57" s="118">
        <v>0</v>
      </c>
      <c r="BM57" s="118">
        <v>0</v>
      </c>
      <c r="BN57" s="118">
        <v>0</v>
      </c>
      <c r="BO57" s="118">
        <v>0</v>
      </c>
      <c r="BP57" s="138">
        <v>1</v>
      </c>
      <c r="BQ57" s="125" t="s">
        <v>496</v>
      </c>
      <c r="BR57" s="118">
        <v>5</v>
      </c>
      <c r="BS57" s="118">
        <v>2</v>
      </c>
      <c r="BT57" s="118">
        <v>3</v>
      </c>
      <c r="BU57" s="118">
        <v>3</v>
      </c>
      <c r="BV57" s="118">
        <v>0</v>
      </c>
      <c r="BW57" s="118">
        <v>1</v>
      </c>
      <c r="BX57" s="118">
        <v>0</v>
      </c>
      <c r="BY57" s="118">
        <v>0</v>
      </c>
      <c r="BZ57" s="138">
        <v>9</v>
      </c>
      <c r="CA57" s="125" t="s">
        <v>481</v>
      </c>
      <c r="CB57" s="118">
        <v>3</v>
      </c>
      <c r="CC57" s="118">
        <v>1</v>
      </c>
      <c r="CD57" s="118">
        <v>1</v>
      </c>
      <c r="CE57" s="118">
        <v>0</v>
      </c>
      <c r="CF57" s="118">
        <v>1</v>
      </c>
      <c r="CG57" s="118">
        <v>0</v>
      </c>
      <c r="CH57" s="118">
        <v>0</v>
      </c>
      <c r="CI57" s="118">
        <v>0</v>
      </c>
      <c r="CJ57" s="138">
        <v>1</v>
      </c>
      <c r="CK57" s="125" t="s">
        <v>367</v>
      </c>
      <c r="CL57" s="118">
        <v>4</v>
      </c>
      <c r="CM57" s="118">
        <v>0</v>
      </c>
      <c r="CN57" s="118">
        <v>2</v>
      </c>
      <c r="CO57" s="118">
        <v>1</v>
      </c>
      <c r="CP57" s="118">
        <v>0</v>
      </c>
      <c r="CQ57" s="118">
        <v>0</v>
      </c>
      <c r="CR57" s="118">
        <v>0</v>
      </c>
      <c r="CS57" s="118">
        <v>0</v>
      </c>
      <c r="CT57" s="138">
        <v>3</v>
      </c>
      <c r="CU57" s="125" t="s">
        <v>489</v>
      </c>
      <c r="CV57" s="118">
        <v>3</v>
      </c>
      <c r="CW57" s="118">
        <v>0</v>
      </c>
      <c r="CX57" s="118">
        <v>1</v>
      </c>
      <c r="CY57" s="118">
        <v>0</v>
      </c>
      <c r="CZ57" s="118">
        <v>1</v>
      </c>
      <c r="DA57" s="118">
        <v>1</v>
      </c>
      <c r="DB57" s="118">
        <v>0</v>
      </c>
      <c r="DC57" s="118">
        <v>0</v>
      </c>
      <c r="DD57" s="138">
        <v>1</v>
      </c>
      <c r="DE57" s="125" t="s">
        <v>491</v>
      </c>
      <c r="DF57" s="118">
        <v>4</v>
      </c>
      <c r="DG57" s="118">
        <v>0</v>
      </c>
      <c r="DH57" s="118">
        <v>1</v>
      </c>
      <c r="DI57" s="118">
        <v>0</v>
      </c>
      <c r="DJ57" s="118">
        <v>0</v>
      </c>
      <c r="DK57" s="118">
        <v>2</v>
      </c>
      <c r="DL57" s="118">
        <v>0</v>
      </c>
      <c r="DM57" s="118">
        <v>0</v>
      </c>
      <c r="DN57" s="138">
        <v>2</v>
      </c>
      <c r="DO57" s="125" t="s">
        <v>486</v>
      </c>
      <c r="DP57" s="118">
        <v>4</v>
      </c>
      <c r="DQ57" s="118">
        <v>0</v>
      </c>
      <c r="DR57" s="118">
        <v>1</v>
      </c>
      <c r="DS57" s="118">
        <v>0</v>
      </c>
      <c r="DT57" s="118">
        <v>0</v>
      </c>
      <c r="DU57" s="118">
        <v>1</v>
      </c>
      <c r="DV57" s="118">
        <v>0</v>
      </c>
      <c r="DW57" s="118">
        <v>0</v>
      </c>
      <c r="DX57" s="138">
        <v>1</v>
      </c>
      <c r="DY57" s="140">
        <f>0+1/3</f>
        <v>0.33333333333333331</v>
      </c>
      <c r="DZ57" s="118">
        <v>0</v>
      </c>
      <c r="EA57" s="118">
        <v>0</v>
      </c>
      <c r="EB57" s="119">
        <f>7+2/3</f>
        <v>7.666666666666667</v>
      </c>
      <c r="EC57" s="118">
        <v>3</v>
      </c>
      <c r="ED57" s="138">
        <v>0</v>
      </c>
      <c r="EE57" s="125">
        <v>0</v>
      </c>
      <c r="EF57" s="118">
        <v>0</v>
      </c>
      <c r="EG57" s="118">
        <v>0</v>
      </c>
      <c r="EH57" s="118">
        <v>0</v>
      </c>
      <c r="EI57" s="118">
        <v>2</v>
      </c>
      <c r="EJ57" s="118">
        <v>0</v>
      </c>
      <c r="EK57" s="118">
        <v>2</v>
      </c>
      <c r="EL57" s="118">
        <v>0</v>
      </c>
      <c r="EM57" s="118"/>
      <c r="EN57" s="118"/>
      <c r="EO57" s="118"/>
      <c r="EP57" s="118"/>
      <c r="EQ57" s="118"/>
      <c r="ER57" s="118"/>
      <c r="ES57" s="118"/>
      <c r="ET57" s="118"/>
      <c r="EU57" s="118"/>
      <c r="EV57" s="118"/>
      <c r="EW57" s="118"/>
      <c r="EX57" s="138">
        <f t="shared" si="4"/>
        <v>4</v>
      </c>
      <c r="EY57" s="125">
        <v>0</v>
      </c>
      <c r="EZ57" s="118">
        <v>0</v>
      </c>
      <c r="FA57" s="118">
        <v>3</v>
      </c>
      <c r="FB57" s="118">
        <v>0</v>
      </c>
      <c r="FC57" s="118">
        <v>0</v>
      </c>
      <c r="FD57" s="118">
        <v>0</v>
      </c>
      <c r="FE57" s="118">
        <v>0</v>
      </c>
      <c r="FF57" s="118">
        <v>0</v>
      </c>
      <c r="FG57" s="118">
        <v>0</v>
      </c>
      <c r="FH57" s="118"/>
      <c r="FI57" s="118"/>
      <c r="FJ57" s="118"/>
      <c r="FK57" s="118"/>
      <c r="FL57" s="118"/>
      <c r="FM57" s="118"/>
      <c r="FN57" s="118"/>
      <c r="FO57" s="118"/>
      <c r="FP57" s="118"/>
      <c r="FQ57" s="118"/>
      <c r="FR57" s="138">
        <f t="shared" si="5"/>
        <v>3</v>
      </c>
      <c r="FS57" s="166">
        <f t="shared" si="6"/>
        <v>0</v>
      </c>
      <c r="FT57" s="167">
        <f t="shared" si="7"/>
        <v>0</v>
      </c>
      <c r="FU57" s="142"/>
    </row>
    <row r="58" spans="1:177" x14ac:dyDescent="0.25">
      <c r="A58" s="121">
        <v>40335</v>
      </c>
      <c r="B58" s="121" t="s">
        <v>19</v>
      </c>
      <c r="C58" s="121" t="s">
        <v>129</v>
      </c>
      <c r="D58" s="121" t="s">
        <v>500</v>
      </c>
      <c r="E58" s="120">
        <v>1702</v>
      </c>
      <c r="F58" s="124">
        <v>4</v>
      </c>
      <c r="G58" s="118" t="s">
        <v>490</v>
      </c>
      <c r="H58" s="118">
        <v>1</v>
      </c>
      <c r="I58" s="118">
        <v>0</v>
      </c>
      <c r="J58" s="119">
        <v>5</v>
      </c>
      <c r="K58" s="118">
        <v>10</v>
      </c>
      <c r="L58" s="118">
        <v>4</v>
      </c>
      <c r="M58" s="118">
        <v>4</v>
      </c>
      <c r="N58" s="118">
        <v>2</v>
      </c>
      <c r="O58" s="118">
        <v>3</v>
      </c>
      <c r="P58" s="118">
        <v>0</v>
      </c>
      <c r="Q58" s="118">
        <v>0</v>
      </c>
      <c r="R58" s="118">
        <v>24</v>
      </c>
      <c r="S58" s="118"/>
      <c r="T58" s="118"/>
      <c r="U58" s="118">
        <v>2</v>
      </c>
      <c r="V58" s="138">
        <v>1</v>
      </c>
      <c r="W58" s="125">
        <v>0</v>
      </c>
      <c r="X58" s="118">
        <v>0</v>
      </c>
      <c r="Y58" s="118">
        <v>1</v>
      </c>
      <c r="Z58" s="118">
        <v>1</v>
      </c>
      <c r="AA58" s="118">
        <v>0</v>
      </c>
      <c r="AB58" s="119">
        <v>4</v>
      </c>
      <c r="AC58" s="118">
        <v>1</v>
      </c>
      <c r="AD58" s="118">
        <v>0</v>
      </c>
      <c r="AE58" s="118">
        <v>0</v>
      </c>
      <c r="AF58" s="118">
        <v>0</v>
      </c>
      <c r="AG58" s="118">
        <v>5</v>
      </c>
      <c r="AH58" s="118">
        <v>0</v>
      </c>
      <c r="AI58" s="118">
        <v>1</v>
      </c>
      <c r="AJ58" s="118">
        <v>13</v>
      </c>
      <c r="AK58" s="118"/>
      <c r="AL58" s="138"/>
      <c r="AM58" s="125" t="s">
        <v>482</v>
      </c>
      <c r="AN58" s="118">
        <v>4</v>
      </c>
      <c r="AO58" s="118">
        <v>3</v>
      </c>
      <c r="AP58" s="118">
        <v>2</v>
      </c>
      <c r="AQ58" s="118">
        <v>1</v>
      </c>
      <c r="AR58" s="118">
        <v>1</v>
      </c>
      <c r="AS58" s="118">
        <v>0</v>
      </c>
      <c r="AT58" s="118">
        <v>0</v>
      </c>
      <c r="AU58" s="118">
        <v>0</v>
      </c>
      <c r="AV58" s="138">
        <v>3</v>
      </c>
      <c r="AW58" s="125" t="s">
        <v>485</v>
      </c>
      <c r="AX58" s="118">
        <v>4</v>
      </c>
      <c r="AY58" s="118">
        <v>3</v>
      </c>
      <c r="AZ58" s="118">
        <v>2</v>
      </c>
      <c r="BA58" s="118">
        <v>2</v>
      </c>
      <c r="BB58" s="118">
        <v>1</v>
      </c>
      <c r="BC58" s="118">
        <v>2</v>
      </c>
      <c r="BD58" s="118">
        <v>0</v>
      </c>
      <c r="BE58" s="118">
        <v>0</v>
      </c>
      <c r="BF58" s="138">
        <v>2</v>
      </c>
      <c r="BG58" s="125" t="s">
        <v>484</v>
      </c>
      <c r="BH58" s="118">
        <v>5</v>
      </c>
      <c r="BI58" s="118">
        <v>0</v>
      </c>
      <c r="BJ58" s="118">
        <v>0</v>
      </c>
      <c r="BK58" s="118">
        <v>0</v>
      </c>
      <c r="BL58" s="118">
        <v>0</v>
      </c>
      <c r="BM58" s="118">
        <v>1</v>
      </c>
      <c r="BN58" s="118">
        <v>0</v>
      </c>
      <c r="BO58" s="118">
        <v>0</v>
      </c>
      <c r="BP58" s="138">
        <v>0</v>
      </c>
      <c r="BQ58" s="125" t="s">
        <v>496</v>
      </c>
      <c r="BR58" s="118">
        <v>5</v>
      </c>
      <c r="BS58" s="118">
        <v>1</v>
      </c>
      <c r="BT58" s="118">
        <v>3</v>
      </c>
      <c r="BU58" s="118">
        <v>5</v>
      </c>
      <c r="BV58" s="118">
        <v>0</v>
      </c>
      <c r="BW58" s="118">
        <v>0</v>
      </c>
      <c r="BX58" s="118">
        <v>0</v>
      </c>
      <c r="BY58" s="118">
        <v>0</v>
      </c>
      <c r="BZ58" s="138">
        <v>9</v>
      </c>
      <c r="CA58" s="125" t="s">
        <v>481</v>
      </c>
      <c r="CB58" s="118">
        <v>5</v>
      </c>
      <c r="CC58" s="118">
        <v>1</v>
      </c>
      <c r="CD58" s="118">
        <v>1</v>
      </c>
      <c r="CE58" s="118">
        <v>1</v>
      </c>
      <c r="CF58" s="118">
        <v>0</v>
      </c>
      <c r="CG58" s="118">
        <v>0</v>
      </c>
      <c r="CH58" s="118">
        <v>0</v>
      </c>
      <c r="CI58" s="118">
        <v>0</v>
      </c>
      <c r="CJ58" s="138">
        <v>1</v>
      </c>
      <c r="CK58" s="125" t="s">
        <v>367</v>
      </c>
      <c r="CL58" s="118">
        <v>4</v>
      </c>
      <c r="CM58" s="118">
        <v>2</v>
      </c>
      <c r="CN58" s="118">
        <v>2</v>
      </c>
      <c r="CO58" s="118">
        <v>0</v>
      </c>
      <c r="CP58" s="118">
        <v>0</v>
      </c>
      <c r="CQ58" s="118">
        <v>1</v>
      </c>
      <c r="CR58" s="118">
        <v>0</v>
      </c>
      <c r="CS58" s="118">
        <v>0</v>
      </c>
      <c r="CT58" s="138">
        <v>4</v>
      </c>
      <c r="CU58" s="125" t="s">
        <v>480</v>
      </c>
      <c r="CV58" s="118">
        <v>3</v>
      </c>
      <c r="CW58" s="118">
        <v>1</v>
      </c>
      <c r="CX58" s="118">
        <v>1</v>
      </c>
      <c r="CY58" s="118">
        <v>2</v>
      </c>
      <c r="CZ58" s="118">
        <v>1</v>
      </c>
      <c r="DA58" s="118">
        <v>0</v>
      </c>
      <c r="DB58" s="118">
        <v>0</v>
      </c>
      <c r="DC58" s="118">
        <v>0</v>
      </c>
      <c r="DD58" s="138">
        <v>1</v>
      </c>
      <c r="DE58" s="125" t="s">
        <v>491</v>
      </c>
      <c r="DF58" s="118">
        <v>4</v>
      </c>
      <c r="DG58" s="118">
        <v>0</v>
      </c>
      <c r="DH58" s="118">
        <v>1</v>
      </c>
      <c r="DI58" s="118">
        <v>0</v>
      </c>
      <c r="DJ58" s="118">
        <v>0</v>
      </c>
      <c r="DK58" s="118">
        <v>1</v>
      </c>
      <c r="DL58" s="118">
        <v>0</v>
      </c>
      <c r="DM58" s="118">
        <v>0</v>
      </c>
      <c r="DN58" s="138">
        <v>2</v>
      </c>
      <c r="DO58" s="125" t="s">
        <v>479</v>
      </c>
      <c r="DP58" s="118">
        <v>4</v>
      </c>
      <c r="DQ58" s="118">
        <v>1</v>
      </c>
      <c r="DR58" s="118">
        <v>2</v>
      </c>
      <c r="DS58" s="118">
        <v>1</v>
      </c>
      <c r="DT58" s="118">
        <v>0</v>
      </c>
      <c r="DU58" s="118">
        <v>1</v>
      </c>
      <c r="DV58" s="118">
        <v>0</v>
      </c>
      <c r="DW58" s="118">
        <v>0</v>
      </c>
      <c r="DX58" s="138">
        <v>2</v>
      </c>
      <c r="DY58" s="140">
        <v>0</v>
      </c>
      <c r="DZ58" s="118">
        <v>0</v>
      </c>
      <c r="EA58" s="118">
        <v>0</v>
      </c>
      <c r="EB58" s="119">
        <v>8</v>
      </c>
      <c r="EC58" s="118">
        <v>2</v>
      </c>
      <c r="ED58" s="138">
        <v>0</v>
      </c>
      <c r="EE58" s="125">
        <v>0</v>
      </c>
      <c r="EF58" s="118">
        <v>0</v>
      </c>
      <c r="EG58" s="118">
        <v>0</v>
      </c>
      <c r="EH58" s="118">
        <v>3</v>
      </c>
      <c r="EI58" s="118">
        <v>2</v>
      </c>
      <c r="EJ58" s="118">
        <v>0</v>
      </c>
      <c r="EK58" s="118">
        <v>2</v>
      </c>
      <c r="EL58" s="118">
        <v>5</v>
      </c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38">
        <f t="shared" si="4"/>
        <v>12</v>
      </c>
      <c r="EY58" s="125">
        <v>0</v>
      </c>
      <c r="EZ58" s="118">
        <v>0</v>
      </c>
      <c r="FA58" s="118">
        <v>0</v>
      </c>
      <c r="FB58" s="118">
        <v>2</v>
      </c>
      <c r="FC58" s="118">
        <v>1</v>
      </c>
      <c r="FD58" s="118">
        <v>1</v>
      </c>
      <c r="FE58" s="118">
        <v>0</v>
      </c>
      <c r="FF58" s="118">
        <v>0</v>
      </c>
      <c r="FG58" s="118">
        <v>0</v>
      </c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38">
        <f t="shared" si="5"/>
        <v>4</v>
      </c>
      <c r="FS58" s="166">
        <f t="shared" si="6"/>
        <v>0</v>
      </c>
      <c r="FT58" s="167">
        <f t="shared" si="7"/>
        <v>0</v>
      </c>
      <c r="FU58" s="142"/>
    </row>
    <row r="59" spans="1:177" x14ac:dyDescent="0.25">
      <c r="A59" s="121">
        <v>40336</v>
      </c>
      <c r="B59" s="121" t="s">
        <v>19</v>
      </c>
      <c r="C59" s="121" t="s">
        <v>129</v>
      </c>
      <c r="D59" s="121" t="s">
        <v>500</v>
      </c>
      <c r="E59" s="120">
        <v>1477</v>
      </c>
      <c r="F59" s="124">
        <v>5</v>
      </c>
      <c r="G59" s="118" t="s">
        <v>487</v>
      </c>
      <c r="H59" s="118">
        <v>0</v>
      </c>
      <c r="I59" s="118">
        <v>0</v>
      </c>
      <c r="J59" s="119">
        <v>6</v>
      </c>
      <c r="K59" s="118">
        <v>8</v>
      </c>
      <c r="L59" s="118">
        <v>4</v>
      </c>
      <c r="M59" s="118">
        <v>4</v>
      </c>
      <c r="N59" s="118">
        <v>2</v>
      </c>
      <c r="O59" s="118">
        <v>3</v>
      </c>
      <c r="P59" s="118">
        <v>1</v>
      </c>
      <c r="Q59" s="118">
        <v>0</v>
      </c>
      <c r="R59" s="118">
        <v>27</v>
      </c>
      <c r="S59" s="118"/>
      <c r="T59" s="118"/>
      <c r="U59" s="118">
        <v>0</v>
      </c>
      <c r="V59" s="138">
        <v>0</v>
      </c>
      <c r="W59" s="125">
        <v>1</v>
      </c>
      <c r="X59" s="118">
        <v>0</v>
      </c>
      <c r="Y59" s="118">
        <v>0</v>
      </c>
      <c r="Z59" s="118">
        <v>0</v>
      </c>
      <c r="AA59" s="118">
        <v>0</v>
      </c>
      <c r="AB59" s="119">
        <v>3</v>
      </c>
      <c r="AC59" s="118">
        <v>1</v>
      </c>
      <c r="AD59" s="118">
        <v>0</v>
      </c>
      <c r="AE59" s="118">
        <v>0</v>
      </c>
      <c r="AF59" s="118">
        <v>0</v>
      </c>
      <c r="AG59" s="118">
        <v>7</v>
      </c>
      <c r="AH59" s="118">
        <v>0</v>
      </c>
      <c r="AI59" s="118">
        <v>0</v>
      </c>
      <c r="AJ59" s="118">
        <v>10</v>
      </c>
      <c r="AK59" s="118"/>
      <c r="AL59" s="138"/>
      <c r="AM59" s="125" t="s">
        <v>486</v>
      </c>
      <c r="AN59" s="118">
        <v>4</v>
      </c>
      <c r="AO59" s="118">
        <v>2</v>
      </c>
      <c r="AP59" s="118">
        <v>1</v>
      </c>
      <c r="AQ59" s="118">
        <v>2</v>
      </c>
      <c r="AR59" s="118">
        <v>1</v>
      </c>
      <c r="AS59" s="118">
        <v>1</v>
      </c>
      <c r="AT59" s="118">
        <v>0</v>
      </c>
      <c r="AU59" s="118">
        <v>0</v>
      </c>
      <c r="AV59" s="138">
        <v>3</v>
      </c>
      <c r="AW59" s="125" t="s">
        <v>485</v>
      </c>
      <c r="AX59" s="118">
        <v>4</v>
      </c>
      <c r="AY59" s="118">
        <v>0</v>
      </c>
      <c r="AZ59" s="118">
        <v>2</v>
      </c>
      <c r="BA59" s="118">
        <v>2</v>
      </c>
      <c r="BB59" s="118">
        <v>1</v>
      </c>
      <c r="BC59" s="118">
        <v>2</v>
      </c>
      <c r="BD59" s="118">
        <v>0</v>
      </c>
      <c r="BE59" s="118">
        <v>0</v>
      </c>
      <c r="BF59" s="138">
        <v>3</v>
      </c>
      <c r="BG59" s="125" t="s">
        <v>482</v>
      </c>
      <c r="BH59" s="118">
        <v>4</v>
      </c>
      <c r="BI59" s="118">
        <v>0</v>
      </c>
      <c r="BJ59" s="118">
        <v>1</v>
      </c>
      <c r="BK59" s="118">
        <v>1</v>
      </c>
      <c r="BL59" s="118">
        <v>1</v>
      </c>
      <c r="BM59" s="118">
        <v>0</v>
      </c>
      <c r="BN59" s="118">
        <v>0</v>
      </c>
      <c r="BO59" s="118">
        <v>0</v>
      </c>
      <c r="BP59" s="138">
        <v>1</v>
      </c>
      <c r="BQ59" s="125" t="s">
        <v>496</v>
      </c>
      <c r="BR59" s="118">
        <v>3</v>
      </c>
      <c r="BS59" s="118">
        <v>0</v>
      </c>
      <c r="BT59" s="118">
        <v>1</v>
      </c>
      <c r="BU59" s="118">
        <v>0</v>
      </c>
      <c r="BV59" s="118">
        <v>1</v>
      </c>
      <c r="BW59" s="118">
        <v>0</v>
      </c>
      <c r="BX59" s="118">
        <v>0</v>
      </c>
      <c r="BY59" s="118">
        <v>0</v>
      </c>
      <c r="BZ59" s="138">
        <v>1</v>
      </c>
      <c r="CA59" s="125" t="s">
        <v>481</v>
      </c>
      <c r="CB59" s="118">
        <v>4</v>
      </c>
      <c r="CC59" s="118">
        <v>0</v>
      </c>
      <c r="CD59" s="118">
        <v>0</v>
      </c>
      <c r="CE59" s="118">
        <v>0</v>
      </c>
      <c r="CF59" s="118">
        <v>0</v>
      </c>
      <c r="CG59" s="118">
        <v>0</v>
      </c>
      <c r="CH59" s="118">
        <v>0</v>
      </c>
      <c r="CI59" s="118">
        <v>0</v>
      </c>
      <c r="CJ59" s="138">
        <v>0</v>
      </c>
      <c r="CK59" s="125" t="s">
        <v>367</v>
      </c>
      <c r="CL59" s="118">
        <v>3</v>
      </c>
      <c r="CM59" s="118">
        <v>0</v>
      </c>
      <c r="CN59" s="118">
        <v>1</v>
      </c>
      <c r="CO59" s="118">
        <v>0</v>
      </c>
      <c r="CP59" s="118">
        <v>1</v>
      </c>
      <c r="CQ59" s="118">
        <v>1</v>
      </c>
      <c r="CR59" s="118">
        <v>0</v>
      </c>
      <c r="CS59" s="118">
        <v>0</v>
      </c>
      <c r="CT59" s="138">
        <v>1</v>
      </c>
      <c r="CU59" s="125" t="s">
        <v>489</v>
      </c>
      <c r="CV59" s="118">
        <v>4</v>
      </c>
      <c r="CW59" s="118">
        <v>1</v>
      </c>
      <c r="CX59" s="118">
        <v>1</v>
      </c>
      <c r="CY59" s="118">
        <v>0</v>
      </c>
      <c r="CZ59" s="118">
        <v>0</v>
      </c>
      <c r="DA59" s="118">
        <v>1</v>
      </c>
      <c r="DB59" s="118">
        <v>0</v>
      </c>
      <c r="DC59" s="118">
        <v>0</v>
      </c>
      <c r="DD59" s="138">
        <v>1</v>
      </c>
      <c r="DE59" s="125" t="s">
        <v>480</v>
      </c>
      <c r="DF59" s="118">
        <v>4</v>
      </c>
      <c r="DG59" s="118">
        <v>0</v>
      </c>
      <c r="DH59" s="118">
        <v>1</v>
      </c>
      <c r="DI59" s="118">
        <v>0</v>
      </c>
      <c r="DJ59" s="118">
        <v>0</v>
      </c>
      <c r="DK59" s="118">
        <v>0</v>
      </c>
      <c r="DL59" s="118">
        <v>0</v>
      </c>
      <c r="DM59" s="118">
        <v>0</v>
      </c>
      <c r="DN59" s="138">
        <v>1</v>
      </c>
      <c r="DO59" s="125" t="s">
        <v>479</v>
      </c>
      <c r="DP59" s="118">
        <v>2</v>
      </c>
      <c r="DQ59" s="118">
        <v>2</v>
      </c>
      <c r="DR59" s="118">
        <v>1</v>
      </c>
      <c r="DS59" s="118">
        <v>0</v>
      </c>
      <c r="DT59" s="118">
        <v>1</v>
      </c>
      <c r="DU59" s="118">
        <v>0</v>
      </c>
      <c r="DV59" s="118">
        <v>0</v>
      </c>
      <c r="DW59" s="118">
        <v>0</v>
      </c>
      <c r="DX59" s="138">
        <v>1</v>
      </c>
      <c r="DY59" s="140">
        <f>1+2/3</f>
        <v>1.6666666666666665</v>
      </c>
      <c r="DZ59" s="118">
        <v>1</v>
      </c>
      <c r="EA59" s="118">
        <v>0</v>
      </c>
      <c r="EB59" s="119">
        <v>7</v>
      </c>
      <c r="EC59" s="118">
        <v>0</v>
      </c>
      <c r="ED59" s="138">
        <v>0</v>
      </c>
      <c r="EE59" s="125">
        <v>0</v>
      </c>
      <c r="EF59" s="118">
        <v>0</v>
      </c>
      <c r="EG59" s="118">
        <v>0</v>
      </c>
      <c r="EH59" s="118">
        <v>0</v>
      </c>
      <c r="EI59" s="118">
        <v>1</v>
      </c>
      <c r="EJ59" s="118">
        <v>0</v>
      </c>
      <c r="EK59" s="118">
        <v>3</v>
      </c>
      <c r="EL59" s="118">
        <v>0</v>
      </c>
      <c r="EM59" s="118">
        <v>1</v>
      </c>
      <c r="EN59" s="118"/>
      <c r="EO59" s="118"/>
      <c r="EP59" s="118"/>
      <c r="EQ59" s="118"/>
      <c r="ER59" s="118"/>
      <c r="ES59" s="118"/>
      <c r="ET59" s="118"/>
      <c r="EU59" s="118"/>
      <c r="EV59" s="118"/>
      <c r="EW59" s="118"/>
      <c r="EX59" s="138">
        <f t="shared" si="4"/>
        <v>5</v>
      </c>
      <c r="EY59" s="125">
        <v>0</v>
      </c>
      <c r="EZ59" s="118">
        <v>0</v>
      </c>
      <c r="FA59" s="118">
        <v>2</v>
      </c>
      <c r="FB59" s="118">
        <v>1</v>
      </c>
      <c r="FC59" s="118">
        <v>0</v>
      </c>
      <c r="FD59" s="118">
        <v>1</v>
      </c>
      <c r="FE59" s="118">
        <v>0</v>
      </c>
      <c r="FF59" s="118">
        <v>0</v>
      </c>
      <c r="FG59" s="118">
        <v>0</v>
      </c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38">
        <f t="shared" si="5"/>
        <v>4</v>
      </c>
      <c r="FS59" s="166">
        <f t="shared" si="6"/>
        <v>0</v>
      </c>
      <c r="FT59" s="167">
        <f t="shared" si="7"/>
        <v>0</v>
      </c>
      <c r="FU59" s="142"/>
    </row>
    <row r="60" spans="1:177" x14ac:dyDescent="0.25">
      <c r="A60" s="121">
        <v>40337</v>
      </c>
      <c r="B60" s="121" t="s">
        <v>19</v>
      </c>
      <c r="C60" s="121" t="s">
        <v>129</v>
      </c>
      <c r="D60" s="121" t="s">
        <v>500</v>
      </c>
      <c r="E60" s="120">
        <v>2063</v>
      </c>
      <c r="F60" s="124">
        <v>1</v>
      </c>
      <c r="G60" s="118" t="s">
        <v>493</v>
      </c>
      <c r="H60" s="118">
        <v>1</v>
      </c>
      <c r="I60" s="118">
        <v>0</v>
      </c>
      <c r="J60" s="119">
        <f>6+1/3</f>
        <v>6.333333333333333</v>
      </c>
      <c r="K60" s="118">
        <v>4</v>
      </c>
      <c r="L60" s="118">
        <v>1</v>
      </c>
      <c r="M60" s="118">
        <v>1</v>
      </c>
      <c r="N60" s="118">
        <v>3</v>
      </c>
      <c r="O60" s="118">
        <v>4</v>
      </c>
      <c r="P60" s="118">
        <v>0</v>
      </c>
      <c r="Q60" s="118">
        <v>0</v>
      </c>
      <c r="R60" s="118">
        <v>26</v>
      </c>
      <c r="S60" s="118"/>
      <c r="T60" s="118"/>
      <c r="U60" s="118">
        <v>2</v>
      </c>
      <c r="V60" s="138">
        <v>0</v>
      </c>
      <c r="W60" s="125">
        <v>0</v>
      </c>
      <c r="X60" s="118">
        <v>0</v>
      </c>
      <c r="Y60" s="118">
        <v>1</v>
      </c>
      <c r="Z60" s="118">
        <v>1</v>
      </c>
      <c r="AA60" s="118">
        <v>0</v>
      </c>
      <c r="AB60" s="119">
        <f>2+2/3</f>
        <v>2.6666666666666665</v>
      </c>
      <c r="AC60" s="118">
        <v>2</v>
      </c>
      <c r="AD60" s="118">
        <v>0</v>
      </c>
      <c r="AE60" s="118">
        <v>0</v>
      </c>
      <c r="AF60" s="118">
        <v>1</v>
      </c>
      <c r="AG60" s="118">
        <v>4</v>
      </c>
      <c r="AH60" s="118">
        <v>0</v>
      </c>
      <c r="AI60" s="118">
        <v>0</v>
      </c>
      <c r="AJ60" s="118">
        <v>11</v>
      </c>
      <c r="AK60" s="118"/>
      <c r="AL60" s="138"/>
      <c r="AM60" s="125" t="s">
        <v>486</v>
      </c>
      <c r="AN60" s="118">
        <v>4</v>
      </c>
      <c r="AO60" s="118">
        <v>0</v>
      </c>
      <c r="AP60" s="118">
        <v>0</v>
      </c>
      <c r="AQ60" s="118">
        <v>0</v>
      </c>
      <c r="AR60" s="118">
        <v>0</v>
      </c>
      <c r="AS60" s="118">
        <v>1</v>
      </c>
      <c r="AT60" s="118">
        <v>0</v>
      </c>
      <c r="AU60" s="118">
        <v>0</v>
      </c>
      <c r="AV60" s="138">
        <v>0</v>
      </c>
      <c r="AW60" s="125" t="s">
        <v>485</v>
      </c>
      <c r="AX60" s="118">
        <v>3</v>
      </c>
      <c r="AY60" s="118">
        <v>1</v>
      </c>
      <c r="AZ60" s="118">
        <v>1</v>
      </c>
      <c r="BA60" s="118">
        <v>0</v>
      </c>
      <c r="BB60" s="118">
        <v>1</v>
      </c>
      <c r="BC60" s="118">
        <v>0</v>
      </c>
      <c r="BD60" s="118">
        <v>0</v>
      </c>
      <c r="BE60" s="118">
        <v>0</v>
      </c>
      <c r="BF60" s="138">
        <v>2</v>
      </c>
      <c r="BG60" s="125" t="s">
        <v>367</v>
      </c>
      <c r="BH60" s="118">
        <v>4</v>
      </c>
      <c r="BI60" s="118">
        <v>0</v>
      </c>
      <c r="BJ60" s="118">
        <v>2</v>
      </c>
      <c r="BK60" s="118">
        <v>1</v>
      </c>
      <c r="BL60" s="118">
        <v>0</v>
      </c>
      <c r="BM60" s="118">
        <v>1</v>
      </c>
      <c r="BN60" s="118">
        <v>0</v>
      </c>
      <c r="BO60" s="118">
        <v>0</v>
      </c>
      <c r="BP60" s="138">
        <v>2</v>
      </c>
      <c r="BQ60" s="125" t="s">
        <v>496</v>
      </c>
      <c r="BR60" s="118">
        <v>2</v>
      </c>
      <c r="BS60" s="118">
        <v>0</v>
      </c>
      <c r="BT60" s="118">
        <v>0</v>
      </c>
      <c r="BU60" s="118">
        <v>0</v>
      </c>
      <c r="BV60" s="118">
        <v>2</v>
      </c>
      <c r="BW60" s="118">
        <v>0</v>
      </c>
      <c r="BX60" s="118">
        <v>0</v>
      </c>
      <c r="BY60" s="118">
        <v>0</v>
      </c>
      <c r="BZ60" s="138">
        <v>0</v>
      </c>
      <c r="CA60" s="125" t="s">
        <v>484</v>
      </c>
      <c r="CB60" s="118">
        <v>4</v>
      </c>
      <c r="CC60" s="118">
        <v>1</v>
      </c>
      <c r="CD60" s="118">
        <v>1</v>
      </c>
      <c r="CE60" s="118">
        <v>0</v>
      </c>
      <c r="CF60" s="118">
        <v>0</v>
      </c>
      <c r="CG60" s="118">
        <v>1</v>
      </c>
      <c r="CH60" s="118">
        <v>0</v>
      </c>
      <c r="CI60" s="118">
        <v>0</v>
      </c>
      <c r="CJ60" s="138">
        <v>2</v>
      </c>
      <c r="CK60" s="125" t="s">
        <v>483</v>
      </c>
      <c r="CL60" s="118">
        <v>4</v>
      </c>
      <c r="CM60" s="118">
        <v>1</v>
      </c>
      <c r="CN60" s="118">
        <v>1</v>
      </c>
      <c r="CO60" s="118">
        <v>0</v>
      </c>
      <c r="CP60" s="118">
        <v>0</v>
      </c>
      <c r="CQ60" s="118">
        <v>1</v>
      </c>
      <c r="CR60" s="118">
        <v>0</v>
      </c>
      <c r="CS60" s="118">
        <v>0</v>
      </c>
      <c r="CT60" s="138">
        <v>1</v>
      </c>
      <c r="CU60" s="125" t="s">
        <v>489</v>
      </c>
      <c r="CV60" s="118">
        <v>3</v>
      </c>
      <c r="CW60" s="118">
        <v>0</v>
      </c>
      <c r="CX60" s="118">
        <v>0</v>
      </c>
      <c r="CY60" s="118">
        <v>1</v>
      </c>
      <c r="CZ60" s="118">
        <v>0</v>
      </c>
      <c r="DA60" s="118">
        <v>0</v>
      </c>
      <c r="DB60" s="118">
        <v>0</v>
      </c>
      <c r="DC60" s="118">
        <v>0</v>
      </c>
      <c r="DD60" s="138">
        <v>0</v>
      </c>
      <c r="DE60" s="125" t="s">
        <v>335</v>
      </c>
      <c r="DF60" s="118">
        <v>3</v>
      </c>
      <c r="DG60" s="118">
        <v>0</v>
      </c>
      <c r="DH60" s="118">
        <v>1</v>
      </c>
      <c r="DI60" s="118">
        <v>1</v>
      </c>
      <c r="DJ60" s="118">
        <v>0</v>
      </c>
      <c r="DK60" s="118">
        <v>1</v>
      </c>
      <c r="DL60" s="118">
        <v>0</v>
      </c>
      <c r="DM60" s="118">
        <v>0</v>
      </c>
      <c r="DN60" s="138">
        <v>2</v>
      </c>
      <c r="DO60" s="125" t="s">
        <v>479</v>
      </c>
      <c r="DP60" s="118">
        <v>3</v>
      </c>
      <c r="DQ60" s="118">
        <v>0</v>
      </c>
      <c r="DR60" s="118">
        <v>0</v>
      </c>
      <c r="DS60" s="118">
        <v>0</v>
      </c>
      <c r="DT60" s="118">
        <v>0</v>
      </c>
      <c r="DU60" s="118">
        <v>0</v>
      </c>
      <c r="DV60" s="118">
        <v>0</v>
      </c>
      <c r="DW60" s="118">
        <v>0</v>
      </c>
      <c r="DX60" s="138">
        <v>0</v>
      </c>
      <c r="DY60" s="140">
        <v>3</v>
      </c>
      <c r="DZ60" s="118">
        <v>0</v>
      </c>
      <c r="EA60" s="118">
        <v>0</v>
      </c>
      <c r="EB60" s="119">
        <v>5</v>
      </c>
      <c r="EC60" s="118">
        <v>0</v>
      </c>
      <c r="ED60" s="138">
        <v>0</v>
      </c>
      <c r="EE60" s="125">
        <v>0</v>
      </c>
      <c r="EF60" s="118">
        <v>1</v>
      </c>
      <c r="EG60" s="118">
        <v>1</v>
      </c>
      <c r="EH60" s="118">
        <v>1</v>
      </c>
      <c r="EI60" s="118">
        <v>0</v>
      </c>
      <c r="EJ60" s="118">
        <v>0</v>
      </c>
      <c r="EK60" s="118">
        <v>0</v>
      </c>
      <c r="EL60" s="118">
        <v>0</v>
      </c>
      <c r="EM60" s="118"/>
      <c r="EN60" s="118"/>
      <c r="EO60" s="118"/>
      <c r="EP60" s="118"/>
      <c r="EQ60" s="118"/>
      <c r="ER60" s="118"/>
      <c r="ES60" s="118"/>
      <c r="ET60" s="118"/>
      <c r="EU60" s="118"/>
      <c r="EV60" s="118"/>
      <c r="EW60" s="118"/>
      <c r="EX60" s="138">
        <f t="shared" si="4"/>
        <v>3</v>
      </c>
      <c r="EY60" s="125">
        <v>0</v>
      </c>
      <c r="EZ60" s="118">
        <v>0</v>
      </c>
      <c r="FA60" s="118">
        <v>0</v>
      </c>
      <c r="FB60" s="118">
        <v>1</v>
      </c>
      <c r="FC60" s="118">
        <v>0</v>
      </c>
      <c r="FD60" s="118">
        <v>0</v>
      </c>
      <c r="FE60" s="118">
        <v>0</v>
      </c>
      <c r="FF60" s="118">
        <v>0</v>
      </c>
      <c r="FG60" s="118">
        <v>0</v>
      </c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38">
        <f t="shared" si="5"/>
        <v>1</v>
      </c>
      <c r="FS60" s="166">
        <f t="shared" si="6"/>
        <v>0</v>
      </c>
      <c r="FT60" s="167">
        <f t="shared" si="7"/>
        <v>0</v>
      </c>
      <c r="FU60" s="142"/>
    </row>
    <row r="61" spans="1:177" x14ac:dyDescent="0.25">
      <c r="A61" s="121">
        <v>40338</v>
      </c>
      <c r="B61" s="121" t="s">
        <v>133</v>
      </c>
      <c r="C61" s="121" t="s">
        <v>131</v>
      </c>
      <c r="D61" s="121" t="s">
        <v>488</v>
      </c>
      <c r="E61" s="120"/>
      <c r="F61" s="124">
        <v>2</v>
      </c>
      <c r="G61" s="118" t="s">
        <v>494</v>
      </c>
      <c r="H61" s="118">
        <v>0</v>
      </c>
      <c r="I61" s="118">
        <v>1</v>
      </c>
      <c r="J61" s="119">
        <v>6</v>
      </c>
      <c r="K61" s="118">
        <v>5</v>
      </c>
      <c r="L61" s="118">
        <v>3</v>
      </c>
      <c r="M61" s="118">
        <v>2</v>
      </c>
      <c r="N61" s="118">
        <v>3</v>
      </c>
      <c r="O61" s="118">
        <v>2</v>
      </c>
      <c r="P61" s="118">
        <v>0</v>
      </c>
      <c r="Q61" s="118">
        <v>1</v>
      </c>
      <c r="R61" s="118">
        <v>27</v>
      </c>
      <c r="S61" s="118"/>
      <c r="T61" s="118"/>
      <c r="U61" s="118">
        <v>0</v>
      </c>
      <c r="V61" s="138">
        <v>0</v>
      </c>
      <c r="W61" s="125">
        <v>0</v>
      </c>
      <c r="X61" s="118">
        <v>0</v>
      </c>
      <c r="Y61" s="118">
        <v>0</v>
      </c>
      <c r="Z61" s="118">
        <v>0</v>
      </c>
      <c r="AA61" s="118">
        <v>0</v>
      </c>
      <c r="AB61" s="119">
        <v>0</v>
      </c>
      <c r="AC61" s="118">
        <v>0</v>
      </c>
      <c r="AD61" s="118">
        <v>0</v>
      </c>
      <c r="AE61" s="118">
        <v>0</v>
      </c>
      <c r="AF61" s="118">
        <v>0</v>
      </c>
      <c r="AG61" s="118">
        <v>0</v>
      </c>
      <c r="AH61" s="118">
        <v>0</v>
      </c>
      <c r="AI61" s="118">
        <v>0</v>
      </c>
      <c r="AJ61" s="118">
        <v>0</v>
      </c>
      <c r="AK61" s="118"/>
      <c r="AL61" s="138"/>
      <c r="AM61" s="125" t="s">
        <v>482</v>
      </c>
      <c r="AN61" s="118">
        <v>3</v>
      </c>
      <c r="AO61" s="118">
        <v>0</v>
      </c>
      <c r="AP61" s="118">
        <v>1</v>
      </c>
      <c r="AQ61" s="118">
        <v>0</v>
      </c>
      <c r="AR61" s="118">
        <v>0</v>
      </c>
      <c r="AS61" s="118">
        <v>0</v>
      </c>
      <c r="AT61" s="118">
        <v>0</v>
      </c>
      <c r="AU61" s="118">
        <v>0</v>
      </c>
      <c r="AV61" s="138">
        <v>1</v>
      </c>
      <c r="AW61" s="125" t="s">
        <v>485</v>
      </c>
      <c r="AX61" s="118">
        <v>3</v>
      </c>
      <c r="AY61" s="118">
        <v>0</v>
      </c>
      <c r="AZ61" s="118">
        <v>0</v>
      </c>
      <c r="BA61" s="118">
        <v>0</v>
      </c>
      <c r="BB61" s="118">
        <v>0</v>
      </c>
      <c r="BC61" s="118">
        <v>1</v>
      </c>
      <c r="BD61" s="118">
        <v>0</v>
      </c>
      <c r="BE61" s="118">
        <v>0</v>
      </c>
      <c r="BF61" s="138">
        <v>0</v>
      </c>
      <c r="BG61" s="125" t="s">
        <v>484</v>
      </c>
      <c r="BH61" s="118">
        <v>3</v>
      </c>
      <c r="BI61" s="118">
        <v>0</v>
      </c>
      <c r="BJ61" s="118">
        <v>2</v>
      </c>
      <c r="BK61" s="118">
        <v>0</v>
      </c>
      <c r="BL61" s="118">
        <v>0</v>
      </c>
      <c r="BM61" s="118">
        <v>0</v>
      </c>
      <c r="BN61" s="118">
        <v>0</v>
      </c>
      <c r="BO61" s="118">
        <v>0</v>
      </c>
      <c r="BP61" s="138">
        <v>2</v>
      </c>
      <c r="BQ61" s="125" t="s">
        <v>496</v>
      </c>
      <c r="BR61" s="118">
        <v>3</v>
      </c>
      <c r="BS61" s="118">
        <v>0</v>
      </c>
      <c r="BT61" s="118">
        <v>2</v>
      </c>
      <c r="BU61" s="118">
        <v>0</v>
      </c>
      <c r="BV61" s="118">
        <v>0</v>
      </c>
      <c r="BW61" s="118">
        <v>0</v>
      </c>
      <c r="BX61" s="118">
        <v>0</v>
      </c>
      <c r="BY61" s="118">
        <v>0</v>
      </c>
      <c r="BZ61" s="138">
        <v>2</v>
      </c>
      <c r="CA61" s="125" t="s">
        <v>489</v>
      </c>
      <c r="CB61" s="118">
        <v>3</v>
      </c>
      <c r="CC61" s="118">
        <v>0</v>
      </c>
      <c r="CD61" s="118">
        <v>0</v>
      </c>
      <c r="CE61" s="118">
        <v>0</v>
      </c>
      <c r="CF61" s="118">
        <v>0</v>
      </c>
      <c r="CG61" s="118">
        <v>0</v>
      </c>
      <c r="CH61" s="118">
        <v>0</v>
      </c>
      <c r="CI61" s="118">
        <v>0</v>
      </c>
      <c r="CJ61" s="138">
        <v>0</v>
      </c>
      <c r="CK61" s="125" t="s">
        <v>367</v>
      </c>
      <c r="CL61" s="118">
        <v>3</v>
      </c>
      <c r="CM61" s="118">
        <v>0</v>
      </c>
      <c r="CN61" s="118">
        <v>0</v>
      </c>
      <c r="CO61" s="118">
        <v>0</v>
      </c>
      <c r="CP61" s="118">
        <v>0</v>
      </c>
      <c r="CQ61" s="118">
        <v>0</v>
      </c>
      <c r="CR61" s="118">
        <v>0</v>
      </c>
      <c r="CS61" s="118">
        <v>0</v>
      </c>
      <c r="CT61" s="138">
        <v>0</v>
      </c>
      <c r="CU61" s="125" t="s">
        <v>491</v>
      </c>
      <c r="CV61" s="118">
        <v>3</v>
      </c>
      <c r="CW61" s="118">
        <v>0</v>
      </c>
      <c r="CX61" s="118">
        <v>1</v>
      </c>
      <c r="CY61" s="118">
        <v>0</v>
      </c>
      <c r="CZ61" s="118">
        <v>0</v>
      </c>
      <c r="DA61" s="118">
        <v>0</v>
      </c>
      <c r="DB61" s="118">
        <v>0</v>
      </c>
      <c r="DC61" s="118">
        <v>0</v>
      </c>
      <c r="DD61" s="138">
        <v>1</v>
      </c>
      <c r="DE61" s="125" t="s">
        <v>486</v>
      </c>
      <c r="DF61" s="118">
        <v>2</v>
      </c>
      <c r="DG61" s="118">
        <v>0</v>
      </c>
      <c r="DH61" s="118">
        <v>1</v>
      </c>
      <c r="DI61" s="118">
        <v>0</v>
      </c>
      <c r="DJ61" s="118">
        <v>1</v>
      </c>
      <c r="DK61" s="118">
        <v>1</v>
      </c>
      <c r="DL61" s="118">
        <v>0</v>
      </c>
      <c r="DM61" s="118">
        <v>0</v>
      </c>
      <c r="DN61" s="138">
        <v>1</v>
      </c>
      <c r="DO61" s="125" t="s">
        <v>479</v>
      </c>
      <c r="DP61" s="118">
        <v>3</v>
      </c>
      <c r="DQ61" s="118">
        <v>0</v>
      </c>
      <c r="DR61" s="118">
        <v>1</v>
      </c>
      <c r="DS61" s="118">
        <v>0</v>
      </c>
      <c r="DT61" s="118">
        <v>0</v>
      </c>
      <c r="DU61" s="118">
        <v>0</v>
      </c>
      <c r="DV61" s="118">
        <v>0</v>
      </c>
      <c r="DW61" s="118">
        <v>0</v>
      </c>
      <c r="DX61" s="138">
        <v>1</v>
      </c>
      <c r="DY61" s="140">
        <v>0</v>
      </c>
      <c r="DZ61" s="118">
        <v>0</v>
      </c>
      <c r="EA61" s="118">
        <v>0</v>
      </c>
      <c r="EB61" s="119">
        <v>7</v>
      </c>
      <c r="EC61" s="118">
        <v>0</v>
      </c>
      <c r="ED61" s="138">
        <v>0</v>
      </c>
      <c r="EE61" s="125">
        <v>0</v>
      </c>
      <c r="EF61" s="118">
        <v>0</v>
      </c>
      <c r="EG61" s="118">
        <v>0</v>
      </c>
      <c r="EH61" s="118">
        <v>0</v>
      </c>
      <c r="EI61" s="118">
        <v>0</v>
      </c>
      <c r="EJ61" s="118">
        <v>0</v>
      </c>
      <c r="EK61" s="118">
        <v>0</v>
      </c>
      <c r="EL61" s="118"/>
      <c r="EM61" s="118"/>
      <c r="EN61" s="118"/>
      <c r="EO61" s="118"/>
      <c r="EP61" s="118"/>
      <c r="EQ61" s="118"/>
      <c r="ER61" s="118"/>
      <c r="ES61" s="118"/>
      <c r="ET61" s="118"/>
      <c r="EU61" s="118"/>
      <c r="EV61" s="118"/>
      <c r="EW61" s="118"/>
      <c r="EX61" s="138">
        <f t="shared" si="4"/>
        <v>0</v>
      </c>
      <c r="EY61" s="125">
        <v>0</v>
      </c>
      <c r="EZ61" s="118">
        <v>0</v>
      </c>
      <c r="FA61" s="118">
        <v>1</v>
      </c>
      <c r="FB61" s="118">
        <v>2</v>
      </c>
      <c r="FC61" s="118">
        <v>0</v>
      </c>
      <c r="FD61" s="118">
        <v>0</v>
      </c>
      <c r="FE61" s="118"/>
      <c r="FF61" s="118"/>
      <c r="FG61" s="118"/>
      <c r="FH61" s="118"/>
      <c r="FI61" s="118"/>
      <c r="FJ61" s="118"/>
      <c r="FK61" s="118"/>
      <c r="FL61" s="118"/>
      <c r="FM61" s="118"/>
      <c r="FN61" s="118"/>
      <c r="FO61" s="118"/>
      <c r="FP61" s="118"/>
      <c r="FQ61" s="118"/>
      <c r="FR61" s="138">
        <f t="shared" si="5"/>
        <v>3</v>
      </c>
      <c r="FS61" s="166">
        <f t="shared" si="6"/>
        <v>0</v>
      </c>
      <c r="FT61" s="167">
        <f t="shared" si="7"/>
        <v>0</v>
      </c>
      <c r="FU61" s="142" t="s">
        <v>475</v>
      </c>
    </row>
    <row r="62" spans="1:177" x14ac:dyDescent="0.25">
      <c r="A62" s="121">
        <v>40338</v>
      </c>
      <c r="B62" s="121" t="s">
        <v>133</v>
      </c>
      <c r="C62" s="121" t="s">
        <v>129</v>
      </c>
      <c r="D62" s="121" t="s">
        <v>488</v>
      </c>
      <c r="E62" s="120"/>
      <c r="F62" s="124" t="s">
        <v>523</v>
      </c>
      <c r="G62" s="118" t="s">
        <v>492</v>
      </c>
      <c r="H62" s="118">
        <v>1</v>
      </c>
      <c r="I62" s="118">
        <v>0</v>
      </c>
      <c r="J62" s="119">
        <v>5</v>
      </c>
      <c r="K62" s="118">
        <v>3</v>
      </c>
      <c r="L62" s="118">
        <v>2</v>
      </c>
      <c r="M62" s="118">
        <v>2</v>
      </c>
      <c r="N62" s="118">
        <v>2</v>
      </c>
      <c r="O62" s="118">
        <v>0</v>
      </c>
      <c r="P62" s="118">
        <v>0</v>
      </c>
      <c r="Q62" s="118">
        <v>0</v>
      </c>
      <c r="R62" s="118">
        <v>20</v>
      </c>
      <c r="S62" s="118"/>
      <c r="T62" s="118"/>
      <c r="U62" s="118">
        <v>0</v>
      </c>
      <c r="V62" s="138">
        <v>0</v>
      </c>
      <c r="W62" s="125">
        <v>0</v>
      </c>
      <c r="X62" s="118">
        <v>0</v>
      </c>
      <c r="Y62" s="118">
        <v>0</v>
      </c>
      <c r="Z62" s="118">
        <v>1</v>
      </c>
      <c r="AA62" s="118">
        <v>0</v>
      </c>
      <c r="AB62" s="119">
        <v>2</v>
      </c>
      <c r="AC62" s="118">
        <v>0</v>
      </c>
      <c r="AD62" s="118">
        <v>0</v>
      </c>
      <c r="AE62" s="118">
        <v>0</v>
      </c>
      <c r="AF62" s="118">
        <v>0</v>
      </c>
      <c r="AG62" s="118">
        <v>2</v>
      </c>
      <c r="AH62" s="118">
        <v>0</v>
      </c>
      <c r="AI62" s="118">
        <v>0</v>
      </c>
      <c r="AJ62" s="118">
        <v>6</v>
      </c>
      <c r="AK62" s="118"/>
      <c r="AL62" s="138"/>
      <c r="AM62" s="125" t="s">
        <v>486</v>
      </c>
      <c r="AN62" s="118">
        <v>4</v>
      </c>
      <c r="AO62" s="118">
        <v>0</v>
      </c>
      <c r="AP62" s="118">
        <v>0</v>
      </c>
      <c r="AQ62" s="118">
        <v>0</v>
      </c>
      <c r="AR62" s="118">
        <v>0</v>
      </c>
      <c r="AS62" s="118">
        <v>1</v>
      </c>
      <c r="AT62" s="118">
        <v>0</v>
      </c>
      <c r="AU62" s="118">
        <v>0</v>
      </c>
      <c r="AV62" s="138">
        <v>0</v>
      </c>
      <c r="AW62" s="125" t="s">
        <v>485</v>
      </c>
      <c r="AX62" s="118">
        <v>3</v>
      </c>
      <c r="AY62" s="118">
        <v>0</v>
      </c>
      <c r="AZ62" s="118">
        <v>1</v>
      </c>
      <c r="BA62" s="118">
        <v>0</v>
      </c>
      <c r="BB62" s="118">
        <v>0</v>
      </c>
      <c r="BC62" s="118">
        <v>1</v>
      </c>
      <c r="BD62" s="118">
        <v>0</v>
      </c>
      <c r="BE62" s="118">
        <v>0</v>
      </c>
      <c r="BF62" s="138">
        <v>1</v>
      </c>
      <c r="BG62" s="125" t="s">
        <v>482</v>
      </c>
      <c r="BH62" s="118">
        <v>3</v>
      </c>
      <c r="BI62" s="118">
        <v>1</v>
      </c>
      <c r="BJ62" s="118">
        <v>1</v>
      </c>
      <c r="BK62" s="118">
        <v>0</v>
      </c>
      <c r="BL62" s="118">
        <v>0</v>
      </c>
      <c r="BM62" s="118">
        <v>1</v>
      </c>
      <c r="BN62" s="118">
        <v>0</v>
      </c>
      <c r="BO62" s="118">
        <v>0</v>
      </c>
      <c r="BP62" s="138">
        <v>1</v>
      </c>
      <c r="BQ62" s="125" t="s">
        <v>496</v>
      </c>
      <c r="BR62" s="118">
        <v>3</v>
      </c>
      <c r="BS62" s="118">
        <v>0</v>
      </c>
      <c r="BT62" s="118">
        <v>0</v>
      </c>
      <c r="BU62" s="118">
        <v>0</v>
      </c>
      <c r="BV62" s="118">
        <v>0</v>
      </c>
      <c r="BW62" s="118">
        <v>1</v>
      </c>
      <c r="BX62" s="118">
        <v>0</v>
      </c>
      <c r="BY62" s="118">
        <v>0</v>
      </c>
      <c r="BZ62" s="138">
        <v>0</v>
      </c>
      <c r="CA62" s="125" t="s">
        <v>481</v>
      </c>
      <c r="CB62" s="118">
        <v>3</v>
      </c>
      <c r="CC62" s="118">
        <v>1</v>
      </c>
      <c r="CD62" s="118">
        <v>2</v>
      </c>
      <c r="CE62" s="118">
        <v>0</v>
      </c>
      <c r="CF62" s="118">
        <v>0</v>
      </c>
      <c r="CG62" s="118">
        <v>0</v>
      </c>
      <c r="CH62" s="118">
        <v>0</v>
      </c>
      <c r="CI62" s="118">
        <v>0</v>
      </c>
      <c r="CJ62" s="138">
        <v>2</v>
      </c>
      <c r="CK62" s="125" t="s">
        <v>367</v>
      </c>
      <c r="CL62" s="118">
        <v>3</v>
      </c>
      <c r="CM62" s="118">
        <v>1</v>
      </c>
      <c r="CN62" s="118">
        <v>1</v>
      </c>
      <c r="CO62" s="118">
        <v>0</v>
      </c>
      <c r="CP62" s="118">
        <v>0</v>
      </c>
      <c r="CQ62" s="118">
        <v>0</v>
      </c>
      <c r="CR62" s="118">
        <v>0</v>
      </c>
      <c r="CS62" s="118">
        <v>0</v>
      </c>
      <c r="CT62" s="138">
        <v>1</v>
      </c>
      <c r="CU62" s="125" t="s">
        <v>489</v>
      </c>
      <c r="CV62" s="118">
        <v>3</v>
      </c>
      <c r="CW62" s="118">
        <v>0</v>
      </c>
      <c r="CX62" s="118">
        <v>1</v>
      </c>
      <c r="CY62" s="118">
        <v>3</v>
      </c>
      <c r="CZ62" s="118">
        <v>0</v>
      </c>
      <c r="DA62" s="118">
        <v>0</v>
      </c>
      <c r="DB62" s="118">
        <v>0</v>
      </c>
      <c r="DC62" s="118">
        <v>0</v>
      </c>
      <c r="DD62" s="138">
        <v>3</v>
      </c>
      <c r="DE62" s="125" t="s">
        <v>480</v>
      </c>
      <c r="DF62" s="118">
        <v>3</v>
      </c>
      <c r="DG62" s="118">
        <v>0</v>
      </c>
      <c r="DH62" s="118">
        <v>0</v>
      </c>
      <c r="DI62" s="118">
        <v>0</v>
      </c>
      <c r="DJ62" s="118">
        <v>0</v>
      </c>
      <c r="DK62" s="118">
        <v>2</v>
      </c>
      <c r="DL62" s="118">
        <v>0</v>
      </c>
      <c r="DM62" s="118">
        <v>0</v>
      </c>
      <c r="DN62" s="138">
        <v>0</v>
      </c>
      <c r="DO62" s="125" t="s">
        <v>335</v>
      </c>
      <c r="DP62" s="118">
        <v>3</v>
      </c>
      <c r="DQ62" s="118">
        <v>0</v>
      </c>
      <c r="DR62" s="118">
        <v>0</v>
      </c>
      <c r="DS62" s="118">
        <v>0</v>
      </c>
      <c r="DT62" s="118">
        <v>0</v>
      </c>
      <c r="DU62" s="118">
        <v>0</v>
      </c>
      <c r="DV62" s="118">
        <v>0</v>
      </c>
      <c r="DW62" s="118">
        <v>0</v>
      </c>
      <c r="DX62" s="138">
        <v>0</v>
      </c>
      <c r="DY62" s="140">
        <v>1</v>
      </c>
      <c r="DZ62" s="118">
        <v>0</v>
      </c>
      <c r="EA62" s="118">
        <v>0</v>
      </c>
      <c r="EB62" s="119">
        <v>6</v>
      </c>
      <c r="EC62" s="118">
        <v>0</v>
      </c>
      <c r="ED62" s="138">
        <v>0</v>
      </c>
      <c r="EE62" s="125">
        <v>0</v>
      </c>
      <c r="EF62" s="118">
        <v>0</v>
      </c>
      <c r="EG62" s="118">
        <v>0</v>
      </c>
      <c r="EH62" s="118">
        <v>3</v>
      </c>
      <c r="EI62" s="118">
        <v>0</v>
      </c>
      <c r="EJ62" s="118">
        <v>0</v>
      </c>
      <c r="EK62" s="118">
        <v>0</v>
      </c>
      <c r="EL62" s="118"/>
      <c r="EM62" s="118"/>
      <c r="EN62" s="118"/>
      <c r="EO62" s="118"/>
      <c r="EP62" s="118"/>
      <c r="EQ62" s="118"/>
      <c r="ER62" s="118"/>
      <c r="ES62" s="118"/>
      <c r="ET62" s="118"/>
      <c r="EU62" s="118"/>
      <c r="EV62" s="118"/>
      <c r="EW62" s="118"/>
      <c r="EX62" s="138">
        <f t="shared" si="4"/>
        <v>3</v>
      </c>
      <c r="EY62" s="125">
        <v>0</v>
      </c>
      <c r="EZ62" s="118">
        <v>0</v>
      </c>
      <c r="FA62" s="118">
        <v>2</v>
      </c>
      <c r="FB62" s="118">
        <v>0</v>
      </c>
      <c r="FC62" s="118">
        <v>0</v>
      </c>
      <c r="FD62" s="118">
        <v>0</v>
      </c>
      <c r="FE62" s="118">
        <v>0</v>
      </c>
      <c r="FF62" s="118"/>
      <c r="FG62" s="118"/>
      <c r="FH62" s="118"/>
      <c r="FI62" s="118"/>
      <c r="FJ62" s="118"/>
      <c r="FK62" s="118"/>
      <c r="FL62" s="118"/>
      <c r="FM62" s="118"/>
      <c r="FN62" s="118"/>
      <c r="FO62" s="118"/>
      <c r="FP62" s="118"/>
      <c r="FQ62" s="118"/>
      <c r="FR62" s="138">
        <f t="shared" si="5"/>
        <v>2</v>
      </c>
      <c r="FS62" s="166">
        <f t="shared" si="6"/>
        <v>0</v>
      </c>
      <c r="FT62" s="167">
        <f t="shared" si="7"/>
        <v>0</v>
      </c>
      <c r="FU62" s="142" t="s">
        <v>378</v>
      </c>
    </row>
    <row r="63" spans="1:177" x14ac:dyDescent="0.25">
      <c r="A63" s="121">
        <v>40339</v>
      </c>
      <c r="B63" s="121" t="s">
        <v>133</v>
      </c>
      <c r="C63" s="121" t="s">
        <v>129</v>
      </c>
      <c r="D63" s="121" t="s">
        <v>488</v>
      </c>
      <c r="E63" s="120">
        <v>745</v>
      </c>
      <c r="F63" s="124">
        <v>3</v>
      </c>
      <c r="G63" s="118" t="s">
        <v>498</v>
      </c>
      <c r="H63" s="118">
        <v>0</v>
      </c>
      <c r="I63" s="118">
        <v>0</v>
      </c>
      <c r="J63" s="119">
        <v>5</v>
      </c>
      <c r="K63" s="118">
        <v>8</v>
      </c>
      <c r="L63" s="118">
        <v>2</v>
      </c>
      <c r="M63" s="118">
        <v>1</v>
      </c>
      <c r="N63" s="118">
        <v>0</v>
      </c>
      <c r="O63" s="118">
        <v>1</v>
      </c>
      <c r="P63" s="118">
        <v>0</v>
      </c>
      <c r="Q63" s="118">
        <v>1</v>
      </c>
      <c r="R63" s="118">
        <v>22</v>
      </c>
      <c r="S63" s="118"/>
      <c r="T63" s="118"/>
      <c r="U63" s="118">
        <v>0</v>
      </c>
      <c r="V63" s="138">
        <v>0</v>
      </c>
      <c r="W63" s="125">
        <v>1</v>
      </c>
      <c r="X63" s="118">
        <v>0</v>
      </c>
      <c r="Y63" s="118">
        <v>0</v>
      </c>
      <c r="Z63" s="118">
        <v>1</v>
      </c>
      <c r="AA63" s="118">
        <v>0</v>
      </c>
      <c r="AB63" s="119">
        <v>5</v>
      </c>
      <c r="AC63" s="118">
        <v>1</v>
      </c>
      <c r="AD63" s="118">
        <v>0</v>
      </c>
      <c r="AE63" s="118">
        <v>0</v>
      </c>
      <c r="AF63" s="118">
        <v>0</v>
      </c>
      <c r="AG63" s="118">
        <v>6</v>
      </c>
      <c r="AH63" s="118">
        <v>0</v>
      </c>
      <c r="AI63" s="118">
        <v>0</v>
      </c>
      <c r="AJ63" s="118">
        <v>17</v>
      </c>
      <c r="AK63" s="118"/>
      <c r="AL63" s="138"/>
      <c r="AM63" s="125" t="s">
        <v>482</v>
      </c>
      <c r="AN63" s="118">
        <v>5</v>
      </c>
      <c r="AO63" s="118">
        <v>0</v>
      </c>
      <c r="AP63" s="118">
        <v>1</v>
      </c>
      <c r="AQ63" s="118">
        <v>0</v>
      </c>
      <c r="AR63" s="118">
        <v>0</v>
      </c>
      <c r="AS63" s="118">
        <v>2</v>
      </c>
      <c r="AT63" s="118">
        <v>0</v>
      </c>
      <c r="AU63" s="118">
        <v>0</v>
      </c>
      <c r="AV63" s="138">
        <v>1</v>
      </c>
      <c r="AW63" s="125" t="s">
        <v>485</v>
      </c>
      <c r="AX63" s="118">
        <v>4</v>
      </c>
      <c r="AY63" s="118">
        <v>1</v>
      </c>
      <c r="AZ63" s="118">
        <v>0</v>
      </c>
      <c r="BA63" s="118">
        <v>0</v>
      </c>
      <c r="BB63" s="118">
        <v>1</v>
      </c>
      <c r="BC63" s="118">
        <v>2</v>
      </c>
      <c r="BD63" s="118">
        <v>0</v>
      </c>
      <c r="BE63" s="118">
        <v>0</v>
      </c>
      <c r="BF63" s="138">
        <v>0</v>
      </c>
      <c r="BG63" s="125" t="s">
        <v>484</v>
      </c>
      <c r="BH63" s="118">
        <v>4</v>
      </c>
      <c r="BI63" s="118">
        <v>0</v>
      </c>
      <c r="BJ63" s="118">
        <v>0</v>
      </c>
      <c r="BK63" s="118">
        <v>0</v>
      </c>
      <c r="BL63" s="118">
        <v>0</v>
      </c>
      <c r="BM63" s="118">
        <v>0</v>
      </c>
      <c r="BN63" s="118">
        <v>0</v>
      </c>
      <c r="BO63" s="118">
        <v>0</v>
      </c>
      <c r="BP63" s="138">
        <v>0</v>
      </c>
      <c r="BQ63" s="125" t="s">
        <v>496</v>
      </c>
      <c r="BR63" s="118">
        <v>4</v>
      </c>
      <c r="BS63" s="118">
        <v>1</v>
      </c>
      <c r="BT63" s="118">
        <v>0</v>
      </c>
      <c r="BU63" s="118">
        <v>0</v>
      </c>
      <c r="BV63" s="118">
        <v>0</v>
      </c>
      <c r="BW63" s="118">
        <v>1</v>
      </c>
      <c r="BX63" s="118">
        <v>0</v>
      </c>
      <c r="BY63" s="118">
        <v>0</v>
      </c>
      <c r="BZ63" s="138">
        <v>0</v>
      </c>
      <c r="CA63" s="125" t="s">
        <v>481</v>
      </c>
      <c r="CB63" s="118">
        <v>2</v>
      </c>
      <c r="CC63" s="118">
        <v>0</v>
      </c>
      <c r="CD63" s="118">
        <v>1</v>
      </c>
      <c r="CE63" s="118">
        <v>1</v>
      </c>
      <c r="CF63" s="118">
        <v>2</v>
      </c>
      <c r="CG63" s="118">
        <v>0</v>
      </c>
      <c r="CH63" s="118">
        <v>0</v>
      </c>
      <c r="CI63" s="118">
        <v>0</v>
      </c>
      <c r="CJ63" s="138">
        <v>1</v>
      </c>
      <c r="CK63" s="125" t="s">
        <v>367</v>
      </c>
      <c r="CL63" s="118">
        <v>3</v>
      </c>
      <c r="CM63" s="118">
        <v>0</v>
      </c>
      <c r="CN63" s="118">
        <v>1</v>
      </c>
      <c r="CO63" s="118">
        <v>1</v>
      </c>
      <c r="CP63" s="118">
        <v>1</v>
      </c>
      <c r="CQ63" s="118">
        <v>0</v>
      </c>
      <c r="CR63" s="118">
        <v>0</v>
      </c>
      <c r="CS63" s="118">
        <v>0</v>
      </c>
      <c r="CT63" s="138">
        <v>1</v>
      </c>
      <c r="CU63" s="125" t="s">
        <v>489</v>
      </c>
      <c r="CV63" s="118">
        <v>2</v>
      </c>
      <c r="CW63" s="118">
        <v>1</v>
      </c>
      <c r="CX63" s="118">
        <v>1</v>
      </c>
      <c r="CY63" s="118">
        <v>0</v>
      </c>
      <c r="CZ63" s="118">
        <v>0</v>
      </c>
      <c r="DA63" s="118">
        <v>0</v>
      </c>
      <c r="DB63" s="118">
        <v>1</v>
      </c>
      <c r="DC63" s="118">
        <v>0</v>
      </c>
      <c r="DD63" s="138">
        <v>1</v>
      </c>
      <c r="DE63" s="125" t="s">
        <v>491</v>
      </c>
      <c r="DF63" s="118">
        <v>3</v>
      </c>
      <c r="DG63" s="118">
        <v>0</v>
      </c>
      <c r="DH63" s="118">
        <v>0</v>
      </c>
      <c r="DI63" s="118">
        <v>0</v>
      </c>
      <c r="DJ63" s="118">
        <v>0</v>
      </c>
      <c r="DK63" s="118">
        <v>1</v>
      </c>
      <c r="DL63" s="118">
        <v>0</v>
      </c>
      <c r="DM63" s="118">
        <v>0</v>
      </c>
      <c r="DN63" s="138">
        <v>0</v>
      </c>
      <c r="DO63" s="125" t="s">
        <v>479</v>
      </c>
      <c r="DP63" s="118">
        <v>4</v>
      </c>
      <c r="DQ63" s="118">
        <v>0</v>
      </c>
      <c r="DR63" s="118">
        <v>1</v>
      </c>
      <c r="DS63" s="118">
        <v>1</v>
      </c>
      <c r="DT63" s="118">
        <v>0</v>
      </c>
      <c r="DU63" s="118">
        <v>1</v>
      </c>
      <c r="DV63" s="118">
        <v>0</v>
      </c>
      <c r="DW63" s="118">
        <v>0</v>
      </c>
      <c r="DX63" s="138">
        <v>1</v>
      </c>
      <c r="DY63" s="140">
        <v>0</v>
      </c>
      <c r="DZ63" s="118">
        <v>0</v>
      </c>
      <c r="EA63" s="118">
        <v>0</v>
      </c>
      <c r="EB63" s="119">
        <v>10</v>
      </c>
      <c r="EC63" s="118">
        <v>1</v>
      </c>
      <c r="ED63" s="138">
        <v>1</v>
      </c>
      <c r="EE63" s="125">
        <v>2</v>
      </c>
      <c r="EF63" s="118">
        <v>0</v>
      </c>
      <c r="EG63" s="118">
        <v>0</v>
      </c>
      <c r="EH63" s="118">
        <v>0</v>
      </c>
      <c r="EI63" s="118">
        <v>0</v>
      </c>
      <c r="EJ63" s="118">
        <v>0</v>
      </c>
      <c r="EK63" s="118">
        <v>0</v>
      </c>
      <c r="EL63" s="118">
        <v>0</v>
      </c>
      <c r="EM63" s="118">
        <v>0</v>
      </c>
      <c r="EN63" s="118">
        <v>1</v>
      </c>
      <c r="EO63" s="118"/>
      <c r="EP63" s="118"/>
      <c r="EQ63" s="118"/>
      <c r="ER63" s="118"/>
      <c r="ES63" s="118"/>
      <c r="ET63" s="118"/>
      <c r="EU63" s="118"/>
      <c r="EV63" s="118"/>
      <c r="EW63" s="118"/>
      <c r="EX63" s="138">
        <f t="shared" si="4"/>
        <v>3</v>
      </c>
      <c r="EY63" s="125">
        <v>1</v>
      </c>
      <c r="EZ63" s="118">
        <v>0</v>
      </c>
      <c r="FA63" s="118">
        <v>0</v>
      </c>
      <c r="FB63" s="118">
        <v>1</v>
      </c>
      <c r="FC63" s="118">
        <v>0</v>
      </c>
      <c r="FD63" s="118">
        <v>0</v>
      </c>
      <c r="FE63" s="118">
        <v>0</v>
      </c>
      <c r="FF63" s="118">
        <v>0</v>
      </c>
      <c r="FG63" s="118">
        <v>0</v>
      </c>
      <c r="FH63" s="118">
        <v>0</v>
      </c>
      <c r="FI63" s="118"/>
      <c r="FJ63" s="118"/>
      <c r="FK63" s="118"/>
      <c r="FL63" s="118"/>
      <c r="FM63" s="118"/>
      <c r="FN63" s="118"/>
      <c r="FO63" s="118"/>
      <c r="FP63" s="118"/>
      <c r="FQ63" s="118"/>
      <c r="FR63" s="138">
        <f t="shared" si="5"/>
        <v>2</v>
      </c>
      <c r="FS63" s="166">
        <f t="shared" si="6"/>
        <v>0</v>
      </c>
      <c r="FT63" s="167">
        <f t="shared" si="7"/>
        <v>0</v>
      </c>
      <c r="FU63" s="142"/>
    </row>
    <row r="64" spans="1:177" x14ac:dyDescent="0.25">
      <c r="A64" s="123">
        <v>40343</v>
      </c>
      <c r="B64" s="121" t="s">
        <v>133</v>
      </c>
      <c r="C64" s="121" t="s">
        <v>129</v>
      </c>
      <c r="D64" s="121" t="s">
        <v>497</v>
      </c>
      <c r="E64" s="120">
        <v>446</v>
      </c>
      <c r="F64" s="124">
        <v>1</v>
      </c>
      <c r="G64" s="118" t="s">
        <v>494</v>
      </c>
      <c r="H64" s="118">
        <v>1</v>
      </c>
      <c r="I64" s="118">
        <v>0</v>
      </c>
      <c r="J64" s="119">
        <v>6</v>
      </c>
      <c r="K64" s="118">
        <v>8</v>
      </c>
      <c r="L64" s="118">
        <v>1</v>
      </c>
      <c r="M64" s="118">
        <v>1</v>
      </c>
      <c r="N64" s="118">
        <v>1</v>
      </c>
      <c r="O64" s="118">
        <v>3</v>
      </c>
      <c r="P64" s="118">
        <v>0</v>
      </c>
      <c r="Q64" s="118">
        <v>0</v>
      </c>
      <c r="R64" s="118">
        <v>25</v>
      </c>
      <c r="S64" s="118"/>
      <c r="T64" s="118"/>
      <c r="U64" s="118">
        <v>0</v>
      </c>
      <c r="V64" s="138">
        <v>0</v>
      </c>
      <c r="W64" s="125">
        <v>0</v>
      </c>
      <c r="X64" s="118">
        <v>0</v>
      </c>
      <c r="Y64" s="118">
        <v>0</v>
      </c>
      <c r="Z64" s="118">
        <v>1</v>
      </c>
      <c r="AA64" s="118">
        <v>0</v>
      </c>
      <c r="AB64" s="119">
        <v>3</v>
      </c>
      <c r="AC64" s="118">
        <v>2</v>
      </c>
      <c r="AD64" s="118">
        <v>0</v>
      </c>
      <c r="AE64" s="118">
        <v>0</v>
      </c>
      <c r="AF64" s="118">
        <v>0</v>
      </c>
      <c r="AG64" s="118">
        <v>3</v>
      </c>
      <c r="AH64" s="118">
        <v>0</v>
      </c>
      <c r="AI64" s="118">
        <v>0</v>
      </c>
      <c r="AJ64" s="118">
        <v>10</v>
      </c>
      <c r="AK64" s="118"/>
      <c r="AL64" s="138"/>
      <c r="AM64" s="125" t="s">
        <v>486</v>
      </c>
      <c r="AN64" s="118">
        <v>5</v>
      </c>
      <c r="AO64" s="118">
        <v>2</v>
      </c>
      <c r="AP64" s="118">
        <v>2</v>
      </c>
      <c r="AQ64" s="118">
        <v>1</v>
      </c>
      <c r="AR64" s="118">
        <v>0</v>
      </c>
      <c r="AS64" s="118">
        <v>0</v>
      </c>
      <c r="AT64" s="118">
        <v>0</v>
      </c>
      <c r="AU64" s="118">
        <v>0</v>
      </c>
      <c r="AV64" s="138">
        <v>2</v>
      </c>
      <c r="AW64" s="125" t="s">
        <v>485</v>
      </c>
      <c r="AX64" s="118">
        <v>4</v>
      </c>
      <c r="AY64" s="118">
        <v>2</v>
      </c>
      <c r="AZ64" s="118">
        <v>2</v>
      </c>
      <c r="BA64" s="118">
        <v>0</v>
      </c>
      <c r="BB64" s="118">
        <v>1</v>
      </c>
      <c r="BC64" s="118">
        <v>1</v>
      </c>
      <c r="BD64" s="118">
        <v>0</v>
      </c>
      <c r="BE64" s="118">
        <v>0</v>
      </c>
      <c r="BF64" s="138">
        <v>2</v>
      </c>
      <c r="BG64" s="125" t="s">
        <v>484</v>
      </c>
      <c r="BH64" s="118">
        <v>5</v>
      </c>
      <c r="BI64" s="118">
        <v>1</v>
      </c>
      <c r="BJ64" s="118">
        <v>3</v>
      </c>
      <c r="BK64" s="118">
        <v>3</v>
      </c>
      <c r="BL64" s="118">
        <v>0</v>
      </c>
      <c r="BM64" s="118">
        <v>0</v>
      </c>
      <c r="BN64" s="118">
        <v>0</v>
      </c>
      <c r="BO64" s="118">
        <v>0</v>
      </c>
      <c r="BP64" s="138">
        <v>3</v>
      </c>
      <c r="BQ64" s="125" t="s">
        <v>496</v>
      </c>
      <c r="BR64" s="118">
        <v>5</v>
      </c>
      <c r="BS64" s="118">
        <v>1</v>
      </c>
      <c r="BT64" s="118">
        <v>2</v>
      </c>
      <c r="BU64" s="118">
        <v>2</v>
      </c>
      <c r="BV64" s="118">
        <v>0</v>
      </c>
      <c r="BW64" s="118">
        <v>1</v>
      </c>
      <c r="BX64" s="118">
        <v>0</v>
      </c>
      <c r="BY64" s="118">
        <v>0</v>
      </c>
      <c r="BZ64" s="138">
        <v>2</v>
      </c>
      <c r="CA64" s="125" t="s">
        <v>481</v>
      </c>
      <c r="CB64" s="118">
        <v>5</v>
      </c>
      <c r="CC64" s="118">
        <v>0</v>
      </c>
      <c r="CD64" s="118">
        <v>1</v>
      </c>
      <c r="CE64" s="118">
        <v>1</v>
      </c>
      <c r="CF64" s="118">
        <v>0</v>
      </c>
      <c r="CG64" s="118">
        <v>0</v>
      </c>
      <c r="CH64" s="118">
        <v>0</v>
      </c>
      <c r="CI64" s="118">
        <v>0</v>
      </c>
      <c r="CJ64" s="138">
        <v>1</v>
      </c>
      <c r="CK64" s="125" t="s">
        <v>367</v>
      </c>
      <c r="CL64" s="118">
        <v>5</v>
      </c>
      <c r="CM64" s="118">
        <v>0</v>
      </c>
      <c r="CN64" s="118">
        <v>2</v>
      </c>
      <c r="CO64" s="118">
        <v>1</v>
      </c>
      <c r="CP64" s="118">
        <v>0</v>
      </c>
      <c r="CQ64" s="118">
        <v>0</v>
      </c>
      <c r="CR64" s="118">
        <v>0</v>
      </c>
      <c r="CS64" s="118">
        <v>0</v>
      </c>
      <c r="CT64" s="138">
        <v>2</v>
      </c>
      <c r="CU64" s="125" t="s">
        <v>489</v>
      </c>
      <c r="CV64" s="118">
        <v>5</v>
      </c>
      <c r="CW64" s="118">
        <v>0</v>
      </c>
      <c r="CX64" s="118">
        <v>0</v>
      </c>
      <c r="CY64" s="118">
        <v>0</v>
      </c>
      <c r="CZ64" s="118">
        <v>0</v>
      </c>
      <c r="DA64" s="118">
        <v>0</v>
      </c>
      <c r="DB64" s="118">
        <v>0</v>
      </c>
      <c r="DC64" s="118">
        <v>0</v>
      </c>
      <c r="DD64" s="138">
        <v>0</v>
      </c>
      <c r="DE64" s="125" t="s">
        <v>482</v>
      </c>
      <c r="DF64" s="118">
        <v>4</v>
      </c>
      <c r="DG64" s="118">
        <v>1</v>
      </c>
      <c r="DH64" s="118">
        <v>1</v>
      </c>
      <c r="DI64" s="118">
        <v>0</v>
      </c>
      <c r="DJ64" s="118">
        <v>1</v>
      </c>
      <c r="DK64" s="118">
        <v>1</v>
      </c>
      <c r="DL64" s="118">
        <v>0</v>
      </c>
      <c r="DM64" s="118">
        <v>0</v>
      </c>
      <c r="DN64" s="138">
        <v>1</v>
      </c>
      <c r="DO64" s="125" t="s">
        <v>479</v>
      </c>
      <c r="DP64" s="118">
        <v>4</v>
      </c>
      <c r="DQ64" s="118">
        <v>1</v>
      </c>
      <c r="DR64" s="118">
        <v>1</v>
      </c>
      <c r="DS64" s="118">
        <v>0</v>
      </c>
      <c r="DT64" s="118">
        <v>0</v>
      </c>
      <c r="DU64" s="118">
        <v>1</v>
      </c>
      <c r="DV64" s="118">
        <v>0</v>
      </c>
      <c r="DW64" s="118">
        <v>0</v>
      </c>
      <c r="DX64" s="138">
        <v>2</v>
      </c>
      <c r="DY64" s="140">
        <f>4+1/3</f>
        <v>4.333333333333333</v>
      </c>
      <c r="DZ64" s="118">
        <v>0</v>
      </c>
      <c r="EA64" s="118">
        <v>0</v>
      </c>
      <c r="EB64" s="119">
        <f>4+2/3</f>
        <v>4.666666666666667</v>
      </c>
      <c r="EC64" s="118">
        <v>0</v>
      </c>
      <c r="ED64" s="138">
        <v>0</v>
      </c>
      <c r="EE64" s="125">
        <v>0</v>
      </c>
      <c r="EF64" s="118">
        <v>0</v>
      </c>
      <c r="EG64" s="118">
        <v>3</v>
      </c>
      <c r="EH64" s="118">
        <v>3</v>
      </c>
      <c r="EI64" s="118">
        <v>0</v>
      </c>
      <c r="EJ64" s="118">
        <v>0</v>
      </c>
      <c r="EK64" s="118">
        <v>0</v>
      </c>
      <c r="EL64" s="118">
        <v>2</v>
      </c>
      <c r="EM64" s="118">
        <v>0</v>
      </c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38">
        <f t="shared" si="4"/>
        <v>8</v>
      </c>
      <c r="EY64" s="125">
        <v>0</v>
      </c>
      <c r="EZ64" s="118">
        <v>0</v>
      </c>
      <c r="FA64" s="118">
        <v>0</v>
      </c>
      <c r="FB64" s="118">
        <v>1</v>
      </c>
      <c r="FC64" s="118">
        <v>0</v>
      </c>
      <c r="FD64" s="118">
        <v>0</v>
      </c>
      <c r="FE64" s="118">
        <v>0</v>
      </c>
      <c r="FF64" s="118">
        <v>0</v>
      </c>
      <c r="FG64" s="118">
        <v>0</v>
      </c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38">
        <f t="shared" si="5"/>
        <v>1</v>
      </c>
      <c r="FS64" s="166">
        <f t="shared" si="6"/>
        <v>0</v>
      </c>
      <c r="FT64" s="167">
        <f t="shared" si="7"/>
        <v>0</v>
      </c>
      <c r="FU64" s="142"/>
    </row>
    <row r="65" spans="1:177" x14ac:dyDescent="0.25">
      <c r="A65" s="121">
        <v>40344</v>
      </c>
      <c r="B65" s="121" t="s">
        <v>133</v>
      </c>
      <c r="C65" s="121" t="s">
        <v>129</v>
      </c>
      <c r="D65" s="121" t="s">
        <v>497</v>
      </c>
      <c r="E65" s="120">
        <v>905</v>
      </c>
      <c r="F65" s="124">
        <v>2</v>
      </c>
      <c r="G65" s="118" t="s">
        <v>493</v>
      </c>
      <c r="H65" s="118">
        <v>1</v>
      </c>
      <c r="I65" s="118">
        <v>0</v>
      </c>
      <c r="J65" s="119">
        <v>6</v>
      </c>
      <c r="K65" s="118">
        <v>2</v>
      </c>
      <c r="L65" s="118">
        <v>0</v>
      </c>
      <c r="M65" s="118">
        <v>0</v>
      </c>
      <c r="N65" s="118">
        <v>1</v>
      </c>
      <c r="O65" s="118">
        <v>9</v>
      </c>
      <c r="P65" s="118">
        <v>0</v>
      </c>
      <c r="Q65" s="118">
        <v>0</v>
      </c>
      <c r="R65" s="118">
        <v>21</v>
      </c>
      <c r="S65" s="118"/>
      <c r="T65" s="118"/>
      <c r="U65" s="118">
        <v>0</v>
      </c>
      <c r="V65" s="138">
        <v>0</v>
      </c>
      <c r="W65" s="125">
        <v>0</v>
      </c>
      <c r="X65" s="118">
        <v>0</v>
      </c>
      <c r="Y65" s="118">
        <v>1</v>
      </c>
      <c r="Z65" s="118">
        <v>1</v>
      </c>
      <c r="AA65" s="118">
        <v>0</v>
      </c>
      <c r="AB65" s="119">
        <v>3</v>
      </c>
      <c r="AC65" s="118">
        <v>2</v>
      </c>
      <c r="AD65" s="118">
        <v>0</v>
      </c>
      <c r="AE65" s="118">
        <v>0</v>
      </c>
      <c r="AF65" s="118">
        <v>1</v>
      </c>
      <c r="AG65" s="118">
        <v>1</v>
      </c>
      <c r="AH65" s="118">
        <v>0</v>
      </c>
      <c r="AI65" s="118">
        <v>0</v>
      </c>
      <c r="AJ65" s="118">
        <v>12</v>
      </c>
      <c r="AK65" s="118"/>
      <c r="AL65" s="138"/>
      <c r="AM65" s="125" t="s">
        <v>486</v>
      </c>
      <c r="AN65" s="118">
        <v>4</v>
      </c>
      <c r="AO65" s="118">
        <v>1</v>
      </c>
      <c r="AP65" s="118">
        <v>1</v>
      </c>
      <c r="AQ65" s="118">
        <v>0</v>
      </c>
      <c r="AR65" s="118">
        <v>0</v>
      </c>
      <c r="AS65" s="118">
        <v>1</v>
      </c>
      <c r="AT65" s="118">
        <v>0</v>
      </c>
      <c r="AU65" s="118">
        <v>0</v>
      </c>
      <c r="AV65" s="138">
        <v>1</v>
      </c>
      <c r="AW65" s="125" t="s">
        <v>485</v>
      </c>
      <c r="AX65" s="118">
        <v>4</v>
      </c>
      <c r="AY65" s="118">
        <v>0</v>
      </c>
      <c r="AZ65" s="118">
        <v>1</v>
      </c>
      <c r="BA65" s="118">
        <v>3</v>
      </c>
      <c r="BB65" s="118">
        <v>0</v>
      </c>
      <c r="BC65" s="118">
        <v>2</v>
      </c>
      <c r="BD65" s="118">
        <v>0</v>
      </c>
      <c r="BE65" s="118">
        <v>1</v>
      </c>
      <c r="BF65" s="138">
        <v>2</v>
      </c>
      <c r="BG65" s="125" t="s">
        <v>484</v>
      </c>
      <c r="BH65" s="118">
        <v>5</v>
      </c>
      <c r="BI65" s="118">
        <v>0</v>
      </c>
      <c r="BJ65" s="118">
        <v>3</v>
      </c>
      <c r="BK65" s="118">
        <v>1</v>
      </c>
      <c r="BL65" s="118">
        <v>0</v>
      </c>
      <c r="BM65" s="118">
        <v>0</v>
      </c>
      <c r="BN65" s="118">
        <v>0</v>
      </c>
      <c r="BO65" s="118">
        <v>0</v>
      </c>
      <c r="BP65" s="138">
        <v>5</v>
      </c>
      <c r="BQ65" s="125" t="s">
        <v>496</v>
      </c>
      <c r="BR65" s="118">
        <v>3</v>
      </c>
      <c r="BS65" s="118">
        <v>0</v>
      </c>
      <c r="BT65" s="118">
        <v>1</v>
      </c>
      <c r="BU65" s="118">
        <v>0</v>
      </c>
      <c r="BV65" s="118">
        <v>2</v>
      </c>
      <c r="BW65" s="118">
        <v>0</v>
      </c>
      <c r="BX65" s="118">
        <v>0</v>
      </c>
      <c r="BY65" s="118">
        <v>0</v>
      </c>
      <c r="BZ65" s="138">
        <v>1</v>
      </c>
      <c r="CA65" s="125" t="s">
        <v>481</v>
      </c>
      <c r="CB65" s="118">
        <v>5</v>
      </c>
      <c r="CC65" s="118">
        <v>0</v>
      </c>
      <c r="CD65" s="118">
        <v>1</v>
      </c>
      <c r="CE65" s="118">
        <v>0</v>
      </c>
      <c r="CF65" s="118">
        <v>0</v>
      </c>
      <c r="CG65" s="118">
        <v>0</v>
      </c>
      <c r="CH65" s="118">
        <v>0</v>
      </c>
      <c r="CI65" s="118">
        <v>0</v>
      </c>
      <c r="CJ65" s="138">
        <v>1</v>
      </c>
      <c r="CK65" s="125" t="s">
        <v>367</v>
      </c>
      <c r="CL65" s="118">
        <v>4</v>
      </c>
      <c r="CM65" s="118">
        <v>0</v>
      </c>
      <c r="CN65" s="118">
        <v>0</v>
      </c>
      <c r="CO65" s="118">
        <v>0</v>
      </c>
      <c r="CP65" s="118">
        <v>0</v>
      </c>
      <c r="CQ65" s="118">
        <v>1</v>
      </c>
      <c r="CR65" s="118">
        <v>0</v>
      </c>
      <c r="CS65" s="118">
        <v>0</v>
      </c>
      <c r="CT65" s="138">
        <v>0</v>
      </c>
      <c r="CU65" s="125" t="s">
        <v>489</v>
      </c>
      <c r="CV65" s="118">
        <v>4</v>
      </c>
      <c r="CW65" s="118">
        <v>0</v>
      </c>
      <c r="CX65" s="118">
        <v>1</v>
      </c>
      <c r="CY65" s="118">
        <v>0</v>
      </c>
      <c r="CZ65" s="118">
        <v>0</v>
      </c>
      <c r="DA65" s="118">
        <v>0</v>
      </c>
      <c r="DB65" s="118">
        <v>0</v>
      </c>
      <c r="DC65" s="118">
        <v>0</v>
      </c>
      <c r="DD65" s="138">
        <v>1</v>
      </c>
      <c r="DE65" s="125" t="s">
        <v>480</v>
      </c>
      <c r="DF65" s="118">
        <v>3</v>
      </c>
      <c r="DG65" s="118">
        <v>1</v>
      </c>
      <c r="DH65" s="118">
        <v>2</v>
      </c>
      <c r="DI65" s="118">
        <v>0</v>
      </c>
      <c r="DJ65" s="118">
        <v>1</v>
      </c>
      <c r="DK65" s="118">
        <v>0</v>
      </c>
      <c r="DL65" s="118">
        <v>0</v>
      </c>
      <c r="DM65" s="118">
        <v>0</v>
      </c>
      <c r="DN65" s="138">
        <v>2</v>
      </c>
      <c r="DO65" s="125" t="s">
        <v>491</v>
      </c>
      <c r="DP65" s="118">
        <v>3</v>
      </c>
      <c r="DQ65" s="118">
        <v>2</v>
      </c>
      <c r="DR65" s="118">
        <v>1</v>
      </c>
      <c r="DS65" s="118">
        <v>0</v>
      </c>
      <c r="DT65" s="118">
        <v>0</v>
      </c>
      <c r="DU65" s="118">
        <v>1</v>
      </c>
      <c r="DV65" s="118">
        <v>1</v>
      </c>
      <c r="DW65" s="118">
        <v>0</v>
      </c>
      <c r="DX65" s="138">
        <v>1</v>
      </c>
      <c r="DY65" s="140">
        <f>0+2/3</f>
        <v>0.66666666666666663</v>
      </c>
      <c r="DZ65" s="118">
        <v>0</v>
      </c>
      <c r="EA65" s="118">
        <v>0</v>
      </c>
      <c r="EB65" s="119">
        <f>8+1/3</f>
        <v>8.3333333333333339</v>
      </c>
      <c r="EC65" s="118">
        <v>0</v>
      </c>
      <c r="ED65" s="138">
        <v>0</v>
      </c>
      <c r="EE65" s="125">
        <v>0</v>
      </c>
      <c r="EF65" s="118">
        <v>0</v>
      </c>
      <c r="EG65" s="118">
        <v>2</v>
      </c>
      <c r="EH65" s="118">
        <v>0</v>
      </c>
      <c r="EI65" s="118">
        <v>0</v>
      </c>
      <c r="EJ65" s="118">
        <v>0</v>
      </c>
      <c r="EK65" s="118">
        <v>0</v>
      </c>
      <c r="EL65" s="118">
        <v>0</v>
      </c>
      <c r="EM65" s="118">
        <v>2</v>
      </c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38">
        <f t="shared" si="4"/>
        <v>4</v>
      </c>
      <c r="EY65" s="125">
        <v>0</v>
      </c>
      <c r="EZ65" s="118">
        <v>0</v>
      </c>
      <c r="FA65" s="118">
        <v>0</v>
      </c>
      <c r="FB65" s="118">
        <v>0</v>
      </c>
      <c r="FC65" s="118">
        <v>0</v>
      </c>
      <c r="FD65" s="118">
        <v>0</v>
      </c>
      <c r="FE65" s="118">
        <v>0</v>
      </c>
      <c r="FF65" s="118">
        <v>0</v>
      </c>
      <c r="FG65" s="118">
        <v>0</v>
      </c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38">
        <f t="shared" si="5"/>
        <v>0</v>
      </c>
      <c r="FS65" s="166">
        <f t="shared" si="6"/>
        <v>0</v>
      </c>
      <c r="FT65" s="167">
        <f t="shared" si="7"/>
        <v>0</v>
      </c>
      <c r="FU65" s="142"/>
    </row>
    <row r="66" spans="1:177" x14ac:dyDescent="0.25">
      <c r="A66" s="121">
        <v>40345</v>
      </c>
      <c r="B66" s="121" t="s">
        <v>133</v>
      </c>
      <c r="C66" s="121" t="s">
        <v>129</v>
      </c>
      <c r="D66" s="121" t="s">
        <v>497</v>
      </c>
      <c r="E66" s="120">
        <v>952</v>
      </c>
      <c r="F66" s="124">
        <v>3</v>
      </c>
      <c r="G66" s="118" t="s">
        <v>498</v>
      </c>
      <c r="H66" s="118">
        <v>1</v>
      </c>
      <c r="I66" s="118">
        <v>0</v>
      </c>
      <c r="J66" s="119">
        <v>5</v>
      </c>
      <c r="K66" s="118">
        <v>6</v>
      </c>
      <c r="L66" s="118">
        <v>1</v>
      </c>
      <c r="M66" s="118">
        <v>1</v>
      </c>
      <c r="N66" s="118">
        <v>2</v>
      </c>
      <c r="O66" s="118">
        <v>2</v>
      </c>
      <c r="P66" s="118">
        <v>0</v>
      </c>
      <c r="Q66" s="118">
        <v>0</v>
      </c>
      <c r="R66" s="118">
        <v>20</v>
      </c>
      <c r="S66" s="118"/>
      <c r="T66" s="118"/>
      <c r="U66" s="118">
        <v>0</v>
      </c>
      <c r="V66" s="138">
        <v>0</v>
      </c>
      <c r="W66" s="125">
        <v>0</v>
      </c>
      <c r="X66" s="118">
        <v>0</v>
      </c>
      <c r="Y66" s="118">
        <v>1</v>
      </c>
      <c r="Z66" s="118">
        <v>1</v>
      </c>
      <c r="AA66" s="118">
        <v>0</v>
      </c>
      <c r="AB66" s="119">
        <v>4</v>
      </c>
      <c r="AC66" s="118">
        <v>1</v>
      </c>
      <c r="AD66" s="118">
        <v>1</v>
      </c>
      <c r="AE66" s="118">
        <v>1</v>
      </c>
      <c r="AF66" s="118">
        <v>2</v>
      </c>
      <c r="AG66" s="118">
        <v>2</v>
      </c>
      <c r="AH66" s="118">
        <v>0</v>
      </c>
      <c r="AI66" s="118">
        <v>0</v>
      </c>
      <c r="AJ66" s="118">
        <v>16</v>
      </c>
      <c r="AK66" s="118"/>
      <c r="AL66" s="138"/>
      <c r="AM66" s="125" t="s">
        <v>486</v>
      </c>
      <c r="AN66" s="118">
        <v>3</v>
      </c>
      <c r="AO66" s="118">
        <v>0</v>
      </c>
      <c r="AP66" s="118">
        <v>2</v>
      </c>
      <c r="AQ66" s="118">
        <v>1</v>
      </c>
      <c r="AR66" s="118">
        <v>2</v>
      </c>
      <c r="AS66" s="118">
        <v>0</v>
      </c>
      <c r="AT66" s="118">
        <v>0</v>
      </c>
      <c r="AU66" s="118">
        <v>0</v>
      </c>
      <c r="AV66" s="138">
        <v>2</v>
      </c>
      <c r="AW66" s="125" t="s">
        <v>485</v>
      </c>
      <c r="AX66" s="118">
        <v>5</v>
      </c>
      <c r="AY66" s="118">
        <v>0</v>
      </c>
      <c r="AZ66" s="118">
        <v>0</v>
      </c>
      <c r="BA66" s="118">
        <v>0</v>
      </c>
      <c r="BB66" s="118">
        <v>0</v>
      </c>
      <c r="BC66" s="118">
        <v>2</v>
      </c>
      <c r="BD66" s="118">
        <v>0</v>
      </c>
      <c r="BE66" s="118">
        <v>0</v>
      </c>
      <c r="BF66" s="138">
        <v>0</v>
      </c>
      <c r="BG66" s="125" t="s">
        <v>484</v>
      </c>
      <c r="BH66" s="118">
        <v>4</v>
      </c>
      <c r="BI66" s="118">
        <v>2</v>
      </c>
      <c r="BJ66" s="118">
        <v>2</v>
      </c>
      <c r="BK66" s="118">
        <v>0</v>
      </c>
      <c r="BL66" s="118">
        <v>1</v>
      </c>
      <c r="BM66" s="118">
        <v>0</v>
      </c>
      <c r="BN66" s="118">
        <v>0</v>
      </c>
      <c r="BO66" s="118">
        <v>0</v>
      </c>
      <c r="BP66" s="138">
        <v>4</v>
      </c>
      <c r="BQ66" s="125" t="s">
        <v>496</v>
      </c>
      <c r="BR66" s="118">
        <v>4</v>
      </c>
      <c r="BS66" s="118">
        <v>1</v>
      </c>
      <c r="BT66" s="118">
        <v>1</v>
      </c>
      <c r="BU66" s="118">
        <v>1</v>
      </c>
      <c r="BV66" s="118">
        <v>1</v>
      </c>
      <c r="BW66" s="118">
        <v>1</v>
      </c>
      <c r="BX66" s="118">
        <v>0</v>
      </c>
      <c r="BY66" s="118">
        <v>0</v>
      </c>
      <c r="BZ66" s="138">
        <v>1</v>
      </c>
      <c r="CA66" s="125" t="s">
        <v>367</v>
      </c>
      <c r="CB66" s="118">
        <v>4</v>
      </c>
      <c r="CC66" s="118">
        <v>1</v>
      </c>
      <c r="CD66" s="118">
        <v>0</v>
      </c>
      <c r="CE66" s="118">
        <v>0</v>
      </c>
      <c r="CF66" s="118">
        <v>0</v>
      </c>
      <c r="CG66" s="118">
        <v>0</v>
      </c>
      <c r="CH66" s="118">
        <v>1</v>
      </c>
      <c r="CI66" s="118">
        <v>0</v>
      </c>
      <c r="CJ66" s="138">
        <v>0</v>
      </c>
      <c r="CK66" s="125" t="s">
        <v>481</v>
      </c>
      <c r="CL66" s="118">
        <v>3</v>
      </c>
      <c r="CM66" s="118">
        <v>1</v>
      </c>
      <c r="CN66" s="118">
        <v>2</v>
      </c>
      <c r="CO66" s="118">
        <v>1</v>
      </c>
      <c r="CP66" s="118">
        <v>1</v>
      </c>
      <c r="CQ66" s="118">
        <v>0</v>
      </c>
      <c r="CR66" s="118">
        <v>0</v>
      </c>
      <c r="CS66" s="118">
        <v>1</v>
      </c>
      <c r="CT66" s="138">
        <v>2</v>
      </c>
      <c r="CU66" s="125" t="s">
        <v>483</v>
      </c>
      <c r="CV66" s="118">
        <v>5</v>
      </c>
      <c r="CW66" s="118">
        <v>0</v>
      </c>
      <c r="CX66" s="118">
        <v>1</v>
      </c>
      <c r="CY66" s="118">
        <v>0</v>
      </c>
      <c r="CZ66" s="118">
        <v>0</v>
      </c>
      <c r="DA66" s="118">
        <v>2</v>
      </c>
      <c r="DB66" s="118">
        <v>0</v>
      </c>
      <c r="DC66" s="118">
        <v>0</v>
      </c>
      <c r="DD66" s="138">
        <v>1</v>
      </c>
      <c r="DE66" s="125" t="s">
        <v>482</v>
      </c>
      <c r="DF66" s="118">
        <v>3</v>
      </c>
      <c r="DG66" s="118">
        <v>0</v>
      </c>
      <c r="DH66" s="118">
        <v>1</v>
      </c>
      <c r="DI66" s="118">
        <v>1</v>
      </c>
      <c r="DJ66" s="118">
        <v>1</v>
      </c>
      <c r="DK66" s="118">
        <v>0</v>
      </c>
      <c r="DL66" s="118">
        <v>0</v>
      </c>
      <c r="DM66" s="118">
        <v>0</v>
      </c>
      <c r="DN66" s="138">
        <v>1</v>
      </c>
      <c r="DO66" s="125" t="s">
        <v>479</v>
      </c>
      <c r="DP66" s="118">
        <v>4</v>
      </c>
      <c r="DQ66" s="118">
        <v>0</v>
      </c>
      <c r="DR66" s="118">
        <v>0</v>
      </c>
      <c r="DS66" s="118">
        <v>0</v>
      </c>
      <c r="DT66" s="118">
        <v>0</v>
      </c>
      <c r="DU66" s="118">
        <v>0</v>
      </c>
      <c r="DV66" s="118">
        <v>0</v>
      </c>
      <c r="DW66" s="118">
        <v>0</v>
      </c>
      <c r="DX66" s="138">
        <v>0</v>
      </c>
      <c r="DY66" s="140">
        <f>5+1/3</f>
        <v>5.333333333333333</v>
      </c>
      <c r="DZ66" s="118">
        <v>2</v>
      </c>
      <c r="EA66" s="118">
        <v>0</v>
      </c>
      <c r="EB66" s="119">
        <f>3+2/3</f>
        <v>3.6666666666666665</v>
      </c>
      <c r="EC66" s="118">
        <v>0</v>
      </c>
      <c r="ED66" s="138">
        <v>0</v>
      </c>
      <c r="EE66" s="125">
        <v>0</v>
      </c>
      <c r="EF66" s="118">
        <v>0</v>
      </c>
      <c r="EG66" s="118">
        <v>0</v>
      </c>
      <c r="EH66" s="118">
        <v>0</v>
      </c>
      <c r="EI66" s="118">
        <v>1</v>
      </c>
      <c r="EJ66" s="118">
        <v>2</v>
      </c>
      <c r="EK66" s="118">
        <v>0</v>
      </c>
      <c r="EL66" s="118">
        <v>1</v>
      </c>
      <c r="EM66" s="118">
        <v>1</v>
      </c>
      <c r="EN66" s="118"/>
      <c r="EO66" s="118"/>
      <c r="EP66" s="118"/>
      <c r="EQ66" s="118"/>
      <c r="ER66" s="118"/>
      <c r="ES66" s="118"/>
      <c r="ET66" s="118"/>
      <c r="EU66" s="118"/>
      <c r="EV66" s="118"/>
      <c r="EW66" s="118"/>
      <c r="EX66" s="138">
        <f t="shared" si="4"/>
        <v>5</v>
      </c>
      <c r="EY66" s="125">
        <v>0</v>
      </c>
      <c r="EZ66" s="118">
        <v>0</v>
      </c>
      <c r="FA66" s="118">
        <v>0</v>
      </c>
      <c r="FB66" s="118">
        <v>1</v>
      </c>
      <c r="FC66" s="118">
        <v>0</v>
      </c>
      <c r="FD66" s="118">
        <v>0</v>
      </c>
      <c r="FE66" s="118">
        <v>1</v>
      </c>
      <c r="FF66" s="118">
        <v>0</v>
      </c>
      <c r="FG66" s="118">
        <v>0</v>
      </c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38">
        <f t="shared" si="5"/>
        <v>2</v>
      </c>
      <c r="FS66" s="166">
        <f t="shared" si="6"/>
        <v>0</v>
      </c>
      <c r="FT66" s="167">
        <f t="shared" si="7"/>
        <v>0</v>
      </c>
      <c r="FU66" s="142"/>
    </row>
    <row r="67" spans="1:177" x14ac:dyDescent="0.25">
      <c r="A67" s="121">
        <v>40346</v>
      </c>
      <c r="B67" s="121" t="s">
        <v>19</v>
      </c>
      <c r="C67" s="121" t="s">
        <v>129</v>
      </c>
      <c r="D67" s="121" t="s">
        <v>495</v>
      </c>
      <c r="E67" s="120">
        <v>2059</v>
      </c>
      <c r="F67" s="124">
        <v>4</v>
      </c>
      <c r="G67" s="118" t="s">
        <v>487</v>
      </c>
      <c r="H67" s="118">
        <v>1</v>
      </c>
      <c r="I67" s="118">
        <v>0</v>
      </c>
      <c r="J67" s="119">
        <f>7+1/3</f>
        <v>7.333333333333333</v>
      </c>
      <c r="K67" s="118">
        <v>6</v>
      </c>
      <c r="L67" s="118">
        <v>0</v>
      </c>
      <c r="M67" s="118">
        <v>0</v>
      </c>
      <c r="N67" s="118">
        <v>2</v>
      </c>
      <c r="O67" s="118">
        <v>8</v>
      </c>
      <c r="P67" s="118">
        <v>0</v>
      </c>
      <c r="Q67" s="118">
        <v>0</v>
      </c>
      <c r="R67" s="118">
        <v>27</v>
      </c>
      <c r="S67" s="118"/>
      <c r="T67" s="118"/>
      <c r="U67" s="118">
        <v>1</v>
      </c>
      <c r="V67" s="138">
        <v>0</v>
      </c>
      <c r="W67" s="125">
        <v>0</v>
      </c>
      <c r="X67" s="118">
        <v>0</v>
      </c>
      <c r="Y67" s="118">
        <v>1</v>
      </c>
      <c r="Z67" s="118">
        <v>1</v>
      </c>
      <c r="AA67" s="118">
        <v>0</v>
      </c>
      <c r="AB67" s="119">
        <f>1+2/3</f>
        <v>1.6666666666666665</v>
      </c>
      <c r="AC67" s="118">
        <v>0</v>
      </c>
      <c r="AD67" s="118">
        <v>0</v>
      </c>
      <c r="AE67" s="118">
        <v>0</v>
      </c>
      <c r="AF67" s="118">
        <v>1</v>
      </c>
      <c r="AG67" s="118">
        <v>3</v>
      </c>
      <c r="AH67" s="118">
        <v>0</v>
      </c>
      <c r="AI67" s="118">
        <v>0</v>
      </c>
      <c r="AJ67" s="118">
        <v>6</v>
      </c>
      <c r="AK67" s="118"/>
      <c r="AL67" s="138"/>
      <c r="AM67" s="125" t="s">
        <v>486</v>
      </c>
      <c r="AN67" s="118">
        <v>3</v>
      </c>
      <c r="AO67" s="118">
        <v>0</v>
      </c>
      <c r="AP67" s="118">
        <v>2</v>
      </c>
      <c r="AQ67" s="118">
        <v>1</v>
      </c>
      <c r="AR67" s="118">
        <v>1</v>
      </c>
      <c r="AS67" s="118">
        <v>0</v>
      </c>
      <c r="AT67" s="118">
        <v>0</v>
      </c>
      <c r="AU67" s="118">
        <v>0</v>
      </c>
      <c r="AV67" s="138">
        <v>2</v>
      </c>
      <c r="AW67" s="125" t="s">
        <v>485</v>
      </c>
      <c r="AX67" s="118">
        <v>4</v>
      </c>
      <c r="AY67" s="118">
        <v>0</v>
      </c>
      <c r="AZ67" s="118">
        <v>1</v>
      </c>
      <c r="BA67" s="118">
        <v>0</v>
      </c>
      <c r="BB67" s="118">
        <v>0</v>
      </c>
      <c r="BC67" s="118">
        <v>1</v>
      </c>
      <c r="BD67" s="118">
        <v>0</v>
      </c>
      <c r="BE67" s="118">
        <v>0</v>
      </c>
      <c r="BF67" s="138">
        <v>1</v>
      </c>
      <c r="BG67" s="125" t="s">
        <v>484</v>
      </c>
      <c r="BH67" s="118">
        <v>3</v>
      </c>
      <c r="BI67" s="118">
        <v>0</v>
      </c>
      <c r="BJ67" s="118">
        <v>0</v>
      </c>
      <c r="BK67" s="118">
        <v>0</v>
      </c>
      <c r="BL67" s="118">
        <v>1</v>
      </c>
      <c r="BM67" s="118">
        <v>0</v>
      </c>
      <c r="BN67" s="118">
        <v>0</v>
      </c>
      <c r="BO67" s="118">
        <v>0</v>
      </c>
      <c r="BP67" s="138">
        <v>0</v>
      </c>
      <c r="BQ67" s="125" t="s">
        <v>496</v>
      </c>
      <c r="BR67" s="118">
        <v>4</v>
      </c>
      <c r="BS67" s="118">
        <v>0</v>
      </c>
      <c r="BT67" s="118">
        <v>0</v>
      </c>
      <c r="BU67" s="118">
        <v>0</v>
      </c>
      <c r="BV67" s="118">
        <v>0</v>
      </c>
      <c r="BW67" s="118">
        <v>1</v>
      </c>
      <c r="BX67" s="118">
        <v>0</v>
      </c>
      <c r="BY67" s="118">
        <v>0</v>
      </c>
      <c r="BZ67" s="138">
        <v>0</v>
      </c>
      <c r="CA67" s="125" t="s">
        <v>481</v>
      </c>
      <c r="CB67" s="118">
        <v>4</v>
      </c>
      <c r="CC67" s="118">
        <v>0</v>
      </c>
      <c r="CD67" s="118">
        <v>1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38">
        <v>1</v>
      </c>
      <c r="CK67" s="125" t="s">
        <v>367</v>
      </c>
      <c r="CL67" s="118">
        <v>4</v>
      </c>
      <c r="CM67" s="118">
        <v>1</v>
      </c>
      <c r="CN67" s="118">
        <v>2</v>
      </c>
      <c r="CO67" s="118">
        <v>0</v>
      </c>
      <c r="CP67" s="118">
        <v>0</v>
      </c>
      <c r="CQ67" s="118">
        <v>1</v>
      </c>
      <c r="CR67" s="118">
        <v>0</v>
      </c>
      <c r="CS67" s="118">
        <v>0</v>
      </c>
      <c r="CT67" s="138">
        <v>3</v>
      </c>
      <c r="CU67" s="125" t="s">
        <v>489</v>
      </c>
      <c r="CV67" s="118">
        <v>4</v>
      </c>
      <c r="CW67" s="118">
        <v>0</v>
      </c>
      <c r="CX67" s="118">
        <v>2</v>
      </c>
      <c r="CY67" s="118">
        <v>1</v>
      </c>
      <c r="CZ67" s="118">
        <v>0</v>
      </c>
      <c r="DA67" s="118">
        <v>0</v>
      </c>
      <c r="DB67" s="118">
        <v>0</v>
      </c>
      <c r="DC67" s="118">
        <v>0</v>
      </c>
      <c r="DD67" s="138">
        <v>2</v>
      </c>
      <c r="DE67" s="125" t="s">
        <v>482</v>
      </c>
      <c r="DF67" s="118">
        <v>3</v>
      </c>
      <c r="DG67" s="118">
        <v>0</v>
      </c>
      <c r="DH67" s="118">
        <v>0</v>
      </c>
      <c r="DI67" s="118">
        <v>0</v>
      </c>
      <c r="DJ67" s="118">
        <v>0</v>
      </c>
      <c r="DK67" s="118">
        <v>0</v>
      </c>
      <c r="DL67" s="118">
        <v>0</v>
      </c>
      <c r="DM67" s="118">
        <v>0</v>
      </c>
      <c r="DN67" s="138">
        <v>0</v>
      </c>
      <c r="DO67" s="125" t="s">
        <v>479</v>
      </c>
      <c r="DP67" s="118">
        <v>3</v>
      </c>
      <c r="DQ67" s="118">
        <v>1</v>
      </c>
      <c r="DR67" s="118">
        <v>1</v>
      </c>
      <c r="DS67" s="118">
        <v>0</v>
      </c>
      <c r="DT67" s="118">
        <v>0</v>
      </c>
      <c r="DU67" s="118">
        <v>1</v>
      </c>
      <c r="DV67" s="118">
        <v>0</v>
      </c>
      <c r="DW67" s="118">
        <v>0</v>
      </c>
      <c r="DX67" s="138">
        <v>3</v>
      </c>
      <c r="DY67" s="140">
        <v>8</v>
      </c>
      <c r="DZ67" s="118">
        <v>0</v>
      </c>
      <c r="EA67" s="118">
        <v>1</v>
      </c>
      <c r="EB67" s="119">
        <v>0</v>
      </c>
      <c r="EC67" s="118">
        <v>0</v>
      </c>
      <c r="ED67" s="138">
        <v>0</v>
      </c>
      <c r="EE67" s="125">
        <v>0</v>
      </c>
      <c r="EF67" s="118">
        <v>1</v>
      </c>
      <c r="EG67" s="118">
        <v>0</v>
      </c>
      <c r="EH67" s="118">
        <v>0</v>
      </c>
      <c r="EI67" s="118">
        <v>1</v>
      </c>
      <c r="EJ67" s="118">
        <v>0</v>
      </c>
      <c r="EK67" s="118">
        <v>0</v>
      </c>
      <c r="EL67" s="118">
        <v>0</v>
      </c>
      <c r="EM67" s="118"/>
      <c r="EN67" s="118"/>
      <c r="EO67" s="118"/>
      <c r="EP67" s="118"/>
      <c r="EQ67" s="118"/>
      <c r="ER67" s="118"/>
      <c r="ES67" s="118"/>
      <c r="ET67" s="118"/>
      <c r="EU67" s="118"/>
      <c r="EV67" s="118"/>
      <c r="EW67" s="118"/>
      <c r="EX67" s="138">
        <f t="shared" si="4"/>
        <v>2</v>
      </c>
      <c r="EY67" s="125">
        <v>0</v>
      </c>
      <c r="EZ67" s="118">
        <v>0</v>
      </c>
      <c r="FA67" s="118">
        <v>0</v>
      </c>
      <c r="FB67" s="118">
        <v>0</v>
      </c>
      <c r="FC67" s="118">
        <v>0</v>
      </c>
      <c r="FD67" s="118">
        <v>0</v>
      </c>
      <c r="FE67" s="118">
        <v>0</v>
      </c>
      <c r="FF67" s="118">
        <v>0</v>
      </c>
      <c r="FG67" s="118">
        <v>0</v>
      </c>
      <c r="FH67" s="118"/>
      <c r="FI67" s="118"/>
      <c r="FJ67" s="118"/>
      <c r="FK67" s="118"/>
      <c r="FL67" s="118"/>
      <c r="FM67" s="118"/>
      <c r="FN67" s="118"/>
      <c r="FO67" s="118"/>
      <c r="FP67" s="118"/>
      <c r="FQ67" s="118"/>
      <c r="FR67" s="138">
        <f t="shared" si="5"/>
        <v>0</v>
      </c>
      <c r="FS67" s="166">
        <f t="shared" si="6"/>
        <v>0</v>
      </c>
      <c r="FT67" s="167">
        <f t="shared" si="7"/>
        <v>0</v>
      </c>
      <c r="FU67" s="142"/>
    </row>
    <row r="68" spans="1:177" x14ac:dyDescent="0.25">
      <c r="A68" s="121">
        <v>40347</v>
      </c>
      <c r="B68" s="121" t="s">
        <v>19</v>
      </c>
      <c r="C68" s="121" t="s">
        <v>129</v>
      </c>
      <c r="D68" s="121" t="s">
        <v>495</v>
      </c>
      <c r="E68" s="120">
        <v>2582</v>
      </c>
      <c r="F68" s="124">
        <v>5</v>
      </c>
      <c r="G68" s="118" t="s">
        <v>490</v>
      </c>
      <c r="H68" s="118">
        <v>0</v>
      </c>
      <c r="I68" s="118">
        <v>0</v>
      </c>
      <c r="J68" s="119">
        <v>8</v>
      </c>
      <c r="K68" s="118">
        <v>5</v>
      </c>
      <c r="L68" s="118">
        <v>1</v>
      </c>
      <c r="M68" s="118">
        <v>1</v>
      </c>
      <c r="N68" s="118">
        <v>0</v>
      </c>
      <c r="O68" s="118">
        <v>11</v>
      </c>
      <c r="P68" s="118">
        <v>0</v>
      </c>
      <c r="Q68" s="118">
        <v>0</v>
      </c>
      <c r="R68" s="118">
        <v>28</v>
      </c>
      <c r="S68" s="118"/>
      <c r="T68" s="118"/>
      <c r="U68" s="118">
        <v>0</v>
      </c>
      <c r="V68" s="138">
        <v>0</v>
      </c>
      <c r="W68" s="125">
        <v>1</v>
      </c>
      <c r="X68" s="118">
        <v>0</v>
      </c>
      <c r="Y68" s="118">
        <v>0</v>
      </c>
      <c r="Z68" s="118">
        <v>0</v>
      </c>
      <c r="AA68" s="118">
        <v>0</v>
      </c>
      <c r="AB68" s="119">
        <v>4</v>
      </c>
      <c r="AC68" s="118">
        <v>4</v>
      </c>
      <c r="AD68" s="118">
        <v>1</v>
      </c>
      <c r="AE68" s="118">
        <v>1</v>
      </c>
      <c r="AF68" s="118">
        <v>4</v>
      </c>
      <c r="AG68" s="118">
        <v>5</v>
      </c>
      <c r="AH68" s="118">
        <v>1</v>
      </c>
      <c r="AI68" s="118">
        <v>0</v>
      </c>
      <c r="AJ68" s="118">
        <v>20</v>
      </c>
      <c r="AK68" s="118"/>
      <c r="AL68" s="138"/>
      <c r="AM68" s="125" t="s">
        <v>486</v>
      </c>
      <c r="AN68" s="118">
        <v>5</v>
      </c>
      <c r="AO68" s="118">
        <v>0</v>
      </c>
      <c r="AP68" s="118">
        <v>0</v>
      </c>
      <c r="AQ68" s="118">
        <v>0</v>
      </c>
      <c r="AR68" s="118">
        <v>0</v>
      </c>
      <c r="AS68" s="118">
        <v>0</v>
      </c>
      <c r="AT68" s="118">
        <v>0</v>
      </c>
      <c r="AU68" s="118">
        <v>0</v>
      </c>
      <c r="AV68" s="138">
        <v>0</v>
      </c>
      <c r="AW68" s="125" t="s">
        <v>485</v>
      </c>
      <c r="AX68" s="118">
        <v>5</v>
      </c>
      <c r="AY68" s="118">
        <v>1</v>
      </c>
      <c r="AZ68" s="118">
        <v>1</v>
      </c>
      <c r="BA68" s="118">
        <v>0</v>
      </c>
      <c r="BB68" s="118">
        <v>0</v>
      </c>
      <c r="BC68" s="118">
        <v>0</v>
      </c>
      <c r="BD68" s="118">
        <v>0</v>
      </c>
      <c r="BE68" s="118">
        <v>0</v>
      </c>
      <c r="BF68" s="138">
        <v>2</v>
      </c>
      <c r="BG68" s="125" t="s">
        <v>484</v>
      </c>
      <c r="BH68" s="118">
        <v>4</v>
      </c>
      <c r="BI68" s="118">
        <v>2</v>
      </c>
      <c r="BJ68" s="118">
        <v>1</v>
      </c>
      <c r="BK68" s="118">
        <v>1</v>
      </c>
      <c r="BL68" s="118">
        <v>1</v>
      </c>
      <c r="BM68" s="118">
        <v>0</v>
      </c>
      <c r="BN68" s="118">
        <v>0</v>
      </c>
      <c r="BO68" s="118">
        <v>0</v>
      </c>
      <c r="BP68" s="138">
        <v>4</v>
      </c>
      <c r="BQ68" s="125" t="s">
        <v>496</v>
      </c>
      <c r="BR68" s="118">
        <v>4</v>
      </c>
      <c r="BS68" s="118">
        <v>0</v>
      </c>
      <c r="BT68" s="118">
        <v>1</v>
      </c>
      <c r="BU68" s="118">
        <v>0</v>
      </c>
      <c r="BV68" s="118">
        <v>0</v>
      </c>
      <c r="BW68" s="118">
        <v>0</v>
      </c>
      <c r="BX68" s="118">
        <v>0</v>
      </c>
      <c r="BY68" s="118">
        <v>0</v>
      </c>
      <c r="BZ68" s="138">
        <v>1</v>
      </c>
      <c r="CA68" s="125" t="s">
        <v>481</v>
      </c>
      <c r="CB68" s="118">
        <v>4</v>
      </c>
      <c r="CC68" s="118">
        <v>0</v>
      </c>
      <c r="CD68" s="118">
        <v>0</v>
      </c>
      <c r="CE68" s="118">
        <v>0</v>
      </c>
      <c r="CF68" s="118">
        <v>1</v>
      </c>
      <c r="CG68" s="118">
        <v>1</v>
      </c>
      <c r="CH68" s="118">
        <v>0</v>
      </c>
      <c r="CI68" s="118">
        <v>0</v>
      </c>
      <c r="CJ68" s="138">
        <v>0</v>
      </c>
      <c r="CK68" s="125" t="s">
        <v>489</v>
      </c>
      <c r="CL68" s="118">
        <v>5</v>
      </c>
      <c r="CM68" s="118">
        <v>0</v>
      </c>
      <c r="CN68" s="118">
        <v>2</v>
      </c>
      <c r="CO68" s="118">
        <v>1</v>
      </c>
      <c r="CP68" s="118">
        <v>0</v>
      </c>
      <c r="CQ68" s="118">
        <v>1</v>
      </c>
      <c r="CR68" s="118">
        <v>0</v>
      </c>
      <c r="CS68" s="118">
        <v>0</v>
      </c>
      <c r="CT68" s="138">
        <v>2</v>
      </c>
      <c r="CU68" s="125" t="s">
        <v>491</v>
      </c>
      <c r="CV68" s="118">
        <v>4</v>
      </c>
      <c r="CW68" s="118">
        <v>0</v>
      </c>
      <c r="CX68" s="118">
        <v>0</v>
      </c>
      <c r="CY68" s="118">
        <v>0</v>
      </c>
      <c r="CZ68" s="118">
        <v>0</v>
      </c>
      <c r="DA68" s="118">
        <v>1</v>
      </c>
      <c r="DB68" s="118">
        <v>0</v>
      </c>
      <c r="DC68" s="118">
        <v>0</v>
      </c>
      <c r="DD68" s="138">
        <v>0</v>
      </c>
      <c r="DE68" s="125" t="s">
        <v>480</v>
      </c>
      <c r="DF68" s="118">
        <v>3</v>
      </c>
      <c r="DG68" s="118">
        <v>0</v>
      </c>
      <c r="DH68" s="118">
        <v>0</v>
      </c>
      <c r="DI68" s="118">
        <v>0</v>
      </c>
      <c r="DJ68" s="118">
        <v>1</v>
      </c>
      <c r="DK68" s="118">
        <v>0</v>
      </c>
      <c r="DL68" s="118">
        <v>0</v>
      </c>
      <c r="DM68" s="118">
        <v>0</v>
      </c>
      <c r="DN68" s="138">
        <v>0</v>
      </c>
      <c r="DO68" s="125" t="s">
        <v>479</v>
      </c>
      <c r="DP68" s="118">
        <v>3</v>
      </c>
      <c r="DQ68" s="118">
        <v>0</v>
      </c>
      <c r="DR68" s="118">
        <v>0</v>
      </c>
      <c r="DS68" s="118">
        <v>0</v>
      </c>
      <c r="DT68" s="118">
        <v>1</v>
      </c>
      <c r="DU68" s="118">
        <v>0</v>
      </c>
      <c r="DV68" s="118">
        <v>0</v>
      </c>
      <c r="DW68" s="118">
        <v>0</v>
      </c>
      <c r="DX68" s="138">
        <v>0</v>
      </c>
      <c r="DY68" s="140">
        <v>3</v>
      </c>
      <c r="DZ68" s="118">
        <v>0</v>
      </c>
      <c r="EA68" s="118">
        <v>0</v>
      </c>
      <c r="EB68" s="119">
        <v>8</v>
      </c>
      <c r="EC68" s="118">
        <v>0</v>
      </c>
      <c r="ED68" s="138">
        <v>0</v>
      </c>
      <c r="EE68" s="125">
        <v>0</v>
      </c>
      <c r="EF68" s="118">
        <v>0</v>
      </c>
      <c r="EG68" s="118">
        <v>0</v>
      </c>
      <c r="EH68" s="118">
        <v>0</v>
      </c>
      <c r="EI68" s="118">
        <v>0</v>
      </c>
      <c r="EJ68" s="118">
        <v>0</v>
      </c>
      <c r="EK68" s="118">
        <v>1</v>
      </c>
      <c r="EL68" s="118">
        <v>0</v>
      </c>
      <c r="EM68" s="118">
        <v>0</v>
      </c>
      <c r="EN68" s="118">
        <v>0</v>
      </c>
      <c r="EO68" s="118">
        <v>0</v>
      </c>
      <c r="EP68" s="118">
        <v>2</v>
      </c>
      <c r="EQ68" s="118"/>
      <c r="ER68" s="118"/>
      <c r="ES68" s="118"/>
      <c r="ET68" s="118"/>
      <c r="EU68" s="118"/>
      <c r="EV68" s="118"/>
      <c r="EW68" s="118"/>
      <c r="EX68" s="138">
        <f t="shared" ref="EX68:EX96" si="8">SUM(EE68:EW68)</f>
        <v>3</v>
      </c>
      <c r="EY68" s="125">
        <v>0</v>
      </c>
      <c r="EZ68" s="118">
        <v>0</v>
      </c>
      <c r="FA68" s="118">
        <v>0</v>
      </c>
      <c r="FB68" s="118">
        <v>0</v>
      </c>
      <c r="FC68" s="118">
        <v>0</v>
      </c>
      <c r="FD68" s="118">
        <v>0</v>
      </c>
      <c r="FE68" s="118">
        <v>1</v>
      </c>
      <c r="FF68" s="118">
        <v>0</v>
      </c>
      <c r="FG68" s="118">
        <v>0</v>
      </c>
      <c r="FH68" s="118">
        <v>0</v>
      </c>
      <c r="FI68" s="118">
        <v>0</v>
      </c>
      <c r="FJ68" s="118">
        <v>1</v>
      </c>
      <c r="FK68" s="118"/>
      <c r="FL68" s="118"/>
      <c r="FM68" s="118"/>
      <c r="FN68" s="118"/>
      <c r="FO68" s="118"/>
      <c r="FP68" s="118"/>
      <c r="FQ68" s="118"/>
      <c r="FR68" s="138">
        <f t="shared" ref="FR68:FR96" si="9">SUM(EY68:FQ68)</f>
        <v>2</v>
      </c>
      <c r="FS68" s="166">
        <f t="shared" ref="FS68:FS93" si="10">((L68+AD68)-FR68)</f>
        <v>0</v>
      </c>
      <c r="FT68" s="167">
        <f t="shared" ref="FT68:FT93" si="11">((AO68+AY68+BI68+BS68+CC68+CM68+CW68+DG68+DQ68)-EX68)</f>
        <v>0</v>
      </c>
      <c r="FU68" s="142"/>
    </row>
    <row r="69" spans="1:177" x14ac:dyDescent="0.25">
      <c r="A69" s="121">
        <v>40348</v>
      </c>
      <c r="B69" s="121" t="s">
        <v>19</v>
      </c>
      <c r="C69" s="121" t="s">
        <v>129</v>
      </c>
      <c r="D69" s="121" t="s">
        <v>495</v>
      </c>
      <c r="E69" s="120">
        <v>4861</v>
      </c>
      <c r="F69" s="124">
        <v>1</v>
      </c>
      <c r="G69" s="118" t="s">
        <v>494</v>
      </c>
      <c r="H69" s="118">
        <v>1</v>
      </c>
      <c r="I69" s="118">
        <v>0</v>
      </c>
      <c r="J69" s="119">
        <v>6</v>
      </c>
      <c r="K69" s="118">
        <v>8</v>
      </c>
      <c r="L69" s="118">
        <v>0</v>
      </c>
      <c r="M69" s="118">
        <v>0</v>
      </c>
      <c r="N69" s="118">
        <v>1</v>
      </c>
      <c r="O69" s="118">
        <v>9</v>
      </c>
      <c r="P69" s="118">
        <v>0</v>
      </c>
      <c r="Q69" s="118">
        <v>1</v>
      </c>
      <c r="R69" s="118">
        <v>27</v>
      </c>
      <c r="S69" s="118"/>
      <c r="T69" s="118"/>
      <c r="U69" s="118">
        <v>0</v>
      </c>
      <c r="V69" s="138">
        <v>0</v>
      </c>
      <c r="W69" s="125">
        <v>0</v>
      </c>
      <c r="X69" s="118">
        <v>0</v>
      </c>
      <c r="Y69" s="118">
        <v>1</v>
      </c>
      <c r="Z69" s="118">
        <v>1</v>
      </c>
      <c r="AA69" s="118">
        <v>0</v>
      </c>
      <c r="AB69" s="119">
        <v>3</v>
      </c>
      <c r="AC69" s="118">
        <v>3</v>
      </c>
      <c r="AD69" s="118">
        <v>2</v>
      </c>
      <c r="AE69" s="118">
        <v>2</v>
      </c>
      <c r="AF69" s="118">
        <v>0</v>
      </c>
      <c r="AG69" s="118">
        <v>3</v>
      </c>
      <c r="AH69" s="118">
        <v>0</v>
      </c>
      <c r="AI69" s="118">
        <v>0</v>
      </c>
      <c r="AJ69" s="118">
        <v>12</v>
      </c>
      <c r="AK69" s="118"/>
      <c r="AL69" s="138"/>
      <c r="AM69" s="125" t="s">
        <v>482</v>
      </c>
      <c r="AN69" s="118">
        <v>2</v>
      </c>
      <c r="AO69" s="118">
        <v>1</v>
      </c>
      <c r="AP69" s="118">
        <v>0</v>
      </c>
      <c r="AQ69" s="118">
        <v>1</v>
      </c>
      <c r="AR69" s="118">
        <v>1</v>
      </c>
      <c r="AS69" s="118">
        <v>1</v>
      </c>
      <c r="AT69" s="118">
        <v>1</v>
      </c>
      <c r="AU69" s="118">
        <v>0</v>
      </c>
      <c r="AV69" s="138">
        <v>0</v>
      </c>
      <c r="AW69" s="125" t="s">
        <v>485</v>
      </c>
      <c r="AX69" s="118">
        <v>3</v>
      </c>
      <c r="AY69" s="118">
        <v>0</v>
      </c>
      <c r="AZ69" s="118">
        <v>1</v>
      </c>
      <c r="BA69" s="118">
        <v>2</v>
      </c>
      <c r="BB69" s="118">
        <v>1</v>
      </c>
      <c r="BC69" s="118">
        <v>0</v>
      </c>
      <c r="BD69" s="118">
        <v>0</v>
      </c>
      <c r="BE69" s="118">
        <v>0</v>
      </c>
      <c r="BF69" s="138">
        <v>2</v>
      </c>
      <c r="BG69" s="125" t="s">
        <v>484</v>
      </c>
      <c r="BH69" s="118">
        <v>4</v>
      </c>
      <c r="BI69" s="118">
        <v>0</v>
      </c>
      <c r="BJ69" s="118">
        <v>0</v>
      </c>
      <c r="BK69" s="118">
        <v>0</v>
      </c>
      <c r="BL69" s="118">
        <v>0</v>
      </c>
      <c r="BM69" s="118">
        <v>0</v>
      </c>
      <c r="BN69" s="118">
        <v>0</v>
      </c>
      <c r="BO69" s="118">
        <v>0</v>
      </c>
      <c r="BP69" s="138">
        <v>0</v>
      </c>
      <c r="BQ69" s="125" t="s">
        <v>496</v>
      </c>
      <c r="BR69" s="118">
        <v>3</v>
      </c>
      <c r="BS69" s="118">
        <v>0</v>
      </c>
      <c r="BT69" s="118">
        <v>1</v>
      </c>
      <c r="BU69" s="118">
        <v>0</v>
      </c>
      <c r="BV69" s="118">
        <v>1</v>
      </c>
      <c r="BW69" s="118">
        <v>0</v>
      </c>
      <c r="BX69" s="118">
        <v>0</v>
      </c>
      <c r="BY69" s="118">
        <v>0</v>
      </c>
      <c r="BZ69" s="138">
        <v>3</v>
      </c>
      <c r="CA69" s="125" t="s">
        <v>489</v>
      </c>
      <c r="CB69" s="118">
        <v>3</v>
      </c>
      <c r="CC69" s="118">
        <v>1</v>
      </c>
      <c r="CD69" s="118">
        <v>0</v>
      </c>
      <c r="CE69" s="118">
        <v>0</v>
      </c>
      <c r="CF69" s="118">
        <v>1</v>
      </c>
      <c r="CG69" s="118">
        <v>0</v>
      </c>
      <c r="CH69" s="118">
        <v>0</v>
      </c>
      <c r="CI69" s="118">
        <v>0</v>
      </c>
      <c r="CJ69" s="138">
        <v>0</v>
      </c>
      <c r="CK69" s="125" t="s">
        <v>367</v>
      </c>
      <c r="CL69" s="118">
        <v>4</v>
      </c>
      <c r="CM69" s="118">
        <v>0</v>
      </c>
      <c r="CN69" s="118">
        <v>0</v>
      </c>
      <c r="CO69" s="118">
        <v>0</v>
      </c>
      <c r="CP69" s="118">
        <v>0</v>
      </c>
      <c r="CQ69" s="118">
        <v>1</v>
      </c>
      <c r="CR69" s="118">
        <v>0</v>
      </c>
      <c r="CS69" s="118">
        <v>0</v>
      </c>
      <c r="CT69" s="138">
        <v>0</v>
      </c>
      <c r="CU69" s="125" t="s">
        <v>491</v>
      </c>
      <c r="CV69" s="118">
        <v>3</v>
      </c>
      <c r="CW69" s="118">
        <v>1</v>
      </c>
      <c r="CX69" s="118">
        <v>0</v>
      </c>
      <c r="CY69" s="118">
        <v>0</v>
      </c>
      <c r="CZ69" s="118">
        <v>1</v>
      </c>
      <c r="DA69" s="118">
        <v>1</v>
      </c>
      <c r="DB69" s="118">
        <v>0</v>
      </c>
      <c r="DC69" s="118">
        <v>0</v>
      </c>
      <c r="DD69" s="138">
        <v>0</v>
      </c>
      <c r="DE69" s="125" t="s">
        <v>483</v>
      </c>
      <c r="DF69" s="118">
        <v>3</v>
      </c>
      <c r="DG69" s="118">
        <v>1</v>
      </c>
      <c r="DH69" s="118">
        <v>1</v>
      </c>
      <c r="DI69" s="118">
        <v>0</v>
      </c>
      <c r="DJ69" s="118">
        <v>1</v>
      </c>
      <c r="DK69" s="118">
        <v>2</v>
      </c>
      <c r="DL69" s="118">
        <v>0</v>
      </c>
      <c r="DM69" s="118">
        <v>0</v>
      </c>
      <c r="DN69" s="138">
        <v>2</v>
      </c>
      <c r="DO69" s="125" t="s">
        <v>479</v>
      </c>
      <c r="DP69" s="118">
        <v>1</v>
      </c>
      <c r="DQ69" s="118">
        <v>0</v>
      </c>
      <c r="DR69" s="118">
        <v>0</v>
      </c>
      <c r="DS69" s="118">
        <v>1</v>
      </c>
      <c r="DT69" s="118">
        <v>1</v>
      </c>
      <c r="DU69" s="118">
        <v>0</v>
      </c>
      <c r="DV69" s="118">
        <v>0</v>
      </c>
      <c r="DW69" s="118">
        <v>0</v>
      </c>
      <c r="DX69" s="138">
        <v>0</v>
      </c>
      <c r="DY69" s="140">
        <f>6+1/3</f>
        <v>6.333333333333333</v>
      </c>
      <c r="DZ69" s="118">
        <v>0</v>
      </c>
      <c r="EA69" s="118">
        <v>0</v>
      </c>
      <c r="EB69" s="119">
        <f>1+2/3</f>
        <v>1.6666666666666665</v>
      </c>
      <c r="EC69" s="118">
        <v>0</v>
      </c>
      <c r="ED69" s="138">
        <v>0</v>
      </c>
      <c r="EE69" s="125">
        <v>0</v>
      </c>
      <c r="EF69" s="118">
        <v>3</v>
      </c>
      <c r="EG69" s="118">
        <v>0</v>
      </c>
      <c r="EH69" s="118">
        <v>0</v>
      </c>
      <c r="EI69" s="118">
        <v>0</v>
      </c>
      <c r="EJ69" s="118">
        <v>0</v>
      </c>
      <c r="EK69" s="118">
        <v>1</v>
      </c>
      <c r="EL69" s="118">
        <v>0</v>
      </c>
      <c r="EM69" s="118"/>
      <c r="EN69" s="118"/>
      <c r="EO69" s="118"/>
      <c r="EP69" s="118"/>
      <c r="EQ69" s="118"/>
      <c r="ER69" s="118"/>
      <c r="ES69" s="118"/>
      <c r="ET69" s="118"/>
      <c r="EU69" s="118"/>
      <c r="EV69" s="118"/>
      <c r="EW69" s="118"/>
      <c r="EX69" s="138">
        <f t="shared" si="8"/>
        <v>4</v>
      </c>
      <c r="EY69" s="125">
        <v>0</v>
      </c>
      <c r="EZ69" s="118">
        <v>0</v>
      </c>
      <c r="FA69" s="118">
        <v>0</v>
      </c>
      <c r="FB69" s="118">
        <v>0</v>
      </c>
      <c r="FC69" s="118">
        <v>0</v>
      </c>
      <c r="FD69" s="118">
        <v>0</v>
      </c>
      <c r="FE69" s="118">
        <v>2</v>
      </c>
      <c r="FF69" s="118">
        <v>0</v>
      </c>
      <c r="FG69" s="118">
        <v>0</v>
      </c>
      <c r="FH69" s="118"/>
      <c r="FI69" s="118"/>
      <c r="FJ69" s="118"/>
      <c r="FK69" s="118"/>
      <c r="FL69" s="118"/>
      <c r="FM69" s="118"/>
      <c r="FN69" s="118"/>
      <c r="FO69" s="118"/>
      <c r="FP69" s="118"/>
      <c r="FQ69" s="118"/>
      <c r="FR69" s="138">
        <f t="shared" si="9"/>
        <v>2</v>
      </c>
      <c r="FS69" s="166">
        <f t="shared" si="10"/>
        <v>0</v>
      </c>
      <c r="FT69" s="167">
        <f t="shared" si="11"/>
        <v>0</v>
      </c>
      <c r="FU69" s="142"/>
    </row>
    <row r="70" spans="1:177" x14ac:dyDescent="0.25">
      <c r="A70" s="121">
        <v>40349</v>
      </c>
      <c r="B70" s="121" t="s">
        <v>19</v>
      </c>
      <c r="C70" s="121" t="s">
        <v>129</v>
      </c>
      <c r="D70" s="121" t="s">
        <v>497</v>
      </c>
      <c r="E70" s="120">
        <v>1680</v>
      </c>
      <c r="F70" s="124">
        <v>2</v>
      </c>
      <c r="G70" s="118" t="s">
        <v>493</v>
      </c>
      <c r="H70" s="118">
        <v>1</v>
      </c>
      <c r="I70" s="118">
        <v>0</v>
      </c>
      <c r="J70" s="119">
        <v>7</v>
      </c>
      <c r="K70" s="118">
        <v>5</v>
      </c>
      <c r="L70" s="118">
        <v>1</v>
      </c>
      <c r="M70" s="118">
        <v>1</v>
      </c>
      <c r="N70" s="118">
        <v>2</v>
      </c>
      <c r="O70" s="118">
        <v>11</v>
      </c>
      <c r="P70" s="118">
        <v>0</v>
      </c>
      <c r="Q70" s="118">
        <v>0</v>
      </c>
      <c r="R70" s="118">
        <v>25</v>
      </c>
      <c r="S70" s="118"/>
      <c r="T70" s="118"/>
      <c r="U70" s="118">
        <v>0</v>
      </c>
      <c r="V70" s="138">
        <v>0</v>
      </c>
      <c r="W70" s="125">
        <v>0</v>
      </c>
      <c r="X70" s="118">
        <v>0</v>
      </c>
      <c r="Y70" s="118">
        <v>0</v>
      </c>
      <c r="Z70" s="118">
        <v>1</v>
      </c>
      <c r="AA70" s="118">
        <v>0</v>
      </c>
      <c r="AB70" s="119">
        <v>2</v>
      </c>
      <c r="AC70" s="118">
        <v>0</v>
      </c>
      <c r="AD70" s="118">
        <v>0</v>
      </c>
      <c r="AE70" s="118">
        <v>0</v>
      </c>
      <c r="AF70" s="118">
        <v>0</v>
      </c>
      <c r="AG70" s="118">
        <v>2</v>
      </c>
      <c r="AH70" s="118">
        <v>0</v>
      </c>
      <c r="AI70" s="118">
        <v>0</v>
      </c>
      <c r="AJ70" s="118">
        <v>6</v>
      </c>
      <c r="AK70" s="118"/>
      <c r="AL70" s="138"/>
      <c r="AM70" s="125" t="s">
        <v>486</v>
      </c>
      <c r="AN70" s="118">
        <v>4</v>
      </c>
      <c r="AO70" s="118">
        <v>0</v>
      </c>
      <c r="AP70" s="118">
        <v>1</v>
      </c>
      <c r="AQ70" s="118">
        <v>0</v>
      </c>
      <c r="AR70" s="118">
        <v>0</v>
      </c>
      <c r="AS70" s="118">
        <v>1</v>
      </c>
      <c r="AT70" s="118">
        <v>0</v>
      </c>
      <c r="AU70" s="118">
        <v>0</v>
      </c>
      <c r="AV70" s="138">
        <v>1</v>
      </c>
      <c r="AW70" s="125" t="s">
        <v>485</v>
      </c>
      <c r="AX70" s="118">
        <v>3</v>
      </c>
      <c r="AY70" s="118">
        <v>1</v>
      </c>
      <c r="AZ70" s="118">
        <v>1</v>
      </c>
      <c r="BA70" s="118">
        <v>0</v>
      </c>
      <c r="BB70" s="118">
        <v>1</v>
      </c>
      <c r="BC70" s="118">
        <v>1</v>
      </c>
      <c r="BD70" s="118">
        <v>0</v>
      </c>
      <c r="BE70" s="118">
        <v>0</v>
      </c>
      <c r="BF70" s="138">
        <v>1</v>
      </c>
      <c r="BG70" s="125" t="s">
        <v>482</v>
      </c>
      <c r="BH70" s="118">
        <v>4</v>
      </c>
      <c r="BI70" s="118">
        <v>1</v>
      </c>
      <c r="BJ70" s="118">
        <v>1</v>
      </c>
      <c r="BK70" s="118">
        <v>0</v>
      </c>
      <c r="BL70" s="118">
        <v>0</v>
      </c>
      <c r="BM70" s="118">
        <v>0</v>
      </c>
      <c r="BN70" s="118">
        <v>0</v>
      </c>
      <c r="BO70" s="118">
        <v>0</v>
      </c>
      <c r="BP70" s="138">
        <v>2</v>
      </c>
      <c r="BQ70" s="125" t="s">
        <v>367</v>
      </c>
      <c r="BR70" s="118">
        <v>4</v>
      </c>
      <c r="BS70" s="118">
        <v>1</v>
      </c>
      <c r="BT70" s="118">
        <v>2</v>
      </c>
      <c r="BU70" s="118">
        <v>3</v>
      </c>
      <c r="BV70" s="118">
        <v>0</v>
      </c>
      <c r="BW70" s="118">
        <v>0</v>
      </c>
      <c r="BX70" s="118">
        <v>0</v>
      </c>
      <c r="BY70" s="118">
        <v>0</v>
      </c>
      <c r="BZ70" s="138">
        <v>5</v>
      </c>
      <c r="CA70" s="125" t="s">
        <v>484</v>
      </c>
      <c r="CB70" s="118">
        <v>4</v>
      </c>
      <c r="CC70" s="118">
        <v>0</v>
      </c>
      <c r="CD70" s="118">
        <v>2</v>
      </c>
      <c r="CE70" s="118">
        <v>0</v>
      </c>
      <c r="CF70" s="118">
        <v>0</v>
      </c>
      <c r="CG70" s="118">
        <v>0</v>
      </c>
      <c r="CH70" s="118">
        <v>0</v>
      </c>
      <c r="CI70" s="118">
        <v>0</v>
      </c>
      <c r="CJ70" s="138">
        <v>3</v>
      </c>
      <c r="CK70" s="125" t="s">
        <v>481</v>
      </c>
      <c r="CL70" s="118">
        <v>4</v>
      </c>
      <c r="CM70" s="118">
        <v>0</v>
      </c>
      <c r="CN70" s="118">
        <v>0</v>
      </c>
      <c r="CO70" s="118">
        <v>0</v>
      </c>
      <c r="CP70" s="118">
        <v>0</v>
      </c>
      <c r="CQ70" s="118">
        <v>0</v>
      </c>
      <c r="CR70" s="118">
        <v>0</v>
      </c>
      <c r="CS70" s="118">
        <v>0</v>
      </c>
      <c r="CT70" s="138">
        <v>0</v>
      </c>
      <c r="CU70" s="125" t="s">
        <v>489</v>
      </c>
      <c r="CV70" s="118">
        <v>3</v>
      </c>
      <c r="CW70" s="118">
        <v>0</v>
      </c>
      <c r="CX70" s="118">
        <v>0</v>
      </c>
      <c r="CY70" s="118">
        <v>0</v>
      </c>
      <c r="CZ70" s="118">
        <v>0</v>
      </c>
      <c r="DA70" s="118">
        <v>0</v>
      </c>
      <c r="DB70" s="118">
        <v>0</v>
      </c>
      <c r="DC70" s="118">
        <v>0</v>
      </c>
      <c r="DD70" s="138">
        <v>0</v>
      </c>
      <c r="DE70" s="125" t="s">
        <v>480</v>
      </c>
      <c r="DF70" s="118">
        <v>2</v>
      </c>
      <c r="DG70" s="118">
        <v>0</v>
      </c>
      <c r="DH70" s="118">
        <v>0</v>
      </c>
      <c r="DI70" s="118">
        <v>0</v>
      </c>
      <c r="DJ70" s="118">
        <v>1</v>
      </c>
      <c r="DK70" s="118">
        <v>0</v>
      </c>
      <c r="DL70" s="118">
        <v>0</v>
      </c>
      <c r="DM70" s="118">
        <v>0</v>
      </c>
      <c r="DN70" s="138">
        <v>0</v>
      </c>
      <c r="DO70" s="125" t="s">
        <v>479</v>
      </c>
      <c r="DP70" s="118">
        <v>3</v>
      </c>
      <c r="DQ70" s="118">
        <v>0</v>
      </c>
      <c r="DR70" s="118">
        <v>0</v>
      </c>
      <c r="DS70" s="118">
        <v>0</v>
      </c>
      <c r="DT70" s="118">
        <v>0</v>
      </c>
      <c r="DU70" s="118">
        <v>0</v>
      </c>
      <c r="DV70" s="118">
        <v>0</v>
      </c>
      <c r="DW70" s="118">
        <v>0</v>
      </c>
      <c r="DX70" s="138">
        <v>0</v>
      </c>
      <c r="DY70" s="140">
        <f>1+1/3</f>
        <v>1.3333333333333333</v>
      </c>
      <c r="DZ70" s="118">
        <v>0</v>
      </c>
      <c r="EA70" s="118">
        <v>0</v>
      </c>
      <c r="EB70" s="119">
        <f>6+2/3</f>
        <v>6.666666666666667</v>
      </c>
      <c r="EC70" s="118">
        <v>0</v>
      </c>
      <c r="ED70" s="138">
        <v>0</v>
      </c>
      <c r="EE70" s="125">
        <v>0</v>
      </c>
      <c r="EF70" s="118">
        <v>0</v>
      </c>
      <c r="EG70" s="118">
        <v>0</v>
      </c>
      <c r="EH70" s="118">
        <v>3</v>
      </c>
      <c r="EI70" s="118">
        <v>0</v>
      </c>
      <c r="EJ70" s="118">
        <v>0</v>
      </c>
      <c r="EK70" s="118">
        <v>0</v>
      </c>
      <c r="EL70" s="118">
        <v>0</v>
      </c>
      <c r="EM70" s="118"/>
      <c r="EN70" s="118"/>
      <c r="EO70" s="118"/>
      <c r="EP70" s="118"/>
      <c r="EQ70" s="118"/>
      <c r="ER70" s="118"/>
      <c r="ES70" s="118"/>
      <c r="ET70" s="118"/>
      <c r="EU70" s="118"/>
      <c r="EV70" s="118"/>
      <c r="EW70" s="118"/>
      <c r="EX70" s="138">
        <f t="shared" si="8"/>
        <v>3</v>
      </c>
      <c r="EY70" s="125">
        <v>0</v>
      </c>
      <c r="EZ70" s="118">
        <v>0</v>
      </c>
      <c r="FA70" s="118">
        <v>0</v>
      </c>
      <c r="FB70" s="118">
        <v>0</v>
      </c>
      <c r="FC70" s="118">
        <v>0</v>
      </c>
      <c r="FD70" s="118">
        <v>1</v>
      </c>
      <c r="FE70" s="118">
        <v>0</v>
      </c>
      <c r="FF70" s="118">
        <v>0</v>
      </c>
      <c r="FG70" s="118">
        <v>0</v>
      </c>
      <c r="FH70" s="118"/>
      <c r="FI70" s="118"/>
      <c r="FJ70" s="118"/>
      <c r="FK70" s="118"/>
      <c r="FL70" s="118"/>
      <c r="FM70" s="118"/>
      <c r="FN70" s="118"/>
      <c r="FO70" s="118"/>
      <c r="FP70" s="118"/>
      <c r="FQ70" s="118"/>
      <c r="FR70" s="138">
        <f t="shared" si="9"/>
        <v>1</v>
      </c>
      <c r="FS70" s="166">
        <f t="shared" si="10"/>
        <v>0</v>
      </c>
      <c r="FT70" s="167">
        <f t="shared" si="11"/>
        <v>0</v>
      </c>
      <c r="FU70" s="142" t="s">
        <v>499</v>
      </c>
    </row>
    <row r="71" spans="1:177" x14ac:dyDescent="0.25">
      <c r="A71" s="121">
        <v>40351</v>
      </c>
      <c r="B71" s="121" t="s">
        <v>19</v>
      </c>
      <c r="C71" s="121" t="s">
        <v>131</v>
      </c>
      <c r="D71" s="121" t="s">
        <v>497</v>
      </c>
      <c r="E71" s="120"/>
      <c r="F71" s="124" t="s">
        <v>523</v>
      </c>
      <c r="G71" s="118" t="s">
        <v>498</v>
      </c>
      <c r="H71" s="118">
        <v>0</v>
      </c>
      <c r="I71" s="118">
        <v>1</v>
      </c>
      <c r="J71" s="119">
        <v>7</v>
      </c>
      <c r="K71" s="118">
        <v>3</v>
      </c>
      <c r="L71" s="118">
        <v>1</v>
      </c>
      <c r="M71" s="118">
        <v>1</v>
      </c>
      <c r="N71" s="118">
        <v>0</v>
      </c>
      <c r="O71" s="118">
        <v>2</v>
      </c>
      <c r="P71" s="118">
        <v>0</v>
      </c>
      <c r="Q71" s="118">
        <v>3</v>
      </c>
      <c r="R71" s="118">
        <v>26</v>
      </c>
      <c r="S71" s="118"/>
      <c r="T71" s="118"/>
      <c r="U71" s="118">
        <v>0</v>
      </c>
      <c r="V71" s="138">
        <v>0</v>
      </c>
      <c r="W71" s="125">
        <v>0</v>
      </c>
      <c r="X71" s="118">
        <v>0</v>
      </c>
      <c r="Y71" s="118">
        <v>0</v>
      </c>
      <c r="Z71" s="118">
        <v>0</v>
      </c>
      <c r="AA71" s="118">
        <v>0</v>
      </c>
      <c r="AB71" s="119">
        <v>0</v>
      </c>
      <c r="AC71" s="118">
        <v>0</v>
      </c>
      <c r="AD71" s="118">
        <v>0</v>
      </c>
      <c r="AE71" s="118">
        <v>0</v>
      </c>
      <c r="AF71" s="118">
        <v>0</v>
      </c>
      <c r="AG71" s="118">
        <v>0</v>
      </c>
      <c r="AH71" s="118">
        <v>0</v>
      </c>
      <c r="AI71" s="118">
        <v>0</v>
      </c>
      <c r="AJ71" s="118">
        <v>0</v>
      </c>
      <c r="AK71" s="118"/>
      <c r="AL71" s="138"/>
      <c r="AM71" s="125" t="s">
        <v>486</v>
      </c>
      <c r="AN71" s="118">
        <v>3</v>
      </c>
      <c r="AO71" s="118">
        <v>0</v>
      </c>
      <c r="AP71" s="118">
        <v>1</v>
      </c>
      <c r="AQ71" s="118">
        <v>0</v>
      </c>
      <c r="AR71" s="118">
        <v>0</v>
      </c>
      <c r="AS71" s="118">
        <v>1</v>
      </c>
      <c r="AT71" s="118">
        <v>0</v>
      </c>
      <c r="AU71" s="118">
        <v>0</v>
      </c>
      <c r="AV71" s="138">
        <v>1</v>
      </c>
      <c r="AW71" s="125" t="s">
        <v>485</v>
      </c>
      <c r="AX71" s="118">
        <v>3</v>
      </c>
      <c r="AY71" s="118">
        <v>0</v>
      </c>
      <c r="AZ71" s="118">
        <v>0</v>
      </c>
      <c r="BA71" s="118">
        <v>0</v>
      </c>
      <c r="BB71" s="118">
        <v>0</v>
      </c>
      <c r="BC71" s="118">
        <v>2</v>
      </c>
      <c r="BD71" s="118">
        <v>0</v>
      </c>
      <c r="BE71" s="118">
        <v>0</v>
      </c>
      <c r="BF71" s="138">
        <v>0</v>
      </c>
      <c r="BG71" s="125" t="s">
        <v>367</v>
      </c>
      <c r="BH71" s="118">
        <v>3</v>
      </c>
      <c r="BI71" s="118">
        <v>0</v>
      </c>
      <c r="BJ71" s="118">
        <v>0</v>
      </c>
      <c r="BK71" s="118">
        <v>0</v>
      </c>
      <c r="BL71" s="118">
        <v>0</v>
      </c>
      <c r="BM71" s="118">
        <v>3</v>
      </c>
      <c r="BN71" s="118">
        <v>0</v>
      </c>
      <c r="BO71" s="118">
        <v>0</v>
      </c>
      <c r="BP71" s="138">
        <v>0</v>
      </c>
      <c r="BQ71" s="125" t="s">
        <v>496</v>
      </c>
      <c r="BR71" s="118">
        <v>2</v>
      </c>
      <c r="BS71" s="118">
        <v>0</v>
      </c>
      <c r="BT71" s="118">
        <v>0</v>
      </c>
      <c r="BU71" s="118">
        <v>0</v>
      </c>
      <c r="BV71" s="118">
        <v>1</v>
      </c>
      <c r="BW71" s="118">
        <v>0</v>
      </c>
      <c r="BX71" s="118">
        <v>0</v>
      </c>
      <c r="BY71" s="118">
        <v>0</v>
      </c>
      <c r="BZ71" s="138">
        <v>0</v>
      </c>
      <c r="CA71" s="125" t="s">
        <v>483</v>
      </c>
      <c r="CB71" s="118">
        <v>3</v>
      </c>
      <c r="CC71" s="118">
        <v>0</v>
      </c>
      <c r="CD71" s="118">
        <v>0</v>
      </c>
      <c r="CE71" s="118">
        <v>0</v>
      </c>
      <c r="CF71" s="118">
        <v>0</v>
      </c>
      <c r="CG71" s="118">
        <v>0</v>
      </c>
      <c r="CH71" s="118">
        <v>0</v>
      </c>
      <c r="CI71" s="118">
        <v>0</v>
      </c>
      <c r="CJ71" s="138">
        <v>0</v>
      </c>
      <c r="CK71" s="125" t="s">
        <v>489</v>
      </c>
      <c r="CL71" s="118">
        <v>3</v>
      </c>
      <c r="CM71" s="118">
        <v>0</v>
      </c>
      <c r="CN71" s="118">
        <v>1</v>
      </c>
      <c r="CO71" s="118">
        <v>0</v>
      </c>
      <c r="CP71" s="118">
        <v>0</v>
      </c>
      <c r="CQ71" s="118">
        <v>0</v>
      </c>
      <c r="CR71" s="118">
        <v>0</v>
      </c>
      <c r="CS71" s="118">
        <v>0</v>
      </c>
      <c r="CT71" s="138">
        <v>1</v>
      </c>
      <c r="CU71" s="125" t="s">
        <v>491</v>
      </c>
      <c r="CV71" s="118">
        <v>2</v>
      </c>
      <c r="CW71" s="118">
        <v>0</v>
      </c>
      <c r="CX71" s="118">
        <v>1</v>
      </c>
      <c r="CY71" s="118">
        <v>0</v>
      </c>
      <c r="CZ71" s="118">
        <v>0</v>
      </c>
      <c r="DA71" s="118">
        <v>0</v>
      </c>
      <c r="DB71" s="118">
        <v>0</v>
      </c>
      <c r="DC71" s="118">
        <v>0</v>
      </c>
      <c r="DD71" s="138">
        <v>2</v>
      </c>
      <c r="DE71" s="125" t="s">
        <v>480</v>
      </c>
      <c r="DF71" s="118">
        <v>1</v>
      </c>
      <c r="DG71" s="118">
        <v>0</v>
      </c>
      <c r="DH71" s="118">
        <v>0</v>
      </c>
      <c r="DI71" s="118">
        <v>0</v>
      </c>
      <c r="DJ71" s="118">
        <v>1</v>
      </c>
      <c r="DK71" s="118">
        <v>1</v>
      </c>
      <c r="DL71" s="118">
        <v>0</v>
      </c>
      <c r="DM71" s="118">
        <v>0</v>
      </c>
      <c r="DN71" s="138">
        <v>0</v>
      </c>
      <c r="DO71" s="125" t="s">
        <v>479</v>
      </c>
      <c r="DP71" s="118">
        <v>2</v>
      </c>
      <c r="DQ71" s="118">
        <v>0</v>
      </c>
      <c r="DR71" s="118">
        <v>0</v>
      </c>
      <c r="DS71" s="118">
        <v>0</v>
      </c>
      <c r="DT71" s="118">
        <v>0</v>
      </c>
      <c r="DU71" s="118">
        <v>0</v>
      </c>
      <c r="DV71" s="118">
        <v>0</v>
      </c>
      <c r="DW71" s="118">
        <v>0</v>
      </c>
      <c r="DX71" s="138">
        <v>0</v>
      </c>
      <c r="DY71" s="140">
        <v>7</v>
      </c>
      <c r="DZ71" s="118">
        <v>1</v>
      </c>
      <c r="EA71" s="118">
        <v>0</v>
      </c>
      <c r="EB71" s="119">
        <v>0</v>
      </c>
      <c r="EC71" s="118">
        <v>0</v>
      </c>
      <c r="ED71" s="138">
        <v>0</v>
      </c>
      <c r="EE71" s="125">
        <v>0</v>
      </c>
      <c r="EF71" s="118">
        <v>0</v>
      </c>
      <c r="EG71" s="118">
        <v>0</v>
      </c>
      <c r="EH71" s="118">
        <v>0</v>
      </c>
      <c r="EI71" s="118">
        <v>0</v>
      </c>
      <c r="EJ71" s="118">
        <v>0</v>
      </c>
      <c r="EK71" s="118">
        <v>0</v>
      </c>
      <c r="EL71" s="118"/>
      <c r="EM71" s="118"/>
      <c r="EN71" s="118"/>
      <c r="EO71" s="118"/>
      <c r="EP71" s="118"/>
      <c r="EQ71" s="118"/>
      <c r="ER71" s="118"/>
      <c r="ES71" s="118"/>
      <c r="ET71" s="118"/>
      <c r="EU71" s="118"/>
      <c r="EV71" s="118"/>
      <c r="EW71" s="118"/>
      <c r="EX71" s="138">
        <f t="shared" si="8"/>
        <v>0</v>
      </c>
      <c r="EY71" s="125">
        <v>0</v>
      </c>
      <c r="EZ71" s="118">
        <v>0</v>
      </c>
      <c r="FA71" s="118">
        <v>0</v>
      </c>
      <c r="FB71" s="118">
        <v>0</v>
      </c>
      <c r="FC71" s="118">
        <v>0</v>
      </c>
      <c r="FD71" s="118">
        <v>0</v>
      </c>
      <c r="FE71" s="118">
        <v>1</v>
      </c>
      <c r="FF71" s="118"/>
      <c r="FG71" s="118"/>
      <c r="FH71" s="118"/>
      <c r="FI71" s="118"/>
      <c r="FJ71" s="118"/>
      <c r="FK71" s="118"/>
      <c r="FL71" s="118"/>
      <c r="FM71" s="118"/>
      <c r="FN71" s="118"/>
      <c r="FO71" s="118"/>
      <c r="FP71" s="118"/>
      <c r="FQ71" s="118"/>
      <c r="FR71" s="138">
        <f t="shared" si="9"/>
        <v>1</v>
      </c>
      <c r="FS71" s="166">
        <f t="shared" si="10"/>
        <v>0</v>
      </c>
      <c r="FT71" s="167">
        <f t="shared" si="11"/>
        <v>0</v>
      </c>
      <c r="FU71" s="142" t="s">
        <v>475</v>
      </c>
    </row>
    <row r="72" spans="1:177" x14ac:dyDescent="0.25">
      <c r="A72" s="121">
        <v>40351</v>
      </c>
      <c r="B72" s="121" t="s">
        <v>19</v>
      </c>
      <c r="C72" s="121" t="s">
        <v>129</v>
      </c>
      <c r="D72" s="121" t="s">
        <v>497</v>
      </c>
      <c r="E72" s="120">
        <v>1762</v>
      </c>
      <c r="F72" s="124">
        <v>3</v>
      </c>
      <c r="G72" s="118" t="s">
        <v>492</v>
      </c>
      <c r="H72" s="118">
        <v>1</v>
      </c>
      <c r="I72" s="118">
        <v>0</v>
      </c>
      <c r="J72" s="119">
        <v>5</v>
      </c>
      <c r="K72" s="118">
        <v>2</v>
      </c>
      <c r="L72" s="118">
        <v>1</v>
      </c>
      <c r="M72" s="118">
        <v>1</v>
      </c>
      <c r="N72" s="118">
        <v>1</v>
      </c>
      <c r="O72" s="118">
        <v>0</v>
      </c>
      <c r="P72" s="118">
        <v>0</v>
      </c>
      <c r="Q72" s="118">
        <v>2</v>
      </c>
      <c r="R72" s="118">
        <v>20</v>
      </c>
      <c r="S72" s="118"/>
      <c r="T72" s="118"/>
      <c r="U72" s="118">
        <v>0</v>
      </c>
      <c r="V72" s="138">
        <v>0</v>
      </c>
      <c r="W72" s="125">
        <v>0</v>
      </c>
      <c r="X72" s="118">
        <v>0</v>
      </c>
      <c r="Y72" s="118">
        <v>0</v>
      </c>
      <c r="Z72" s="118">
        <v>0</v>
      </c>
      <c r="AA72" s="118">
        <v>0</v>
      </c>
      <c r="AB72" s="119">
        <v>2</v>
      </c>
      <c r="AC72" s="118">
        <v>2</v>
      </c>
      <c r="AD72" s="118">
        <v>0</v>
      </c>
      <c r="AE72" s="118">
        <v>0</v>
      </c>
      <c r="AF72" s="118">
        <v>0</v>
      </c>
      <c r="AG72" s="118">
        <v>0</v>
      </c>
      <c r="AH72" s="118">
        <v>0</v>
      </c>
      <c r="AI72" s="118">
        <v>0</v>
      </c>
      <c r="AJ72" s="118">
        <v>7</v>
      </c>
      <c r="AK72" s="118"/>
      <c r="AL72" s="138"/>
      <c r="AM72" s="125" t="s">
        <v>482</v>
      </c>
      <c r="AN72" s="118">
        <v>4</v>
      </c>
      <c r="AO72" s="118">
        <v>1</v>
      </c>
      <c r="AP72" s="118">
        <v>2</v>
      </c>
      <c r="AQ72" s="118">
        <v>2</v>
      </c>
      <c r="AR72" s="118">
        <v>0</v>
      </c>
      <c r="AS72" s="118">
        <v>0</v>
      </c>
      <c r="AT72" s="118">
        <v>0</v>
      </c>
      <c r="AU72" s="118">
        <v>0</v>
      </c>
      <c r="AV72" s="138">
        <v>4</v>
      </c>
      <c r="AW72" s="125" t="s">
        <v>485</v>
      </c>
      <c r="AX72" s="118">
        <v>3</v>
      </c>
      <c r="AY72" s="118">
        <v>0</v>
      </c>
      <c r="AZ72" s="118">
        <v>0</v>
      </c>
      <c r="BA72" s="118">
        <v>1</v>
      </c>
      <c r="BB72" s="118">
        <v>0</v>
      </c>
      <c r="BC72" s="118">
        <v>1</v>
      </c>
      <c r="BD72" s="118">
        <v>0</v>
      </c>
      <c r="BE72" s="118">
        <v>0</v>
      </c>
      <c r="BF72" s="138">
        <v>0</v>
      </c>
      <c r="BG72" s="125" t="s">
        <v>481</v>
      </c>
      <c r="BH72" s="118">
        <v>2</v>
      </c>
      <c r="BI72" s="118">
        <v>0</v>
      </c>
      <c r="BJ72" s="118">
        <v>1</v>
      </c>
      <c r="BK72" s="118">
        <v>0</v>
      </c>
      <c r="BL72" s="118">
        <v>0</v>
      </c>
      <c r="BM72" s="118">
        <v>0</v>
      </c>
      <c r="BN72" s="118">
        <v>1</v>
      </c>
      <c r="BO72" s="118">
        <v>0</v>
      </c>
      <c r="BP72" s="138">
        <v>0</v>
      </c>
      <c r="BQ72" s="125" t="s">
        <v>367</v>
      </c>
      <c r="BR72" s="118">
        <v>3</v>
      </c>
      <c r="BS72" s="118">
        <v>0</v>
      </c>
      <c r="BT72" s="118">
        <v>0</v>
      </c>
      <c r="BU72" s="118">
        <v>0</v>
      </c>
      <c r="BV72" s="118">
        <v>0</v>
      </c>
      <c r="BW72" s="118">
        <v>0</v>
      </c>
      <c r="BX72" s="118">
        <v>0</v>
      </c>
      <c r="BY72" s="118">
        <v>0</v>
      </c>
      <c r="BZ72" s="138">
        <v>0</v>
      </c>
      <c r="CA72" s="125" t="s">
        <v>484</v>
      </c>
      <c r="CB72" s="118">
        <v>3</v>
      </c>
      <c r="CC72" s="118">
        <v>2</v>
      </c>
      <c r="CD72" s="118">
        <v>2</v>
      </c>
      <c r="CE72" s="118">
        <v>0</v>
      </c>
      <c r="CF72" s="118">
        <v>0</v>
      </c>
      <c r="CG72" s="118">
        <v>0</v>
      </c>
      <c r="CH72" s="118">
        <v>0</v>
      </c>
      <c r="CI72" s="118">
        <v>0</v>
      </c>
      <c r="CJ72" s="138">
        <v>4</v>
      </c>
      <c r="CK72" s="125" t="s">
        <v>483</v>
      </c>
      <c r="CL72" s="118">
        <v>3</v>
      </c>
      <c r="CM72" s="118">
        <v>1</v>
      </c>
      <c r="CN72" s="118">
        <v>1</v>
      </c>
      <c r="CO72" s="118">
        <v>0</v>
      </c>
      <c r="CP72" s="118">
        <v>0</v>
      </c>
      <c r="CQ72" s="118">
        <v>1</v>
      </c>
      <c r="CR72" s="118">
        <v>0</v>
      </c>
      <c r="CS72" s="118">
        <v>0</v>
      </c>
      <c r="CT72" s="138">
        <v>1</v>
      </c>
      <c r="CU72" s="125" t="s">
        <v>491</v>
      </c>
      <c r="CV72" s="118">
        <v>3</v>
      </c>
      <c r="CW72" s="118">
        <v>1</v>
      </c>
      <c r="CX72" s="118">
        <v>2</v>
      </c>
      <c r="CY72" s="118">
        <v>1</v>
      </c>
      <c r="CZ72" s="118">
        <v>0</v>
      </c>
      <c r="DA72" s="118">
        <v>0</v>
      </c>
      <c r="DB72" s="118">
        <v>0</v>
      </c>
      <c r="DC72" s="118">
        <v>0</v>
      </c>
      <c r="DD72" s="138">
        <v>2</v>
      </c>
      <c r="DE72" s="125" t="s">
        <v>480</v>
      </c>
      <c r="DF72" s="118">
        <v>2</v>
      </c>
      <c r="DG72" s="118">
        <v>1</v>
      </c>
      <c r="DH72" s="118">
        <v>1</v>
      </c>
      <c r="DI72" s="118">
        <v>2</v>
      </c>
      <c r="DJ72" s="118">
        <v>0</v>
      </c>
      <c r="DK72" s="118">
        <v>0</v>
      </c>
      <c r="DL72" s="118">
        <v>0</v>
      </c>
      <c r="DM72" s="118">
        <v>1</v>
      </c>
      <c r="DN72" s="138">
        <v>2</v>
      </c>
      <c r="DO72" s="125" t="s">
        <v>486</v>
      </c>
      <c r="DP72" s="118">
        <v>3</v>
      </c>
      <c r="DQ72" s="118">
        <v>1</v>
      </c>
      <c r="DR72" s="118">
        <v>1</v>
      </c>
      <c r="DS72" s="118">
        <v>1</v>
      </c>
      <c r="DT72" s="118">
        <v>0</v>
      </c>
      <c r="DU72" s="118">
        <v>0</v>
      </c>
      <c r="DV72" s="118">
        <v>0</v>
      </c>
      <c r="DW72" s="118">
        <v>0</v>
      </c>
      <c r="DX72" s="138">
        <v>1</v>
      </c>
      <c r="DY72" s="140">
        <v>2</v>
      </c>
      <c r="DZ72" s="118">
        <v>0</v>
      </c>
      <c r="EA72" s="118">
        <v>0</v>
      </c>
      <c r="EB72" s="119">
        <v>4</v>
      </c>
      <c r="EC72" s="118">
        <v>0</v>
      </c>
      <c r="ED72" s="138">
        <v>0</v>
      </c>
      <c r="EE72" s="125">
        <v>0</v>
      </c>
      <c r="EF72" s="118">
        <v>5</v>
      </c>
      <c r="EG72" s="118">
        <v>2</v>
      </c>
      <c r="EH72" s="118">
        <v>0</v>
      </c>
      <c r="EI72" s="118">
        <v>0</v>
      </c>
      <c r="EJ72" s="118">
        <v>0</v>
      </c>
      <c r="EK72" s="118"/>
      <c r="EL72" s="118"/>
      <c r="EM72" s="118"/>
      <c r="EN72" s="118"/>
      <c r="EO72" s="118"/>
      <c r="EP72" s="118"/>
      <c r="EQ72" s="118"/>
      <c r="ER72" s="118"/>
      <c r="ES72" s="118"/>
      <c r="ET72" s="118"/>
      <c r="EU72" s="118"/>
      <c r="EV72" s="118"/>
      <c r="EW72" s="118"/>
      <c r="EX72" s="138">
        <f t="shared" si="8"/>
        <v>7</v>
      </c>
      <c r="EY72" s="125">
        <v>0</v>
      </c>
      <c r="EZ72" s="118">
        <v>0</v>
      </c>
      <c r="FA72" s="118">
        <v>0</v>
      </c>
      <c r="FB72" s="118">
        <v>1</v>
      </c>
      <c r="FC72" s="118">
        <v>0</v>
      </c>
      <c r="FD72" s="118">
        <v>0</v>
      </c>
      <c r="FE72" s="118">
        <v>0</v>
      </c>
      <c r="FF72" s="118"/>
      <c r="FG72" s="118"/>
      <c r="FH72" s="118"/>
      <c r="FI72" s="118"/>
      <c r="FJ72" s="118"/>
      <c r="FK72" s="118"/>
      <c r="FL72" s="118"/>
      <c r="FM72" s="118"/>
      <c r="FN72" s="118"/>
      <c r="FO72" s="118"/>
      <c r="FP72" s="118"/>
      <c r="FQ72" s="118"/>
      <c r="FR72" s="138">
        <f t="shared" si="9"/>
        <v>1</v>
      </c>
      <c r="FS72" s="166">
        <f t="shared" si="10"/>
        <v>0</v>
      </c>
      <c r="FT72" s="167">
        <f t="shared" si="11"/>
        <v>0</v>
      </c>
      <c r="FU72" s="142" t="s">
        <v>378</v>
      </c>
    </row>
    <row r="73" spans="1:177" x14ac:dyDescent="0.25">
      <c r="A73" s="121">
        <v>40353</v>
      </c>
      <c r="B73" s="121" t="s">
        <v>133</v>
      </c>
      <c r="C73" s="121" t="s">
        <v>131</v>
      </c>
      <c r="D73" s="121" t="s">
        <v>495</v>
      </c>
      <c r="E73" s="120">
        <v>1775</v>
      </c>
      <c r="F73" s="124">
        <v>4</v>
      </c>
      <c r="G73" s="118" t="s">
        <v>490</v>
      </c>
      <c r="H73" s="118">
        <v>0</v>
      </c>
      <c r="I73" s="118">
        <v>1</v>
      </c>
      <c r="J73" s="119">
        <v>8</v>
      </c>
      <c r="K73" s="118">
        <v>8</v>
      </c>
      <c r="L73" s="118">
        <v>3</v>
      </c>
      <c r="M73" s="118">
        <v>3</v>
      </c>
      <c r="N73" s="118">
        <v>1</v>
      </c>
      <c r="O73" s="118">
        <v>4</v>
      </c>
      <c r="P73" s="118">
        <v>1</v>
      </c>
      <c r="Q73" s="118">
        <v>0</v>
      </c>
      <c r="R73" s="118">
        <v>32</v>
      </c>
      <c r="S73" s="118"/>
      <c r="T73" s="118"/>
      <c r="U73" s="118">
        <v>0</v>
      </c>
      <c r="V73" s="138">
        <v>0</v>
      </c>
      <c r="W73" s="125">
        <v>0</v>
      </c>
      <c r="X73" s="118">
        <v>0</v>
      </c>
      <c r="Y73" s="118">
        <v>0</v>
      </c>
      <c r="Z73" s="118">
        <v>0</v>
      </c>
      <c r="AA73" s="118">
        <v>0</v>
      </c>
      <c r="AB73" s="119">
        <v>0</v>
      </c>
      <c r="AC73" s="118">
        <v>0</v>
      </c>
      <c r="AD73" s="118">
        <v>0</v>
      </c>
      <c r="AE73" s="118">
        <v>0</v>
      </c>
      <c r="AF73" s="118">
        <v>0</v>
      </c>
      <c r="AG73" s="118">
        <v>0</v>
      </c>
      <c r="AH73" s="118">
        <v>0</v>
      </c>
      <c r="AI73" s="118">
        <v>0</v>
      </c>
      <c r="AJ73" s="118">
        <v>0</v>
      </c>
      <c r="AK73" s="118"/>
      <c r="AL73" s="138"/>
      <c r="AM73" s="125" t="s">
        <v>442</v>
      </c>
      <c r="AN73" s="118">
        <v>4</v>
      </c>
      <c r="AO73" s="118">
        <v>0</v>
      </c>
      <c r="AP73" s="118">
        <v>0</v>
      </c>
      <c r="AQ73" s="118">
        <v>0</v>
      </c>
      <c r="AR73" s="118">
        <v>0</v>
      </c>
      <c r="AS73" s="118">
        <v>0</v>
      </c>
      <c r="AT73" s="118">
        <v>1</v>
      </c>
      <c r="AU73" s="118">
        <v>0</v>
      </c>
      <c r="AV73" s="138">
        <v>0</v>
      </c>
      <c r="AW73" s="125" t="s">
        <v>485</v>
      </c>
      <c r="AX73" s="118">
        <v>4</v>
      </c>
      <c r="AY73" s="118">
        <v>0</v>
      </c>
      <c r="AZ73" s="118">
        <v>1</v>
      </c>
      <c r="BA73" s="118">
        <v>0</v>
      </c>
      <c r="BB73" s="118">
        <v>0</v>
      </c>
      <c r="BC73" s="118">
        <v>1</v>
      </c>
      <c r="BD73" s="118">
        <v>0</v>
      </c>
      <c r="BE73" s="118">
        <v>0</v>
      </c>
      <c r="BF73" s="138">
        <v>1</v>
      </c>
      <c r="BG73" s="125" t="s">
        <v>484</v>
      </c>
      <c r="BH73" s="118">
        <v>4</v>
      </c>
      <c r="BI73" s="118">
        <v>0</v>
      </c>
      <c r="BJ73" s="118">
        <v>2</v>
      </c>
      <c r="BK73" s="118">
        <v>0</v>
      </c>
      <c r="BL73" s="118">
        <v>0</v>
      </c>
      <c r="BM73" s="118">
        <v>0</v>
      </c>
      <c r="BN73" s="118">
        <v>0</v>
      </c>
      <c r="BO73" s="118">
        <v>0</v>
      </c>
      <c r="BP73" s="138">
        <v>2</v>
      </c>
      <c r="BQ73" s="125" t="s">
        <v>496</v>
      </c>
      <c r="BR73" s="118">
        <v>4</v>
      </c>
      <c r="BS73" s="118">
        <v>0</v>
      </c>
      <c r="BT73" s="118">
        <v>0</v>
      </c>
      <c r="BU73" s="118">
        <v>0</v>
      </c>
      <c r="BV73" s="118">
        <v>0</v>
      </c>
      <c r="BW73" s="118">
        <v>1</v>
      </c>
      <c r="BX73" s="118">
        <v>0</v>
      </c>
      <c r="BY73" s="118">
        <v>0</v>
      </c>
      <c r="BZ73" s="138">
        <v>0</v>
      </c>
      <c r="CA73" s="125" t="s">
        <v>481</v>
      </c>
      <c r="CB73" s="118">
        <v>3</v>
      </c>
      <c r="CC73" s="118">
        <v>0</v>
      </c>
      <c r="CD73" s="118">
        <v>0</v>
      </c>
      <c r="CE73" s="118">
        <v>0</v>
      </c>
      <c r="CF73" s="118">
        <v>1</v>
      </c>
      <c r="CG73" s="118">
        <v>0</v>
      </c>
      <c r="CH73" s="118">
        <v>0</v>
      </c>
      <c r="CI73" s="118">
        <v>0</v>
      </c>
      <c r="CJ73" s="138">
        <v>0</v>
      </c>
      <c r="CK73" s="125" t="s">
        <v>367</v>
      </c>
      <c r="CL73" s="118">
        <v>4</v>
      </c>
      <c r="CM73" s="118">
        <v>0</v>
      </c>
      <c r="CN73" s="118">
        <v>0</v>
      </c>
      <c r="CO73" s="118">
        <v>0</v>
      </c>
      <c r="CP73" s="118">
        <v>0</v>
      </c>
      <c r="CQ73" s="118">
        <v>1</v>
      </c>
      <c r="CR73" s="118">
        <v>0</v>
      </c>
      <c r="CS73" s="118">
        <v>0</v>
      </c>
      <c r="CT73" s="138">
        <v>0</v>
      </c>
      <c r="CU73" s="125" t="s">
        <v>489</v>
      </c>
      <c r="CV73" s="118">
        <v>4</v>
      </c>
      <c r="CW73" s="118">
        <v>1</v>
      </c>
      <c r="CX73" s="118">
        <v>3</v>
      </c>
      <c r="CY73" s="118">
        <v>0</v>
      </c>
      <c r="CZ73" s="118">
        <v>0</v>
      </c>
      <c r="DA73" s="118">
        <v>1</v>
      </c>
      <c r="DB73" s="118">
        <v>0</v>
      </c>
      <c r="DC73" s="118">
        <v>0</v>
      </c>
      <c r="DD73" s="138">
        <v>3</v>
      </c>
      <c r="DE73" s="125" t="s">
        <v>482</v>
      </c>
      <c r="DF73" s="118">
        <v>4</v>
      </c>
      <c r="DG73" s="118">
        <v>0</v>
      </c>
      <c r="DH73" s="118">
        <v>1</v>
      </c>
      <c r="DI73" s="118">
        <v>0</v>
      </c>
      <c r="DJ73" s="118">
        <v>0</v>
      </c>
      <c r="DK73" s="118">
        <v>0</v>
      </c>
      <c r="DL73" s="118">
        <v>0</v>
      </c>
      <c r="DM73" s="118">
        <v>0</v>
      </c>
      <c r="DN73" s="138">
        <v>2</v>
      </c>
      <c r="DO73" s="125" t="s">
        <v>486</v>
      </c>
      <c r="DP73" s="118">
        <v>3</v>
      </c>
      <c r="DQ73" s="118">
        <v>0</v>
      </c>
      <c r="DR73" s="118">
        <v>0</v>
      </c>
      <c r="DS73" s="118">
        <v>1</v>
      </c>
      <c r="DT73" s="118">
        <v>1</v>
      </c>
      <c r="DU73" s="118">
        <v>0</v>
      </c>
      <c r="DV73" s="118">
        <v>0</v>
      </c>
      <c r="DW73" s="118">
        <v>0</v>
      </c>
      <c r="DX73" s="138">
        <v>0</v>
      </c>
      <c r="DY73" s="140">
        <f>1+1/3</f>
        <v>1.3333333333333333</v>
      </c>
      <c r="DZ73" s="118">
        <v>0</v>
      </c>
      <c r="EA73" s="118">
        <v>0</v>
      </c>
      <c r="EB73" s="119">
        <f>7+2/3</f>
        <v>7.666666666666667</v>
      </c>
      <c r="EC73" s="118">
        <v>1</v>
      </c>
      <c r="ED73" s="138">
        <v>0</v>
      </c>
      <c r="EE73" s="125">
        <v>0</v>
      </c>
      <c r="EF73" s="118">
        <v>0</v>
      </c>
      <c r="EG73" s="118">
        <v>0</v>
      </c>
      <c r="EH73" s="118">
        <v>0</v>
      </c>
      <c r="EI73" s="118">
        <v>0</v>
      </c>
      <c r="EJ73" s="118">
        <v>0</v>
      </c>
      <c r="EK73" s="118">
        <v>0</v>
      </c>
      <c r="EL73" s="118">
        <v>0</v>
      </c>
      <c r="EM73" s="118">
        <v>1</v>
      </c>
      <c r="EN73" s="118"/>
      <c r="EO73" s="118"/>
      <c r="EP73" s="118"/>
      <c r="EQ73" s="118"/>
      <c r="ER73" s="118"/>
      <c r="ES73" s="118"/>
      <c r="ET73" s="118"/>
      <c r="EU73" s="118"/>
      <c r="EV73" s="118"/>
      <c r="EW73" s="118"/>
      <c r="EX73" s="138">
        <f t="shared" si="8"/>
        <v>1</v>
      </c>
      <c r="EY73" s="125">
        <v>0</v>
      </c>
      <c r="EZ73" s="118">
        <v>0</v>
      </c>
      <c r="FA73" s="118">
        <v>0</v>
      </c>
      <c r="FB73" s="118">
        <v>0</v>
      </c>
      <c r="FC73" s="118">
        <v>2</v>
      </c>
      <c r="FD73" s="118">
        <v>0</v>
      </c>
      <c r="FE73" s="118">
        <v>0</v>
      </c>
      <c r="FF73" s="118">
        <v>1</v>
      </c>
      <c r="FG73" s="118"/>
      <c r="FH73" s="118"/>
      <c r="FI73" s="118"/>
      <c r="FJ73" s="118"/>
      <c r="FK73" s="118"/>
      <c r="FL73" s="118"/>
      <c r="FM73" s="118"/>
      <c r="FN73" s="118"/>
      <c r="FO73" s="118"/>
      <c r="FP73" s="118"/>
      <c r="FQ73" s="118"/>
      <c r="FR73" s="138">
        <f t="shared" si="9"/>
        <v>3</v>
      </c>
      <c r="FS73" s="166">
        <f t="shared" si="10"/>
        <v>0</v>
      </c>
      <c r="FT73" s="167">
        <f t="shared" si="11"/>
        <v>0</v>
      </c>
      <c r="FU73" s="142"/>
    </row>
    <row r="74" spans="1:177" x14ac:dyDescent="0.25">
      <c r="A74" s="121">
        <v>40354</v>
      </c>
      <c r="B74" s="121" t="s">
        <v>133</v>
      </c>
      <c r="C74" s="121" t="s">
        <v>131</v>
      </c>
      <c r="D74" s="121" t="s">
        <v>495</v>
      </c>
      <c r="E74" s="120">
        <v>1283</v>
      </c>
      <c r="F74" s="124">
        <v>5</v>
      </c>
      <c r="G74" s="118" t="s">
        <v>487</v>
      </c>
      <c r="H74" s="118">
        <v>0</v>
      </c>
      <c r="I74" s="118">
        <v>0</v>
      </c>
      <c r="J74" s="119">
        <f>3+2/3</f>
        <v>3.6666666666666665</v>
      </c>
      <c r="K74" s="118">
        <v>9</v>
      </c>
      <c r="L74" s="118">
        <v>5</v>
      </c>
      <c r="M74" s="118">
        <v>5</v>
      </c>
      <c r="N74" s="118">
        <v>0</v>
      </c>
      <c r="O74" s="118">
        <v>0</v>
      </c>
      <c r="P74" s="118">
        <v>0</v>
      </c>
      <c r="Q74" s="118">
        <v>2</v>
      </c>
      <c r="R74" s="118">
        <v>21</v>
      </c>
      <c r="S74" s="118"/>
      <c r="T74" s="118"/>
      <c r="U74" s="118">
        <v>1</v>
      </c>
      <c r="V74" s="138">
        <v>0</v>
      </c>
      <c r="W74" s="125">
        <v>0</v>
      </c>
      <c r="X74" s="118">
        <v>1</v>
      </c>
      <c r="Y74" s="118">
        <v>0</v>
      </c>
      <c r="Z74" s="118">
        <v>0</v>
      </c>
      <c r="AA74" s="118">
        <v>0</v>
      </c>
      <c r="AB74" s="119">
        <v>7</v>
      </c>
      <c r="AC74" s="118">
        <v>7</v>
      </c>
      <c r="AD74" s="118">
        <v>2</v>
      </c>
      <c r="AE74" s="118">
        <v>1</v>
      </c>
      <c r="AF74" s="118">
        <v>2</v>
      </c>
      <c r="AG74" s="118">
        <v>6</v>
      </c>
      <c r="AH74" s="118">
        <v>0</v>
      </c>
      <c r="AI74" s="118">
        <v>1</v>
      </c>
      <c r="AJ74" s="118">
        <v>29</v>
      </c>
      <c r="AK74" s="118"/>
      <c r="AL74" s="138"/>
      <c r="AM74" s="125" t="s">
        <v>442</v>
      </c>
      <c r="AN74" s="118">
        <v>2</v>
      </c>
      <c r="AO74" s="118">
        <v>3</v>
      </c>
      <c r="AP74" s="118">
        <v>1</v>
      </c>
      <c r="AQ74" s="118">
        <v>2</v>
      </c>
      <c r="AR74" s="118">
        <v>3</v>
      </c>
      <c r="AS74" s="118">
        <v>0</v>
      </c>
      <c r="AT74" s="118">
        <v>1</v>
      </c>
      <c r="AU74" s="118">
        <v>0</v>
      </c>
      <c r="AV74" s="138">
        <v>2</v>
      </c>
      <c r="AW74" s="125" t="s">
        <v>386</v>
      </c>
      <c r="AX74" s="118">
        <v>4</v>
      </c>
      <c r="AY74" s="118">
        <v>0</v>
      </c>
      <c r="AZ74" s="118">
        <v>2</v>
      </c>
      <c r="BA74" s="118">
        <v>0</v>
      </c>
      <c r="BB74" s="118">
        <v>2</v>
      </c>
      <c r="BC74" s="118">
        <v>0</v>
      </c>
      <c r="BD74" s="118">
        <v>0</v>
      </c>
      <c r="BE74" s="118">
        <v>0</v>
      </c>
      <c r="BF74" s="138">
        <v>2</v>
      </c>
      <c r="BG74" s="125" t="s">
        <v>485</v>
      </c>
      <c r="BH74" s="118">
        <v>4</v>
      </c>
      <c r="BI74" s="118">
        <v>0</v>
      </c>
      <c r="BJ74" s="118">
        <v>2</v>
      </c>
      <c r="BK74" s="118">
        <v>3</v>
      </c>
      <c r="BL74" s="118">
        <v>0</v>
      </c>
      <c r="BM74" s="118">
        <v>1</v>
      </c>
      <c r="BN74" s="118">
        <v>0</v>
      </c>
      <c r="BO74" s="118">
        <v>1</v>
      </c>
      <c r="BP74" s="138">
        <v>2</v>
      </c>
      <c r="BQ74" s="125" t="s">
        <v>484</v>
      </c>
      <c r="BR74" s="118">
        <v>6</v>
      </c>
      <c r="BS74" s="118">
        <v>1</v>
      </c>
      <c r="BT74" s="118">
        <v>2</v>
      </c>
      <c r="BU74" s="118">
        <v>0</v>
      </c>
      <c r="BV74" s="118">
        <v>0</v>
      </c>
      <c r="BW74" s="118">
        <v>2</v>
      </c>
      <c r="BX74" s="118">
        <v>0</v>
      </c>
      <c r="BY74" s="118">
        <v>0</v>
      </c>
      <c r="BZ74" s="138">
        <v>2</v>
      </c>
      <c r="CA74" s="125" t="s">
        <v>496</v>
      </c>
      <c r="CB74" s="118">
        <v>6</v>
      </c>
      <c r="CC74" s="118">
        <v>0</v>
      </c>
      <c r="CD74" s="118">
        <v>0</v>
      </c>
      <c r="CE74" s="118">
        <v>0</v>
      </c>
      <c r="CF74" s="118">
        <v>0</v>
      </c>
      <c r="CG74" s="118">
        <v>2</v>
      </c>
      <c r="CH74" s="118">
        <v>0</v>
      </c>
      <c r="CI74" s="118">
        <v>0</v>
      </c>
      <c r="CJ74" s="138">
        <v>0</v>
      </c>
      <c r="CK74" s="125" t="s">
        <v>481</v>
      </c>
      <c r="CL74" s="118">
        <v>6</v>
      </c>
      <c r="CM74" s="118">
        <v>0</v>
      </c>
      <c r="CN74" s="118">
        <v>0</v>
      </c>
      <c r="CO74" s="118">
        <v>0</v>
      </c>
      <c r="CP74" s="118">
        <v>0</v>
      </c>
      <c r="CQ74" s="118">
        <v>1</v>
      </c>
      <c r="CR74" s="118">
        <v>0</v>
      </c>
      <c r="CS74" s="118">
        <v>0</v>
      </c>
      <c r="CT74" s="138">
        <v>0</v>
      </c>
      <c r="CU74" s="125" t="s">
        <v>486</v>
      </c>
      <c r="CV74" s="118">
        <v>5</v>
      </c>
      <c r="CW74" s="118">
        <v>1</v>
      </c>
      <c r="CX74" s="118">
        <v>2</v>
      </c>
      <c r="CY74" s="118">
        <v>0</v>
      </c>
      <c r="CZ74" s="118">
        <v>1</v>
      </c>
      <c r="DA74" s="118">
        <v>1</v>
      </c>
      <c r="DB74" s="118">
        <v>0</v>
      </c>
      <c r="DC74" s="118">
        <v>0</v>
      </c>
      <c r="DD74" s="138">
        <v>2</v>
      </c>
      <c r="DE74" s="125" t="s">
        <v>489</v>
      </c>
      <c r="DF74" s="118">
        <v>5</v>
      </c>
      <c r="DG74" s="118">
        <v>1</v>
      </c>
      <c r="DH74" s="118">
        <v>2</v>
      </c>
      <c r="DI74" s="118">
        <v>1</v>
      </c>
      <c r="DJ74" s="118">
        <v>1</v>
      </c>
      <c r="DK74" s="118">
        <v>1</v>
      </c>
      <c r="DL74" s="118">
        <v>0</v>
      </c>
      <c r="DM74" s="118">
        <v>0</v>
      </c>
      <c r="DN74" s="138">
        <v>2</v>
      </c>
      <c r="DO74" s="125" t="s">
        <v>491</v>
      </c>
      <c r="DP74" s="118">
        <v>5</v>
      </c>
      <c r="DQ74" s="118">
        <v>0</v>
      </c>
      <c r="DR74" s="118">
        <v>2</v>
      </c>
      <c r="DS74" s="118">
        <v>0</v>
      </c>
      <c r="DT74" s="118">
        <v>1</v>
      </c>
      <c r="DU74" s="118">
        <v>1</v>
      </c>
      <c r="DV74" s="118">
        <v>0</v>
      </c>
      <c r="DW74" s="118">
        <v>0</v>
      </c>
      <c r="DX74" s="138">
        <v>3</v>
      </c>
      <c r="DY74" s="140">
        <f>7+2/3</f>
        <v>7.666666666666667</v>
      </c>
      <c r="DZ74" s="118">
        <v>0</v>
      </c>
      <c r="EA74" s="118">
        <v>0</v>
      </c>
      <c r="EB74" s="119">
        <f>3+1/3</f>
        <v>3.3333333333333335</v>
      </c>
      <c r="EC74" s="118">
        <v>1</v>
      </c>
      <c r="ED74" s="138">
        <v>1</v>
      </c>
      <c r="EE74" s="125">
        <v>1</v>
      </c>
      <c r="EF74" s="118">
        <v>0</v>
      </c>
      <c r="EG74" s="118">
        <v>1</v>
      </c>
      <c r="EH74" s="118">
        <v>2</v>
      </c>
      <c r="EI74" s="118">
        <v>0</v>
      </c>
      <c r="EJ74" s="118">
        <v>0</v>
      </c>
      <c r="EK74" s="118">
        <v>1</v>
      </c>
      <c r="EL74" s="118">
        <v>1</v>
      </c>
      <c r="EM74" s="118">
        <v>0</v>
      </c>
      <c r="EN74" s="118">
        <v>0</v>
      </c>
      <c r="EO74" s="118">
        <v>0</v>
      </c>
      <c r="EP74" s="118"/>
      <c r="EQ74" s="118"/>
      <c r="ER74" s="118"/>
      <c r="ES74" s="118"/>
      <c r="ET74" s="118"/>
      <c r="EU74" s="118"/>
      <c r="EV74" s="118"/>
      <c r="EW74" s="118"/>
      <c r="EX74" s="138">
        <f t="shared" si="8"/>
        <v>6</v>
      </c>
      <c r="EY74" s="125">
        <v>0</v>
      </c>
      <c r="EZ74" s="118">
        <v>0</v>
      </c>
      <c r="FA74" s="118">
        <v>0</v>
      </c>
      <c r="FB74" s="118">
        <v>5</v>
      </c>
      <c r="FC74" s="118">
        <v>0</v>
      </c>
      <c r="FD74" s="118">
        <v>1</v>
      </c>
      <c r="FE74" s="118">
        <v>0</v>
      </c>
      <c r="FF74" s="118">
        <v>0</v>
      </c>
      <c r="FG74" s="118">
        <v>0</v>
      </c>
      <c r="FH74" s="118">
        <v>0</v>
      </c>
      <c r="FI74" s="118">
        <v>1</v>
      </c>
      <c r="FJ74" s="118"/>
      <c r="FK74" s="118"/>
      <c r="FL74" s="118"/>
      <c r="FM74" s="118"/>
      <c r="FN74" s="118"/>
      <c r="FO74" s="118"/>
      <c r="FP74" s="118"/>
      <c r="FQ74" s="118"/>
      <c r="FR74" s="138">
        <f t="shared" si="9"/>
        <v>7</v>
      </c>
      <c r="FS74" s="166">
        <f t="shared" si="10"/>
        <v>0</v>
      </c>
      <c r="FT74" s="167">
        <f t="shared" si="11"/>
        <v>0</v>
      </c>
      <c r="FU74" s="142"/>
    </row>
    <row r="75" spans="1:177" x14ac:dyDescent="0.25">
      <c r="A75" s="121">
        <v>40355</v>
      </c>
      <c r="B75" s="121" t="s">
        <v>133</v>
      </c>
      <c r="C75" s="121" t="s">
        <v>131</v>
      </c>
      <c r="D75" s="121" t="s">
        <v>495</v>
      </c>
      <c r="E75" s="120">
        <v>1339</v>
      </c>
      <c r="F75" s="124">
        <v>1</v>
      </c>
      <c r="G75" s="118" t="s">
        <v>494</v>
      </c>
      <c r="H75" s="118">
        <v>0</v>
      </c>
      <c r="I75" s="118">
        <v>1</v>
      </c>
      <c r="J75" s="119">
        <f>5+1/3</f>
        <v>5.333333333333333</v>
      </c>
      <c r="K75" s="118">
        <v>9</v>
      </c>
      <c r="L75" s="118">
        <v>5</v>
      </c>
      <c r="M75" s="118">
        <v>5</v>
      </c>
      <c r="N75" s="118">
        <v>3</v>
      </c>
      <c r="O75" s="118">
        <v>4</v>
      </c>
      <c r="P75" s="118">
        <v>0</v>
      </c>
      <c r="Q75" s="118">
        <v>1</v>
      </c>
      <c r="R75" s="118">
        <v>28</v>
      </c>
      <c r="S75" s="118"/>
      <c r="T75" s="118"/>
      <c r="U75" s="118">
        <v>1</v>
      </c>
      <c r="V75" s="138">
        <v>0</v>
      </c>
      <c r="W75" s="125">
        <v>0</v>
      </c>
      <c r="X75" s="118">
        <v>0</v>
      </c>
      <c r="Y75" s="118">
        <v>0</v>
      </c>
      <c r="Z75" s="118">
        <v>0</v>
      </c>
      <c r="AA75" s="118">
        <v>0</v>
      </c>
      <c r="AB75" s="119">
        <f>2+2/3</f>
        <v>2.6666666666666665</v>
      </c>
      <c r="AC75" s="118">
        <v>1</v>
      </c>
      <c r="AD75" s="118">
        <v>0</v>
      </c>
      <c r="AE75" s="118">
        <v>0</v>
      </c>
      <c r="AF75" s="118">
        <v>0</v>
      </c>
      <c r="AG75" s="118">
        <v>2</v>
      </c>
      <c r="AH75" s="118">
        <v>0</v>
      </c>
      <c r="AI75" s="118">
        <v>0</v>
      </c>
      <c r="AJ75" s="118">
        <v>9</v>
      </c>
      <c r="AK75" s="118"/>
      <c r="AL75" s="138"/>
      <c r="AM75" s="125" t="s">
        <v>442</v>
      </c>
      <c r="AN75" s="118">
        <v>3</v>
      </c>
      <c r="AO75" s="118">
        <v>0</v>
      </c>
      <c r="AP75" s="118">
        <v>1</v>
      </c>
      <c r="AQ75" s="118">
        <v>1</v>
      </c>
      <c r="AR75" s="118">
        <v>0</v>
      </c>
      <c r="AS75" s="118">
        <v>0</v>
      </c>
      <c r="AT75" s="118">
        <v>0</v>
      </c>
      <c r="AU75" s="118">
        <v>0</v>
      </c>
      <c r="AV75" s="138">
        <v>1</v>
      </c>
      <c r="AW75" s="125" t="s">
        <v>386</v>
      </c>
      <c r="AX75" s="118">
        <v>4</v>
      </c>
      <c r="AY75" s="118">
        <v>0</v>
      </c>
      <c r="AZ75" s="118">
        <v>1</v>
      </c>
      <c r="BA75" s="118">
        <v>1</v>
      </c>
      <c r="BB75" s="118">
        <v>0</v>
      </c>
      <c r="BC75" s="118">
        <v>2</v>
      </c>
      <c r="BD75" s="118">
        <v>0</v>
      </c>
      <c r="BE75" s="118">
        <v>0</v>
      </c>
      <c r="BF75" s="138">
        <v>1</v>
      </c>
      <c r="BG75" s="125" t="s">
        <v>485</v>
      </c>
      <c r="BH75" s="118">
        <v>4</v>
      </c>
      <c r="BI75" s="118">
        <v>1</v>
      </c>
      <c r="BJ75" s="118">
        <v>1</v>
      </c>
      <c r="BK75" s="118">
        <v>0</v>
      </c>
      <c r="BL75" s="118">
        <v>0</v>
      </c>
      <c r="BM75" s="118">
        <v>1</v>
      </c>
      <c r="BN75" s="118">
        <v>0</v>
      </c>
      <c r="BO75" s="118">
        <v>0</v>
      </c>
      <c r="BP75" s="138">
        <v>1</v>
      </c>
      <c r="BQ75" s="125" t="s">
        <v>484</v>
      </c>
      <c r="BR75" s="118">
        <v>4</v>
      </c>
      <c r="BS75" s="118">
        <v>1</v>
      </c>
      <c r="BT75" s="118">
        <v>1</v>
      </c>
      <c r="BU75" s="118">
        <v>1</v>
      </c>
      <c r="BV75" s="118">
        <v>0</v>
      </c>
      <c r="BW75" s="118">
        <v>1</v>
      </c>
      <c r="BX75" s="118">
        <v>0</v>
      </c>
      <c r="BY75" s="118">
        <v>0</v>
      </c>
      <c r="BZ75" s="138">
        <v>2</v>
      </c>
      <c r="CA75" s="125" t="s">
        <v>367</v>
      </c>
      <c r="CB75" s="118">
        <v>4</v>
      </c>
      <c r="CC75" s="118">
        <v>0</v>
      </c>
      <c r="CD75" s="118">
        <v>2</v>
      </c>
      <c r="CE75" s="118">
        <v>1</v>
      </c>
      <c r="CF75" s="118">
        <v>0</v>
      </c>
      <c r="CG75" s="118">
        <v>0</v>
      </c>
      <c r="CH75" s="118">
        <v>0</v>
      </c>
      <c r="CI75" s="118">
        <v>0</v>
      </c>
      <c r="CJ75" s="138">
        <v>3</v>
      </c>
      <c r="CK75" s="125" t="s">
        <v>489</v>
      </c>
      <c r="CL75" s="118">
        <v>4</v>
      </c>
      <c r="CM75" s="118">
        <v>0</v>
      </c>
      <c r="CN75" s="118">
        <v>0</v>
      </c>
      <c r="CO75" s="118">
        <v>0</v>
      </c>
      <c r="CP75" s="118">
        <v>0</v>
      </c>
      <c r="CQ75" s="118">
        <v>0</v>
      </c>
      <c r="CR75" s="118">
        <v>0</v>
      </c>
      <c r="CS75" s="118">
        <v>0</v>
      </c>
      <c r="CT75" s="138">
        <v>0</v>
      </c>
      <c r="CU75" s="125" t="s">
        <v>481</v>
      </c>
      <c r="CV75" s="118">
        <v>4</v>
      </c>
      <c r="CW75" s="118">
        <v>0</v>
      </c>
      <c r="CX75" s="118">
        <v>0</v>
      </c>
      <c r="CY75" s="118">
        <v>0</v>
      </c>
      <c r="CZ75" s="118">
        <v>0</v>
      </c>
      <c r="DA75" s="118">
        <v>0</v>
      </c>
      <c r="DB75" s="118">
        <v>0</v>
      </c>
      <c r="DC75" s="118">
        <v>0</v>
      </c>
      <c r="DD75" s="138">
        <v>0</v>
      </c>
      <c r="DE75" s="125" t="s">
        <v>480</v>
      </c>
      <c r="DF75" s="118">
        <v>4</v>
      </c>
      <c r="DG75" s="118">
        <v>0</v>
      </c>
      <c r="DH75" s="118">
        <v>1</v>
      </c>
      <c r="DI75" s="118">
        <v>0</v>
      </c>
      <c r="DJ75" s="118">
        <v>0</v>
      </c>
      <c r="DK75" s="118">
        <v>1</v>
      </c>
      <c r="DL75" s="118">
        <v>0</v>
      </c>
      <c r="DM75" s="118">
        <v>0</v>
      </c>
      <c r="DN75" s="138">
        <v>1</v>
      </c>
      <c r="DO75" s="125" t="s">
        <v>486</v>
      </c>
      <c r="DP75" s="118">
        <v>3</v>
      </c>
      <c r="DQ75" s="118">
        <v>2</v>
      </c>
      <c r="DR75" s="118">
        <v>1</v>
      </c>
      <c r="DS75" s="118">
        <v>0</v>
      </c>
      <c r="DT75" s="118">
        <v>0</v>
      </c>
      <c r="DU75" s="118">
        <v>0</v>
      </c>
      <c r="DV75" s="118">
        <v>0</v>
      </c>
      <c r="DW75" s="118">
        <v>0</v>
      </c>
      <c r="DX75" s="138">
        <v>1</v>
      </c>
      <c r="DY75" s="140">
        <v>0</v>
      </c>
      <c r="DZ75" s="118">
        <v>0</v>
      </c>
      <c r="EA75" s="118">
        <v>0</v>
      </c>
      <c r="EB75" s="119">
        <v>9</v>
      </c>
      <c r="EC75" s="118">
        <v>1</v>
      </c>
      <c r="ED75" s="138">
        <v>0</v>
      </c>
      <c r="EE75" s="125">
        <v>0</v>
      </c>
      <c r="EF75" s="118">
        <v>0</v>
      </c>
      <c r="EG75" s="118">
        <v>0</v>
      </c>
      <c r="EH75" s="118">
        <v>2</v>
      </c>
      <c r="EI75" s="118">
        <v>1</v>
      </c>
      <c r="EJ75" s="118">
        <v>0</v>
      </c>
      <c r="EK75" s="118">
        <v>0</v>
      </c>
      <c r="EL75" s="118">
        <v>1</v>
      </c>
      <c r="EM75" s="118">
        <v>0</v>
      </c>
      <c r="EN75" s="118"/>
      <c r="EO75" s="118"/>
      <c r="EP75" s="118"/>
      <c r="EQ75" s="118"/>
      <c r="ER75" s="118"/>
      <c r="ES75" s="118"/>
      <c r="ET75" s="118"/>
      <c r="EU75" s="118"/>
      <c r="EV75" s="118"/>
      <c r="EW75" s="118"/>
      <c r="EX75" s="138">
        <f t="shared" si="8"/>
        <v>4</v>
      </c>
      <c r="EY75" s="125">
        <v>0</v>
      </c>
      <c r="EZ75" s="118">
        <v>0</v>
      </c>
      <c r="FA75" s="118">
        <v>0</v>
      </c>
      <c r="FB75" s="118">
        <v>0</v>
      </c>
      <c r="FC75" s="118">
        <v>0</v>
      </c>
      <c r="FD75" s="118">
        <v>5</v>
      </c>
      <c r="FE75" s="118">
        <v>0</v>
      </c>
      <c r="FF75" s="118">
        <v>0</v>
      </c>
      <c r="FG75" s="118"/>
      <c r="FH75" s="118"/>
      <c r="FI75" s="118"/>
      <c r="FJ75" s="118"/>
      <c r="FK75" s="118"/>
      <c r="FL75" s="118"/>
      <c r="FM75" s="118"/>
      <c r="FN75" s="118"/>
      <c r="FO75" s="118"/>
      <c r="FP75" s="118"/>
      <c r="FQ75" s="118"/>
      <c r="FR75" s="138">
        <f t="shared" si="9"/>
        <v>5</v>
      </c>
      <c r="FS75" s="166">
        <f t="shared" si="10"/>
        <v>0</v>
      </c>
      <c r="FT75" s="167">
        <f t="shared" si="11"/>
        <v>0</v>
      </c>
      <c r="FU75" s="142"/>
    </row>
    <row r="76" spans="1:177" x14ac:dyDescent="0.25">
      <c r="A76" s="121">
        <v>40356</v>
      </c>
      <c r="B76" s="121" t="s">
        <v>19</v>
      </c>
      <c r="C76" s="121" t="s">
        <v>131</v>
      </c>
      <c r="D76" s="121" t="s">
        <v>488</v>
      </c>
      <c r="E76" s="120">
        <v>1714</v>
      </c>
      <c r="F76" s="124">
        <v>2</v>
      </c>
      <c r="G76" s="118" t="s">
        <v>493</v>
      </c>
      <c r="H76" s="118">
        <v>0</v>
      </c>
      <c r="I76" s="118">
        <v>1</v>
      </c>
      <c r="J76" s="119">
        <v>6</v>
      </c>
      <c r="K76" s="118">
        <v>5</v>
      </c>
      <c r="L76" s="118">
        <v>2</v>
      </c>
      <c r="M76" s="118">
        <v>2</v>
      </c>
      <c r="N76" s="118">
        <v>2</v>
      </c>
      <c r="O76" s="118">
        <v>11</v>
      </c>
      <c r="P76" s="118">
        <v>0</v>
      </c>
      <c r="Q76" s="118">
        <v>1</v>
      </c>
      <c r="R76" s="118">
        <v>25</v>
      </c>
      <c r="S76" s="118"/>
      <c r="T76" s="118"/>
      <c r="U76" s="118">
        <v>0</v>
      </c>
      <c r="V76" s="138">
        <v>0</v>
      </c>
      <c r="W76" s="125">
        <v>0</v>
      </c>
      <c r="X76" s="118">
        <v>0</v>
      </c>
      <c r="Y76" s="118">
        <v>0</v>
      </c>
      <c r="Z76" s="118">
        <v>0</v>
      </c>
      <c r="AA76" s="118">
        <v>0</v>
      </c>
      <c r="AB76" s="119">
        <v>3</v>
      </c>
      <c r="AC76" s="118">
        <v>1</v>
      </c>
      <c r="AD76" s="118">
        <v>1</v>
      </c>
      <c r="AE76" s="118">
        <v>1</v>
      </c>
      <c r="AF76" s="118">
        <v>1</v>
      </c>
      <c r="AG76" s="118">
        <v>3</v>
      </c>
      <c r="AH76" s="118">
        <v>0</v>
      </c>
      <c r="AI76" s="118">
        <v>1</v>
      </c>
      <c r="AJ76" s="118">
        <v>12</v>
      </c>
      <c r="AK76" s="118"/>
      <c r="AL76" s="138"/>
      <c r="AM76" s="125" t="s">
        <v>442</v>
      </c>
      <c r="AN76" s="118">
        <v>4</v>
      </c>
      <c r="AO76" s="118">
        <v>0</v>
      </c>
      <c r="AP76" s="118">
        <v>0</v>
      </c>
      <c r="AQ76" s="118">
        <v>0</v>
      </c>
      <c r="AR76" s="118">
        <v>0</v>
      </c>
      <c r="AS76" s="118">
        <v>1</v>
      </c>
      <c r="AT76" s="118">
        <v>0</v>
      </c>
      <c r="AU76" s="118">
        <v>0</v>
      </c>
      <c r="AV76" s="138">
        <v>0</v>
      </c>
      <c r="AW76" s="125" t="s">
        <v>386</v>
      </c>
      <c r="AX76" s="118">
        <v>3</v>
      </c>
      <c r="AY76" s="118">
        <v>0</v>
      </c>
      <c r="AZ76" s="118">
        <v>0</v>
      </c>
      <c r="BA76" s="118">
        <v>0</v>
      </c>
      <c r="BB76" s="118">
        <v>0</v>
      </c>
      <c r="BC76" s="118">
        <v>1</v>
      </c>
      <c r="BD76" s="118">
        <v>0</v>
      </c>
      <c r="BE76" s="118">
        <v>0</v>
      </c>
      <c r="BF76" s="138">
        <v>0</v>
      </c>
      <c r="BG76" s="125" t="s">
        <v>485</v>
      </c>
      <c r="BH76" s="118">
        <v>3</v>
      </c>
      <c r="BI76" s="118">
        <v>0</v>
      </c>
      <c r="BJ76" s="118">
        <v>0</v>
      </c>
      <c r="BK76" s="118">
        <v>0</v>
      </c>
      <c r="BL76" s="118">
        <v>0</v>
      </c>
      <c r="BM76" s="118">
        <v>1</v>
      </c>
      <c r="BN76" s="118">
        <v>0</v>
      </c>
      <c r="BO76" s="118">
        <v>0</v>
      </c>
      <c r="BP76" s="138">
        <v>0</v>
      </c>
      <c r="BQ76" s="125" t="s">
        <v>484</v>
      </c>
      <c r="BR76" s="118">
        <v>3</v>
      </c>
      <c r="BS76" s="118">
        <v>0</v>
      </c>
      <c r="BT76" s="118">
        <v>1</v>
      </c>
      <c r="BU76" s="118">
        <v>0</v>
      </c>
      <c r="BV76" s="118">
        <v>0</v>
      </c>
      <c r="BW76" s="118">
        <v>0</v>
      </c>
      <c r="BX76" s="118">
        <v>0</v>
      </c>
      <c r="BY76" s="118">
        <v>0</v>
      </c>
      <c r="BZ76" s="138">
        <v>1</v>
      </c>
      <c r="CA76" s="125" t="s">
        <v>367</v>
      </c>
      <c r="CB76" s="118">
        <v>3</v>
      </c>
      <c r="CC76" s="118">
        <v>0</v>
      </c>
      <c r="CD76" s="118">
        <v>0</v>
      </c>
      <c r="CE76" s="118">
        <v>0</v>
      </c>
      <c r="CF76" s="118">
        <v>0</v>
      </c>
      <c r="CG76" s="118">
        <v>1</v>
      </c>
      <c r="CH76" s="118">
        <v>0</v>
      </c>
      <c r="CI76" s="118">
        <v>0</v>
      </c>
      <c r="CJ76" s="138">
        <v>0</v>
      </c>
      <c r="CK76" s="125" t="s">
        <v>482</v>
      </c>
      <c r="CL76" s="118">
        <v>3</v>
      </c>
      <c r="CM76" s="118">
        <v>0</v>
      </c>
      <c r="CN76" s="118">
        <v>0</v>
      </c>
      <c r="CO76" s="118">
        <v>0</v>
      </c>
      <c r="CP76" s="118">
        <v>0</v>
      </c>
      <c r="CQ76" s="118">
        <v>1</v>
      </c>
      <c r="CR76" s="118">
        <v>0</v>
      </c>
      <c r="CS76" s="118">
        <v>0</v>
      </c>
      <c r="CT76" s="138">
        <v>2</v>
      </c>
      <c r="CU76" s="125" t="s">
        <v>489</v>
      </c>
      <c r="CV76" s="118">
        <v>3</v>
      </c>
      <c r="CW76" s="118">
        <v>0</v>
      </c>
      <c r="CX76" s="118">
        <v>0</v>
      </c>
      <c r="CY76" s="118">
        <v>0</v>
      </c>
      <c r="CZ76" s="118">
        <v>0</v>
      </c>
      <c r="DA76" s="118">
        <v>0</v>
      </c>
      <c r="DB76" s="118">
        <v>0</v>
      </c>
      <c r="DC76" s="118">
        <v>0</v>
      </c>
      <c r="DD76" s="138">
        <v>0</v>
      </c>
      <c r="DE76" s="125" t="s">
        <v>481</v>
      </c>
      <c r="DF76" s="118">
        <v>3</v>
      </c>
      <c r="DG76" s="118">
        <v>0</v>
      </c>
      <c r="DH76" s="118">
        <v>0</v>
      </c>
      <c r="DI76" s="118">
        <v>0</v>
      </c>
      <c r="DJ76" s="118">
        <v>0</v>
      </c>
      <c r="DK76" s="118">
        <v>0</v>
      </c>
      <c r="DL76" s="118">
        <v>0</v>
      </c>
      <c r="DM76" s="118">
        <v>0</v>
      </c>
      <c r="DN76" s="138">
        <v>0</v>
      </c>
      <c r="DO76" s="125" t="s">
        <v>479</v>
      </c>
      <c r="DP76" s="118">
        <v>3</v>
      </c>
      <c r="DQ76" s="118">
        <v>0</v>
      </c>
      <c r="DR76" s="118">
        <v>0</v>
      </c>
      <c r="DS76" s="118">
        <v>0</v>
      </c>
      <c r="DT76" s="118">
        <v>0</v>
      </c>
      <c r="DU76" s="118">
        <v>2</v>
      </c>
      <c r="DV76" s="118">
        <v>0</v>
      </c>
      <c r="DW76" s="118">
        <v>0</v>
      </c>
      <c r="DX76" s="138">
        <v>0</v>
      </c>
      <c r="DY76" s="140">
        <v>0</v>
      </c>
      <c r="DZ76" s="118">
        <v>0</v>
      </c>
      <c r="EA76" s="118">
        <v>0</v>
      </c>
      <c r="EB76" s="119">
        <v>9</v>
      </c>
      <c r="EC76" s="118">
        <v>0</v>
      </c>
      <c r="ED76" s="138">
        <v>0</v>
      </c>
      <c r="EE76" s="125">
        <v>0</v>
      </c>
      <c r="EF76" s="118">
        <v>0</v>
      </c>
      <c r="EG76" s="118">
        <v>0</v>
      </c>
      <c r="EH76" s="118">
        <v>0</v>
      </c>
      <c r="EI76" s="118">
        <v>0</v>
      </c>
      <c r="EJ76" s="118">
        <v>0</v>
      </c>
      <c r="EK76" s="118">
        <v>0</v>
      </c>
      <c r="EL76" s="118">
        <v>0</v>
      </c>
      <c r="EM76" s="118">
        <v>0</v>
      </c>
      <c r="EN76" s="118"/>
      <c r="EO76" s="118"/>
      <c r="EP76" s="118"/>
      <c r="EQ76" s="118"/>
      <c r="ER76" s="118"/>
      <c r="ES76" s="118"/>
      <c r="ET76" s="118"/>
      <c r="EU76" s="118"/>
      <c r="EV76" s="118"/>
      <c r="EW76" s="118"/>
      <c r="EX76" s="138">
        <f t="shared" si="8"/>
        <v>0</v>
      </c>
      <c r="EY76" s="125">
        <v>1</v>
      </c>
      <c r="EZ76" s="118">
        <v>0</v>
      </c>
      <c r="FA76" s="118">
        <v>0</v>
      </c>
      <c r="FB76" s="118">
        <v>0</v>
      </c>
      <c r="FC76" s="118">
        <v>1</v>
      </c>
      <c r="FD76" s="118">
        <v>0</v>
      </c>
      <c r="FE76" s="118">
        <v>0</v>
      </c>
      <c r="FF76" s="118">
        <v>0</v>
      </c>
      <c r="FG76" s="118">
        <v>1</v>
      </c>
      <c r="FH76" s="118"/>
      <c r="FI76" s="118"/>
      <c r="FJ76" s="118"/>
      <c r="FK76" s="118"/>
      <c r="FL76" s="118"/>
      <c r="FM76" s="118"/>
      <c r="FN76" s="118"/>
      <c r="FO76" s="118"/>
      <c r="FP76" s="118"/>
      <c r="FQ76" s="118"/>
      <c r="FR76" s="138">
        <f t="shared" si="9"/>
        <v>3</v>
      </c>
      <c r="FS76" s="166">
        <f t="shared" si="10"/>
        <v>0</v>
      </c>
      <c r="FT76" s="167">
        <f t="shared" si="11"/>
        <v>0</v>
      </c>
      <c r="FU76" s="142"/>
    </row>
    <row r="77" spans="1:177" x14ac:dyDescent="0.25">
      <c r="A77" s="121">
        <v>40357</v>
      </c>
      <c r="B77" s="121" t="s">
        <v>19</v>
      </c>
      <c r="C77" s="121" t="s">
        <v>131</v>
      </c>
      <c r="D77" s="121" t="s">
        <v>488</v>
      </c>
      <c r="E77" s="120">
        <v>1408</v>
      </c>
      <c r="F77" s="124">
        <v>3</v>
      </c>
      <c r="G77" s="118" t="s">
        <v>492</v>
      </c>
      <c r="H77" s="118">
        <v>0</v>
      </c>
      <c r="I77" s="118">
        <v>1</v>
      </c>
      <c r="J77" s="119">
        <v>5</v>
      </c>
      <c r="K77" s="118">
        <v>5</v>
      </c>
      <c r="L77" s="118">
        <v>3</v>
      </c>
      <c r="M77" s="118">
        <v>3</v>
      </c>
      <c r="N77" s="118">
        <v>3</v>
      </c>
      <c r="O77" s="118">
        <v>3</v>
      </c>
      <c r="P77" s="118">
        <v>0</v>
      </c>
      <c r="Q77" s="118">
        <v>0</v>
      </c>
      <c r="R77" s="118">
        <v>23</v>
      </c>
      <c r="S77" s="118"/>
      <c r="T77" s="118"/>
      <c r="U77" s="118">
        <v>0</v>
      </c>
      <c r="V77" s="138">
        <v>0</v>
      </c>
      <c r="W77" s="125">
        <v>0</v>
      </c>
      <c r="X77" s="118">
        <v>0</v>
      </c>
      <c r="Y77" s="118">
        <v>0</v>
      </c>
      <c r="Z77" s="118">
        <v>0</v>
      </c>
      <c r="AA77" s="118">
        <v>0</v>
      </c>
      <c r="AB77" s="119">
        <v>4</v>
      </c>
      <c r="AC77" s="118">
        <v>2</v>
      </c>
      <c r="AD77" s="118">
        <v>3</v>
      </c>
      <c r="AE77" s="118">
        <v>3</v>
      </c>
      <c r="AF77" s="118">
        <v>3</v>
      </c>
      <c r="AG77" s="118">
        <v>5</v>
      </c>
      <c r="AH77" s="118">
        <v>0</v>
      </c>
      <c r="AI77" s="118">
        <v>1</v>
      </c>
      <c r="AJ77" s="118">
        <v>17</v>
      </c>
      <c r="AK77" s="118"/>
      <c r="AL77" s="138"/>
      <c r="AM77" s="125" t="s">
        <v>442</v>
      </c>
      <c r="AN77" s="118">
        <v>2</v>
      </c>
      <c r="AO77" s="118">
        <v>0</v>
      </c>
      <c r="AP77" s="118">
        <v>0</v>
      </c>
      <c r="AQ77" s="118">
        <v>0</v>
      </c>
      <c r="AR77" s="118">
        <v>1</v>
      </c>
      <c r="AS77" s="118">
        <v>0</v>
      </c>
      <c r="AT77" s="118">
        <v>0</v>
      </c>
      <c r="AU77" s="118">
        <v>0</v>
      </c>
      <c r="AV77" s="138">
        <v>0</v>
      </c>
      <c r="AW77" s="125" t="s">
        <v>386</v>
      </c>
      <c r="AX77" s="118">
        <v>4</v>
      </c>
      <c r="AY77" s="118">
        <v>0</v>
      </c>
      <c r="AZ77" s="118">
        <v>0</v>
      </c>
      <c r="BA77" s="118">
        <v>0</v>
      </c>
      <c r="BB77" s="118">
        <v>0</v>
      </c>
      <c r="BC77" s="118">
        <v>0</v>
      </c>
      <c r="BD77" s="118">
        <v>0</v>
      </c>
      <c r="BE77" s="118">
        <v>0</v>
      </c>
      <c r="BF77" s="138">
        <v>0</v>
      </c>
      <c r="BG77" s="125" t="s">
        <v>485</v>
      </c>
      <c r="BH77" s="118">
        <v>4</v>
      </c>
      <c r="BI77" s="118">
        <v>0</v>
      </c>
      <c r="BJ77" s="118">
        <v>0</v>
      </c>
      <c r="BK77" s="118">
        <v>0</v>
      </c>
      <c r="BL77" s="118">
        <v>0</v>
      </c>
      <c r="BM77" s="118">
        <v>1</v>
      </c>
      <c r="BN77" s="118">
        <v>0</v>
      </c>
      <c r="BO77" s="118">
        <v>0</v>
      </c>
      <c r="BP77" s="138">
        <v>0</v>
      </c>
      <c r="BQ77" s="125" t="s">
        <v>483</v>
      </c>
      <c r="BR77" s="118">
        <v>4</v>
      </c>
      <c r="BS77" s="118">
        <v>0</v>
      </c>
      <c r="BT77" s="118">
        <v>0</v>
      </c>
      <c r="BU77" s="118">
        <v>0</v>
      </c>
      <c r="BV77" s="118">
        <v>0</v>
      </c>
      <c r="BW77" s="118">
        <v>0</v>
      </c>
      <c r="BX77" s="118">
        <v>0</v>
      </c>
      <c r="BY77" s="118">
        <v>0</v>
      </c>
      <c r="BZ77" s="138">
        <v>0</v>
      </c>
      <c r="CA77" s="125" t="s">
        <v>481</v>
      </c>
      <c r="CB77" s="118">
        <v>3</v>
      </c>
      <c r="CC77" s="118">
        <v>0</v>
      </c>
      <c r="CD77" s="118">
        <v>0</v>
      </c>
      <c r="CE77" s="118">
        <v>0</v>
      </c>
      <c r="CF77" s="118">
        <v>0</v>
      </c>
      <c r="CG77" s="118">
        <v>1</v>
      </c>
      <c r="CH77" s="118">
        <v>0</v>
      </c>
      <c r="CI77" s="118">
        <v>0</v>
      </c>
      <c r="CJ77" s="138">
        <v>0</v>
      </c>
      <c r="CK77" s="125" t="s">
        <v>367</v>
      </c>
      <c r="CL77" s="118">
        <v>3</v>
      </c>
      <c r="CM77" s="118">
        <v>1</v>
      </c>
      <c r="CN77" s="118">
        <v>0</v>
      </c>
      <c r="CO77" s="118">
        <v>0</v>
      </c>
      <c r="CP77" s="118">
        <v>0</v>
      </c>
      <c r="CQ77" s="118">
        <v>1</v>
      </c>
      <c r="CR77" s="118">
        <v>0</v>
      </c>
      <c r="CS77" s="118">
        <v>0</v>
      </c>
      <c r="CT77" s="138">
        <v>0</v>
      </c>
      <c r="CU77" s="125" t="s">
        <v>489</v>
      </c>
      <c r="CV77" s="118">
        <v>4</v>
      </c>
      <c r="CW77" s="118">
        <v>0</v>
      </c>
      <c r="CX77" s="118">
        <v>0</v>
      </c>
      <c r="CY77" s="118">
        <v>0</v>
      </c>
      <c r="CZ77" s="118">
        <v>0</v>
      </c>
      <c r="DA77" s="118">
        <v>0</v>
      </c>
      <c r="DB77" s="118">
        <v>0</v>
      </c>
      <c r="DC77" s="118">
        <v>0</v>
      </c>
      <c r="DD77" s="138">
        <v>0</v>
      </c>
      <c r="DE77" s="125" t="s">
        <v>491</v>
      </c>
      <c r="DF77" s="118">
        <v>4</v>
      </c>
      <c r="DG77" s="118">
        <v>0</v>
      </c>
      <c r="DH77" s="118">
        <v>2</v>
      </c>
      <c r="DI77" s="118">
        <v>1</v>
      </c>
      <c r="DJ77" s="118">
        <v>0</v>
      </c>
      <c r="DK77" s="118">
        <v>0</v>
      </c>
      <c r="DL77" s="118">
        <v>0</v>
      </c>
      <c r="DM77" s="118">
        <v>0</v>
      </c>
      <c r="DN77" s="138">
        <v>2</v>
      </c>
      <c r="DO77" s="125" t="s">
        <v>486</v>
      </c>
      <c r="DP77" s="118">
        <v>1</v>
      </c>
      <c r="DQ77" s="118">
        <v>0</v>
      </c>
      <c r="DR77" s="118">
        <v>0</v>
      </c>
      <c r="DS77" s="118">
        <v>0</v>
      </c>
      <c r="DT77" s="118">
        <v>2</v>
      </c>
      <c r="DU77" s="118">
        <v>0</v>
      </c>
      <c r="DV77" s="118">
        <v>0</v>
      </c>
      <c r="DW77" s="118">
        <v>0</v>
      </c>
      <c r="DX77" s="138">
        <v>0</v>
      </c>
      <c r="DY77" s="140">
        <v>0</v>
      </c>
      <c r="DZ77" s="118">
        <v>0</v>
      </c>
      <c r="EA77" s="118">
        <v>0</v>
      </c>
      <c r="EB77" s="119">
        <v>9</v>
      </c>
      <c r="EC77" s="118">
        <v>0</v>
      </c>
      <c r="ED77" s="138">
        <v>0</v>
      </c>
      <c r="EE77" s="125">
        <v>0</v>
      </c>
      <c r="EF77" s="118">
        <v>0</v>
      </c>
      <c r="EG77" s="118">
        <v>0</v>
      </c>
      <c r="EH77" s="118">
        <v>0</v>
      </c>
      <c r="EI77" s="118">
        <v>0</v>
      </c>
      <c r="EJ77" s="118">
        <v>0</v>
      </c>
      <c r="EK77" s="118">
        <v>1</v>
      </c>
      <c r="EL77" s="118">
        <v>0</v>
      </c>
      <c r="EM77" s="118">
        <v>0</v>
      </c>
      <c r="EN77" s="118"/>
      <c r="EO77" s="118"/>
      <c r="EP77" s="118"/>
      <c r="EQ77" s="118"/>
      <c r="ER77" s="118"/>
      <c r="ES77" s="118"/>
      <c r="ET77" s="118"/>
      <c r="EU77" s="118"/>
      <c r="EV77" s="118"/>
      <c r="EW77" s="118"/>
      <c r="EX77" s="138">
        <f t="shared" si="8"/>
        <v>1</v>
      </c>
      <c r="EY77" s="125">
        <v>1</v>
      </c>
      <c r="EZ77" s="118">
        <v>0</v>
      </c>
      <c r="FA77" s="118">
        <v>0</v>
      </c>
      <c r="FB77" s="118">
        <v>0</v>
      </c>
      <c r="FC77" s="118">
        <v>2</v>
      </c>
      <c r="FD77" s="118">
        <v>0</v>
      </c>
      <c r="FE77" s="118">
        <v>3</v>
      </c>
      <c r="FF77" s="118">
        <v>0</v>
      </c>
      <c r="FG77" s="118">
        <v>0</v>
      </c>
      <c r="FH77" s="118"/>
      <c r="FI77" s="118"/>
      <c r="FJ77" s="118"/>
      <c r="FK77" s="118"/>
      <c r="FL77" s="118"/>
      <c r="FM77" s="118"/>
      <c r="FN77" s="118"/>
      <c r="FO77" s="118"/>
      <c r="FP77" s="118"/>
      <c r="FQ77" s="118"/>
      <c r="FR77" s="138">
        <f t="shared" si="9"/>
        <v>6</v>
      </c>
      <c r="FS77" s="166">
        <f t="shared" si="10"/>
        <v>0</v>
      </c>
      <c r="FT77" s="167">
        <f t="shared" si="11"/>
        <v>0</v>
      </c>
      <c r="FU77" s="142"/>
    </row>
    <row r="78" spans="1:177" x14ac:dyDescent="0.25">
      <c r="A78" s="121">
        <v>40358</v>
      </c>
      <c r="B78" s="121" t="s">
        <v>133</v>
      </c>
      <c r="C78" s="121" t="s">
        <v>129</v>
      </c>
      <c r="D78" s="121" t="s">
        <v>488</v>
      </c>
      <c r="E78" s="120">
        <v>855</v>
      </c>
      <c r="F78" s="124">
        <v>4</v>
      </c>
      <c r="G78" s="118" t="s">
        <v>490</v>
      </c>
      <c r="H78" s="118">
        <v>1</v>
      </c>
      <c r="I78" s="118">
        <v>0</v>
      </c>
      <c r="J78" s="119">
        <v>7</v>
      </c>
      <c r="K78" s="118">
        <v>5</v>
      </c>
      <c r="L78" s="118">
        <v>0</v>
      </c>
      <c r="M78" s="118">
        <v>0</v>
      </c>
      <c r="N78" s="118">
        <v>3</v>
      </c>
      <c r="O78" s="118">
        <v>7</v>
      </c>
      <c r="P78" s="118">
        <v>0</v>
      </c>
      <c r="Q78" s="118">
        <v>0</v>
      </c>
      <c r="R78" s="118">
        <v>27</v>
      </c>
      <c r="S78" s="118"/>
      <c r="T78" s="118"/>
      <c r="U78" s="118">
        <v>0</v>
      </c>
      <c r="V78" s="138">
        <v>0</v>
      </c>
      <c r="W78" s="125">
        <v>0</v>
      </c>
      <c r="X78" s="118">
        <v>0</v>
      </c>
      <c r="Y78" s="118">
        <v>0</v>
      </c>
      <c r="Z78" s="118">
        <v>0</v>
      </c>
      <c r="AA78" s="118">
        <v>0</v>
      </c>
      <c r="AB78" s="119">
        <v>2</v>
      </c>
      <c r="AC78" s="118">
        <v>0</v>
      </c>
      <c r="AD78" s="118">
        <v>0</v>
      </c>
      <c r="AE78" s="118">
        <v>0</v>
      </c>
      <c r="AF78" s="118">
        <v>1</v>
      </c>
      <c r="AG78" s="118">
        <v>1</v>
      </c>
      <c r="AH78" s="118">
        <v>0</v>
      </c>
      <c r="AI78" s="118">
        <v>0</v>
      </c>
      <c r="AJ78" s="118">
        <v>7</v>
      </c>
      <c r="AK78" s="118"/>
      <c r="AL78" s="138"/>
      <c r="AM78" s="125" t="s">
        <v>442</v>
      </c>
      <c r="AN78" s="118">
        <v>5</v>
      </c>
      <c r="AO78" s="118">
        <v>3</v>
      </c>
      <c r="AP78" s="118">
        <v>4</v>
      </c>
      <c r="AQ78" s="118">
        <v>0</v>
      </c>
      <c r="AR78" s="118">
        <v>0</v>
      </c>
      <c r="AS78" s="118">
        <v>0</v>
      </c>
      <c r="AT78" s="118">
        <v>0</v>
      </c>
      <c r="AU78" s="118">
        <v>0</v>
      </c>
      <c r="AV78" s="138">
        <v>9</v>
      </c>
      <c r="AW78" s="125" t="s">
        <v>485</v>
      </c>
      <c r="AX78" s="118">
        <v>4</v>
      </c>
      <c r="AY78" s="118">
        <v>0</v>
      </c>
      <c r="AZ78" s="118">
        <v>2</v>
      </c>
      <c r="BA78" s="118">
        <v>2</v>
      </c>
      <c r="BB78" s="118">
        <v>1</v>
      </c>
      <c r="BC78" s="118">
        <v>1</v>
      </c>
      <c r="BD78" s="118">
        <v>0</v>
      </c>
      <c r="BE78" s="118">
        <v>0</v>
      </c>
      <c r="BF78" s="138">
        <v>2</v>
      </c>
      <c r="BG78" s="125" t="s">
        <v>484</v>
      </c>
      <c r="BH78" s="118">
        <v>5</v>
      </c>
      <c r="BI78" s="118">
        <v>1</v>
      </c>
      <c r="BJ78" s="118">
        <v>1</v>
      </c>
      <c r="BK78" s="118">
        <v>1</v>
      </c>
      <c r="BL78" s="118">
        <v>0</v>
      </c>
      <c r="BM78" s="118">
        <v>1</v>
      </c>
      <c r="BN78" s="118">
        <v>0</v>
      </c>
      <c r="BO78" s="118">
        <v>0</v>
      </c>
      <c r="BP78" s="138">
        <v>1</v>
      </c>
      <c r="BQ78" s="125" t="s">
        <v>483</v>
      </c>
      <c r="BR78" s="118">
        <v>5</v>
      </c>
      <c r="BS78" s="118">
        <v>1</v>
      </c>
      <c r="BT78" s="118">
        <v>1</v>
      </c>
      <c r="BU78" s="118">
        <v>0</v>
      </c>
      <c r="BV78" s="118">
        <v>0</v>
      </c>
      <c r="BW78" s="118">
        <v>2</v>
      </c>
      <c r="BX78" s="118">
        <v>0</v>
      </c>
      <c r="BY78" s="118">
        <v>0</v>
      </c>
      <c r="BZ78" s="138">
        <v>1</v>
      </c>
      <c r="CA78" s="125" t="s">
        <v>482</v>
      </c>
      <c r="CB78" s="118">
        <v>4</v>
      </c>
      <c r="CC78" s="118">
        <v>0</v>
      </c>
      <c r="CD78" s="118">
        <v>1</v>
      </c>
      <c r="CE78" s="118">
        <v>2</v>
      </c>
      <c r="CF78" s="118">
        <v>0</v>
      </c>
      <c r="CG78" s="118">
        <v>1</v>
      </c>
      <c r="CH78" s="118">
        <v>1</v>
      </c>
      <c r="CI78" s="118">
        <v>0</v>
      </c>
      <c r="CJ78" s="138">
        <v>3</v>
      </c>
      <c r="CK78" s="125" t="s">
        <v>367</v>
      </c>
      <c r="CL78" s="118">
        <v>5</v>
      </c>
      <c r="CM78" s="118">
        <v>0</v>
      </c>
      <c r="CN78" s="118">
        <v>3</v>
      </c>
      <c r="CO78" s="118">
        <v>0</v>
      </c>
      <c r="CP78" s="118">
        <v>0</v>
      </c>
      <c r="CQ78" s="118">
        <v>0</v>
      </c>
      <c r="CR78" s="118">
        <v>0</v>
      </c>
      <c r="CS78" s="118">
        <v>0</v>
      </c>
      <c r="CT78" s="138">
        <v>3</v>
      </c>
      <c r="CU78" s="125" t="s">
        <v>489</v>
      </c>
      <c r="CV78" s="118">
        <v>5</v>
      </c>
      <c r="CW78" s="118">
        <v>0</v>
      </c>
      <c r="CX78" s="118">
        <v>0</v>
      </c>
      <c r="CY78" s="118">
        <v>0</v>
      </c>
      <c r="CZ78" s="118">
        <v>0</v>
      </c>
      <c r="DA78" s="118">
        <v>1</v>
      </c>
      <c r="DB78" s="118">
        <v>0</v>
      </c>
      <c r="DC78" s="118">
        <v>0</v>
      </c>
      <c r="DD78" s="138">
        <v>0</v>
      </c>
      <c r="DE78" s="125" t="s">
        <v>480</v>
      </c>
      <c r="DF78" s="118">
        <v>3</v>
      </c>
      <c r="DG78" s="118">
        <v>1</v>
      </c>
      <c r="DH78" s="118">
        <v>1</v>
      </c>
      <c r="DI78" s="118">
        <v>0</v>
      </c>
      <c r="DJ78" s="118">
        <v>1</v>
      </c>
      <c r="DK78" s="118">
        <v>0</v>
      </c>
      <c r="DL78" s="118">
        <v>0</v>
      </c>
      <c r="DM78" s="118">
        <v>0</v>
      </c>
      <c r="DN78" s="138">
        <v>2</v>
      </c>
      <c r="DO78" s="125" t="s">
        <v>486</v>
      </c>
      <c r="DP78" s="118">
        <v>4</v>
      </c>
      <c r="DQ78" s="118">
        <v>0</v>
      </c>
      <c r="DR78" s="118">
        <v>1</v>
      </c>
      <c r="DS78" s="118">
        <v>0</v>
      </c>
      <c r="DT78" s="118">
        <v>0</v>
      </c>
      <c r="DU78" s="118">
        <v>0</v>
      </c>
      <c r="DV78" s="118">
        <v>0</v>
      </c>
      <c r="DW78" s="118">
        <v>0</v>
      </c>
      <c r="DX78" s="138">
        <v>1</v>
      </c>
      <c r="DY78" s="140">
        <v>0</v>
      </c>
      <c r="DZ78" s="118">
        <v>0</v>
      </c>
      <c r="EA78" s="118">
        <v>0</v>
      </c>
      <c r="EB78" s="119">
        <v>9</v>
      </c>
      <c r="EC78" s="118">
        <v>0</v>
      </c>
      <c r="ED78" s="138">
        <v>0</v>
      </c>
      <c r="EE78" s="125">
        <v>3</v>
      </c>
      <c r="EF78" s="118">
        <v>1</v>
      </c>
      <c r="EG78" s="118">
        <v>0</v>
      </c>
      <c r="EH78" s="118">
        <v>0</v>
      </c>
      <c r="EI78" s="118">
        <v>0</v>
      </c>
      <c r="EJ78" s="118">
        <v>1</v>
      </c>
      <c r="EK78" s="118">
        <v>0</v>
      </c>
      <c r="EL78" s="118">
        <v>1</v>
      </c>
      <c r="EM78" s="118">
        <v>0</v>
      </c>
      <c r="EN78" s="118"/>
      <c r="EO78" s="118"/>
      <c r="EP78" s="118"/>
      <c r="EQ78" s="118"/>
      <c r="ER78" s="118"/>
      <c r="ES78" s="118"/>
      <c r="ET78" s="118"/>
      <c r="EU78" s="118"/>
      <c r="EV78" s="118"/>
      <c r="EW78" s="118"/>
      <c r="EX78" s="138">
        <f t="shared" si="8"/>
        <v>6</v>
      </c>
      <c r="EY78" s="125">
        <v>0</v>
      </c>
      <c r="EZ78" s="118">
        <v>0</v>
      </c>
      <c r="FA78" s="118">
        <v>0</v>
      </c>
      <c r="FB78" s="118">
        <v>0</v>
      </c>
      <c r="FC78" s="118">
        <v>0</v>
      </c>
      <c r="FD78" s="118">
        <v>0</v>
      </c>
      <c r="FE78" s="118">
        <v>0</v>
      </c>
      <c r="FF78" s="118">
        <v>0</v>
      </c>
      <c r="FG78" s="118">
        <v>0</v>
      </c>
      <c r="FH78" s="118"/>
      <c r="FI78" s="118"/>
      <c r="FJ78" s="118"/>
      <c r="FK78" s="118"/>
      <c r="FL78" s="118"/>
      <c r="FM78" s="118"/>
      <c r="FN78" s="118"/>
      <c r="FO78" s="118"/>
      <c r="FP78" s="118"/>
      <c r="FQ78" s="118"/>
      <c r="FR78" s="138">
        <f t="shared" si="9"/>
        <v>0</v>
      </c>
      <c r="FS78" s="166">
        <f t="shared" si="10"/>
        <v>0</v>
      </c>
      <c r="FT78" s="167">
        <f t="shared" si="11"/>
        <v>0</v>
      </c>
      <c r="FU78" s="142"/>
    </row>
    <row r="79" spans="1:177" x14ac:dyDescent="0.25">
      <c r="A79" s="121">
        <v>40359</v>
      </c>
      <c r="B79" s="121" t="s">
        <v>133</v>
      </c>
      <c r="C79" s="121" t="s">
        <v>131</v>
      </c>
      <c r="D79" s="121" t="s">
        <v>488</v>
      </c>
      <c r="E79" s="120">
        <v>1056</v>
      </c>
      <c r="F79" s="124">
        <v>5</v>
      </c>
      <c r="G79" s="118" t="s">
        <v>487</v>
      </c>
      <c r="H79" s="118">
        <v>0</v>
      </c>
      <c r="I79" s="118">
        <v>0</v>
      </c>
      <c r="J79" s="119">
        <f>7+2/3</f>
        <v>7.666666666666667</v>
      </c>
      <c r="K79" s="118">
        <v>7</v>
      </c>
      <c r="L79" s="118">
        <v>1</v>
      </c>
      <c r="M79" s="118">
        <v>1</v>
      </c>
      <c r="N79" s="118">
        <v>1</v>
      </c>
      <c r="O79" s="118">
        <v>2</v>
      </c>
      <c r="P79" s="118">
        <v>0</v>
      </c>
      <c r="Q79" s="118">
        <v>0</v>
      </c>
      <c r="R79" s="118">
        <v>28</v>
      </c>
      <c r="S79" s="118"/>
      <c r="T79" s="118"/>
      <c r="U79" s="118">
        <v>2</v>
      </c>
      <c r="V79" s="138">
        <v>0</v>
      </c>
      <c r="W79" s="125">
        <v>0</v>
      </c>
      <c r="X79" s="118">
        <v>1</v>
      </c>
      <c r="Y79" s="118">
        <v>0</v>
      </c>
      <c r="Z79" s="118">
        <v>0</v>
      </c>
      <c r="AA79" s="118">
        <v>0</v>
      </c>
      <c r="AB79" s="119">
        <v>3</v>
      </c>
      <c r="AC79" s="118">
        <v>2</v>
      </c>
      <c r="AD79" s="118">
        <v>1</v>
      </c>
      <c r="AE79" s="118">
        <v>1</v>
      </c>
      <c r="AF79" s="118">
        <v>2</v>
      </c>
      <c r="AG79" s="118">
        <v>2</v>
      </c>
      <c r="AH79" s="118">
        <v>0</v>
      </c>
      <c r="AI79" s="118">
        <v>0</v>
      </c>
      <c r="AJ79" s="118">
        <v>12</v>
      </c>
      <c r="AK79" s="118"/>
      <c r="AL79" s="138"/>
      <c r="AM79" s="125" t="s">
        <v>486</v>
      </c>
      <c r="AN79" s="118">
        <v>5</v>
      </c>
      <c r="AO79" s="118">
        <v>0</v>
      </c>
      <c r="AP79" s="118">
        <v>3</v>
      </c>
      <c r="AQ79" s="118">
        <v>1</v>
      </c>
      <c r="AR79" s="118">
        <v>0</v>
      </c>
      <c r="AS79" s="118">
        <v>0</v>
      </c>
      <c r="AT79" s="118">
        <v>0</v>
      </c>
      <c r="AU79" s="118">
        <v>0</v>
      </c>
      <c r="AV79" s="138">
        <v>3</v>
      </c>
      <c r="AW79" s="125" t="s">
        <v>485</v>
      </c>
      <c r="AX79" s="118">
        <v>5</v>
      </c>
      <c r="AY79" s="118">
        <v>0</v>
      </c>
      <c r="AZ79" s="118">
        <v>0</v>
      </c>
      <c r="BA79" s="118">
        <v>0</v>
      </c>
      <c r="BB79" s="118">
        <v>0</v>
      </c>
      <c r="BC79" s="118">
        <v>2</v>
      </c>
      <c r="BD79" s="118">
        <v>0</v>
      </c>
      <c r="BE79" s="118">
        <v>0</v>
      </c>
      <c r="BF79" s="138">
        <v>0</v>
      </c>
      <c r="BG79" s="125" t="s">
        <v>484</v>
      </c>
      <c r="BH79" s="118">
        <v>5</v>
      </c>
      <c r="BI79" s="118">
        <v>0</v>
      </c>
      <c r="BJ79" s="118">
        <v>2</v>
      </c>
      <c r="BK79" s="118">
        <v>0</v>
      </c>
      <c r="BL79" s="118">
        <v>0</v>
      </c>
      <c r="BM79" s="118">
        <v>1</v>
      </c>
      <c r="BN79" s="118">
        <v>0</v>
      </c>
      <c r="BO79" s="118">
        <v>0</v>
      </c>
      <c r="BP79" s="138">
        <v>2</v>
      </c>
      <c r="BQ79" s="125" t="s">
        <v>483</v>
      </c>
      <c r="BR79" s="118">
        <v>5</v>
      </c>
      <c r="BS79" s="118">
        <v>0</v>
      </c>
      <c r="BT79" s="118">
        <v>1</v>
      </c>
      <c r="BU79" s="118">
        <v>0</v>
      </c>
      <c r="BV79" s="118">
        <v>0</v>
      </c>
      <c r="BW79" s="118">
        <v>1</v>
      </c>
      <c r="BX79" s="118">
        <v>0</v>
      </c>
      <c r="BY79" s="118">
        <v>0</v>
      </c>
      <c r="BZ79" s="138">
        <v>1</v>
      </c>
      <c r="CA79" s="125" t="s">
        <v>482</v>
      </c>
      <c r="CB79" s="118">
        <v>5</v>
      </c>
      <c r="CC79" s="118">
        <v>0</v>
      </c>
      <c r="CD79" s="118">
        <v>3</v>
      </c>
      <c r="CE79" s="118">
        <v>0</v>
      </c>
      <c r="CF79" s="118">
        <v>0</v>
      </c>
      <c r="CG79" s="118">
        <v>1</v>
      </c>
      <c r="CH79" s="118">
        <v>0</v>
      </c>
      <c r="CI79" s="118">
        <v>0</v>
      </c>
      <c r="CJ79" s="138">
        <v>4</v>
      </c>
      <c r="CK79" s="125" t="s">
        <v>367</v>
      </c>
      <c r="CL79" s="118">
        <v>5</v>
      </c>
      <c r="CM79" s="118">
        <v>0</v>
      </c>
      <c r="CN79" s="118">
        <v>2</v>
      </c>
      <c r="CO79" s="118">
        <v>0</v>
      </c>
      <c r="CP79" s="118">
        <v>0</v>
      </c>
      <c r="CQ79" s="118">
        <v>0</v>
      </c>
      <c r="CR79" s="118">
        <v>0</v>
      </c>
      <c r="CS79" s="118">
        <v>0</v>
      </c>
      <c r="CT79" s="138">
        <v>2</v>
      </c>
      <c r="CU79" s="125" t="s">
        <v>481</v>
      </c>
      <c r="CV79" s="118">
        <v>4</v>
      </c>
      <c r="CW79" s="118">
        <v>0</v>
      </c>
      <c r="CX79" s="118">
        <v>0</v>
      </c>
      <c r="CY79" s="118">
        <v>0</v>
      </c>
      <c r="CZ79" s="118">
        <v>1</v>
      </c>
      <c r="DA79" s="118">
        <v>0</v>
      </c>
      <c r="DB79" s="118">
        <v>0</v>
      </c>
      <c r="DC79" s="118">
        <v>0</v>
      </c>
      <c r="DD79" s="138">
        <v>0</v>
      </c>
      <c r="DE79" s="125" t="s">
        <v>480</v>
      </c>
      <c r="DF79" s="118">
        <v>5</v>
      </c>
      <c r="DG79" s="118">
        <v>0</v>
      </c>
      <c r="DH79" s="118">
        <v>0</v>
      </c>
      <c r="DI79" s="118">
        <v>0</v>
      </c>
      <c r="DJ79" s="118">
        <v>0</v>
      </c>
      <c r="DK79" s="118">
        <v>2</v>
      </c>
      <c r="DL79" s="118">
        <v>0</v>
      </c>
      <c r="DM79" s="118">
        <v>0</v>
      </c>
      <c r="DN79" s="138">
        <v>0</v>
      </c>
      <c r="DO79" s="125" t="s">
        <v>479</v>
      </c>
      <c r="DP79" s="118">
        <v>4</v>
      </c>
      <c r="DQ79" s="118">
        <v>1</v>
      </c>
      <c r="DR79" s="118">
        <v>1</v>
      </c>
      <c r="DS79" s="118">
        <v>0</v>
      </c>
      <c r="DT79" s="118">
        <v>0</v>
      </c>
      <c r="DU79" s="118">
        <v>1</v>
      </c>
      <c r="DV79" s="118">
        <v>0</v>
      </c>
      <c r="DW79" s="118">
        <v>0</v>
      </c>
      <c r="DX79" s="138">
        <v>1</v>
      </c>
      <c r="DY79" s="140">
        <v>0</v>
      </c>
      <c r="DZ79" s="118">
        <v>0</v>
      </c>
      <c r="EA79" s="118">
        <v>0</v>
      </c>
      <c r="EB79" s="119">
        <v>11</v>
      </c>
      <c r="EC79" s="118">
        <v>2</v>
      </c>
      <c r="ED79" s="138">
        <v>1</v>
      </c>
      <c r="EE79" s="125">
        <v>0</v>
      </c>
      <c r="EF79" s="118">
        <v>0</v>
      </c>
      <c r="EG79" s="118">
        <v>0</v>
      </c>
      <c r="EH79" s="118">
        <v>0</v>
      </c>
      <c r="EI79" s="118">
        <v>1</v>
      </c>
      <c r="EJ79" s="118">
        <v>0</v>
      </c>
      <c r="EK79" s="118">
        <v>0</v>
      </c>
      <c r="EL79" s="118">
        <v>0</v>
      </c>
      <c r="EM79" s="118">
        <v>0</v>
      </c>
      <c r="EN79" s="118">
        <v>0</v>
      </c>
      <c r="EO79" s="118">
        <v>0</v>
      </c>
      <c r="EP79" s="118"/>
      <c r="EQ79" s="118"/>
      <c r="ER79" s="118"/>
      <c r="ES79" s="118"/>
      <c r="ET79" s="118"/>
      <c r="EU79" s="118"/>
      <c r="EV79" s="118"/>
      <c r="EW79" s="118"/>
      <c r="EX79" s="138">
        <f t="shared" si="8"/>
        <v>1</v>
      </c>
      <c r="EY79" s="125">
        <v>0</v>
      </c>
      <c r="EZ79" s="118">
        <v>0</v>
      </c>
      <c r="FA79" s="118">
        <v>0</v>
      </c>
      <c r="FB79" s="118">
        <v>0</v>
      </c>
      <c r="FC79" s="118">
        <v>0</v>
      </c>
      <c r="FD79" s="118">
        <v>0</v>
      </c>
      <c r="FE79" s="118">
        <v>1</v>
      </c>
      <c r="FF79" s="118">
        <v>0</v>
      </c>
      <c r="FG79" s="118">
        <v>0</v>
      </c>
      <c r="FH79" s="118">
        <v>0</v>
      </c>
      <c r="FI79" s="118">
        <v>1</v>
      </c>
      <c r="FJ79" s="118"/>
      <c r="FK79" s="118"/>
      <c r="FL79" s="118"/>
      <c r="FM79" s="118"/>
      <c r="FN79" s="118"/>
      <c r="FO79" s="118"/>
      <c r="FP79" s="118"/>
      <c r="FQ79" s="118"/>
      <c r="FR79" s="138">
        <f t="shared" si="9"/>
        <v>2</v>
      </c>
      <c r="FS79" s="166">
        <f t="shared" si="10"/>
        <v>0</v>
      </c>
      <c r="FT79" s="167">
        <f t="shared" si="11"/>
        <v>0</v>
      </c>
      <c r="FU79" s="142"/>
    </row>
    <row r="80" spans="1:177" x14ac:dyDescent="0.25">
      <c r="A80" s="121">
        <v>40360</v>
      </c>
      <c r="B80" s="121" t="s">
        <v>19</v>
      </c>
      <c r="C80" s="121" t="s">
        <v>131</v>
      </c>
      <c r="D80" s="121" t="s">
        <v>513</v>
      </c>
      <c r="E80" s="120">
        <v>1650</v>
      </c>
      <c r="F80" s="124">
        <v>1</v>
      </c>
      <c r="G80" s="137" t="s">
        <v>494</v>
      </c>
      <c r="H80" s="122">
        <v>0</v>
      </c>
      <c r="I80" s="122">
        <v>1</v>
      </c>
      <c r="J80" s="119">
        <f>6+1/3</f>
        <v>6.333333333333333</v>
      </c>
      <c r="K80" s="122">
        <v>5</v>
      </c>
      <c r="L80" s="122">
        <v>4</v>
      </c>
      <c r="M80" s="122">
        <v>4</v>
      </c>
      <c r="N80" s="122">
        <v>2</v>
      </c>
      <c r="O80" s="122">
        <v>4</v>
      </c>
      <c r="P80" s="122">
        <v>0</v>
      </c>
      <c r="Q80" s="122">
        <v>2</v>
      </c>
      <c r="R80" s="122">
        <v>29</v>
      </c>
      <c r="S80" s="122"/>
      <c r="T80" s="122"/>
      <c r="U80" s="122">
        <v>1</v>
      </c>
      <c r="V80" s="126">
        <v>1</v>
      </c>
      <c r="W80" s="139">
        <v>0</v>
      </c>
      <c r="X80" s="122">
        <v>0</v>
      </c>
      <c r="Y80" s="122">
        <v>0</v>
      </c>
      <c r="Z80" s="122">
        <v>0</v>
      </c>
      <c r="AA80" s="122">
        <v>0</v>
      </c>
      <c r="AB80" s="119">
        <f>2+2/3</f>
        <v>2.6666666666666665</v>
      </c>
      <c r="AC80" s="122">
        <v>3</v>
      </c>
      <c r="AD80" s="122">
        <v>1</v>
      </c>
      <c r="AE80" s="122">
        <v>0</v>
      </c>
      <c r="AF80" s="122">
        <v>1</v>
      </c>
      <c r="AG80" s="122">
        <v>4</v>
      </c>
      <c r="AH80" s="122">
        <v>0</v>
      </c>
      <c r="AI80" s="122">
        <v>1</v>
      </c>
      <c r="AJ80" s="122">
        <v>13</v>
      </c>
      <c r="AK80" s="122"/>
      <c r="AL80" s="126"/>
      <c r="AM80" s="127" t="s">
        <v>442</v>
      </c>
      <c r="AN80" s="128">
        <v>3</v>
      </c>
      <c r="AO80" s="128">
        <v>1</v>
      </c>
      <c r="AP80" s="128">
        <v>1</v>
      </c>
      <c r="AQ80" s="128">
        <v>0</v>
      </c>
      <c r="AR80" s="128">
        <v>0</v>
      </c>
      <c r="AS80" s="128">
        <v>0</v>
      </c>
      <c r="AT80" s="128">
        <v>1</v>
      </c>
      <c r="AU80" s="128">
        <v>0</v>
      </c>
      <c r="AV80" s="129">
        <v>1</v>
      </c>
      <c r="AW80" s="127" t="s">
        <v>485</v>
      </c>
      <c r="AX80" s="128">
        <v>4</v>
      </c>
      <c r="AY80" s="128">
        <v>0</v>
      </c>
      <c r="AZ80" s="128">
        <v>1</v>
      </c>
      <c r="BA80" s="128">
        <v>0</v>
      </c>
      <c r="BB80" s="128">
        <v>0</v>
      </c>
      <c r="BC80" s="128">
        <v>1</v>
      </c>
      <c r="BD80" s="128">
        <v>0</v>
      </c>
      <c r="BE80" s="128">
        <v>0</v>
      </c>
      <c r="BF80" s="129">
        <v>1</v>
      </c>
      <c r="BG80" s="127" t="s">
        <v>482</v>
      </c>
      <c r="BH80" s="128">
        <v>4</v>
      </c>
      <c r="BI80" s="128">
        <v>0</v>
      </c>
      <c r="BJ80" s="128">
        <v>0</v>
      </c>
      <c r="BK80" s="128">
        <v>0</v>
      </c>
      <c r="BL80" s="128">
        <v>0</v>
      </c>
      <c r="BM80" s="128">
        <v>1</v>
      </c>
      <c r="BN80" s="128">
        <v>0</v>
      </c>
      <c r="BO80" s="128">
        <v>0</v>
      </c>
      <c r="BP80" s="129">
        <v>0</v>
      </c>
      <c r="BQ80" s="127" t="s">
        <v>367</v>
      </c>
      <c r="BR80" s="128">
        <v>3</v>
      </c>
      <c r="BS80" s="128">
        <v>0</v>
      </c>
      <c r="BT80" s="128">
        <v>0</v>
      </c>
      <c r="BU80" s="128">
        <v>0</v>
      </c>
      <c r="BV80" s="128">
        <v>1</v>
      </c>
      <c r="BW80" s="128">
        <v>1</v>
      </c>
      <c r="BX80" s="128">
        <v>0</v>
      </c>
      <c r="BY80" s="128">
        <v>0</v>
      </c>
      <c r="BZ80" s="129">
        <v>0</v>
      </c>
      <c r="CA80" s="127" t="s">
        <v>484</v>
      </c>
      <c r="CB80" s="128">
        <v>3</v>
      </c>
      <c r="CC80" s="128">
        <v>0</v>
      </c>
      <c r="CD80" s="128">
        <v>0</v>
      </c>
      <c r="CE80" s="128">
        <v>1</v>
      </c>
      <c r="CF80" s="128">
        <v>0</v>
      </c>
      <c r="CG80" s="128">
        <v>1</v>
      </c>
      <c r="CH80" s="128">
        <v>0</v>
      </c>
      <c r="CI80" s="128">
        <v>1</v>
      </c>
      <c r="CJ80" s="129">
        <v>0</v>
      </c>
      <c r="CK80" s="127" t="s">
        <v>481</v>
      </c>
      <c r="CL80" s="128">
        <v>3</v>
      </c>
      <c r="CM80" s="128">
        <v>0</v>
      </c>
      <c r="CN80" s="128">
        <v>0</v>
      </c>
      <c r="CO80" s="128">
        <v>0</v>
      </c>
      <c r="CP80" s="128">
        <v>1</v>
      </c>
      <c r="CQ80" s="128">
        <v>1</v>
      </c>
      <c r="CR80" s="128">
        <v>0</v>
      </c>
      <c r="CS80" s="128">
        <v>0</v>
      </c>
      <c r="CT80" s="129">
        <v>0</v>
      </c>
      <c r="CU80" s="127" t="s">
        <v>489</v>
      </c>
      <c r="CV80" s="128">
        <v>4</v>
      </c>
      <c r="CW80" s="128">
        <v>0</v>
      </c>
      <c r="CX80" s="128">
        <v>1</v>
      </c>
      <c r="CY80" s="128">
        <v>0</v>
      </c>
      <c r="CZ80" s="128">
        <v>0</v>
      </c>
      <c r="DA80" s="128">
        <v>0</v>
      </c>
      <c r="DB80" s="128">
        <v>0</v>
      </c>
      <c r="DC80" s="128">
        <v>0</v>
      </c>
      <c r="DD80" s="129">
        <v>1</v>
      </c>
      <c r="DE80" s="127" t="s">
        <v>491</v>
      </c>
      <c r="DF80" s="128">
        <v>4</v>
      </c>
      <c r="DG80" s="128">
        <v>1</v>
      </c>
      <c r="DH80" s="128">
        <v>2</v>
      </c>
      <c r="DI80" s="128">
        <v>0</v>
      </c>
      <c r="DJ80" s="128">
        <v>0</v>
      </c>
      <c r="DK80" s="128">
        <v>1</v>
      </c>
      <c r="DL80" s="128">
        <v>0</v>
      </c>
      <c r="DM80" s="128">
        <v>0</v>
      </c>
      <c r="DN80" s="129">
        <v>3</v>
      </c>
      <c r="DO80" s="127" t="s">
        <v>486</v>
      </c>
      <c r="DP80" s="128">
        <v>3</v>
      </c>
      <c r="DQ80" s="128">
        <v>0</v>
      </c>
      <c r="DR80" s="128">
        <v>1</v>
      </c>
      <c r="DS80" s="128">
        <v>0</v>
      </c>
      <c r="DT80" s="128">
        <v>0</v>
      </c>
      <c r="DU80" s="128">
        <v>0</v>
      </c>
      <c r="DV80" s="128">
        <v>0</v>
      </c>
      <c r="DW80" s="128">
        <v>0</v>
      </c>
      <c r="DX80" s="129">
        <v>1</v>
      </c>
      <c r="DY80" s="130">
        <v>1</v>
      </c>
      <c r="DZ80" s="131">
        <v>2</v>
      </c>
      <c r="EA80" s="131">
        <v>0</v>
      </c>
      <c r="EB80" s="132">
        <v>8</v>
      </c>
      <c r="EC80" s="131">
        <v>0</v>
      </c>
      <c r="ED80" s="133">
        <v>1</v>
      </c>
      <c r="EE80" s="134">
        <v>0</v>
      </c>
      <c r="EF80" s="131">
        <v>0</v>
      </c>
      <c r="EG80" s="131">
        <v>0</v>
      </c>
      <c r="EH80" s="131">
        <v>1</v>
      </c>
      <c r="EI80" s="131">
        <v>1</v>
      </c>
      <c r="EJ80" s="131">
        <v>0</v>
      </c>
      <c r="EK80" s="131">
        <v>0</v>
      </c>
      <c r="EL80" s="131">
        <v>0</v>
      </c>
      <c r="EM80" s="131">
        <v>0</v>
      </c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5">
        <f t="shared" si="8"/>
        <v>2</v>
      </c>
      <c r="EY80" s="134">
        <v>2</v>
      </c>
      <c r="EZ80" s="131">
        <v>0</v>
      </c>
      <c r="FA80" s="131">
        <v>0</v>
      </c>
      <c r="FB80" s="131">
        <v>0</v>
      </c>
      <c r="FC80" s="131">
        <v>0</v>
      </c>
      <c r="FD80" s="131">
        <v>1</v>
      </c>
      <c r="FE80" s="131">
        <v>1</v>
      </c>
      <c r="FF80" s="131">
        <v>1</v>
      </c>
      <c r="FG80" s="131">
        <v>0</v>
      </c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5">
        <f t="shared" si="9"/>
        <v>5</v>
      </c>
      <c r="FS80" s="141">
        <f t="shared" si="10"/>
        <v>0</v>
      </c>
      <c r="FT80" s="143">
        <f t="shared" si="11"/>
        <v>0</v>
      </c>
      <c r="FU80" s="144"/>
    </row>
    <row r="81" spans="1:177" x14ac:dyDescent="0.25">
      <c r="A81" s="121">
        <v>40361</v>
      </c>
      <c r="B81" s="121" t="s">
        <v>19</v>
      </c>
      <c r="C81" s="121" t="s">
        <v>129</v>
      </c>
      <c r="D81" s="121" t="s">
        <v>513</v>
      </c>
      <c r="E81" s="120">
        <v>2514</v>
      </c>
      <c r="F81" s="124">
        <v>2</v>
      </c>
      <c r="G81" s="137" t="s">
        <v>493</v>
      </c>
      <c r="H81" s="122">
        <v>1</v>
      </c>
      <c r="I81" s="122">
        <v>0</v>
      </c>
      <c r="J81" s="119">
        <f>6+1/3</f>
        <v>6.333333333333333</v>
      </c>
      <c r="K81" s="122">
        <v>1</v>
      </c>
      <c r="L81" s="122">
        <v>1</v>
      </c>
      <c r="M81" s="122">
        <v>0</v>
      </c>
      <c r="N81" s="122">
        <v>6</v>
      </c>
      <c r="O81" s="122">
        <v>7</v>
      </c>
      <c r="P81" s="122">
        <v>0</v>
      </c>
      <c r="Q81" s="122">
        <v>0</v>
      </c>
      <c r="R81" s="122">
        <v>25</v>
      </c>
      <c r="S81" s="122"/>
      <c r="T81" s="122"/>
      <c r="U81" s="122">
        <v>1</v>
      </c>
      <c r="V81" s="126">
        <v>1</v>
      </c>
      <c r="W81" s="139">
        <v>0</v>
      </c>
      <c r="X81" s="122">
        <v>0</v>
      </c>
      <c r="Y81" s="122">
        <v>1</v>
      </c>
      <c r="Z81" s="122">
        <v>1</v>
      </c>
      <c r="AA81" s="122">
        <v>0</v>
      </c>
      <c r="AB81" s="119">
        <f>2+2/3</f>
        <v>2.6666666666666665</v>
      </c>
      <c r="AC81" s="122">
        <v>3</v>
      </c>
      <c r="AD81" s="122">
        <v>0</v>
      </c>
      <c r="AE81" s="122">
        <v>0</v>
      </c>
      <c r="AF81" s="122">
        <v>1</v>
      </c>
      <c r="AG81" s="122">
        <v>4</v>
      </c>
      <c r="AH81" s="122">
        <v>0</v>
      </c>
      <c r="AI81" s="122">
        <v>0</v>
      </c>
      <c r="AJ81" s="122">
        <v>12</v>
      </c>
      <c r="AK81" s="122"/>
      <c r="AL81" s="126"/>
      <c r="AM81" s="127" t="s">
        <v>442</v>
      </c>
      <c r="AN81" s="128">
        <v>4</v>
      </c>
      <c r="AO81" s="128">
        <v>1</v>
      </c>
      <c r="AP81" s="128">
        <v>1</v>
      </c>
      <c r="AQ81" s="128">
        <v>0</v>
      </c>
      <c r="AR81" s="128">
        <v>0</v>
      </c>
      <c r="AS81" s="128">
        <v>1</v>
      </c>
      <c r="AT81" s="128">
        <v>0</v>
      </c>
      <c r="AU81" s="128">
        <v>0</v>
      </c>
      <c r="AV81" s="129">
        <v>1</v>
      </c>
      <c r="AW81" s="127" t="s">
        <v>485</v>
      </c>
      <c r="AX81" s="128">
        <v>3</v>
      </c>
      <c r="AY81" s="128">
        <v>1</v>
      </c>
      <c r="AZ81" s="128">
        <v>2</v>
      </c>
      <c r="BA81" s="128">
        <v>2</v>
      </c>
      <c r="BB81" s="128">
        <v>1</v>
      </c>
      <c r="BC81" s="128">
        <v>0</v>
      </c>
      <c r="BD81" s="128">
        <v>0</v>
      </c>
      <c r="BE81" s="128">
        <v>0</v>
      </c>
      <c r="BF81" s="129">
        <v>3</v>
      </c>
      <c r="BG81" s="127" t="s">
        <v>484</v>
      </c>
      <c r="BH81" s="128">
        <v>4</v>
      </c>
      <c r="BI81" s="128">
        <v>0</v>
      </c>
      <c r="BJ81" s="128">
        <v>2</v>
      </c>
      <c r="BK81" s="128">
        <v>1</v>
      </c>
      <c r="BL81" s="128">
        <v>0</v>
      </c>
      <c r="BM81" s="128">
        <v>1</v>
      </c>
      <c r="BN81" s="128">
        <v>0</v>
      </c>
      <c r="BO81" s="128">
        <v>0</v>
      </c>
      <c r="BP81" s="129">
        <v>3</v>
      </c>
      <c r="BQ81" s="127" t="s">
        <v>367</v>
      </c>
      <c r="BR81" s="128">
        <v>3</v>
      </c>
      <c r="BS81" s="128">
        <v>0</v>
      </c>
      <c r="BT81" s="128">
        <v>0</v>
      </c>
      <c r="BU81" s="128">
        <v>0</v>
      </c>
      <c r="BV81" s="128">
        <v>1</v>
      </c>
      <c r="BW81" s="128">
        <v>1</v>
      </c>
      <c r="BX81" s="128">
        <v>0</v>
      </c>
      <c r="BY81" s="128">
        <v>0</v>
      </c>
      <c r="BZ81" s="129">
        <v>0</v>
      </c>
      <c r="CA81" s="127" t="s">
        <v>482</v>
      </c>
      <c r="CB81" s="128">
        <v>2</v>
      </c>
      <c r="CC81" s="128">
        <v>0</v>
      </c>
      <c r="CD81" s="128">
        <v>0</v>
      </c>
      <c r="CE81" s="128">
        <v>0</v>
      </c>
      <c r="CF81" s="128">
        <v>1</v>
      </c>
      <c r="CG81" s="128">
        <v>0</v>
      </c>
      <c r="CH81" s="128">
        <v>0</v>
      </c>
      <c r="CI81" s="128">
        <v>0</v>
      </c>
      <c r="CJ81" s="129">
        <v>0</v>
      </c>
      <c r="CK81" s="127" t="s">
        <v>481</v>
      </c>
      <c r="CL81" s="128">
        <v>3</v>
      </c>
      <c r="CM81" s="128">
        <v>0</v>
      </c>
      <c r="CN81" s="128">
        <v>0</v>
      </c>
      <c r="CO81" s="128">
        <v>0</v>
      </c>
      <c r="CP81" s="128">
        <v>0</v>
      </c>
      <c r="CQ81" s="128">
        <v>0</v>
      </c>
      <c r="CR81" s="128">
        <v>0</v>
      </c>
      <c r="CS81" s="128">
        <v>0</v>
      </c>
      <c r="CT81" s="129">
        <v>0</v>
      </c>
      <c r="CU81" s="127" t="s">
        <v>491</v>
      </c>
      <c r="CV81" s="128">
        <v>3</v>
      </c>
      <c r="CW81" s="128">
        <v>0</v>
      </c>
      <c r="CX81" s="128">
        <v>0</v>
      </c>
      <c r="CY81" s="128">
        <v>0</v>
      </c>
      <c r="CZ81" s="128">
        <v>0</v>
      </c>
      <c r="DA81" s="128">
        <v>1</v>
      </c>
      <c r="DB81" s="128">
        <v>0</v>
      </c>
      <c r="DC81" s="128">
        <v>0</v>
      </c>
      <c r="DD81" s="129">
        <v>0</v>
      </c>
      <c r="DE81" s="127" t="s">
        <v>480</v>
      </c>
      <c r="DF81" s="128">
        <v>3</v>
      </c>
      <c r="DG81" s="128">
        <v>0</v>
      </c>
      <c r="DH81" s="128">
        <v>0</v>
      </c>
      <c r="DI81" s="128">
        <v>0</v>
      </c>
      <c r="DJ81" s="128">
        <v>0</v>
      </c>
      <c r="DK81" s="128">
        <v>0</v>
      </c>
      <c r="DL81" s="128">
        <v>0</v>
      </c>
      <c r="DM81" s="128">
        <v>0</v>
      </c>
      <c r="DN81" s="129">
        <v>0</v>
      </c>
      <c r="DO81" s="127" t="s">
        <v>486</v>
      </c>
      <c r="DP81" s="128">
        <v>2</v>
      </c>
      <c r="DQ81" s="128">
        <v>1</v>
      </c>
      <c r="DR81" s="128">
        <v>0</v>
      </c>
      <c r="DS81" s="128">
        <v>0</v>
      </c>
      <c r="DT81" s="128">
        <v>1</v>
      </c>
      <c r="DU81" s="128">
        <v>0</v>
      </c>
      <c r="DV81" s="128">
        <v>0</v>
      </c>
      <c r="DW81" s="128">
        <v>0</v>
      </c>
      <c r="DX81" s="129">
        <v>0</v>
      </c>
      <c r="DY81" s="130">
        <v>0</v>
      </c>
      <c r="DZ81" s="131">
        <v>0</v>
      </c>
      <c r="EA81" s="131">
        <v>0</v>
      </c>
      <c r="EB81" s="132">
        <v>8</v>
      </c>
      <c r="EC81" s="131">
        <v>0</v>
      </c>
      <c r="ED81" s="133">
        <v>2</v>
      </c>
      <c r="EE81" s="134">
        <v>0</v>
      </c>
      <c r="EF81" s="131">
        <v>0</v>
      </c>
      <c r="EG81" s="131">
        <v>0</v>
      </c>
      <c r="EH81" s="131">
        <v>0</v>
      </c>
      <c r="EI81" s="131">
        <v>3</v>
      </c>
      <c r="EJ81" s="131">
        <v>0</v>
      </c>
      <c r="EK81" s="131">
        <v>0</v>
      </c>
      <c r="EL81" s="131">
        <v>0</v>
      </c>
      <c r="EM81" s="131"/>
      <c r="EN81" s="131"/>
      <c r="EO81" s="131"/>
      <c r="EP81" s="131"/>
      <c r="EQ81" s="131"/>
      <c r="ER81" s="131"/>
      <c r="ES81" s="131"/>
      <c r="ET81" s="131"/>
      <c r="EU81" s="131"/>
      <c r="EV81" s="131"/>
      <c r="EW81" s="131"/>
      <c r="EX81" s="135">
        <f t="shared" si="8"/>
        <v>3</v>
      </c>
      <c r="EY81" s="134">
        <v>0</v>
      </c>
      <c r="EZ81" s="131">
        <v>0</v>
      </c>
      <c r="FA81" s="131">
        <v>0</v>
      </c>
      <c r="FB81" s="131">
        <v>0</v>
      </c>
      <c r="FC81" s="131">
        <v>0</v>
      </c>
      <c r="FD81" s="131">
        <v>0</v>
      </c>
      <c r="FE81" s="131">
        <v>1</v>
      </c>
      <c r="FF81" s="131">
        <v>0</v>
      </c>
      <c r="FG81" s="131">
        <v>0</v>
      </c>
      <c r="FH81" s="131"/>
      <c r="FI81" s="131"/>
      <c r="FJ81" s="131"/>
      <c r="FK81" s="131"/>
      <c r="FL81" s="131"/>
      <c r="FM81" s="131"/>
      <c r="FN81" s="131"/>
      <c r="FO81" s="131"/>
      <c r="FP81" s="131"/>
      <c r="FQ81" s="131"/>
      <c r="FR81" s="135">
        <f t="shared" si="9"/>
        <v>1</v>
      </c>
      <c r="FS81" s="141">
        <f t="shared" si="10"/>
        <v>0</v>
      </c>
      <c r="FT81" s="143">
        <f t="shared" si="11"/>
        <v>0</v>
      </c>
      <c r="FU81" s="144"/>
    </row>
    <row r="82" spans="1:177" x14ac:dyDescent="0.25">
      <c r="A82" s="121">
        <v>40362</v>
      </c>
      <c r="B82" s="121" t="s">
        <v>19</v>
      </c>
      <c r="C82" s="121" t="s">
        <v>129</v>
      </c>
      <c r="D82" s="121" t="s">
        <v>513</v>
      </c>
      <c r="E82" s="120">
        <v>7492</v>
      </c>
      <c r="F82" s="124" t="s">
        <v>523</v>
      </c>
      <c r="G82" s="137" t="s">
        <v>498</v>
      </c>
      <c r="H82" s="122">
        <v>1</v>
      </c>
      <c r="I82" s="122">
        <v>0</v>
      </c>
      <c r="J82" s="119">
        <v>6</v>
      </c>
      <c r="K82" s="122">
        <v>5</v>
      </c>
      <c r="L82" s="122">
        <v>1</v>
      </c>
      <c r="M82" s="122">
        <v>1</v>
      </c>
      <c r="N82" s="122">
        <v>3</v>
      </c>
      <c r="O82" s="122">
        <v>4</v>
      </c>
      <c r="P82" s="122">
        <v>0</v>
      </c>
      <c r="Q82" s="122">
        <v>0</v>
      </c>
      <c r="R82" s="122">
        <v>25</v>
      </c>
      <c r="S82" s="122"/>
      <c r="T82" s="122"/>
      <c r="U82" s="122">
        <v>0</v>
      </c>
      <c r="V82" s="126">
        <v>0</v>
      </c>
      <c r="W82" s="139">
        <v>0</v>
      </c>
      <c r="X82" s="122">
        <v>0</v>
      </c>
      <c r="Y82" s="122">
        <v>0</v>
      </c>
      <c r="Z82" s="122">
        <v>1</v>
      </c>
      <c r="AA82" s="122">
        <v>0</v>
      </c>
      <c r="AB82" s="119">
        <v>3</v>
      </c>
      <c r="AC82" s="122">
        <v>0</v>
      </c>
      <c r="AD82" s="122">
        <v>0</v>
      </c>
      <c r="AE82" s="122">
        <v>0</v>
      </c>
      <c r="AF82" s="122">
        <v>0</v>
      </c>
      <c r="AG82" s="122">
        <v>2</v>
      </c>
      <c r="AH82" s="122">
        <v>0</v>
      </c>
      <c r="AI82" s="122">
        <v>0</v>
      </c>
      <c r="AJ82" s="122">
        <v>9</v>
      </c>
      <c r="AK82" s="122"/>
      <c r="AL82" s="126"/>
      <c r="AM82" s="127" t="s">
        <v>486</v>
      </c>
      <c r="AN82" s="128">
        <v>4</v>
      </c>
      <c r="AO82" s="128">
        <v>1</v>
      </c>
      <c r="AP82" s="128">
        <v>1</v>
      </c>
      <c r="AQ82" s="128">
        <v>0</v>
      </c>
      <c r="AR82" s="128">
        <v>0</v>
      </c>
      <c r="AS82" s="128">
        <v>1</v>
      </c>
      <c r="AT82" s="128">
        <v>0</v>
      </c>
      <c r="AU82" s="128">
        <v>0</v>
      </c>
      <c r="AV82" s="129">
        <v>1</v>
      </c>
      <c r="AW82" s="127" t="s">
        <v>485</v>
      </c>
      <c r="AX82" s="128">
        <v>4</v>
      </c>
      <c r="AY82" s="128">
        <v>1</v>
      </c>
      <c r="AZ82" s="128">
        <v>1</v>
      </c>
      <c r="BA82" s="128">
        <v>0</v>
      </c>
      <c r="BB82" s="128">
        <v>0</v>
      </c>
      <c r="BC82" s="128">
        <v>1</v>
      </c>
      <c r="BD82" s="128">
        <v>0</v>
      </c>
      <c r="BE82" s="128">
        <v>0</v>
      </c>
      <c r="BF82" s="129">
        <v>1</v>
      </c>
      <c r="BG82" s="127" t="s">
        <v>484</v>
      </c>
      <c r="BH82" s="128">
        <v>4</v>
      </c>
      <c r="BI82" s="128">
        <v>0</v>
      </c>
      <c r="BJ82" s="128">
        <v>1</v>
      </c>
      <c r="BK82" s="128">
        <v>2</v>
      </c>
      <c r="BL82" s="128">
        <v>0</v>
      </c>
      <c r="BM82" s="128">
        <v>0</v>
      </c>
      <c r="BN82" s="128">
        <v>0</v>
      </c>
      <c r="BO82" s="128">
        <v>0</v>
      </c>
      <c r="BP82" s="129">
        <v>2</v>
      </c>
      <c r="BQ82" s="127" t="s">
        <v>367</v>
      </c>
      <c r="BR82" s="128">
        <v>2</v>
      </c>
      <c r="BS82" s="128">
        <v>1</v>
      </c>
      <c r="BT82" s="128">
        <v>0</v>
      </c>
      <c r="BU82" s="128">
        <v>0</v>
      </c>
      <c r="BV82" s="128">
        <v>2</v>
      </c>
      <c r="BW82" s="128">
        <v>1</v>
      </c>
      <c r="BX82" s="128">
        <v>0</v>
      </c>
      <c r="BY82" s="128">
        <v>0</v>
      </c>
      <c r="BZ82" s="129">
        <v>0</v>
      </c>
      <c r="CA82" s="127" t="s">
        <v>482</v>
      </c>
      <c r="CB82" s="128">
        <v>4</v>
      </c>
      <c r="CC82" s="128">
        <v>2</v>
      </c>
      <c r="CD82" s="128">
        <v>2</v>
      </c>
      <c r="CE82" s="128">
        <v>0</v>
      </c>
      <c r="CF82" s="128">
        <v>0</v>
      </c>
      <c r="CG82" s="128">
        <v>0</v>
      </c>
      <c r="CH82" s="128">
        <v>0</v>
      </c>
      <c r="CI82" s="128">
        <v>0</v>
      </c>
      <c r="CJ82" s="129">
        <v>2</v>
      </c>
      <c r="CK82" s="127" t="s">
        <v>481</v>
      </c>
      <c r="CL82" s="128">
        <v>3</v>
      </c>
      <c r="CM82" s="128">
        <v>1</v>
      </c>
      <c r="CN82" s="128">
        <v>1</v>
      </c>
      <c r="CO82" s="128">
        <v>1</v>
      </c>
      <c r="CP82" s="128">
        <v>0</v>
      </c>
      <c r="CQ82" s="128">
        <v>0</v>
      </c>
      <c r="CR82" s="128">
        <v>0</v>
      </c>
      <c r="CS82" s="128">
        <v>1</v>
      </c>
      <c r="CT82" s="129">
        <v>2</v>
      </c>
      <c r="CU82" s="127" t="s">
        <v>489</v>
      </c>
      <c r="CV82" s="128">
        <v>4</v>
      </c>
      <c r="CW82" s="128">
        <v>0</v>
      </c>
      <c r="CX82" s="128">
        <v>2</v>
      </c>
      <c r="CY82" s="128">
        <v>1</v>
      </c>
      <c r="CZ82" s="128">
        <v>0</v>
      </c>
      <c r="DA82" s="128">
        <v>0</v>
      </c>
      <c r="DB82" s="128">
        <v>0</v>
      </c>
      <c r="DC82" s="128">
        <v>0</v>
      </c>
      <c r="DD82" s="129">
        <v>2</v>
      </c>
      <c r="DE82" s="127" t="s">
        <v>480</v>
      </c>
      <c r="DF82" s="128">
        <v>3</v>
      </c>
      <c r="DG82" s="128">
        <v>0</v>
      </c>
      <c r="DH82" s="128">
        <v>1</v>
      </c>
      <c r="DI82" s="128">
        <v>2</v>
      </c>
      <c r="DJ82" s="128">
        <v>0</v>
      </c>
      <c r="DK82" s="128">
        <v>0</v>
      </c>
      <c r="DL82" s="128">
        <v>0</v>
      </c>
      <c r="DM82" s="128">
        <v>0</v>
      </c>
      <c r="DN82" s="129">
        <v>2</v>
      </c>
      <c r="DO82" s="127" t="s">
        <v>479</v>
      </c>
      <c r="DP82" s="128">
        <v>3</v>
      </c>
      <c r="DQ82" s="128">
        <v>0</v>
      </c>
      <c r="DR82" s="128">
        <v>0</v>
      </c>
      <c r="DS82" s="128">
        <v>0</v>
      </c>
      <c r="DT82" s="128">
        <v>0</v>
      </c>
      <c r="DU82" s="128">
        <v>1</v>
      </c>
      <c r="DV82" s="128">
        <v>0</v>
      </c>
      <c r="DW82" s="128">
        <v>0</v>
      </c>
      <c r="DX82" s="129">
        <v>0</v>
      </c>
      <c r="DY82" s="130">
        <v>0</v>
      </c>
      <c r="DZ82" s="131">
        <v>0</v>
      </c>
      <c r="EA82" s="131">
        <v>0</v>
      </c>
      <c r="EB82" s="132">
        <v>8</v>
      </c>
      <c r="EC82" s="131">
        <v>2</v>
      </c>
      <c r="ED82" s="133">
        <v>0</v>
      </c>
      <c r="EE82" s="134">
        <v>2</v>
      </c>
      <c r="EF82" s="131">
        <v>0</v>
      </c>
      <c r="EG82" s="131">
        <v>0</v>
      </c>
      <c r="EH82" s="131">
        <v>2</v>
      </c>
      <c r="EI82" s="131">
        <v>0</v>
      </c>
      <c r="EJ82" s="131">
        <v>2</v>
      </c>
      <c r="EK82" s="131">
        <v>0</v>
      </c>
      <c r="EL82" s="131">
        <v>0</v>
      </c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5">
        <f t="shared" si="8"/>
        <v>6</v>
      </c>
      <c r="EY82" s="134">
        <v>0</v>
      </c>
      <c r="EZ82" s="131">
        <v>0</v>
      </c>
      <c r="FA82" s="131">
        <v>0</v>
      </c>
      <c r="FB82" s="131">
        <v>1</v>
      </c>
      <c r="FC82" s="131">
        <v>0</v>
      </c>
      <c r="FD82" s="131">
        <v>0</v>
      </c>
      <c r="FE82" s="131">
        <v>0</v>
      </c>
      <c r="FF82" s="131">
        <v>0</v>
      </c>
      <c r="FG82" s="131">
        <v>0</v>
      </c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5">
        <f t="shared" si="9"/>
        <v>1</v>
      </c>
      <c r="FS82" s="141">
        <f t="shared" si="10"/>
        <v>0</v>
      </c>
      <c r="FT82" s="143">
        <f t="shared" si="11"/>
        <v>0</v>
      </c>
      <c r="FU82" s="144"/>
    </row>
    <row r="83" spans="1:177" x14ac:dyDescent="0.25">
      <c r="A83" s="121">
        <v>40363</v>
      </c>
      <c r="B83" s="121" t="s">
        <v>133</v>
      </c>
      <c r="C83" s="121" t="s">
        <v>129</v>
      </c>
      <c r="D83" s="121" t="s">
        <v>514</v>
      </c>
      <c r="E83" s="120">
        <v>4011</v>
      </c>
      <c r="F83" s="124">
        <v>3</v>
      </c>
      <c r="G83" s="125" t="s">
        <v>490</v>
      </c>
      <c r="H83" s="122">
        <v>1</v>
      </c>
      <c r="I83" s="122">
        <v>0</v>
      </c>
      <c r="J83" s="119">
        <v>7</v>
      </c>
      <c r="K83" s="122">
        <v>4</v>
      </c>
      <c r="L83" s="122">
        <v>0</v>
      </c>
      <c r="M83" s="122">
        <v>0</v>
      </c>
      <c r="N83" s="122">
        <v>1</v>
      </c>
      <c r="O83" s="122">
        <v>3</v>
      </c>
      <c r="P83" s="122">
        <v>0</v>
      </c>
      <c r="Q83" s="122">
        <v>0</v>
      </c>
      <c r="R83" s="122">
        <v>25</v>
      </c>
      <c r="S83" s="122"/>
      <c r="T83" s="122"/>
      <c r="U83" s="122">
        <v>0</v>
      </c>
      <c r="V83" s="126">
        <v>0</v>
      </c>
      <c r="W83" s="139">
        <v>0</v>
      </c>
      <c r="X83" s="122">
        <v>0</v>
      </c>
      <c r="Y83" s="122">
        <v>0</v>
      </c>
      <c r="Z83" s="122">
        <v>0</v>
      </c>
      <c r="AA83" s="122">
        <v>0</v>
      </c>
      <c r="AB83" s="119">
        <v>2</v>
      </c>
      <c r="AC83" s="122">
        <v>0</v>
      </c>
      <c r="AD83" s="122">
        <v>0</v>
      </c>
      <c r="AE83" s="122">
        <v>0</v>
      </c>
      <c r="AF83" s="122">
        <v>0</v>
      </c>
      <c r="AG83" s="122">
        <v>2</v>
      </c>
      <c r="AH83" s="122">
        <v>0</v>
      </c>
      <c r="AI83" s="122">
        <v>0</v>
      </c>
      <c r="AJ83" s="122">
        <v>6</v>
      </c>
      <c r="AK83" s="122"/>
      <c r="AL83" s="126"/>
      <c r="AM83" s="127" t="s">
        <v>519</v>
      </c>
      <c r="AN83" s="128">
        <v>5</v>
      </c>
      <c r="AO83" s="128">
        <v>0</v>
      </c>
      <c r="AP83" s="128">
        <v>2</v>
      </c>
      <c r="AQ83" s="128">
        <v>0</v>
      </c>
      <c r="AR83" s="128">
        <v>0</v>
      </c>
      <c r="AS83" s="128">
        <v>2</v>
      </c>
      <c r="AT83" s="128">
        <v>0</v>
      </c>
      <c r="AU83" s="128">
        <v>0</v>
      </c>
      <c r="AV83" s="129">
        <v>2</v>
      </c>
      <c r="AW83" s="127" t="s">
        <v>485</v>
      </c>
      <c r="AX83" s="128">
        <v>4</v>
      </c>
      <c r="AY83" s="128">
        <v>1</v>
      </c>
      <c r="AZ83" s="128">
        <v>1</v>
      </c>
      <c r="BA83" s="128">
        <v>0</v>
      </c>
      <c r="BB83" s="128">
        <v>1</v>
      </c>
      <c r="BC83" s="128">
        <v>0</v>
      </c>
      <c r="BD83" s="128">
        <v>0</v>
      </c>
      <c r="BE83" s="128">
        <v>0</v>
      </c>
      <c r="BF83" s="129">
        <v>1</v>
      </c>
      <c r="BG83" s="127" t="s">
        <v>484</v>
      </c>
      <c r="BH83" s="128">
        <v>5</v>
      </c>
      <c r="BI83" s="128">
        <v>0</v>
      </c>
      <c r="BJ83" s="128">
        <v>0</v>
      </c>
      <c r="BK83" s="128">
        <v>0</v>
      </c>
      <c r="BL83" s="128">
        <v>0</v>
      </c>
      <c r="BM83" s="128">
        <v>1</v>
      </c>
      <c r="BN83" s="128">
        <v>0</v>
      </c>
      <c r="BO83" s="128">
        <v>0</v>
      </c>
      <c r="BP83" s="129">
        <v>0</v>
      </c>
      <c r="BQ83" s="127" t="s">
        <v>366</v>
      </c>
      <c r="BR83" s="128">
        <v>4</v>
      </c>
      <c r="BS83" s="128">
        <v>2</v>
      </c>
      <c r="BT83" s="128">
        <v>1</v>
      </c>
      <c r="BU83" s="128">
        <v>0</v>
      </c>
      <c r="BV83" s="128">
        <v>1</v>
      </c>
      <c r="BW83" s="128">
        <v>2</v>
      </c>
      <c r="BX83" s="128">
        <v>0</v>
      </c>
      <c r="BY83" s="128">
        <v>0</v>
      </c>
      <c r="BZ83" s="129">
        <v>1</v>
      </c>
      <c r="CA83" s="127" t="s">
        <v>367</v>
      </c>
      <c r="CB83" s="128">
        <v>3</v>
      </c>
      <c r="CC83" s="128">
        <v>2</v>
      </c>
      <c r="CD83" s="128">
        <v>2</v>
      </c>
      <c r="CE83" s="128">
        <v>1</v>
      </c>
      <c r="CF83" s="128">
        <v>1</v>
      </c>
      <c r="CG83" s="128">
        <v>1</v>
      </c>
      <c r="CH83" s="128">
        <v>0</v>
      </c>
      <c r="CI83" s="128">
        <v>0</v>
      </c>
      <c r="CJ83" s="129">
        <v>3</v>
      </c>
      <c r="CK83" s="127" t="s">
        <v>481</v>
      </c>
      <c r="CL83" s="128">
        <v>3</v>
      </c>
      <c r="CM83" s="128">
        <v>1</v>
      </c>
      <c r="CN83" s="128">
        <v>1</v>
      </c>
      <c r="CO83" s="128">
        <v>0</v>
      </c>
      <c r="CP83" s="128">
        <v>0</v>
      </c>
      <c r="CQ83" s="128">
        <v>2</v>
      </c>
      <c r="CR83" s="128">
        <v>0</v>
      </c>
      <c r="CS83" s="128">
        <v>0</v>
      </c>
      <c r="CT83" s="129">
        <v>1</v>
      </c>
      <c r="CU83" s="127" t="s">
        <v>482</v>
      </c>
      <c r="CV83" s="128">
        <v>4</v>
      </c>
      <c r="CW83" s="128">
        <v>0</v>
      </c>
      <c r="CX83" s="128">
        <v>2</v>
      </c>
      <c r="CY83" s="128">
        <v>4</v>
      </c>
      <c r="CZ83" s="128">
        <v>0</v>
      </c>
      <c r="DA83" s="128">
        <v>1</v>
      </c>
      <c r="DB83" s="128">
        <v>0</v>
      </c>
      <c r="DC83" s="128">
        <v>0</v>
      </c>
      <c r="DD83" s="129">
        <v>2</v>
      </c>
      <c r="DE83" s="127" t="s">
        <v>486</v>
      </c>
      <c r="DF83" s="128">
        <v>4</v>
      </c>
      <c r="DG83" s="128">
        <v>0</v>
      </c>
      <c r="DH83" s="128">
        <v>2</v>
      </c>
      <c r="DI83" s="128">
        <v>1</v>
      </c>
      <c r="DJ83" s="128">
        <v>0</v>
      </c>
      <c r="DK83" s="128">
        <v>1</v>
      </c>
      <c r="DL83" s="128">
        <v>0</v>
      </c>
      <c r="DM83" s="128">
        <v>0</v>
      </c>
      <c r="DN83" s="129">
        <v>2</v>
      </c>
      <c r="DO83" s="127" t="s">
        <v>479</v>
      </c>
      <c r="DP83" s="128">
        <v>2</v>
      </c>
      <c r="DQ83" s="128">
        <v>1</v>
      </c>
      <c r="DR83" s="128">
        <v>0</v>
      </c>
      <c r="DS83" s="128">
        <v>0</v>
      </c>
      <c r="DT83" s="128">
        <v>1</v>
      </c>
      <c r="DU83" s="128">
        <v>0</v>
      </c>
      <c r="DV83" s="128">
        <v>0</v>
      </c>
      <c r="DW83" s="128">
        <v>0</v>
      </c>
      <c r="DX83" s="129">
        <v>0</v>
      </c>
      <c r="DY83" s="130">
        <v>7</v>
      </c>
      <c r="DZ83" s="131">
        <v>1</v>
      </c>
      <c r="EA83" s="131">
        <v>2</v>
      </c>
      <c r="EB83" s="132">
        <v>2</v>
      </c>
      <c r="EC83" s="131">
        <v>1</v>
      </c>
      <c r="ED83" s="133">
        <v>0</v>
      </c>
      <c r="EE83" s="134">
        <v>0</v>
      </c>
      <c r="EF83" s="131">
        <v>3</v>
      </c>
      <c r="EG83" s="131">
        <v>0</v>
      </c>
      <c r="EH83" s="131">
        <v>0</v>
      </c>
      <c r="EI83" s="131">
        <v>0</v>
      </c>
      <c r="EJ83" s="131">
        <v>0</v>
      </c>
      <c r="EK83" s="131">
        <v>0</v>
      </c>
      <c r="EL83" s="131">
        <v>3</v>
      </c>
      <c r="EM83" s="131">
        <v>1</v>
      </c>
      <c r="EN83" s="131"/>
      <c r="EO83" s="131"/>
      <c r="EP83" s="131"/>
      <c r="EQ83" s="131"/>
      <c r="ER83" s="131"/>
      <c r="ES83" s="131"/>
      <c r="ET83" s="131"/>
      <c r="EU83" s="131"/>
      <c r="EV83" s="131"/>
      <c r="EW83" s="131"/>
      <c r="EX83" s="135">
        <f t="shared" si="8"/>
        <v>7</v>
      </c>
      <c r="EY83" s="134">
        <v>0</v>
      </c>
      <c r="EZ83" s="131">
        <v>0</v>
      </c>
      <c r="FA83" s="131">
        <v>0</v>
      </c>
      <c r="FB83" s="131">
        <v>0</v>
      </c>
      <c r="FC83" s="131">
        <v>0</v>
      </c>
      <c r="FD83" s="131">
        <v>0</v>
      </c>
      <c r="FE83" s="131">
        <v>0</v>
      </c>
      <c r="FF83" s="131">
        <v>0</v>
      </c>
      <c r="FG83" s="131">
        <v>0</v>
      </c>
      <c r="FH83" s="131"/>
      <c r="FI83" s="131"/>
      <c r="FJ83" s="131"/>
      <c r="FK83" s="131"/>
      <c r="FL83" s="131"/>
      <c r="FM83" s="131"/>
      <c r="FN83" s="131"/>
      <c r="FO83" s="131"/>
      <c r="FP83" s="131"/>
      <c r="FQ83" s="131"/>
      <c r="FR83" s="135">
        <f t="shared" si="9"/>
        <v>0</v>
      </c>
      <c r="FS83" s="141">
        <f t="shared" si="10"/>
        <v>0</v>
      </c>
      <c r="FT83" s="143">
        <f t="shared" si="11"/>
        <v>0</v>
      </c>
      <c r="FU83" s="144" t="s">
        <v>520</v>
      </c>
    </row>
    <row r="84" spans="1:177" x14ac:dyDescent="0.25">
      <c r="A84" s="121">
        <v>40364</v>
      </c>
      <c r="B84" s="121" t="s">
        <v>133</v>
      </c>
      <c r="C84" s="121" t="s">
        <v>129</v>
      </c>
      <c r="D84" s="121" t="s">
        <v>514</v>
      </c>
      <c r="E84" s="120">
        <v>866</v>
      </c>
      <c r="F84" s="124">
        <v>4</v>
      </c>
      <c r="G84" s="125" t="s">
        <v>487</v>
      </c>
      <c r="H84" s="122">
        <v>1</v>
      </c>
      <c r="I84" s="122">
        <v>0</v>
      </c>
      <c r="J84" s="119">
        <v>7</v>
      </c>
      <c r="K84" s="122">
        <v>6</v>
      </c>
      <c r="L84" s="122">
        <v>3</v>
      </c>
      <c r="M84" s="122">
        <v>3</v>
      </c>
      <c r="N84" s="122">
        <v>2</v>
      </c>
      <c r="O84" s="122">
        <v>6</v>
      </c>
      <c r="P84" s="122">
        <v>0</v>
      </c>
      <c r="Q84" s="122">
        <v>0</v>
      </c>
      <c r="R84" s="122">
        <v>25</v>
      </c>
      <c r="S84" s="122"/>
      <c r="T84" s="122"/>
      <c r="U84" s="122">
        <v>0</v>
      </c>
      <c r="V84" s="126">
        <v>0</v>
      </c>
      <c r="W84" s="139">
        <v>0</v>
      </c>
      <c r="X84" s="122">
        <v>0</v>
      </c>
      <c r="Y84" s="122">
        <v>0</v>
      </c>
      <c r="Z84" s="122">
        <v>1</v>
      </c>
      <c r="AA84" s="122">
        <v>0</v>
      </c>
      <c r="AB84" s="119">
        <v>2</v>
      </c>
      <c r="AC84" s="122">
        <v>0</v>
      </c>
      <c r="AD84" s="122">
        <v>0</v>
      </c>
      <c r="AE84" s="122">
        <v>0</v>
      </c>
      <c r="AF84" s="122">
        <v>0</v>
      </c>
      <c r="AG84" s="122">
        <v>3</v>
      </c>
      <c r="AH84" s="122">
        <v>0</v>
      </c>
      <c r="AI84" s="122">
        <v>0</v>
      </c>
      <c r="AJ84" s="122">
        <v>6</v>
      </c>
      <c r="AK84" s="122"/>
      <c r="AL84" s="126"/>
      <c r="AM84" s="127" t="s">
        <v>519</v>
      </c>
      <c r="AN84" s="128">
        <v>5</v>
      </c>
      <c r="AO84" s="128">
        <v>2</v>
      </c>
      <c r="AP84" s="128">
        <v>2</v>
      </c>
      <c r="AQ84" s="128">
        <v>0</v>
      </c>
      <c r="AR84" s="128">
        <v>0</v>
      </c>
      <c r="AS84" s="128">
        <v>1</v>
      </c>
      <c r="AT84" s="128">
        <v>0</v>
      </c>
      <c r="AU84" s="128">
        <v>0</v>
      </c>
      <c r="AV84" s="129">
        <v>2</v>
      </c>
      <c r="AW84" s="127" t="s">
        <v>485</v>
      </c>
      <c r="AX84" s="128">
        <v>2</v>
      </c>
      <c r="AY84" s="128">
        <v>1</v>
      </c>
      <c r="AZ84" s="128">
        <v>1</v>
      </c>
      <c r="BA84" s="128">
        <v>0</v>
      </c>
      <c r="BB84" s="128">
        <v>2</v>
      </c>
      <c r="BC84" s="128">
        <v>1</v>
      </c>
      <c r="BD84" s="128">
        <v>0</v>
      </c>
      <c r="BE84" s="128">
        <v>0</v>
      </c>
      <c r="BF84" s="129">
        <v>1</v>
      </c>
      <c r="BG84" s="127" t="s">
        <v>484</v>
      </c>
      <c r="BH84" s="128">
        <v>5</v>
      </c>
      <c r="BI84" s="128">
        <v>1</v>
      </c>
      <c r="BJ84" s="128">
        <v>3</v>
      </c>
      <c r="BK84" s="128">
        <v>1</v>
      </c>
      <c r="BL84" s="128">
        <v>0</v>
      </c>
      <c r="BM84" s="128">
        <v>1</v>
      </c>
      <c r="BN84" s="128">
        <v>0</v>
      </c>
      <c r="BO84" s="128">
        <v>0</v>
      </c>
      <c r="BP84" s="129">
        <v>3</v>
      </c>
      <c r="BQ84" s="127" t="s">
        <v>483</v>
      </c>
      <c r="BR84" s="128">
        <v>5</v>
      </c>
      <c r="BS84" s="128">
        <v>1</v>
      </c>
      <c r="BT84" s="128">
        <v>2</v>
      </c>
      <c r="BU84" s="128">
        <v>2</v>
      </c>
      <c r="BV84" s="128">
        <v>0</v>
      </c>
      <c r="BW84" s="128">
        <v>2</v>
      </c>
      <c r="BX84" s="128">
        <v>0</v>
      </c>
      <c r="BY84" s="128">
        <v>0</v>
      </c>
      <c r="BZ84" s="129">
        <v>2</v>
      </c>
      <c r="CA84" s="127" t="s">
        <v>482</v>
      </c>
      <c r="CB84" s="128">
        <v>4</v>
      </c>
      <c r="CC84" s="128">
        <v>1</v>
      </c>
      <c r="CD84" s="128">
        <v>1</v>
      </c>
      <c r="CE84" s="128">
        <v>1</v>
      </c>
      <c r="CF84" s="128">
        <v>1</v>
      </c>
      <c r="CG84" s="128">
        <v>1</v>
      </c>
      <c r="CH84" s="128">
        <v>0</v>
      </c>
      <c r="CI84" s="128">
        <v>0</v>
      </c>
      <c r="CJ84" s="129">
        <v>2</v>
      </c>
      <c r="CK84" s="127" t="s">
        <v>367</v>
      </c>
      <c r="CL84" s="128">
        <v>5</v>
      </c>
      <c r="CM84" s="128">
        <v>1</v>
      </c>
      <c r="CN84" s="128">
        <v>2</v>
      </c>
      <c r="CO84" s="128">
        <v>2</v>
      </c>
      <c r="CP84" s="128">
        <v>0</v>
      </c>
      <c r="CQ84" s="128">
        <v>1</v>
      </c>
      <c r="CR84" s="128">
        <v>0</v>
      </c>
      <c r="CS84" s="128">
        <v>0</v>
      </c>
      <c r="CT84" s="129">
        <v>3</v>
      </c>
      <c r="CU84" s="127" t="s">
        <v>489</v>
      </c>
      <c r="CV84" s="128">
        <v>5</v>
      </c>
      <c r="CW84" s="128">
        <v>0</v>
      </c>
      <c r="CX84" s="128">
        <v>1</v>
      </c>
      <c r="CY84" s="128">
        <v>1</v>
      </c>
      <c r="CZ84" s="128">
        <v>0</v>
      </c>
      <c r="DA84" s="128">
        <v>0</v>
      </c>
      <c r="DB84" s="128">
        <v>0</v>
      </c>
      <c r="DC84" s="128">
        <v>0</v>
      </c>
      <c r="DD84" s="129">
        <v>1</v>
      </c>
      <c r="DE84" s="127" t="s">
        <v>480</v>
      </c>
      <c r="DF84" s="128">
        <v>3</v>
      </c>
      <c r="DG84" s="128">
        <v>0</v>
      </c>
      <c r="DH84" s="128">
        <v>0</v>
      </c>
      <c r="DI84" s="128">
        <v>0</v>
      </c>
      <c r="DJ84" s="128">
        <v>1</v>
      </c>
      <c r="DK84" s="128">
        <v>2</v>
      </c>
      <c r="DL84" s="128">
        <v>0</v>
      </c>
      <c r="DM84" s="128">
        <v>0</v>
      </c>
      <c r="DN84" s="129">
        <v>0</v>
      </c>
      <c r="DO84" s="127" t="s">
        <v>491</v>
      </c>
      <c r="DP84" s="128">
        <v>4</v>
      </c>
      <c r="DQ84" s="128">
        <v>0</v>
      </c>
      <c r="DR84" s="128">
        <v>0</v>
      </c>
      <c r="DS84" s="128">
        <v>0</v>
      </c>
      <c r="DT84" s="128">
        <v>0</v>
      </c>
      <c r="DU84" s="128">
        <v>0</v>
      </c>
      <c r="DV84" s="128">
        <v>0</v>
      </c>
      <c r="DW84" s="128">
        <v>0</v>
      </c>
      <c r="DX84" s="129">
        <v>0</v>
      </c>
      <c r="DY84" s="130">
        <v>0</v>
      </c>
      <c r="DZ84" s="131">
        <v>0</v>
      </c>
      <c r="EA84" s="131">
        <v>0</v>
      </c>
      <c r="EB84" s="132">
        <v>9</v>
      </c>
      <c r="EC84" s="131">
        <v>3</v>
      </c>
      <c r="ED84" s="133">
        <v>0</v>
      </c>
      <c r="EE84" s="134">
        <v>3</v>
      </c>
      <c r="EF84" s="131">
        <v>0</v>
      </c>
      <c r="EG84" s="131">
        <v>0</v>
      </c>
      <c r="EH84" s="131">
        <v>0</v>
      </c>
      <c r="EI84" s="131">
        <v>1</v>
      </c>
      <c r="EJ84" s="131">
        <v>0</v>
      </c>
      <c r="EK84" s="131">
        <v>0</v>
      </c>
      <c r="EL84" s="131">
        <v>1</v>
      </c>
      <c r="EM84" s="131">
        <v>2</v>
      </c>
      <c r="EN84" s="131"/>
      <c r="EO84" s="131"/>
      <c r="EP84" s="131"/>
      <c r="EQ84" s="131"/>
      <c r="ER84" s="131"/>
      <c r="ES84" s="131"/>
      <c r="ET84" s="131"/>
      <c r="EU84" s="131"/>
      <c r="EV84" s="131"/>
      <c r="EW84" s="131"/>
      <c r="EX84" s="135">
        <f t="shared" si="8"/>
        <v>7</v>
      </c>
      <c r="EY84" s="134">
        <v>0</v>
      </c>
      <c r="EZ84" s="131">
        <v>1</v>
      </c>
      <c r="FA84" s="131">
        <v>2</v>
      </c>
      <c r="FB84" s="131">
        <v>0</v>
      </c>
      <c r="FC84" s="131">
        <v>0</v>
      </c>
      <c r="FD84" s="131">
        <v>0</v>
      </c>
      <c r="FE84" s="131">
        <v>0</v>
      </c>
      <c r="FF84" s="131">
        <v>0</v>
      </c>
      <c r="FG84" s="131">
        <v>0</v>
      </c>
      <c r="FH84" s="131"/>
      <c r="FI84" s="131"/>
      <c r="FJ84" s="131"/>
      <c r="FK84" s="131"/>
      <c r="FL84" s="131"/>
      <c r="FM84" s="131"/>
      <c r="FN84" s="131"/>
      <c r="FO84" s="131"/>
      <c r="FP84" s="131"/>
      <c r="FQ84" s="131"/>
      <c r="FR84" s="135">
        <f t="shared" si="9"/>
        <v>3</v>
      </c>
      <c r="FS84" s="141">
        <f t="shared" si="10"/>
        <v>0</v>
      </c>
      <c r="FT84" s="143">
        <f t="shared" si="11"/>
        <v>0</v>
      </c>
      <c r="FU84" s="144"/>
    </row>
    <row r="85" spans="1:177" x14ac:dyDescent="0.25">
      <c r="A85" s="121">
        <v>40365</v>
      </c>
      <c r="B85" s="121" t="s">
        <v>133</v>
      </c>
      <c r="C85" s="121" t="s">
        <v>131</v>
      </c>
      <c r="D85" s="121" t="s">
        <v>514</v>
      </c>
      <c r="E85" s="120">
        <v>606</v>
      </c>
      <c r="F85" s="124">
        <v>5</v>
      </c>
      <c r="G85" s="125" t="s">
        <v>492</v>
      </c>
      <c r="H85" s="122">
        <v>0</v>
      </c>
      <c r="I85" s="122">
        <v>1</v>
      </c>
      <c r="J85" s="119">
        <f>2+2/3</f>
        <v>2.6666666666666665</v>
      </c>
      <c r="K85" s="122">
        <v>5</v>
      </c>
      <c r="L85" s="122">
        <v>7</v>
      </c>
      <c r="M85" s="122">
        <v>1</v>
      </c>
      <c r="N85" s="122">
        <v>5</v>
      </c>
      <c r="O85" s="122">
        <v>2</v>
      </c>
      <c r="P85" s="122">
        <v>0</v>
      </c>
      <c r="Q85" s="122">
        <v>0</v>
      </c>
      <c r="R85" s="122">
        <v>20</v>
      </c>
      <c r="S85" s="122"/>
      <c r="T85" s="122"/>
      <c r="U85" s="122">
        <v>2</v>
      </c>
      <c r="V85" s="126">
        <v>0</v>
      </c>
      <c r="W85" s="139">
        <v>0</v>
      </c>
      <c r="X85" s="122">
        <v>0</v>
      </c>
      <c r="Y85" s="122">
        <v>0</v>
      </c>
      <c r="Z85" s="122">
        <v>0</v>
      </c>
      <c r="AA85" s="122">
        <v>0</v>
      </c>
      <c r="AB85" s="119">
        <f>5+1/3</f>
        <v>5.333333333333333</v>
      </c>
      <c r="AC85" s="122">
        <v>5</v>
      </c>
      <c r="AD85" s="122">
        <v>1</v>
      </c>
      <c r="AE85" s="122">
        <v>1</v>
      </c>
      <c r="AF85" s="122">
        <v>1</v>
      </c>
      <c r="AG85" s="122">
        <v>10</v>
      </c>
      <c r="AH85" s="122">
        <v>0</v>
      </c>
      <c r="AI85" s="122">
        <v>1</v>
      </c>
      <c r="AJ85" s="122">
        <v>23</v>
      </c>
      <c r="AK85" s="122"/>
      <c r="AL85" s="126"/>
      <c r="AM85" s="127" t="s">
        <v>519</v>
      </c>
      <c r="AN85" s="128">
        <v>6</v>
      </c>
      <c r="AO85" s="128">
        <v>1</v>
      </c>
      <c r="AP85" s="128">
        <v>2</v>
      </c>
      <c r="AQ85" s="128">
        <v>2</v>
      </c>
      <c r="AR85" s="128">
        <v>0</v>
      </c>
      <c r="AS85" s="128">
        <v>3</v>
      </c>
      <c r="AT85" s="128">
        <v>0</v>
      </c>
      <c r="AU85" s="128">
        <v>0</v>
      </c>
      <c r="AV85" s="129">
        <v>2</v>
      </c>
      <c r="AW85" s="127" t="s">
        <v>485</v>
      </c>
      <c r="AX85" s="128">
        <v>4</v>
      </c>
      <c r="AY85" s="128">
        <v>1</v>
      </c>
      <c r="AZ85" s="128">
        <v>1</v>
      </c>
      <c r="BA85" s="128">
        <v>0</v>
      </c>
      <c r="BB85" s="128">
        <v>1</v>
      </c>
      <c r="BC85" s="128">
        <v>1</v>
      </c>
      <c r="BD85" s="128">
        <v>0</v>
      </c>
      <c r="BE85" s="128">
        <v>0</v>
      </c>
      <c r="BF85" s="129">
        <v>1</v>
      </c>
      <c r="BG85" s="127" t="s">
        <v>482</v>
      </c>
      <c r="BH85" s="128">
        <v>4</v>
      </c>
      <c r="BI85" s="128">
        <v>0</v>
      </c>
      <c r="BJ85" s="128">
        <v>3</v>
      </c>
      <c r="BK85" s="128">
        <v>1</v>
      </c>
      <c r="BL85" s="128">
        <v>1</v>
      </c>
      <c r="BM85" s="128">
        <v>0</v>
      </c>
      <c r="BN85" s="128">
        <v>0</v>
      </c>
      <c r="BO85" s="128">
        <v>0</v>
      </c>
      <c r="BP85" s="129">
        <v>4</v>
      </c>
      <c r="BQ85" s="127" t="s">
        <v>366</v>
      </c>
      <c r="BR85" s="128">
        <v>4</v>
      </c>
      <c r="BS85" s="128">
        <v>0</v>
      </c>
      <c r="BT85" s="128">
        <v>0</v>
      </c>
      <c r="BU85" s="128">
        <v>0</v>
      </c>
      <c r="BV85" s="128">
        <v>1</v>
      </c>
      <c r="BW85" s="128">
        <v>4</v>
      </c>
      <c r="BX85" s="128">
        <v>0</v>
      </c>
      <c r="BY85" s="128">
        <v>0</v>
      </c>
      <c r="BZ85" s="129">
        <v>0</v>
      </c>
      <c r="CA85" s="127" t="s">
        <v>367</v>
      </c>
      <c r="CB85" s="128">
        <v>4</v>
      </c>
      <c r="CC85" s="128">
        <v>1</v>
      </c>
      <c r="CD85" s="128">
        <v>1</v>
      </c>
      <c r="CE85" s="128">
        <v>1</v>
      </c>
      <c r="CF85" s="128">
        <v>1</v>
      </c>
      <c r="CG85" s="128">
        <v>0</v>
      </c>
      <c r="CH85" s="128">
        <v>0</v>
      </c>
      <c r="CI85" s="128">
        <v>0</v>
      </c>
      <c r="CJ85" s="129">
        <v>1</v>
      </c>
      <c r="CK85" s="127" t="s">
        <v>481</v>
      </c>
      <c r="CL85" s="128">
        <v>5</v>
      </c>
      <c r="CM85" s="128">
        <v>0</v>
      </c>
      <c r="CN85" s="128">
        <v>1</v>
      </c>
      <c r="CO85" s="128">
        <v>0</v>
      </c>
      <c r="CP85" s="128">
        <v>0</v>
      </c>
      <c r="CQ85" s="128">
        <v>0</v>
      </c>
      <c r="CR85" s="128">
        <v>0</v>
      </c>
      <c r="CS85" s="128">
        <v>0</v>
      </c>
      <c r="CT85" s="129">
        <v>1</v>
      </c>
      <c r="CU85" s="127" t="s">
        <v>486</v>
      </c>
      <c r="CV85" s="128">
        <v>3</v>
      </c>
      <c r="CW85" s="128">
        <v>0</v>
      </c>
      <c r="CX85" s="128">
        <v>0</v>
      </c>
      <c r="CY85" s="128">
        <v>0</v>
      </c>
      <c r="CZ85" s="128">
        <v>1</v>
      </c>
      <c r="DA85" s="128">
        <v>1</v>
      </c>
      <c r="DB85" s="128">
        <v>1</v>
      </c>
      <c r="DC85" s="128">
        <v>0</v>
      </c>
      <c r="DD85" s="129">
        <v>0</v>
      </c>
      <c r="DE85" s="127" t="s">
        <v>489</v>
      </c>
      <c r="DF85" s="128">
        <v>2</v>
      </c>
      <c r="DG85" s="128">
        <v>1</v>
      </c>
      <c r="DH85" s="128">
        <v>0</v>
      </c>
      <c r="DI85" s="128">
        <v>1</v>
      </c>
      <c r="DJ85" s="128">
        <v>3</v>
      </c>
      <c r="DK85" s="128">
        <v>0</v>
      </c>
      <c r="DL85" s="128">
        <v>0</v>
      </c>
      <c r="DM85" s="128">
        <v>0</v>
      </c>
      <c r="DN85" s="129">
        <v>0</v>
      </c>
      <c r="DO85" s="127" t="s">
        <v>479</v>
      </c>
      <c r="DP85" s="128">
        <v>5</v>
      </c>
      <c r="DQ85" s="128">
        <v>1</v>
      </c>
      <c r="DR85" s="128">
        <v>2</v>
      </c>
      <c r="DS85" s="128">
        <v>0</v>
      </c>
      <c r="DT85" s="128">
        <v>0</v>
      </c>
      <c r="DU85" s="128">
        <v>1</v>
      </c>
      <c r="DV85" s="128">
        <v>0</v>
      </c>
      <c r="DW85" s="128">
        <v>0</v>
      </c>
      <c r="DX85" s="129">
        <v>3</v>
      </c>
      <c r="DY85" s="130">
        <f>5+2/3</f>
        <v>5.666666666666667</v>
      </c>
      <c r="DZ85" s="131">
        <v>2</v>
      </c>
      <c r="EA85" s="131">
        <v>0</v>
      </c>
      <c r="EB85" s="132">
        <f>3+1/3</f>
        <v>3.3333333333333335</v>
      </c>
      <c r="EC85" s="131">
        <v>0</v>
      </c>
      <c r="ED85" s="133">
        <v>0</v>
      </c>
      <c r="EE85" s="134">
        <v>0</v>
      </c>
      <c r="EF85" s="131">
        <v>0</v>
      </c>
      <c r="EG85" s="131">
        <v>0</v>
      </c>
      <c r="EH85" s="131">
        <v>0</v>
      </c>
      <c r="EI85" s="131">
        <v>0</v>
      </c>
      <c r="EJ85" s="131">
        <v>2</v>
      </c>
      <c r="EK85" s="131">
        <v>0</v>
      </c>
      <c r="EL85" s="131">
        <v>3</v>
      </c>
      <c r="EM85" s="131">
        <v>0</v>
      </c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5">
        <f t="shared" si="8"/>
        <v>5</v>
      </c>
      <c r="EY85" s="134">
        <v>2</v>
      </c>
      <c r="EZ85" s="131">
        <v>0</v>
      </c>
      <c r="FA85" s="131">
        <v>5</v>
      </c>
      <c r="FB85" s="131">
        <v>0</v>
      </c>
      <c r="FC85" s="131">
        <v>0</v>
      </c>
      <c r="FD85" s="131">
        <v>0</v>
      </c>
      <c r="FE85" s="131">
        <v>0</v>
      </c>
      <c r="FF85" s="131">
        <v>1</v>
      </c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5">
        <f t="shared" si="9"/>
        <v>8</v>
      </c>
      <c r="FS85" s="141">
        <f t="shared" si="10"/>
        <v>0</v>
      </c>
      <c r="FT85" s="143">
        <f t="shared" si="11"/>
        <v>0</v>
      </c>
      <c r="FU85" s="144"/>
    </row>
    <row r="86" spans="1:177" x14ac:dyDescent="0.25">
      <c r="A86" s="121">
        <v>40366</v>
      </c>
      <c r="B86" s="121" t="s">
        <v>133</v>
      </c>
      <c r="C86" s="121" t="s">
        <v>131</v>
      </c>
      <c r="D86" s="121" t="s">
        <v>513</v>
      </c>
      <c r="E86" s="120">
        <v>702</v>
      </c>
      <c r="F86" s="124">
        <v>1</v>
      </c>
      <c r="G86" s="125" t="s">
        <v>494</v>
      </c>
      <c r="H86" s="122">
        <v>0</v>
      </c>
      <c r="I86" s="122">
        <v>1</v>
      </c>
      <c r="J86" s="119">
        <f>5+2/3</f>
        <v>5.666666666666667</v>
      </c>
      <c r="K86" s="122">
        <v>8</v>
      </c>
      <c r="L86" s="122">
        <v>4</v>
      </c>
      <c r="M86" s="122">
        <v>4</v>
      </c>
      <c r="N86" s="122">
        <v>1</v>
      </c>
      <c r="O86" s="122">
        <v>4</v>
      </c>
      <c r="P86" s="122">
        <v>1</v>
      </c>
      <c r="Q86" s="122">
        <v>0</v>
      </c>
      <c r="R86" s="122">
        <v>25</v>
      </c>
      <c r="S86" s="122"/>
      <c r="T86" s="122"/>
      <c r="U86" s="122">
        <v>1</v>
      </c>
      <c r="V86" s="126">
        <v>0</v>
      </c>
      <c r="W86" s="139">
        <v>0</v>
      </c>
      <c r="X86" s="122">
        <v>0</v>
      </c>
      <c r="Y86" s="122">
        <v>0</v>
      </c>
      <c r="Z86" s="122">
        <v>0</v>
      </c>
      <c r="AA86" s="122">
        <v>0</v>
      </c>
      <c r="AB86" s="119">
        <f>2+1/3</f>
        <v>2.3333333333333335</v>
      </c>
      <c r="AC86" s="122">
        <v>3</v>
      </c>
      <c r="AD86" s="122">
        <v>2</v>
      </c>
      <c r="AE86" s="122">
        <v>2</v>
      </c>
      <c r="AF86" s="122">
        <v>2</v>
      </c>
      <c r="AG86" s="122">
        <v>0</v>
      </c>
      <c r="AH86" s="122">
        <v>0</v>
      </c>
      <c r="AI86" s="122">
        <v>0</v>
      </c>
      <c r="AJ86" s="122">
        <v>12</v>
      </c>
      <c r="AK86" s="122"/>
      <c r="AL86" s="126"/>
      <c r="AM86" s="127" t="s">
        <v>519</v>
      </c>
      <c r="AN86" s="128">
        <v>3</v>
      </c>
      <c r="AO86" s="128">
        <v>1</v>
      </c>
      <c r="AP86" s="128">
        <v>2</v>
      </c>
      <c r="AQ86" s="128">
        <v>1</v>
      </c>
      <c r="AR86" s="128">
        <v>2</v>
      </c>
      <c r="AS86" s="128">
        <v>0</v>
      </c>
      <c r="AT86" s="128">
        <v>0</v>
      </c>
      <c r="AU86" s="128">
        <v>0</v>
      </c>
      <c r="AV86" s="129">
        <v>3</v>
      </c>
      <c r="AW86" s="127" t="s">
        <v>485</v>
      </c>
      <c r="AX86" s="128">
        <v>3</v>
      </c>
      <c r="AY86" s="128">
        <v>0</v>
      </c>
      <c r="AZ86" s="128">
        <v>1</v>
      </c>
      <c r="BA86" s="128">
        <v>0</v>
      </c>
      <c r="BB86" s="128">
        <v>2</v>
      </c>
      <c r="BC86" s="128">
        <v>0</v>
      </c>
      <c r="BD86" s="128">
        <v>0</v>
      </c>
      <c r="BE86" s="128">
        <v>0</v>
      </c>
      <c r="BF86" s="129">
        <v>1</v>
      </c>
      <c r="BG86" s="127" t="s">
        <v>482</v>
      </c>
      <c r="BH86" s="128">
        <v>4</v>
      </c>
      <c r="BI86" s="128">
        <v>0</v>
      </c>
      <c r="BJ86" s="128">
        <v>0</v>
      </c>
      <c r="BK86" s="128">
        <v>0</v>
      </c>
      <c r="BL86" s="128">
        <v>1</v>
      </c>
      <c r="BM86" s="128">
        <v>1</v>
      </c>
      <c r="BN86" s="128">
        <v>0</v>
      </c>
      <c r="BO86" s="128">
        <v>0</v>
      </c>
      <c r="BP86" s="129">
        <v>0</v>
      </c>
      <c r="BQ86" s="127" t="s">
        <v>367</v>
      </c>
      <c r="BR86" s="128">
        <v>5</v>
      </c>
      <c r="BS86" s="128">
        <v>0</v>
      </c>
      <c r="BT86" s="128">
        <v>3</v>
      </c>
      <c r="BU86" s="128">
        <v>1</v>
      </c>
      <c r="BV86" s="128">
        <v>0</v>
      </c>
      <c r="BW86" s="128">
        <v>0</v>
      </c>
      <c r="BX86" s="128">
        <v>0</v>
      </c>
      <c r="BY86" s="128">
        <v>0</v>
      </c>
      <c r="BZ86" s="129">
        <v>3</v>
      </c>
      <c r="CA86" s="127" t="s">
        <v>484</v>
      </c>
      <c r="CB86" s="128">
        <v>5</v>
      </c>
      <c r="CC86" s="128">
        <v>1</v>
      </c>
      <c r="CD86" s="128">
        <v>1</v>
      </c>
      <c r="CE86" s="128">
        <v>0</v>
      </c>
      <c r="CF86" s="128">
        <v>0</v>
      </c>
      <c r="CG86" s="128">
        <v>0</v>
      </c>
      <c r="CH86" s="128">
        <v>0</v>
      </c>
      <c r="CI86" s="128">
        <v>0</v>
      </c>
      <c r="CJ86" s="129">
        <v>2</v>
      </c>
      <c r="CK86" s="127" t="s">
        <v>481</v>
      </c>
      <c r="CL86" s="128">
        <v>5</v>
      </c>
      <c r="CM86" s="128">
        <v>0</v>
      </c>
      <c r="CN86" s="128">
        <v>0</v>
      </c>
      <c r="CO86" s="128">
        <v>0</v>
      </c>
      <c r="CP86" s="128">
        <v>0</v>
      </c>
      <c r="CQ86" s="128">
        <v>2</v>
      </c>
      <c r="CR86" s="128">
        <v>0</v>
      </c>
      <c r="CS86" s="128">
        <v>0</v>
      </c>
      <c r="CT86" s="129">
        <v>0</v>
      </c>
      <c r="CU86" s="127" t="s">
        <v>489</v>
      </c>
      <c r="CV86" s="128">
        <v>4</v>
      </c>
      <c r="CW86" s="128">
        <v>0</v>
      </c>
      <c r="CX86" s="128">
        <v>1</v>
      </c>
      <c r="CY86" s="128">
        <v>1</v>
      </c>
      <c r="CZ86" s="128">
        <v>1</v>
      </c>
      <c r="DA86" s="128">
        <v>0</v>
      </c>
      <c r="DB86" s="128">
        <v>0</v>
      </c>
      <c r="DC86" s="128">
        <v>0</v>
      </c>
      <c r="DD86" s="129">
        <v>1</v>
      </c>
      <c r="DE86" s="127" t="s">
        <v>486</v>
      </c>
      <c r="DF86" s="128">
        <v>4</v>
      </c>
      <c r="DG86" s="128">
        <v>0</v>
      </c>
      <c r="DH86" s="128">
        <v>1</v>
      </c>
      <c r="DI86" s="128">
        <v>0</v>
      </c>
      <c r="DJ86" s="128">
        <v>0</v>
      </c>
      <c r="DK86" s="128">
        <v>0</v>
      </c>
      <c r="DL86" s="128">
        <v>0</v>
      </c>
      <c r="DM86" s="128">
        <v>0</v>
      </c>
      <c r="DN86" s="129">
        <v>1</v>
      </c>
      <c r="DO86" s="127" t="s">
        <v>491</v>
      </c>
      <c r="DP86" s="128">
        <v>4</v>
      </c>
      <c r="DQ86" s="128">
        <v>2</v>
      </c>
      <c r="DR86" s="128">
        <v>2</v>
      </c>
      <c r="DS86" s="128">
        <v>0</v>
      </c>
      <c r="DT86" s="128">
        <v>0</v>
      </c>
      <c r="DU86" s="128">
        <v>1</v>
      </c>
      <c r="DV86" s="128">
        <v>0</v>
      </c>
      <c r="DW86" s="128">
        <v>0</v>
      </c>
      <c r="DX86" s="129">
        <v>3</v>
      </c>
      <c r="DY86" s="130">
        <v>0</v>
      </c>
      <c r="DZ86" s="131">
        <v>0</v>
      </c>
      <c r="EA86" s="131">
        <v>0</v>
      </c>
      <c r="EB86" s="132">
        <v>9</v>
      </c>
      <c r="EC86" s="131">
        <v>3</v>
      </c>
      <c r="ED86" s="133">
        <v>1</v>
      </c>
      <c r="EE86" s="134">
        <v>0</v>
      </c>
      <c r="EF86" s="131">
        <v>0</v>
      </c>
      <c r="EG86" s="131">
        <v>1</v>
      </c>
      <c r="EH86" s="131">
        <v>1</v>
      </c>
      <c r="EI86" s="131">
        <v>0</v>
      </c>
      <c r="EJ86" s="131">
        <v>0</v>
      </c>
      <c r="EK86" s="131">
        <v>1</v>
      </c>
      <c r="EL86" s="131">
        <v>1</v>
      </c>
      <c r="EM86" s="131">
        <v>0</v>
      </c>
      <c r="EN86" s="131"/>
      <c r="EO86" s="131"/>
      <c r="EP86" s="131"/>
      <c r="EQ86" s="131"/>
      <c r="ER86" s="131"/>
      <c r="ES86" s="131"/>
      <c r="ET86" s="131"/>
      <c r="EU86" s="131"/>
      <c r="EV86" s="131"/>
      <c r="EW86" s="131"/>
      <c r="EX86" s="135">
        <f t="shared" si="8"/>
        <v>4</v>
      </c>
      <c r="EY86" s="134">
        <v>0</v>
      </c>
      <c r="EZ86" s="131">
        <v>0</v>
      </c>
      <c r="FA86" s="131">
        <v>1</v>
      </c>
      <c r="FB86" s="131">
        <v>1</v>
      </c>
      <c r="FC86" s="131">
        <v>0</v>
      </c>
      <c r="FD86" s="131">
        <v>2</v>
      </c>
      <c r="FE86" s="131">
        <v>2</v>
      </c>
      <c r="FF86" s="131">
        <v>0</v>
      </c>
      <c r="FG86" s="131"/>
      <c r="FH86" s="131"/>
      <c r="FI86" s="131"/>
      <c r="FJ86" s="131"/>
      <c r="FK86" s="131"/>
      <c r="FL86" s="131"/>
      <c r="FM86" s="131"/>
      <c r="FN86" s="131"/>
      <c r="FO86" s="131"/>
      <c r="FP86" s="131"/>
      <c r="FQ86" s="131"/>
      <c r="FR86" s="135">
        <f t="shared" si="9"/>
        <v>6</v>
      </c>
      <c r="FS86" s="141">
        <f t="shared" si="10"/>
        <v>0</v>
      </c>
      <c r="FT86" s="143">
        <f t="shared" si="11"/>
        <v>0</v>
      </c>
      <c r="FU86" s="144"/>
    </row>
    <row r="87" spans="1:177" x14ac:dyDescent="0.25">
      <c r="A87" s="121">
        <v>40367</v>
      </c>
      <c r="B87" s="121" t="s">
        <v>133</v>
      </c>
      <c r="C87" s="121" t="s">
        <v>129</v>
      </c>
      <c r="D87" s="121" t="s">
        <v>513</v>
      </c>
      <c r="E87" s="120">
        <v>838</v>
      </c>
      <c r="F87" s="124">
        <v>2</v>
      </c>
      <c r="G87" s="125" t="s">
        <v>498</v>
      </c>
      <c r="H87" s="122">
        <v>1</v>
      </c>
      <c r="I87" s="122">
        <v>0</v>
      </c>
      <c r="J87" s="119">
        <v>7</v>
      </c>
      <c r="K87" s="122">
        <v>4</v>
      </c>
      <c r="L87" s="122">
        <v>0</v>
      </c>
      <c r="M87" s="122">
        <v>0</v>
      </c>
      <c r="N87" s="122">
        <v>0</v>
      </c>
      <c r="O87" s="122">
        <v>7</v>
      </c>
      <c r="P87" s="122">
        <v>0</v>
      </c>
      <c r="Q87" s="122">
        <v>1</v>
      </c>
      <c r="R87" s="122">
        <v>26</v>
      </c>
      <c r="S87" s="122"/>
      <c r="T87" s="122"/>
      <c r="U87" s="122">
        <v>0</v>
      </c>
      <c r="V87" s="126">
        <v>0</v>
      </c>
      <c r="W87" s="139">
        <v>0</v>
      </c>
      <c r="X87" s="122">
        <v>0</v>
      </c>
      <c r="Y87" s="122">
        <v>0</v>
      </c>
      <c r="Z87" s="122">
        <v>1</v>
      </c>
      <c r="AA87" s="122">
        <v>0</v>
      </c>
      <c r="AB87" s="119">
        <v>2</v>
      </c>
      <c r="AC87" s="122">
        <v>2</v>
      </c>
      <c r="AD87" s="122">
        <v>1</v>
      </c>
      <c r="AE87" s="122">
        <v>1</v>
      </c>
      <c r="AF87" s="122">
        <v>0</v>
      </c>
      <c r="AG87" s="122">
        <v>1</v>
      </c>
      <c r="AH87" s="122">
        <v>0</v>
      </c>
      <c r="AI87" s="122">
        <v>0</v>
      </c>
      <c r="AJ87" s="122">
        <v>8</v>
      </c>
      <c r="AK87" s="122"/>
      <c r="AL87" s="126"/>
      <c r="AM87" s="127" t="s">
        <v>519</v>
      </c>
      <c r="AN87" s="128">
        <v>5</v>
      </c>
      <c r="AO87" s="128">
        <v>0</v>
      </c>
      <c r="AP87" s="128">
        <v>1</v>
      </c>
      <c r="AQ87" s="128">
        <v>0</v>
      </c>
      <c r="AR87" s="128">
        <v>0</v>
      </c>
      <c r="AS87" s="128">
        <v>1</v>
      </c>
      <c r="AT87" s="128">
        <v>0</v>
      </c>
      <c r="AU87" s="128">
        <v>0</v>
      </c>
      <c r="AV87" s="129">
        <v>1</v>
      </c>
      <c r="AW87" s="127" t="s">
        <v>485</v>
      </c>
      <c r="AX87" s="128">
        <v>3</v>
      </c>
      <c r="AY87" s="128">
        <v>1</v>
      </c>
      <c r="AZ87" s="128">
        <v>1</v>
      </c>
      <c r="BA87" s="128">
        <v>0</v>
      </c>
      <c r="BB87" s="128">
        <v>0</v>
      </c>
      <c r="BC87" s="128">
        <v>0</v>
      </c>
      <c r="BD87" s="128">
        <v>1</v>
      </c>
      <c r="BE87" s="128">
        <v>0</v>
      </c>
      <c r="BF87" s="129">
        <v>1</v>
      </c>
      <c r="BG87" s="127" t="s">
        <v>484</v>
      </c>
      <c r="BH87" s="128">
        <v>3</v>
      </c>
      <c r="BI87" s="128">
        <v>1</v>
      </c>
      <c r="BJ87" s="128">
        <v>0</v>
      </c>
      <c r="BK87" s="128">
        <v>0</v>
      </c>
      <c r="BL87" s="128">
        <v>1</v>
      </c>
      <c r="BM87" s="128">
        <v>2</v>
      </c>
      <c r="BN87" s="128">
        <v>0</v>
      </c>
      <c r="BO87" s="128">
        <v>0</v>
      </c>
      <c r="BP87" s="129">
        <v>0</v>
      </c>
      <c r="BQ87" s="127" t="s">
        <v>367</v>
      </c>
      <c r="BR87" s="128">
        <v>3</v>
      </c>
      <c r="BS87" s="128">
        <v>0</v>
      </c>
      <c r="BT87" s="128">
        <v>3</v>
      </c>
      <c r="BU87" s="128">
        <v>0</v>
      </c>
      <c r="BV87" s="128">
        <v>1</v>
      </c>
      <c r="BW87" s="128">
        <v>0</v>
      </c>
      <c r="BX87" s="128">
        <v>0</v>
      </c>
      <c r="BY87" s="128">
        <v>0</v>
      </c>
      <c r="BZ87" s="129">
        <v>4</v>
      </c>
      <c r="CA87" s="127" t="s">
        <v>491</v>
      </c>
      <c r="CB87" s="128">
        <v>3</v>
      </c>
      <c r="CC87" s="128">
        <v>0</v>
      </c>
      <c r="CD87" s="128">
        <v>1</v>
      </c>
      <c r="CE87" s="128">
        <v>1</v>
      </c>
      <c r="CF87" s="128">
        <v>1</v>
      </c>
      <c r="CG87" s="128">
        <v>1</v>
      </c>
      <c r="CH87" s="128">
        <v>0</v>
      </c>
      <c r="CI87" s="128">
        <v>0</v>
      </c>
      <c r="CJ87" s="129">
        <v>1</v>
      </c>
      <c r="CK87" s="127" t="s">
        <v>486</v>
      </c>
      <c r="CL87" s="128">
        <v>4</v>
      </c>
      <c r="CM87" s="128">
        <v>0</v>
      </c>
      <c r="CN87" s="128">
        <v>2</v>
      </c>
      <c r="CO87" s="128">
        <v>1</v>
      </c>
      <c r="CP87" s="128">
        <v>0</v>
      </c>
      <c r="CQ87" s="128">
        <v>0</v>
      </c>
      <c r="CR87" s="128">
        <v>0</v>
      </c>
      <c r="CS87" s="128">
        <v>0</v>
      </c>
      <c r="CT87" s="129">
        <v>2</v>
      </c>
      <c r="CU87" s="127" t="s">
        <v>480</v>
      </c>
      <c r="CV87" s="128">
        <v>3</v>
      </c>
      <c r="CW87" s="128">
        <v>0</v>
      </c>
      <c r="CX87" s="128">
        <v>0</v>
      </c>
      <c r="CY87" s="128">
        <v>0</v>
      </c>
      <c r="CZ87" s="128">
        <v>1</v>
      </c>
      <c r="DA87" s="128">
        <v>3</v>
      </c>
      <c r="DB87" s="128">
        <v>0</v>
      </c>
      <c r="DC87" s="128">
        <v>0</v>
      </c>
      <c r="DD87" s="129">
        <v>0</v>
      </c>
      <c r="DE87" s="127" t="s">
        <v>481</v>
      </c>
      <c r="DF87" s="128">
        <v>4</v>
      </c>
      <c r="DG87" s="128">
        <v>0</v>
      </c>
      <c r="DH87" s="128">
        <v>0</v>
      </c>
      <c r="DI87" s="128">
        <v>0</v>
      </c>
      <c r="DJ87" s="128">
        <v>0</v>
      </c>
      <c r="DK87" s="128">
        <v>1</v>
      </c>
      <c r="DL87" s="128">
        <v>0</v>
      </c>
      <c r="DM87" s="128">
        <v>0</v>
      </c>
      <c r="DN87" s="129">
        <v>0</v>
      </c>
      <c r="DO87" s="127" t="s">
        <v>482</v>
      </c>
      <c r="DP87" s="128">
        <v>4</v>
      </c>
      <c r="DQ87" s="128">
        <v>0</v>
      </c>
      <c r="DR87" s="128">
        <v>0</v>
      </c>
      <c r="DS87" s="128">
        <v>0</v>
      </c>
      <c r="DT87" s="128">
        <v>0</v>
      </c>
      <c r="DU87" s="128">
        <v>2</v>
      </c>
      <c r="DV87" s="128">
        <v>0</v>
      </c>
      <c r="DW87" s="128">
        <v>0</v>
      </c>
      <c r="DX87" s="129">
        <v>0</v>
      </c>
      <c r="DY87" s="130">
        <v>0</v>
      </c>
      <c r="DZ87" s="131">
        <v>0</v>
      </c>
      <c r="EA87" s="131">
        <v>0</v>
      </c>
      <c r="EB87" s="132">
        <v>9</v>
      </c>
      <c r="EC87" s="131">
        <v>2</v>
      </c>
      <c r="ED87" s="133">
        <v>0</v>
      </c>
      <c r="EE87" s="134">
        <v>0</v>
      </c>
      <c r="EF87" s="131">
        <v>0</v>
      </c>
      <c r="EG87" s="131">
        <v>0</v>
      </c>
      <c r="EH87" s="131">
        <v>0</v>
      </c>
      <c r="EI87" s="131">
        <v>0</v>
      </c>
      <c r="EJ87" s="131">
        <v>2</v>
      </c>
      <c r="EK87" s="131">
        <v>0</v>
      </c>
      <c r="EL87" s="131">
        <v>0</v>
      </c>
      <c r="EM87" s="131">
        <v>0</v>
      </c>
      <c r="EN87" s="131"/>
      <c r="EO87" s="131"/>
      <c r="EP87" s="131"/>
      <c r="EQ87" s="131"/>
      <c r="ER87" s="131"/>
      <c r="ES87" s="131"/>
      <c r="ET87" s="131"/>
      <c r="EU87" s="131"/>
      <c r="EV87" s="131"/>
      <c r="EW87" s="131"/>
      <c r="EX87" s="135">
        <f t="shared" si="8"/>
        <v>2</v>
      </c>
      <c r="EY87" s="134">
        <v>0</v>
      </c>
      <c r="EZ87" s="131">
        <v>0</v>
      </c>
      <c r="FA87" s="131">
        <v>0</v>
      </c>
      <c r="FB87" s="131">
        <v>0</v>
      </c>
      <c r="FC87" s="131">
        <v>0</v>
      </c>
      <c r="FD87" s="131">
        <v>0</v>
      </c>
      <c r="FE87" s="131">
        <v>0</v>
      </c>
      <c r="FF87" s="131">
        <v>0</v>
      </c>
      <c r="FG87" s="131">
        <v>1</v>
      </c>
      <c r="FH87" s="131"/>
      <c r="FI87" s="131"/>
      <c r="FJ87" s="131"/>
      <c r="FK87" s="131"/>
      <c r="FL87" s="131"/>
      <c r="FM87" s="131"/>
      <c r="FN87" s="131"/>
      <c r="FO87" s="131"/>
      <c r="FP87" s="131"/>
      <c r="FQ87" s="131"/>
      <c r="FR87" s="135">
        <f t="shared" si="9"/>
        <v>1</v>
      </c>
      <c r="FS87" s="141">
        <f t="shared" si="10"/>
        <v>0</v>
      </c>
      <c r="FT87" s="143">
        <f t="shared" si="11"/>
        <v>0</v>
      </c>
      <c r="FU87" s="144"/>
    </row>
    <row r="88" spans="1:177" x14ac:dyDescent="0.25">
      <c r="A88" s="121">
        <v>40368</v>
      </c>
      <c r="B88" s="121" t="s">
        <v>133</v>
      </c>
      <c r="C88" s="121" t="s">
        <v>129</v>
      </c>
      <c r="D88" s="121" t="s">
        <v>513</v>
      </c>
      <c r="E88" s="120">
        <v>629</v>
      </c>
      <c r="F88" s="124">
        <v>3</v>
      </c>
      <c r="G88" s="125" t="s">
        <v>490</v>
      </c>
      <c r="H88" s="122">
        <v>1</v>
      </c>
      <c r="I88" s="122">
        <v>0</v>
      </c>
      <c r="J88" s="119">
        <v>7</v>
      </c>
      <c r="K88" s="122">
        <v>5</v>
      </c>
      <c r="L88" s="122">
        <v>0</v>
      </c>
      <c r="M88" s="122">
        <v>0</v>
      </c>
      <c r="N88" s="122">
        <v>3</v>
      </c>
      <c r="O88" s="122">
        <v>7</v>
      </c>
      <c r="P88" s="122">
        <v>0</v>
      </c>
      <c r="Q88" s="122">
        <v>0</v>
      </c>
      <c r="R88" s="122">
        <v>28</v>
      </c>
      <c r="S88" s="122"/>
      <c r="T88" s="122"/>
      <c r="U88" s="122">
        <v>0</v>
      </c>
      <c r="V88" s="126">
        <v>0</v>
      </c>
      <c r="W88" s="139">
        <v>0</v>
      </c>
      <c r="X88" s="122">
        <v>0</v>
      </c>
      <c r="Y88" s="122">
        <v>0</v>
      </c>
      <c r="Z88" s="122">
        <v>1</v>
      </c>
      <c r="AA88" s="122">
        <v>0</v>
      </c>
      <c r="AB88" s="119">
        <v>2</v>
      </c>
      <c r="AC88" s="122">
        <v>4</v>
      </c>
      <c r="AD88" s="122">
        <v>4</v>
      </c>
      <c r="AE88" s="122">
        <v>4</v>
      </c>
      <c r="AF88" s="122">
        <v>4</v>
      </c>
      <c r="AG88" s="122">
        <v>3</v>
      </c>
      <c r="AH88" s="122">
        <v>0</v>
      </c>
      <c r="AI88" s="122">
        <v>0</v>
      </c>
      <c r="AJ88" s="122">
        <v>13</v>
      </c>
      <c r="AK88" s="122"/>
      <c r="AL88" s="126"/>
      <c r="AM88" s="127" t="s">
        <v>519</v>
      </c>
      <c r="AN88" s="128">
        <v>5</v>
      </c>
      <c r="AO88" s="128">
        <v>1</v>
      </c>
      <c r="AP88" s="128">
        <v>1</v>
      </c>
      <c r="AQ88" s="128">
        <v>0</v>
      </c>
      <c r="AR88" s="128">
        <v>0</v>
      </c>
      <c r="AS88" s="128">
        <v>3</v>
      </c>
      <c r="AT88" s="128">
        <v>0</v>
      </c>
      <c r="AU88" s="128">
        <v>0</v>
      </c>
      <c r="AV88" s="129">
        <v>1</v>
      </c>
      <c r="AW88" s="127" t="s">
        <v>486</v>
      </c>
      <c r="AX88" s="128">
        <v>5</v>
      </c>
      <c r="AY88" s="128">
        <v>0</v>
      </c>
      <c r="AZ88" s="128">
        <v>1</v>
      </c>
      <c r="BA88" s="128">
        <v>0</v>
      </c>
      <c r="BB88" s="128">
        <v>0</v>
      </c>
      <c r="BC88" s="128">
        <v>0</v>
      </c>
      <c r="BD88" s="128">
        <v>0</v>
      </c>
      <c r="BE88" s="128">
        <v>0</v>
      </c>
      <c r="BF88" s="129">
        <v>1</v>
      </c>
      <c r="BG88" s="127" t="s">
        <v>484</v>
      </c>
      <c r="BH88" s="128">
        <v>3</v>
      </c>
      <c r="BI88" s="128">
        <v>1</v>
      </c>
      <c r="BJ88" s="128">
        <v>2</v>
      </c>
      <c r="BK88" s="128">
        <v>1</v>
      </c>
      <c r="BL88" s="128">
        <v>1</v>
      </c>
      <c r="BM88" s="128">
        <v>0</v>
      </c>
      <c r="BN88" s="128">
        <v>0</v>
      </c>
      <c r="BO88" s="128">
        <v>1</v>
      </c>
      <c r="BP88" s="129">
        <v>3</v>
      </c>
      <c r="BQ88" s="127" t="s">
        <v>367</v>
      </c>
      <c r="BR88" s="128">
        <v>4</v>
      </c>
      <c r="BS88" s="128">
        <v>0</v>
      </c>
      <c r="BT88" s="128">
        <v>1</v>
      </c>
      <c r="BU88" s="128">
        <v>0</v>
      </c>
      <c r="BV88" s="128">
        <v>1</v>
      </c>
      <c r="BW88" s="128">
        <v>1</v>
      </c>
      <c r="BX88" s="128">
        <v>0</v>
      </c>
      <c r="BY88" s="128">
        <v>0</v>
      </c>
      <c r="BZ88" s="129">
        <v>1</v>
      </c>
      <c r="CA88" s="127" t="s">
        <v>482</v>
      </c>
      <c r="CB88" s="128">
        <v>5</v>
      </c>
      <c r="CC88" s="128">
        <v>1</v>
      </c>
      <c r="CD88" s="128">
        <v>2</v>
      </c>
      <c r="CE88" s="128">
        <v>1</v>
      </c>
      <c r="CF88" s="128">
        <v>0</v>
      </c>
      <c r="CG88" s="128">
        <v>0</v>
      </c>
      <c r="CH88" s="128">
        <v>0</v>
      </c>
      <c r="CI88" s="128">
        <v>0</v>
      </c>
      <c r="CJ88" s="129">
        <v>4</v>
      </c>
      <c r="CK88" s="127" t="s">
        <v>483</v>
      </c>
      <c r="CL88" s="128">
        <v>4</v>
      </c>
      <c r="CM88" s="128">
        <v>2</v>
      </c>
      <c r="CN88" s="128">
        <v>1</v>
      </c>
      <c r="CO88" s="128">
        <v>1</v>
      </c>
      <c r="CP88" s="128">
        <v>1</v>
      </c>
      <c r="CQ88" s="128">
        <v>1</v>
      </c>
      <c r="CR88" s="128">
        <v>0</v>
      </c>
      <c r="CS88" s="128">
        <v>0</v>
      </c>
      <c r="CT88" s="129">
        <v>4</v>
      </c>
      <c r="CU88" s="127" t="s">
        <v>489</v>
      </c>
      <c r="CV88" s="128">
        <v>4</v>
      </c>
      <c r="CW88" s="128">
        <v>0</v>
      </c>
      <c r="CX88" s="128">
        <v>0</v>
      </c>
      <c r="CY88" s="128">
        <v>1</v>
      </c>
      <c r="CZ88" s="128">
        <v>0</v>
      </c>
      <c r="DA88" s="128">
        <v>0</v>
      </c>
      <c r="DB88" s="128">
        <v>0</v>
      </c>
      <c r="DC88" s="128">
        <v>0</v>
      </c>
      <c r="DD88" s="129">
        <v>0</v>
      </c>
      <c r="DE88" s="127" t="s">
        <v>491</v>
      </c>
      <c r="DF88" s="128">
        <v>3</v>
      </c>
      <c r="DG88" s="128">
        <v>0</v>
      </c>
      <c r="DH88" s="128">
        <v>0</v>
      </c>
      <c r="DI88" s="128">
        <v>0</v>
      </c>
      <c r="DJ88" s="128">
        <v>1</v>
      </c>
      <c r="DK88" s="128">
        <v>0</v>
      </c>
      <c r="DL88" s="128">
        <v>0</v>
      </c>
      <c r="DM88" s="128">
        <v>0</v>
      </c>
      <c r="DN88" s="129">
        <v>0</v>
      </c>
      <c r="DO88" s="127" t="s">
        <v>479</v>
      </c>
      <c r="DP88" s="128">
        <v>4</v>
      </c>
      <c r="DQ88" s="128">
        <v>1</v>
      </c>
      <c r="DR88" s="128">
        <v>1</v>
      </c>
      <c r="DS88" s="128">
        <v>1</v>
      </c>
      <c r="DT88" s="128">
        <v>0</v>
      </c>
      <c r="DU88" s="128">
        <v>0</v>
      </c>
      <c r="DV88" s="128">
        <v>0</v>
      </c>
      <c r="DW88" s="128">
        <v>0</v>
      </c>
      <c r="DX88" s="129">
        <v>1</v>
      </c>
      <c r="DY88" s="130">
        <v>1</v>
      </c>
      <c r="DZ88" s="131">
        <v>0</v>
      </c>
      <c r="EA88" s="131">
        <v>0</v>
      </c>
      <c r="EB88" s="132">
        <v>8</v>
      </c>
      <c r="EC88" s="131">
        <v>4</v>
      </c>
      <c r="ED88" s="133">
        <v>0</v>
      </c>
      <c r="EE88" s="134">
        <v>0</v>
      </c>
      <c r="EF88" s="131">
        <v>1</v>
      </c>
      <c r="EG88" s="131">
        <v>1</v>
      </c>
      <c r="EH88" s="131">
        <v>0</v>
      </c>
      <c r="EI88" s="131">
        <v>1</v>
      </c>
      <c r="EJ88" s="131">
        <v>0</v>
      </c>
      <c r="EK88" s="131">
        <v>0</v>
      </c>
      <c r="EL88" s="131">
        <v>3</v>
      </c>
      <c r="EM88" s="131">
        <v>0</v>
      </c>
      <c r="EN88" s="131"/>
      <c r="EO88" s="131"/>
      <c r="EP88" s="131"/>
      <c r="EQ88" s="131"/>
      <c r="ER88" s="131"/>
      <c r="ES88" s="131"/>
      <c r="ET88" s="131"/>
      <c r="EU88" s="131"/>
      <c r="EV88" s="131"/>
      <c r="EW88" s="131"/>
      <c r="EX88" s="135">
        <f t="shared" si="8"/>
        <v>6</v>
      </c>
      <c r="EY88" s="134">
        <v>0</v>
      </c>
      <c r="EZ88" s="131">
        <v>0</v>
      </c>
      <c r="FA88" s="131">
        <v>0</v>
      </c>
      <c r="FB88" s="131">
        <v>0</v>
      </c>
      <c r="FC88" s="131">
        <v>0</v>
      </c>
      <c r="FD88" s="131">
        <v>0</v>
      </c>
      <c r="FE88" s="131">
        <v>0</v>
      </c>
      <c r="FF88" s="131">
        <v>4</v>
      </c>
      <c r="FG88" s="131">
        <v>0</v>
      </c>
      <c r="FH88" s="131"/>
      <c r="FI88" s="131"/>
      <c r="FJ88" s="131"/>
      <c r="FK88" s="131"/>
      <c r="FL88" s="131"/>
      <c r="FM88" s="131"/>
      <c r="FN88" s="131"/>
      <c r="FO88" s="131"/>
      <c r="FP88" s="131"/>
      <c r="FQ88" s="131"/>
      <c r="FR88" s="135">
        <f t="shared" si="9"/>
        <v>4</v>
      </c>
      <c r="FS88" s="141">
        <f t="shared" si="10"/>
        <v>0</v>
      </c>
      <c r="FT88" s="143">
        <f t="shared" si="11"/>
        <v>0</v>
      </c>
      <c r="FU88" s="144"/>
    </row>
    <row r="89" spans="1:177" x14ac:dyDescent="0.25">
      <c r="A89" s="121">
        <v>40369</v>
      </c>
      <c r="B89" s="121" t="s">
        <v>19</v>
      </c>
      <c r="C89" s="121" t="s">
        <v>131</v>
      </c>
      <c r="D89" s="121" t="s">
        <v>514</v>
      </c>
      <c r="E89" s="120">
        <v>3429</v>
      </c>
      <c r="F89" s="124">
        <v>4</v>
      </c>
      <c r="G89" s="125" t="s">
        <v>487</v>
      </c>
      <c r="H89" s="122">
        <v>0</v>
      </c>
      <c r="I89" s="122">
        <v>1</v>
      </c>
      <c r="J89" s="119">
        <v>7</v>
      </c>
      <c r="K89" s="122">
        <v>8</v>
      </c>
      <c r="L89" s="122">
        <v>2</v>
      </c>
      <c r="M89" s="122">
        <v>2</v>
      </c>
      <c r="N89" s="122">
        <v>0</v>
      </c>
      <c r="O89" s="122">
        <v>8</v>
      </c>
      <c r="P89" s="122">
        <v>0</v>
      </c>
      <c r="Q89" s="122">
        <v>0</v>
      </c>
      <c r="R89" s="122">
        <v>27</v>
      </c>
      <c r="S89" s="122"/>
      <c r="T89" s="122"/>
      <c r="U89" s="122">
        <v>0</v>
      </c>
      <c r="V89" s="126">
        <v>0</v>
      </c>
      <c r="W89" s="139">
        <v>0</v>
      </c>
      <c r="X89" s="122">
        <v>0</v>
      </c>
      <c r="Y89" s="122">
        <v>0</v>
      </c>
      <c r="Z89" s="122">
        <v>0</v>
      </c>
      <c r="AA89" s="122">
        <v>0</v>
      </c>
      <c r="AB89" s="119">
        <v>2</v>
      </c>
      <c r="AC89" s="122">
        <v>3</v>
      </c>
      <c r="AD89" s="122">
        <v>0</v>
      </c>
      <c r="AE89" s="122">
        <v>0</v>
      </c>
      <c r="AF89" s="122">
        <v>0</v>
      </c>
      <c r="AG89" s="122">
        <v>2</v>
      </c>
      <c r="AH89" s="122">
        <v>0</v>
      </c>
      <c r="AI89" s="122">
        <v>0</v>
      </c>
      <c r="AJ89" s="122">
        <v>9</v>
      </c>
      <c r="AK89" s="122"/>
      <c r="AL89" s="126"/>
      <c r="AM89" s="127" t="s">
        <v>519</v>
      </c>
      <c r="AN89" s="128">
        <v>5</v>
      </c>
      <c r="AO89" s="128">
        <v>0</v>
      </c>
      <c r="AP89" s="128">
        <v>2</v>
      </c>
      <c r="AQ89" s="128">
        <v>0</v>
      </c>
      <c r="AR89" s="128">
        <v>0</v>
      </c>
      <c r="AS89" s="128">
        <v>2</v>
      </c>
      <c r="AT89" s="128">
        <v>0</v>
      </c>
      <c r="AU89" s="128">
        <v>0</v>
      </c>
      <c r="AV89" s="129">
        <v>2</v>
      </c>
      <c r="AW89" s="127" t="s">
        <v>485</v>
      </c>
      <c r="AX89" s="128">
        <v>5</v>
      </c>
      <c r="AY89" s="128">
        <v>0</v>
      </c>
      <c r="AZ89" s="128">
        <v>1</v>
      </c>
      <c r="BA89" s="128">
        <v>0</v>
      </c>
      <c r="BB89" s="128">
        <v>0</v>
      </c>
      <c r="BC89" s="128">
        <v>0</v>
      </c>
      <c r="BD89" s="128">
        <v>0</v>
      </c>
      <c r="BE89" s="128">
        <v>0</v>
      </c>
      <c r="BF89" s="129">
        <v>1</v>
      </c>
      <c r="BG89" s="127" t="s">
        <v>367</v>
      </c>
      <c r="BH89" s="128">
        <v>4</v>
      </c>
      <c r="BI89" s="128">
        <v>0</v>
      </c>
      <c r="BJ89" s="128">
        <v>0</v>
      </c>
      <c r="BK89" s="128">
        <v>0</v>
      </c>
      <c r="BL89" s="128">
        <v>0</v>
      </c>
      <c r="BM89" s="128">
        <v>1</v>
      </c>
      <c r="BN89" s="128">
        <v>0</v>
      </c>
      <c r="BO89" s="128">
        <v>0</v>
      </c>
      <c r="BP89" s="129">
        <v>0</v>
      </c>
      <c r="BQ89" s="127" t="s">
        <v>366</v>
      </c>
      <c r="BR89" s="128">
        <v>2</v>
      </c>
      <c r="BS89" s="128">
        <v>1</v>
      </c>
      <c r="BT89" s="128">
        <v>1</v>
      </c>
      <c r="BU89" s="128">
        <v>1</v>
      </c>
      <c r="BV89" s="128">
        <v>2</v>
      </c>
      <c r="BW89" s="128">
        <v>1</v>
      </c>
      <c r="BX89" s="128">
        <v>0</v>
      </c>
      <c r="BY89" s="128">
        <v>0</v>
      </c>
      <c r="BZ89" s="129">
        <v>4</v>
      </c>
      <c r="CA89" s="127" t="s">
        <v>483</v>
      </c>
      <c r="CB89" s="128">
        <v>4</v>
      </c>
      <c r="CC89" s="128">
        <v>0</v>
      </c>
      <c r="CD89" s="128">
        <v>1</v>
      </c>
      <c r="CE89" s="128">
        <v>0</v>
      </c>
      <c r="CF89" s="128">
        <v>0</v>
      </c>
      <c r="CG89" s="128">
        <v>0</v>
      </c>
      <c r="CH89" s="128">
        <v>0</v>
      </c>
      <c r="CI89" s="128">
        <v>0</v>
      </c>
      <c r="CJ89" s="129">
        <v>1</v>
      </c>
      <c r="CK89" s="127" t="s">
        <v>482</v>
      </c>
      <c r="CL89" s="128">
        <v>2</v>
      </c>
      <c r="CM89" s="128">
        <v>0</v>
      </c>
      <c r="CN89" s="128">
        <v>0</v>
      </c>
      <c r="CO89" s="128">
        <v>0</v>
      </c>
      <c r="CP89" s="128">
        <v>0</v>
      </c>
      <c r="CQ89" s="128">
        <v>2</v>
      </c>
      <c r="CR89" s="128">
        <v>1</v>
      </c>
      <c r="CS89" s="128">
        <v>0</v>
      </c>
      <c r="CT89" s="129">
        <v>0</v>
      </c>
      <c r="CU89" s="127" t="s">
        <v>486</v>
      </c>
      <c r="CV89" s="128">
        <v>3</v>
      </c>
      <c r="CW89" s="128">
        <v>0</v>
      </c>
      <c r="CX89" s="128">
        <v>1</v>
      </c>
      <c r="CY89" s="128">
        <v>0</v>
      </c>
      <c r="CZ89" s="128">
        <v>1</v>
      </c>
      <c r="DA89" s="128">
        <v>0</v>
      </c>
      <c r="DB89" s="128">
        <v>0</v>
      </c>
      <c r="DC89" s="128">
        <v>0</v>
      </c>
      <c r="DD89" s="129">
        <v>1</v>
      </c>
      <c r="DE89" s="127" t="s">
        <v>489</v>
      </c>
      <c r="DF89" s="128">
        <v>4</v>
      </c>
      <c r="DG89" s="128">
        <v>0</v>
      </c>
      <c r="DH89" s="128">
        <v>1</v>
      </c>
      <c r="DI89" s="128">
        <v>0</v>
      </c>
      <c r="DJ89" s="128">
        <v>0</v>
      </c>
      <c r="DK89" s="128">
        <v>0</v>
      </c>
      <c r="DL89" s="128">
        <v>0</v>
      </c>
      <c r="DM89" s="128">
        <v>0</v>
      </c>
      <c r="DN89" s="129">
        <v>1</v>
      </c>
      <c r="DO89" s="127" t="s">
        <v>479</v>
      </c>
      <c r="DP89" s="128">
        <v>4</v>
      </c>
      <c r="DQ89" s="128">
        <v>0</v>
      </c>
      <c r="DR89" s="128">
        <v>1</v>
      </c>
      <c r="DS89" s="128">
        <v>0</v>
      </c>
      <c r="DT89" s="128">
        <v>0</v>
      </c>
      <c r="DU89" s="128">
        <v>0</v>
      </c>
      <c r="DV89" s="128">
        <v>0</v>
      </c>
      <c r="DW89" s="128">
        <v>0</v>
      </c>
      <c r="DX89" s="129">
        <v>1</v>
      </c>
      <c r="DY89" s="130">
        <f>7+1/3</f>
        <v>7.333333333333333</v>
      </c>
      <c r="DZ89" s="131">
        <v>2</v>
      </c>
      <c r="EA89" s="131">
        <v>0</v>
      </c>
      <c r="EB89" s="132">
        <f>1+2/3</f>
        <v>1.6666666666666665</v>
      </c>
      <c r="EC89" s="131">
        <v>0</v>
      </c>
      <c r="ED89" s="133">
        <v>0</v>
      </c>
      <c r="EE89" s="134">
        <v>0</v>
      </c>
      <c r="EF89" s="131">
        <v>1</v>
      </c>
      <c r="EG89" s="131">
        <v>0</v>
      </c>
      <c r="EH89" s="131">
        <v>0</v>
      </c>
      <c r="EI89" s="131">
        <v>0</v>
      </c>
      <c r="EJ89" s="131">
        <v>0</v>
      </c>
      <c r="EK89" s="131">
        <v>0</v>
      </c>
      <c r="EL89" s="131">
        <v>0</v>
      </c>
      <c r="EM89" s="131">
        <v>0</v>
      </c>
      <c r="EN89" s="131"/>
      <c r="EO89" s="131"/>
      <c r="EP89" s="131"/>
      <c r="EQ89" s="131"/>
      <c r="ER89" s="131"/>
      <c r="ES89" s="131"/>
      <c r="ET89" s="131"/>
      <c r="EU89" s="131"/>
      <c r="EV89" s="131"/>
      <c r="EW89" s="131"/>
      <c r="EX89" s="135">
        <f t="shared" si="8"/>
        <v>1</v>
      </c>
      <c r="EY89" s="134">
        <v>0</v>
      </c>
      <c r="EZ89" s="131">
        <v>0</v>
      </c>
      <c r="FA89" s="131">
        <v>0</v>
      </c>
      <c r="FB89" s="131">
        <v>0</v>
      </c>
      <c r="FC89" s="131">
        <v>0</v>
      </c>
      <c r="FD89" s="131">
        <v>0</v>
      </c>
      <c r="FE89" s="131">
        <v>2</v>
      </c>
      <c r="FF89" s="131">
        <v>0</v>
      </c>
      <c r="FG89" s="131">
        <v>0</v>
      </c>
      <c r="FH89" s="131"/>
      <c r="FI89" s="131"/>
      <c r="FJ89" s="131"/>
      <c r="FK89" s="131"/>
      <c r="FL89" s="131"/>
      <c r="FM89" s="131"/>
      <c r="FN89" s="131"/>
      <c r="FO89" s="131"/>
      <c r="FP89" s="131"/>
      <c r="FQ89" s="131"/>
      <c r="FR89" s="135">
        <f t="shared" si="9"/>
        <v>2</v>
      </c>
      <c r="FS89" s="141">
        <f t="shared" si="10"/>
        <v>0</v>
      </c>
      <c r="FT89" s="143">
        <f t="shared" si="11"/>
        <v>0</v>
      </c>
      <c r="FU89" s="144"/>
    </row>
    <row r="90" spans="1:177" x14ac:dyDescent="0.25">
      <c r="A90" s="121">
        <v>40370</v>
      </c>
      <c r="B90" s="121" t="s">
        <v>19</v>
      </c>
      <c r="C90" s="121" t="s">
        <v>129</v>
      </c>
      <c r="D90" s="121" t="s">
        <v>514</v>
      </c>
      <c r="E90" s="120">
        <v>1530</v>
      </c>
      <c r="F90" s="124">
        <v>5</v>
      </c>
      <c r="G90" s="125" t="s">
        <v>493</v>
      </c>
      <c r="H90" s="122">
        <v>0</v>
      </c>
      <c r="I90" s="122">
        <v>0</v>
      </c>
      <c r="J90" s="119">
        <v>5</v>
      </c>
      <c r="K90" s="122">
        <v>4</v>
      </c>
      <c r="L90" s="122">
        <v>4</v>
      </c>
      <c r="M90" s="122">
        <v>4</v>
      </c>
      <c r="N90" s="122">
        <v>2</v>
      </c>
      <c r="O90" s="122">
        <v>6</v>
      </c>
      <c r="P90" s="122">
        <v>3</v>
      </c>
      <c r="Q90" s="122">
        <v>0</v>
      </c>
      <c r="R90" s="122">
        <v>21</v>
      </c>
      <c r="S90" s="122"/>
      <c r="T90" s="122"/>
      <c r="U90" s="122">
        <v>0</v>
      </c>
      <c r="V90" s="126">
        <v>0</v>
      </c>
      <c r="W90" s="139">
        <v>1</v>
      </c>
      <c r="X90" s="122">
        <v>0</v>
      </c>
      <c r="Y90" s="122">
        <v>0</v>
      </c>
      <c r="Z90" s="122">
        <v>0</v>
      </c>
      <c r="AA90" s="122">
        <v>0</v>
      </c>
      <c r="AB90" s="119">
        <v>4</v>
      </c>
      <c r="AC90" s="122">
        <v>4</v>
      </c>
      <c r="AD90" s="122">
        <v>0</v>
      </c>
      <c r="AE90" s="122">
        <v>0</v>
      </c>
      <c r="AF90" s="122">
        <v>2</v>
      </c>
      <c r="AG90" s="122">
        <v>2</v>
      </c>
      <c r="AH90" s="122">
        <v>0</v>
      </c>
      <c r="AI90" s="122">
        <v>1</v>
      </c>
      <c r="AJ90" s="122">
        <v>18</v>
      </c>
      <c r="AK90" s="122"/>
      <c r="AL90" s="126"/>
      <c r="AM90" s="127" t="s">
        <v>519</v>
      </c>
      <c r="AN90" s="128">
        <v>4</v>
      </c>
      <c r="AO90" s="128">
        <v>1</v>
      </c>
      <c r="AP90" s="128">
        <v>1</v>
      </c>
      <c r="AQ90" s="128">
        <v>1</v>
      </c>
      <c r="AR90" s="128">
        <v>0</v>
      </c>
      <c r="AS90" s="128">
        <v>1</v>
      </c>
      <c r="AT90" s="128">
        <v>0</v>
      </c>
      <c r="AU90" s="128">
        <v>0</v>
      </c>
      <c r="AV90" s="129">
        <v>1</v>
      </c>
      <c r="AW90" s="127" t="s">
        <v>485</v>
      </c>
      <c r="AX90" s="128">
        <v>4</v>
      </c>
      <c r="AY90" s="128">
        <v>0</v>
      </c>
      <c r="AZ90" s="128">
        <v>0</v>
      </c>
      <c r="BA90" s="128">
        <v>0</v>
      </c>
      <c r="BB90" s="128">
        <v>0</v>
      </c>
      <c r="BC90" s="128">
        <v>1</v>
      </c>
      <c r="BD90" s="128">
        <v>0</v>
      </c>
      <c r="BE90" s="128">
        <v>0</v>
      </c>
      <c r="BF90" s="129">
        <v>0</v>
      </c>
      <c r="BG90" s="127" t="s">
        <v>482</v>
      </c>
      <c r="BH90" s="128">
        <v>3</v>
      </c>
      <c r="BI90" s="128">
        <v>1</v>
      </c>
      <c r="BJ90" s="128">
        <v>1</v>
      </c>
      <c r="BK90" s="128">
        <v>0</v>
      </c>
      <c r="BL90" s="128">
        <v>1</v>
      </c>
      <c r="BM90" s="128">
        <v>1</v>
      </c>
      <c r="BN90" s="128">
        <v>0</v>
      </c>
      <c r="BO90" s="128">
        <v>0</v>
      </c>
      <c r="BP90" s="129">
        <v>1</v>
      </c>
      <c r="BQ90" s="127" t="s">
        <v>367</v>
      </c>
      <c r="BR90" s="128">
        <v>3</v>
      </c>
      <c r="BS90" s="128">
        <v>1</v>
      </c>
      <c r="BT90" s="128">
        <v>0</v>
      </c>
      <c r="BU90" s="128">
        <v>0</v>
      </c>
      <c r="BV90" s="128">
        <v>1</v>
      </c>
      <c r="BW90" s="128">
        <v>0</v>
      </c>
      <c r="BX90" s="128">
        <v>0</v>
      </c>
      <c r="BY90" s="128">
        <v>0</v>
      </c>
      <c r="BZ90" s="129">
        <v>0</v>
      </c>
      <c r="CA90" s="127" t="s">
        <v>484</v>
      </c>
      <c r="CB90" s="128">
        <v>3</v>
      </c>
      <c r="CC90" s="128">
        <v>0</v>
      </c>
      <c r="CD90" s="128">
        <v>0</v>
      </c>
      <c r="CE90" s="128">
        <v>1</v>
      </c>
      <c r="CF90" s="128">
        <v>0</v>
      </c>
      <c r="CG90" s="128">
        <v>1</v>
      </c>
      <c r="CH90" s="128">
        <v>0</v>
      </c>
      <c r="CI90" s="128">
        <v>1</v>
      </c>
      <c r="CJ90" s="129">
        <v>0</v>
      </c>
      <c r="CK90" s="127" t="s">
        <v>481</v>
      </c>
      <c r="CL90" s="128">
        <v>4</v>
      </c>
      <c r="CM90" s="128">
        <v>1</v>
      </c>
      <c r="CN90" s="128">
        <v>3</v>
      </c>
      <c r="CO90" s="128">
        <v>2</v>
      </c>
      <c r="CP90" s="128">
        <v>0</v>
      </c>
      <c r="CQ90" s="128">
        <v>0</v>
      </c>
      <c r="CR90" s="128">
        <v>0</v>
      </c>
      <c r="CS90" s="128">
        <v>0</v>
      </c>
      <c r="CT90" s="129">
        <v>3</v>
      </c>
      <c r="CU90" s="127" t="s">
        <v>489</v>
      </c>
      <c r="CV90" s="128">
        <v>3</v>
      </c>
      <c r="CW90" s="128">
        <v>0</v>
      </c>
      <c r="CX90" s="128">
        <v>0</v>
      </c>
      <c r="CY90" s="128">
        <v>0</v>
      </c>
      <c r="CZ90" s="128">
        <v>1</v>
      </c>
      <c r="DA90" s="128">
        <v>1</v>
      </c>
      <c r="DB90" s="128">
        <v>0</v>
      </c>
      <c r="DC90" s="128">
        <v>0</v>
      </c>
      <c r="DD90" s="129">
        <v>0</v>
      </c>
      <c r="DE90" s="127" t="s">
        <v>486</v>
      </c>
      <c r="DF90" s="128">
        <v>1</v>
      </c>
      <c r="DG90" s="128">
        <v>0</v>
      </c>
      <c r="DH90" s="128">
        <v>0</v>
      </c>
      <c r="DI90" s="128">
        <v>0</v>
      </c>
      <c r="DJ90" s="128">
        <v>2</v>
      </c>
      <c r="DK90" s="128">
        <v>0</v>
      </c>
      <c r="DL90" s="128">
        <v>0</v>
      </c>
      <c r="DM90" s="128">
        <v>0</v>
      </c>
      <c r="DN90" s="129">
        <v>0</v>
      </c>
      <c r="DO90" s="127" t="s">
        <v>491</v>
      </c>
      <c r="DP90" s="128">
        <v>3</v>
      </c>
      <c r="DQ90" s="128">
        <v>1</v>
      </c>
      <c r="DR90" s="128">
        <v>1</v>
      </c>
      <c r="DS90" s="128">
        <v>0</v>
      </c>
      <c r="DT90" s="128">
        <v>1</v>
      </c>
      <c r="DU90" s="128">
        <v>0</v>
      </c>
      <c r="DV90" s="128">
        <v>1</v>
      </c>
      <c r="DW90" s="128">
        <v>0</v>
      </c>
      <c r="DX90" s="129">
        <v>3</v>
      </c>
      <c r="DY90" s="130">
        <v>0</v>
      </c>
      <c r="DZ90" s="131">
        <v>0</v>
      </c>
      <c r="EA90" s="131">
        <v>0</v>
      </c>
      <c r="EB90" s="132">
        <f>8+1/3</f>
        <v>8.3333333333333339</v>
      </c>
      <c r="EC90" s="131">
        <v>1</v>
      </c>
      <c r="ED90" s="133">
        <v>0</v>
      </c>
      <c r="EE90" s="134">
        <v>0</v>
      </c>
      <c r="EF90" s="131">
        <v>0</v>
      </c>
      <c r="EG90" s="131">
        <v>0</v>
      </c>
      <c r="EH90" s="131">
        <v>0</v>
      </c>
      <c r="EI90" s="131">
        <v>0</v>
      </c>
      <c r="EJ90" s="131">
        <v>4</v>
      </c>
      <c r="EK90" s="131">
        <v>0</v>
      </c>
      <c r="EL90" s="131">
        <v>0</v>
      </c>
      <c r="EM90" s="131">
        <v>1</v>
      </c>
      <c r="EN90" s="131"/>
      <c r="EO90" s="131"/>
      <c r="EP90" s="131"/>
      <c r="EQ90" s="131"/>
      <c r="ER90" s="131"/>
      <c r="ES90" s="131"/>
      <c r="ET90" s="131"/>
      <c r="EU90" s="131"/>
      <c r="EV90" s="131"/>
      <c r="EW90" s="131"/>
      <c r="EX90" s="135">
        <f t="shared" si="8"/>
        <v>5</v>
      </c>
      <c r="EY90" s="134">
        <v>1</v>
      </c>
      <c r="EZ90" s="131">
        <v>1</v>
      </c>
      <c r="FA90" s="131">
        <v>0</v>
      </c>
      <c r="FB90" s="131">
        <v>0</v>
      </c>
      <c r="FC90" s="131">
        <v>2</v>
      </c>
      <c r="FD90" s="131">
        <v>0</v>
      </c>
      <c r="FE90" s="131">
        <v>0</v>
      </c>
      <c r="FF90" s="131">
        <v>0</v>
      </c>
      <c r="FG90" s="131">
        <v>0</v>
      </c>
      <c r="FH90" s="131"/>
      <c r="FI90" s="131"/>
      <c r="FJ90" s="131"/>
      <c r="FK90" s="131"/>
      <c r="FL90" s="131"/>
      <c r="FM90" s="131"/>
      <c r="FN90" s="131"/>
      <c r="FO90" s="131"/>
      <c r="FP90" s="131"/>
      <c r="FQ90" s="131"/>
      <c r="FR90" s="135">
        <f t="shared" si="9"/>
        <v>4</v>
      </c>
      <c r="FS90" s="141">
        <f t="shared" si="10"/>
        <v>0</v>
      </c>
      <c r="FT90" s="143">
        <f t="shared" si="11"/>
        <v>0</v>
      </c>
      <c r="FU90" s="144"/>
    </row>
    <row r="91" spans="1:177" x14ac:dyDescent="0.25">
      <c r="A91" s="121">
        <v>40371</v>
      </c>
      <c r="B91" s="121" t="s">
        <v>19</v>
      </c>
      <c r="C91" s="121" t="s">
        <v>131</v>
      </c>
      <c r="D91" s="121" t="s">
        <v>514</v>
      </c>
      <c r="E91" s="120">
        <v>1712</v>
      </c>
      <c r="F91" s="124">
        <v>1</v>
      </c>
      <c r="G91" s="125" t="s">
        <v>494</v>
      </c>
      <c r="H91" s="122">
        <v>0</v>
      </c>
      <c r="I91" s="122">
        <v>1</v>
      </c>
      <c r="J91" s="119">
        <f>4+2/3</f>
        <v>4.666666666666667</v>
      </c>
      <c r="K91" s="122">
        <v>8</v>
      </c>
      <c r="L91" s="122">
        <v>5</v>
      </c>
      <c r="M91" s="122">
        <v>5</v>
      </c>
      <c r="N91" s="122">
        <v>2</v>
      </c>
      <c r="O91" s="122">
        <v>2</v>
      </c>
      <c r="P91" s="122">
        <v>1</v>
      </c>
      <c r="Q91" s="122">
        <v>0</v>
      </c>
      <c r="R91" s="122">
        <v>23</v>
      </c>
      <c r="S91" s="122"/>
      <c r="T91" s="122"/>
      <c r="U91" s="122">
        <v>1</v>
      </c>
      <c r="V91" s="126">
        <v>0</v>
      </c>
      <c r="W91" s="139">
        <v>0</v>
      </c>
      <c r="X91" s="122">
        <v>0</v>
      </c>
      <c r="Y91" s="122">
        <v>0</v>
      </c>
      <c r="Z91" s="122">
        <v>0</v>
      </c>
      <c r="AA91" s="122">
        <v>0</v>
      </c>
      <c r="AB91" s="119">
        <f>4+1/3</f>
        <v>4.333333333333333</v>
      </c>
      <c r="AC91" s="122">
        <v>5</v>
      </c>
      <c r="AD91" s="122">
        <v>1</v>
      </c>
      <c r="AE91" s="122">
        <v>1</v>
      </c>
      <c r="AF91" s="122">
        <v>0</v>
      </c>
      <c r="AG91" s="122">
        <v>1</v>
      </c>
      <c r="AH91" s="122">
        <v>1</v>
      </c>
      <c r="AI91" s="122">
        <v>0</v>
      </c>
      <c r="AJ91" s="122">
        <v>18</v>
      </c>
      <c r="AK91" s="122"/>
      <c r="AL91" s="126"/>
      <c r="AM91" s="127" t="s">
        <v>519</v>
      </c>
      <c r="AN91" s="128">
        <v>5</v>
      </c>
      <c r="AO91" s="128">
        <v>0</v>
      </c>
      <c r="AP91" s="128">
        <v>0</v>
      </c>
      <c r="AQ91" s="128">
        <v>0</v>
      </c>
      <c r="AR91" s="128">
        <v>0</v>
      </c>
      <c r="AS91" s="128">
        <v>2</v>
      </c>
      <c r="AT91" s="128">
        <v>0</v>
      </c>
      <c r="AU91" s="128">
        <v>0</v>
      </c>
      <c r="AV91" s="129">
        <v>0</v>
      </c>
      <c r="AW91" s="127" t="s">
        <v>480</v>
      </c>
      <c r="AX91" s="128">
        <v>4</v>
      </c>
      <c r="AY91" s="128">
        <v>1</v>
      </c>
      <c r="AZ91" s="128">
        <v>2</v>
      </c>
      <c r="BA91" s="128">
        <v>0</v>
      </c>
      <c r="BB91" s="128">
        <v>0</v>
      </c>
      <c r="BC91" s="128">
        <v>2</v>
      </c>
      <c r="BD91" s="128">
        <v>0</v>
      </c>
      <c r="BE91" s="128">
        <v>0</v>
      </c>
      <c r="BF91" s="129">
        <v>2</v>
      </c>
      <c r="BG91" s="127" t="s">
        <v>482</v>
      </c>
      <c r="BH91" s="128">
        <v>4</v>
      </c>
      <c r="BI91" s="128">
        <v>0</v>
      </c>
      <c r="BJ91" s="128">
        <v>1</v>
      </c>
      <c r="BK91" s="128">
        <v>1</v>
      </c>
      <c r="BL91" s="128">
        <v>0</v>
      </c>
      <c r="BM91" s="128">
        <v>0</v>
      </c>
      <c r="BN91" s="128">
        <v>0</v>
      </c>
      <c r="BO91" s="128">
        <v>0</v>
      </c>
      <c r="BP91" s="129">
        <v>2</v>
      </c>
      <c r="BQ91" s="127" t="s">
        <v>367</v>
      </c>
      <c r="BR91" s="128">
        <v>4</v>
      </c>
      <c r="BS91" s="128">
        <v>0</v>
      </c>
      <c r="BT91" s="128">
        <v>2</v>
      </c>
      <c r="BU91" s="128">
        <v>0</v>
      </c>
      <c r="BV91" s="128">
        <v>0</v>
      </c>
      <c r="BW91" s="128">
        <v>0</v>
      </c>
      <c r="BX91" s="128">
        <v>0</v>
      </c>
      <c r="BY91" s="128">
        <v>0</v>
      </c>
      <c r="BZ91" s="129">
        <v>2</v>
      </c>
      <c r="CA91" s="127" t="s">
        <v>484</v>
      </c>
      <c r="CB91" s="128">
        <v>3</v>
      </c>
      <c r="CC91" s="128">
        <v>1</v>
      </c>
      <c r="CD91" s="128">
        <v>1</v>
      </c>
      <c r="CE91" s="128">
        <v>0</v>
      </c>
      <c r="CF91" s="128">
        <v>1</v>
      </c>
      <c r="CG91" s="128">
        <v>1</v>
      </c>
      <c r="CH91" s="128">
        <v>0</v>
      </c>
      <c r="CI91" s="128">
        <v>0</v>
      </c>
      <c r="CJ91" s="129">
        <v>1</v>
      </c>
      <c r="CK91" s="127" t="s">
        <v>489</v>
      </c>
      <c r="CL91" s="128">
        <v>3</v>
      </c>
      <c r="CM91" s="128">
        <v>1</v>
      </c>
      <c r="CN91" s="128">
        <v>1</v>
      </c>
      <c r="CO91" s="128">
        <v>2</v>
      </c>
      <c r="CP91" s="128">
        <v>0</v>
      </c>
      <c r="CQ91" s="128">
        <v>0</v>
      </c>
      <c r="CR91" s="128">
        <v>1</v>
      </c>
      <c r="CS91" s="128">
        <v>0</v>
      </c>
      <c r="CT91" s="129">
        <v>4</v>
      </c>
      <c r="CU91" s="127" t="s">
        <v>486</v>
      </c>
      <c r="CV91" s="128">
        <v>4</v>
      </c>
      <c r="CW91" s="128">
        <v>0</v>
      </c>
      <c r="CX91" s="128">
        <v>2</v>
      </c>
      <c r="CY91" s="128">
        <v>0</v>
      </c>
      <c r="CZ91" s="128">
        <v>0</v>
      </c>
      <c r="DA91" s="128">
        <v>0</v>
      </c>
      <c r="DB91" s="128">
        <v>0</v>
      </c>
      <c r="DC91" s="128">
        <v>0</v>
      </c>
      <c r="DD91" s="129">
        <v>2</v>
      </c>
      <c r="DE91" s="127" t="s">
        <v>491</v>
      </c>
      <c r="DF91" s="128">
        <v>4</v>
      </c>
      <c r="DG91" s="128">
        <v>1</v>
      </c>
      <c r="DH91" s="128">
        <v>1</v>
      </c>
      <c r="DI91" s="128">
        <v>1</v>
      </c>
      <c r="DJ91" s="128">
        <v>0</v>
      </c>
      <c r="DK91" s="128">
        <v>1</v>
      </c>
      <c r="DL91" s="128">
        <v>0</v>
      </c>
      <c r="DM91" s="128">
        <v>0</v>
      </c>
      <c r="DN91" s="129">
        <v>4</v>
      </c>
      <c r="DO91" s="127" t="s">
        <v>479</v>
      </c>
      <c r="DP91" s="128">
        <v>3</v>
      </c>
      <c r="DQ91" s="128">
        <v>0</v>
      </c>
      <c r="DR91" s="128">
        <v>1</v>
      </c>
      <c r="DS91" s="128">
        <v>0</v>
      </c>
      <c r="DT91" s="128">
        <v>1</v>
      </c>
      <c r="DU91" s="128">
        <v>1</v>
      </c>
      <c r="DV91" s="128">
        <v>0</v>
      </c>
      <c r="DW91" s="128">
        <v>0</v>
      </c>
      <c r="DX91" s="129">
        <v>1</v>
      </c>
      <c r="DY91" s="130">
        <v>0</v>
      </c>
      <c r="DZ91" s="131">
        <v>0</v>
      </c>
      <c r="EA91" s="131">
        <v>0</v>
      </c>
      <c r="EB91" s="132">
        <v>9</v>
      </c>
      <c r="EC91" s="131">
        <v>0</v>
      </c>
      <c r="ED91" s="133">
        <v>1</v>
      </c>
      <c r="EE91" s="134">
        <v>0</v>
      </c>
      <c r="EF91" s="131">
        <v>0</v>
      </c>
      <c r="EG91" s="131">
        <v>1</v>
      </c>
      <c r="EH91" s="131">
        <v>3</v>
      </c>
      <c r="EI91" s="131">
        <v>0</v>
      </c>
      <c r="EJ91" s="131">
        <v>0</v>
      </c>
      <c r="EK91" s="131">
        <v>0</v>
      </c>
      <c r="EL91" s="131">
        <v>0</v>
      </c>
      <c r="EM91" s="131">
        <v>0</v>
      </c>
      <c r="EN91" s="131"/>
      <c r="EO91" s="131"/>
      <c r="EP91" s="131"/>
      <c r="EQ91" s="131"/>
      <c r="ER91" s="131"/>
      <c r="ES91" s="131"/>
      <c r="ET91" s="131"/>
      <c r="EU91" s="131"/>
      <c r="EV91" s="131"/>
      <c r="EW91" s="131"/>
      <c r="EX91" s="135">
        <f t="shared" si="8"/>
        <v>4</v>
      </c>
      <c r="EY91" s="134">
        <v>0</v>
      </c>
      <c r="EZ91" s="131">
        <v>0</v>
      </c>
      <c r="FA91" s="131">
        <v>1</v>
      </c>
      <c r="FB91" s="131">
        <v>3</v>
      </c>
      <c r="FC91" s="131">
        <v>1</v>
      </c>
      <c r="FD91" s="131">
        <v>0</v>
      </c>
      <c r="FE91" s="131">
        <v>0</v>
      </c>
      <c r="FF91" s="131">
        <v>0</v>
      </c>
      <c r="FG91" s="131">
        <v>1</v>
      </c>
      <c r="FH91" s="131"/>
      <c r="FI91" s="131"/>
      <c r="FJ91" s="131"/>
      <c r="FK91" s="131"/>
      <c r="FL91" s="131"/>
      <c r="FM91" s="131"/>
      <c r="FN91" s="131"/>
      <c r="FO91" s="131"/>
      <c r="FP91" s="131"/>
      <c r="FQ91" s="131"/>
      <c r="FR91" s="135">
        <f t="shared" si="9"/>
        <v>6</v>
      </c>
      <c r="FS91" s="141">
        <f t="shared" si="10"/>
        <v>0</v>
      </c>
      <c r="FT91" s="143">
        <f t="shared" si="11"/>
        <v>0</v>
      </c>
      <c r="FU91" s="144"/>
    </row>
    <row r="92" spans="1:177" x14ac:dyDescent="0.25">
      <c r="A92" s="121">
        <v>40373</v>
      </c>
      <c r="B92" s="121" t="s">
        <v>133</v>
      </c>
      <c r="C92" s="121" t="s">
        <v>129</v>
      </c>
      <c r="D92" s="121" t="s">
        <v>506</v>
      </c>
      <c r="E92" s="120">
        <v>889</v>
      </c>
      <c r="F92" s="124">
        <v>2</v>
      </c>
      <c r="G92" s="125" t="s">
        <v>498</v>
      </c>
      <c r="H92" s="122">
        <v>0</v>
      </c>
      <c r="I92" s="122">
        <v>0</v>
      </c>
      <c r="J92" s="119">
        <v>6</v>
      </c>
      <c r="K92" s="122">
        <v>4</v>
      </c>
      <c r="L92" s="122">
        <v>0</v>
      </c>
      <c r="M92" s="122">
        <v>0</v>
      </c>
      <c r="N92" s="122">
        <v>0</v>
      </c>
      <c r="O92" s="122">
        <v>7</v>
      </c>
      <c r="P92" s="122">
        <v>0</v>
      </c>
      <c r="Q92" s="122">
        <v>2</v>
      </c>
      <c r="R92" s="122">
        <v>24</v>
      </c>
      <c r="S92" s="122"/>
      <c r="T92" s="122"/>
      <c r="U92" s="122">
        <v>0</v>
      </c>
      <c r="V92" s="126">
        <v>0</v>
      </c>
      <c r="W92" s="139">
        <v>1</v>
      </c>
      <c r="X92" s="122">
        <v>0</v>
      </c>
      <c r="Y92" s="122">
        <v>0</v>
      </c>
      <c r="Z92" s="122">
        <v>0</v>
      </c>
      <c r="AA92" s="122">
        <v>0</v>
      </c>
      <c r="AB92" s="119">
        <v>4</v>
      </c>
      <c r="AC92" s="122">
        <v>7</v>
      </c>
      <c r="AD92" s="122">
        <v>1</v>
      </c>
      <c r="AE92" s="122">
        <v>1</v>
      </c>
      <c r="AF92" s="122">
        <v>2</v>
      </c>
      <c r="AG92" s="122">
        <v>4</v>
      </c>
      <c r="AH92" s="122">
        <v>0</v>
      </c>
      <c r="AI92" s="122">
        <v>0</v>
      </c>
      <c r="AJ92" s="122">
        <v>20</v>
      </c>
      <c r="AK92" s="122"/>
      <c r="AL92" s="126"/>
      <c r="AM92" s="127" t="s">
        <v>519</v>
      </c>
      <c r="AN92" s="128">
        <v>5</v>
      </c>
      <c r="AO92" s="128">
        <v>1</v>
      </c>
      <c r="AP92" s="128">
        <v>2</v>
      </c>
      <c r="AQ92" s="128">
        <v>1</v>
      </c>
      <c r="AR92" s="128">
        <v>0</v>
      </c>
      <c r="AS92" s="128">
        <v>1</v>
      </c>
      <c r="AT92" s="128">
        <v>0</v>
      </c>
      <c r="AU92" s="128">
        <v>0</v>
      </c>
      <c r="AV92" s="129">
        <v>2</v>
      </c>
      <c r="AW92" s="127" t="s">
        <v>485</v>
      </c>
      <c r="AX92" s="128">
        <v>3</v>
      </c>
      <c r="AY92" s="128">
        <v>0</v>
      </c>
      <c r="AZ92" s="128">
        <v>1</v>
      </c>
      <c r="BA92" s="128">
        <v>0</v>
      </c>
      <c r="BB92" s="128">
        <v>1</v>
      </c>
      <c r="BC92" s="128">
        <v>1</v>
      </c>
      <c r="BD92" s="128">
        <v>1</v>
      </c>
      <c r="BE92" s="128">
        <v>0</v>
      </c>
      <c r="BF92" s="129">
        <v>1</v>
      </c>
      <c r="BG92" s="127" t="s">
        <v>484</v>
      </c>
      <c r="BH92" s="128">
        <v>5</v>
      </c>
      <c r="BI92" s="128">
        <v>0</v>
      </c>
      <c r="BJ92" s="128">
        <v>1</v>
      </c>
      <c r="BK92" s="128">
        <v>0</v>
      </c>
      <c r="BL92" s="128">
        <v>0</v>
      </c>
      <c r="BM92" s="128">
        <v>2</v>
      </c>
      <c r="BN92" s="128">
        <v>0</v>
      </c>
      <c r="BO92" s="128">
        <v>0</v>
      </c>
      <c r="BP92" s="129">
        <v>1</v>
      </c>
      <c r="BQ92" s="127" t="s">
        <v>367</v>
      </c>
      <c r="BR92" s="128">
        <v>5</v>
      </c>
      <c r="BS92" s="128">
        <v>0</v>
      </c>
      <c r="BT92" s="128">
        <v>1</v>
      </c>
      <c r="BU92" s="128">
        <v>0</v>
      </c>
      <c r="BV92" s="128">
        <v>0</v>
      </c>
      <c r="BW92" s="128">
        <v>2</v>
      </c>
      <c r="BX92" s="128">
        <v>0</v>
      </c>
      <c r="BY92" s="128">
        <v>0</v>
      </c>
      <c r="BZ92" s="129">
        <v>1</v>
      </c>
      <c r="CA92" s="127" t="s">
        <v>482</v>
      </c>
      <c r="CB92" s="128">
        <v>3</v>
      </c>
      <c r="CC92" s="128">
        <v>0</v>
      </c>
      <c r="CD92" s="128">
        <v>0</v>
      </c>
      <c r="CE92" s="128">
        <v>0</v>
      </c>
      <c r="CF92" s="128">
        <v>1</v>
      </c>
      <c r="CG92" s="128">
        <v>2</v>
      </c>
      <c r="CH92" s="128">
        <v>0</v>
      </c>
      <c r="CI92" s="128">
        <v>0</v>
      </c>
      <c r="CJ92" s="129">
        <v>0</v>
      </c>
      <c r="CK92" s="127" t="s">
        <v>481</v>
      </c>
      <c r="CL92" s="128">
        <v>4</v>
      </c>
      <c r="CM92" s="128">
        <v>1</v>
      </c>
      <c r="CN92" s="128">
        <v>1</v>
      </c>
      <c r="CO92" s="128">
        <v>0</v>
      </c>
      <c r="CP92" s="128">
        <v>0</v>
      </c>
      <c r="CQ92" s="128">
        <v>0</v>
      </c>
      <c r="CR92" s="128">
        <v>0</v>
      </c>
      <c r="CS92" s="128">
        <v>0</v>
      </c>
      <c r="CT92" s="129">
        <v>1</v>
      </c>
      <c r="CU92" s="127" t="s">
        <v>486</v>
      </c>
      <c r="CV92" s="128">
        <v>3</v>
      </c>
      <c r="CW92" s="128">
        <v>0</v>
      </c>
      <c r="CX92" s="128">
        <v>0</v>
      </c>
      <c r="CY92" s="128">
        <v>0</v>
      </c>
      <c r="CZ92" s="128">
        <v>0</v>
      </c>
      <c r="DA92" s="128">
        <v>1</v>
      </c>
      <c r="DB92" s="128">
        <v>0</v>
      </c>
      <c r="DC92" s="128">
        <v>0</v>
      </c>
      <c r="DD92" s="129">
        <v>0</v>
      </c>
      <c r="DE92" s="127" t="s">
        <v>489</v>
      </c>
      <c r="DF92" s="128">
        <v>4</v>
      </c>
      <c r="DG92" s="128">
        <v>0</v>
      </c>
      <c r="DH92" s="128">
        <v>0</v>
      </c>
      <c r="DI92" s="128">
        <v>0</v>
      </c>
      <c r="DJ92" s="128">
        <v>0</v>
      </c>
      <c r="DK92" s="128">
        <v>2</v>
      </c>
      <c r="DL92" s="128">
        <v>0</v>
      </c>
      <c r="DM92" s="128">
        <v>0</v>
      </c>
      <c r="DN92" s="129">
        <v>0</v>
      </c>
      <c r="DO92" s="127" t="s">
        <v>479</v>
      </c>
      <c r="DP92" s="128">
        <v>3</v>
      </c>
      <c r="DQ92" s="128">
        <v>1</v>
      </c>
      <c r="DR92" s="128">
        <v>1</v>
      </c>
      <c r="DS92" s="128">
        <v>0</v>
      </c>
      <c r="DT92" s="128">
        <v>1</v>
      </c>
      <c r="DU92" s="128">
        <v>0</v>
      </c>
      <c r="DV92" s="128">
        <v>0</v>
      </c>
      <c r="DW92" s="128">
        <v>0</v>
      </c>
      <c r="DX92" s="129">
        <v>2</v>
      </c>
      <c r="DY92" s="130">
        <v>2</v>
      </c>
      <c r="DZ92" s="131">
        <v>0</v>
      </c>
      <c r="EA92" s="131">
        <v>0</v>
      </c>
      <c r="EB92" s="132">
        <v>8</v>
      </c>
      <c r="EC92" s="131">
        <v>1</v>
      </c>
      <c r="ED92" s="133">
        <v>0</v>
      </c>
      <c r="EE92" s="134">
        <v>0</v>
      </c>
      <c r="EF92" s="131">
        <v>0</v>
      </c>
      <c r="EG92" s="131">
        <v>0</v>
      </c>
      <c r="EH92" s="131">
        <v>0</v>
      </c>
      <c r="EI92" s="131">
        <v>0</v>
      </c>
      <c r="EJ92" s="131">
        <v>0</v>
      </c>
      <c r="EK92" s="131">
        <v>0</v>
      </c>
      <c r="EL92" s="131">
        <v>0</v>
      </c>
      <c r="EM92" s="131">
        <v>0</v>
      </c>
      <c r="EN92" s="131">
        <v>3</v>
      </c>
      <c r="EO92" s="131"/>
      <c r="EP92" s="131"/>
      <c r="EQ92" s="131"/>
      <c r="ER92" s="131"/>
      <c r="ES92" s="131"/>
      <c r="ET92" s="131"/>
      <c r="EU92" s="131"/>
      <c r="EV92" s="131"/>
      <c r="EW92" s="131"/>
      <c r="EX92" s="135">
        <f t="shared" si="8"/>
        <v>3</v>
      </c>
      <c r="EY92" s="134">
        <v>0</v>
      </c>
      <c r="EZ92" s="131">
        <v>0</v>
      </c>
      <c r="FA92" s="131">
        <v>0</v>
      </c>
      <c r="FB92" s="131">
        <v>0</v>
      </c>
      <c r="FC92" s="131">
        <v>0</v>
      </c>
      <c r="FD92" s="131">
        <v>0</v>
      </c>
      <c r="FE92" s="131">
        <v>0</v>
      </c>
      <c r="FF92" s="131">
        <v>0</v>
      </c>
      <c r="FG92" s="131">
        <v>0</v>
      </c>
      <c r="FH92" s="131">
        <v>1</v>
      </c>
      <c r="FI92" s="131"/>
      <c r="FJ92" s="131"/>
      <c r="FK92" s="131"/>
      <c r="FL92" s="131"/>
      <c r="FM92" s="131"/>
      <c r="FN92" s="131"/>
      <c r="FO92" s="131"/>
      <c r="FP92" s="131"/>
      <c r="FQ92" s="131"/>
      <c r="FR92" s="135">
        <f t="shared" si="9"/>
        <v>1</v>
      </c>
      <c r="FS92" s="141">
        <f t="shared" si="10"/>
        <v>0</v>
      </c>
      <c r="FT92" s="143">
        <f t="shared" si="11"/>
        <v>0</v>
      </c>
      <c r="FU92" s="144"/>
    </row>
    <row r="93" spans="1:177" x14ac:dyDescent="0.25">
      <c r="A93" s="145">
        <v>40374</v>
      </c>
      <c r="B93" s="145" t="s">
        <v>133</v>
      </c>
      <c r="C93" s="145" t="s">
        <v>131</v>
      </c>
      <c r="D93" s="145" t="s">
        <v>506</v>
      </c>
      <c r="E93" s="146">
        <v>1505</v>
      </c>
      <c r="F93" s="147">
        <v>3</v>
      </c>
      <c r="G93" s="148" t="s">
        <v>490</v>
      </c>
      <c r="H93" s="149">
        <v>0</v>
      </c>
      <c r="I93" s="149">
        <v>0</v>
      </c>
      <c r="J93" s="150">
        <v>6</v>
      </c>
      <c r="K93" s="149">
        <v>8</v>
      </c>
      <c r="L93" s="149">
        <v>3</v>
      </c>
      <c r="M93" s="149">
        <v>2</v>
      </c>
      <c r="N93" s="149">
        <v>1</v>
      </c>
      <c r="O93" s="149">
        <v>6</v>
      </c>
      <c r="P93" s="149">
        <v>1</v>
      </c>
      <c r="Q93" s="149">
        <v>0</v>
      </c>
      <c r="R93" s="149">
        <v>27</v>
      </c>
      <c r="S93" s="149"/>
      <c r="T93" s="149"/>
      <c r="U93" s="149">
        <v>0</v>
      </c>
      <c r="V93" s="151">
        <v>0</v>
      </c>
      <c r="W93" s="152">
        <v>0</v>
      </c>
      <c r="X93" s="149">
        <v>1</v>
      </c>
      <c r="Y93" s="149">
        <v>0</v>
      </c>
      <c r="Z93" s="149">
        <v>0</v>
      </c>
      <c r="AA93" s="149">
        <v>1</v>
      </c>
      <c r="AB93" s="150">
        <v>2</v>
      </c>
      <c r="AC93" s="149">
        <v>5</v>
      </c>
      <c r="AD93" s="149">
        <v>6</v>
      </c>
      <c r="AE93" s="149">
        <v>3</v>
      </c>
      <c r="AF93" s="149">
        <v>1</v>
      </c>
      <c r="AG93" s="149">
        <v>0</v>
      </c>
      <c r="AH93" s="149">
        <v>0</v>
      </c>
      <c r="AI93" s="149">
        <v>0</v>
      </c>
      <c r="AJ93" s="149">
        <v>14</v>
      </c>
      <c r="AK93" s="149"/>
      <c r="AL93" s="151"/>
      <c r="AM93" s="153" t="s">
        <v>519</v>
      </c>
      <c r="AN93" s="154">
        <v>5</v>
      </c>
      <c r="AO93" s="154">
        <v>1</v>
      </c>
      <c r="AP93" s="154">
        <v>1</v>
      </c>
      <c r="AQ93" s="154">
        <v>1</v>
      </c>
      <c r="AR93" s="154">
        <v>0</v>
      </c>
      <c r="AS93" s="154">
        <v>1</v>
      </c>
      <c r="AT93" s="154">
        <v>0</v>
      </c>
      <c r="AU93" s="154">
        <v>0</v>
      </c>
      <c r="AV93" s="155">
        <v>1</v>
      </c>
      <c r="AW93" s="153" t="s">
        <v>485</v>
      </c>
      <c r="AX93" s="154">
        <v>3</v>
      </c>
      <c r="AY93" s="154">
        <v>1</v>
      </c>
      <c r="AZ93" s="154">
        <v>1</v>
      </c>
      <c r="BA93" s="154">
        <v>0</v>
      </c>
      <c r="BB93" s="154">
        <v>2</v>
      </c>
      <c r="BC93" s="154">
        <v>0</v>
      </c>
      <c r="BD93" s="154">
        <v>0</v>
      </c>
      <c r="BE93" s="154">
        <v>0</v>
      </c>
      <c r="BF93" s="155">
        <v>1</v>
      </c>
      <c r="BG93" s="153" t="s">
        <v>482</v>
      </c>
      <c r="BH93" s="154">
        <v>2</v>
      </c>
      <c r="BI93" s="154">
        <v>1</v>
      </c>
      <c r="BJ93" s="154">
        <v>0</v>
      </c>
      <c r="BK93" s="154">
        <v>1</v>
      </c>
      <c r="BL93" s="154">
        <v>2</v>
      </c>
      <c r="BM93" s="154">
        <v>0</v>
      </c>
      <c r="BN93" s="154">
        <v>1</v>
      </c>
      <c r="BO93" s="154">
        <v>0</v>
      </c>
      <c r="BP93" s="155">
        <v>0</v>
      </c>
      <c r="BQ93" s="153" t="s">
        <v>367</v>
      </c>
      <c r="BR93" s="154">
        <v>3</v>
      </c>
      <c r="BS93" s="154">
        <v>0</v>
      </c>
      <c r="BT93" s="154">
        <v>0</v>
      </c>
      <c r="BU93" s="154">
        <v>1</v>
      </c>
      <c r="BV93" s="154">
        <v>1</v>
      </c>
      <c r="BW93" s="154">
        <v>0</v>
      </c>
      <c r="BX93" s="154">
        <v>0</v>
      </c>
      <c r="BY93" s="154">
        <v>0</v>
      </c>
      <c r="BZ93" s="155">
        <v>0</v>
      </c>
      <c r="CA93" s="153" t="s">
        <v>484</v>
      </c>
      <c r="CB93" s="154">
        <v>4</v>
      </c>
      <c r="CC93" s="154">
        <v>0</v>
      </c>
      <c r="CD93" s="154">
        <v>1</v>
      </c>
      <c r="CE93" s="154">
        <v>0</v>
      </c>
      <c r="CF93" s="154">
        <v>1</v>
      </c>
      <c r="CG93" s="154">
        <v>0</v>
      </c>
      <c r="CH93" s="154">
        <v>0</v>
      </c>
      <c r="CI93" s="154">
        <v>0</v>
      </c>
      <c r="CJ93" s="155">
        <v>1</v>
      </c>
      <c r="CK93" s="153" t="s">
        <v>481</v>
      </c>
      <c r="CL93" s="154">
        <v>4</v>
      </c>
      <c r="CM93" s="154">
        <v>0</v>
      </c>
      <c r="CN93" s="154">
        <v>1</v>
      </c>
      <c r="CO93" s="154">
        <v>1</v>
      </c>
      <c r="CP93" s="154">
        <v>0</v>
      </c>
      <c r="CQ93" s="154">
        <v>1</v>
      </c>
      <c r="CR93" s="154">
        <v>0</v>
      </c>
      <c r="CS93" s="154">
        <v>1</v>
      </c>
      <c r="CT93" s="155">
        <v>1</v>
      </c>
      <c r="CU93" s="153" t="s">
        <v>491</v>
      </c>
      <c r="CV93" s="154">
        <v>2</v>
      </c>
      <c r="CW93" s="154">
        <v>1</v>
      </c>
      <c r="CX93" s="154">
        <v>1</v>
      </c>
      <c r="CY93" s="154">
        <v>1</v>
      </c>
      <c r="CZ93" s="154">
        <v>3</v>
      </c>
      <c r="DA93" s="154">
        <v>0</v>
      </c>
      <c r="DB93" s="154">
        <v>0</v>
      </c>
      <c r="DC93" s="154">
        <v>0</v>
      </c>
      <c r="DD93" s="155">
        <v>1</v>
      </c>
      <c r="DE93" s="153" t="s">
        <v>489</v>
      </c>
      <c r="DF93" s="154">
        <v>4</v>
      </c>
      <c r="DG93" s="154">
        <v>1</v>
      </c>
      <c r="DH93" s="154">
        <v>2</v>
      </c>
      <c r="DI93" s="154">
        <v>0</v>
      </c>
      <c r="DJ93" s="154">
        <v>1</v>
      </c>
      <c r="DK93" s="154">
        <v>1</v>
      </c>
      <c r="DL93" s="154">
        <v>0</v>
      </c>
      <c r="DM93" s="154">
        <v>0</v>
      </c>
      <c r="DN93" s="155">
        <v>3</v>
      </c>
      <c r="DO93" s="153" t="s">
        <v>480</v>
      </c>
      <c r="DP93" s="154">
        <v>5</v>
      </c>
      <c r="DQ93" s="154">
        <v>1</v>
      </c>
      <c r="DR93" s="154">
        <v>1</v>
      </c>
      <c r="DS93" s="154">
        <v>1</v>
      </c>
      <c r="DT93" s="154">
        <v>0</v>
      </c>
      <c r="DU93" s="154">
        <v>1</v>
      </c>
      <c r="DV93" s="154">
        <v>0</v>
      </c>
      <c r="DW93" s="154">
        <v>0</v>
      </c>
      <c r="DX93" s="155">
        <v>1</v>
      </c>
      <c r="DY93" s="156">
        <f>1+2/3</f>
        <v>1.6666666666666665</v>
      </c>
      <c r="DZ93" s="157">
        <v>0</v>
      </c>
      <c r="EA93" s="157">
        <v>0</v>
      </c>
      <c r="EB93" s="158">
        <f>7+1/3</f>
        <v>7.333333333333333</v>
      </c>
      <c r="EC93" s="157">
        <v>1</v>
      </c>
      <c r="ED93" s="159">
        <v>0</v>
      </c>
      <c r="EE93" s="160">
        <v>0</v>
      </c>
      <c r="EF93" s="157">
        <v>0</v>
      </c>
      <c r="EG93" s="157">
        <v>1</v>
      </c>
      <c r="EH93" s="157">
        <v>0</v>
      </c>
      <c r="EI93" s="157">
        <v>3</v>
      </c>
      <c r="EJ93" s="157">
        <v>0</v>
      </c>
      <c r="EK93" s="157">
        <v>1</v>
      </c>
      <c r="EL93" s="157">
        <v>0</v>
      </c>
      <c r="EM93" s="157">
        <v>1</v>
      </c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61">
        <f t="shared" si="8"/>
        <v>6</v>
      </c>
      <c r="EY93" s="160">
        <v>0</v>
      </c>
      <c r="EZ93" s="157">
        <v>0</v>
      </c>
      <c r="FA93" s="157">
        <v>1</v>
      </c>
      <c r="FB93" s="157">
        <v>0</v>
      </c>
      <c r="FC93" s="157">
        <v>2</v>
      </c>
      <c r="FD93" s="157">
        <v>0</v>
      </c>
      <c r="FE93" s="157">
        <v>2</v>
      </c>
      <c r="FF93" s="157">
        <v>4</v>
      </c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61">
        <f t="shared" si="9"/>
        <v>9</v>
      </c>
      <c r="FS93" s="162">
        <f t="shared" si="10"/>
        <v>0</v>
      </c>
      <c r="FT93" s="163">
        <f t="shared" si="11"/>
        <v>0</v>
      </c>
      <c r="FU93" s="164"/>
    </row>
    <row r="94" spans="1:177" x14ac:dyDescent="0.25">
      <c r="A94" s="227">
        <v>40375</v>
      </c>
      <c r="B94" s="227" t="s">
        <v>133</v>
      </c>
      <c r="C94" s="227" t="s">
        <v>131</v>
      </c>
      <c r="D94" s="227" t="s">
        <v>506</v>
      </c>
      <c r="E94" s="228">
        <v>1898</v>
      </c>
      <c r="F94" s="229">
        <v>4</v>
      </c>
      <c r="G94" s="230" t="s">
        <v>487</v>
      </c>
      <c r="H94" s="231">
        <v>0</v>
      </c>
      <c r="I94" s="231">
        <v>1</v>
      </c>
      <c r="J94" s="232">
        <f>4+1/3</f>
        <v>4.333333333333333</v>
      </c>
      <c r="K94" s="231">
        <v>12</v>
      </c>
      <c r="L94" s="231">
        <v>8</v>
      </c>
      <c r="M94" s="231">
        <v>8</v>
      </c>
      <c r="N94" s="231">
        <v>0</v>
      </c>
      <c r="O94" s="231">
        <v>1</v>
      </c>
      <c r="P94" s="231">
        <v>1</v>
      </c>
      <c r="Q94" s="231">
        <v>0</v>
      </c>
      <c r="R94" s="231">
        <v>25</v>
      </c>
      <c r="S94" s="231"/>
      <c r="T94" s="231"/>
      <c r="U94" s="231">
        <v>1</v>
      </c>
      <c r="V94" s="233">
        <v>1</v>
      </c>
      <c r="W94" s="234">
        <v>0</v>
      </c>
      <c r="X94" s="231">
        <v>0</v>
      </c>
      <c r="Y94" s="231">
        <v>0</v>
      </c>
      <c r="Z94" s="231">
        <v>0</v>
      </c>
      <c r="AA94" s="231">
        <v>0</v>
      </c>
      <c r="AB94" s="232">
        <f>3+2/3</f>
        <v>3.6666666666666665</v>
      </c>
      <c r="AC94" s="231">
        <v>7</v>
      </c>
      <c r="AD94" s="231">
        <v>7</v>
      </c>
      <c r="AE94" s="231">
        <v>5</v>
      </c>
      <c r="AF94" s="231">
        <v>1</v>
      </c>
      <c r="AG94" s="231">
        <v>4</v>
      </c>
      <c r="AH94" s="231">
        <v>2</v>
      </c>
      <c r="AI94" s="231">
        <v>1</v>
      </c>
      <c r="AJ94" s="231">
        <v>22</v>
      </c>
      <c r="AK94" s="231"/>
      <c r="AL94" s="233"/>
      <c r="AM94" s="235" t="s">
        <v>519</v>
      </c>
      <c r="AN94" s="236">
        <v>4</v>
      </c>
      <c r="AO94" s="236">
        <v>2</v>
      </c>
      <c r="AP94" s="236">
        <v>2</v>
      </c>
      <c r="AQ94" s="236">
        <v>0</v>
      </c>
      <c r="AR94" s="236">
        <v>1</v>
      </c>
      <c r="AS94" s="236">
        <v>0</v>
      </c>
      <c r="AT94" s="236">
        <v>0</v>
      </c>
      <c r="AU94" s="236">
        <v>0</v>
      </c>
      <c r="AV94" s="237">
        <v>2</v>
      </c>
      <c r="AW94" s="235" t="s">
        <v>485</v>
      </c>
      <c r="AX94" s="236">
        <v>4</v>
      </c>
      <c r="AY94" s="236">
        <v>2</v>
      </c>
      <c r="AZ94" s="236">
        <v>2</v>
      </c>
      <c r="BA94" s="236">
        <v>2</v>
      </c>
      <c r="BB94" s="236">
        <v>1</v>
      </c>
      <c r="BC94" s="236">
        <v>0</v>
      </c>
      <c r="BD94" s="236">
        <v>0</v>
      </c>
      <c r="BE94" s="236">
        <v>0</v>
      </c>
      <c r="BF94" s="237">
        <v>3</v>
      </c>
      <c r="BG94" s="235" t="s">
        <v>484</v>
      </c>
      <c r="BH94" s="236">
        <v>5</v>
      </c>
      <c r="BI94" s="236">
        <v>0</v>
      </c>
      <c r="BJ94" s="236">
        <v>1</v>
      </c>
      <c r="BK94" s="236">
        <v>0</v>
      </c>
      <c r="BL94" s="236">
        <v>0</v>
      </c>
      <c r="BM94" s="236">
        <v>1</v>
      </c>
      <c r="BN94" s="236">
        <v>0</v>
      </c>
      <c r="BO94" s="236">
        <v>0</v>
      </c>
      <c r="BP94" s="237">
        <v>1</v>
      </c>
      <c r="BQ94" s="235" t="s">
        <v>483</v>
      </c>
      <c r="BR94" s="236">
        <v>4</v>
      </c>
      <c r="BS94" s="236">
        <v>0</v>
      </c>
      <c r="BT94" s="236">
        <v>1</v>
      </c>
      <c r="BU94" s="236">
        <v>2</v>
      </c>
      <c r="BV94" s="236">
        <v>0</v>
      </c>
      <c r="BW94" s="236">
        <v>0</v>
      </c>
      <c r="BX94" s="236">
        <v>0</v>
      </c>
      <c r="BY94" s="236">
        <v>1</v>
      </c>
      <c r="BZ94" s="237">
        <v>1</v>
      </c>
      <c r="CA94" s="235" t="s">
        <v>489</v>
      </c>
      <c r="CB94" s="236">
        <v>4</v>
      </c>
      <c r="CC94" s="236">
        <v>1</v>
      </c>
      <c r="CD94" s="236">
        <v>2</v>
      </c>
      <c r="CE94" s="236">
        <v>0</v>
      </c>
      <c r="CF94" s="236">
        <v>0</v>
      </c>
      <c r="CG94" s="236">
        <v>1</v>
      </c>
      <c r="CH94" s="236">
        <v>0</v>
      </c>
      <c r="CI94" s="236">
        <v>0</v>
      </c>
      <c r="CJ94" s="237">
        <v>3</v>
      </c>
      <c r="CK94" s="235" t="s">
        <v>367</v>
      </c>
      <c r="CL94" s="236">
        <v>4</v>
      </c>
      <c r="CM94" s="236">
        <v>0</v>
      </c>
      <c r="CN94" s="236">
        <v>1</v>
      </c>
      <c r="CO94" s="236">
        <v>1</v>
      </c>
      <c r="CP94" s="236">
        <v>1</v>
      </c>
      <c r="CQ94" s="236">
        <v>0</v>
      </c>
      <c r="CR94" s="236">
        <v>0</v>
      </c>
      <c r="CS94" s="236">
        <v>0</v>
      </c>
      <c r="CT94" s="237">
        <v>1</v>
      </c>
      <c r="CU94" s="235" t="s">
        <v>491</v>
      </c>
      <c r="CV94" s="236">
        <v>4</v>
      </c>
      <c r="CW94" s="236">
        <v>1</v>
      </c>
      <c r="CX94" s="236">
        <v>0</v>
      </c>
      <c r="CY94" s="236">
        <v>0</v>
      </c>
      <c r="CZ94" s="236">
        <v>1</v>
      </c>
      <c r="DA94" s="236">
        <v>2</v>
      </c>
      <c r="DB94" s="236">
        <v>0</v>
      </c>
      <c r="DC94" s="236">
        <v>0</v>
      </c>
      <c r="DD94" s="237">
        <v>0</v>
      </c>
      <c r="DE94" s="235" t="s">
        <v>486</v>
      </c>
      <c r="DF94" s="236">
        <v>3</v>
      </c>
      <c r="DG94" s="236">
        <v>0</v>
      </c>
      <c r="DH94" s="236">
        <v>0</v>
      </c>
      <c r="DI94" s="236">
        <v>0</v>
      </c>
      <c r="DJ94" s="236">
        <v>0</v>
      </c>
      <c r="DK94" s="236">
        <v>0</v>
      </c>
      <c r="DL94" s="236">
        <v>0</v>
      </c>
      <c r="DM94" s="236">
        <v>0</v>
      </c>
      <c r="DN94" s="237">
        <v>0</v>
      </c>
      <c r="DO94" s="235" t="s">
        <v>480</v>
      </c>
      <c r="DP94" s="236">
        <v>1</v>
      </c>
      <c r="DQ94" s="236">
        <v>1</v>
      </c>
      <c r="DR94" s="236">
        <v>0</v>
      </c>
      <c r="DS94" s="236">
        <v>0</v>
      </c>
      <c r="DT94" s="236">
        <v>2</v>
      </c>
      <c r="DU94" s="236">
        <v>0</v>
      </c>
      <c r="DV94" s="236">
        <v>1</v>
      </c>
      <c r="DW94" s="236">
        <v>0</v>
      </c>
      <c r="DX94" s="237">
        <v>0</v>
      </c>
      <c r="DY94" s="238">
        <v>3</v>
      </c>
      <c r="DZ94" s="239">
        <v>0</v>
      </c>
      <c r="EA94" s="239">
        <v>0</v>
      </c>
      <c r="EB94" s="240">
        <v>6</v>
      </c>
      <c r="EC94" s="239">
        <v>0</v>
      </c>
      <c r="ED94" s="241">
        <v>0</v>
      </c>
      <c r="EE94" s="242">
        <v>0</v>
      </c>
      <c r="EF94" s="239">
        <v>0</v>
      </c>
      <c r="EG94" s="239">
        <v>1</v>
      </c>
      <c r="EH94" s="239">
        <v>1</v>
      </c>
      <c r="EI94" s="239">
        <v>3</v>
      </c>
      <c r="EJ94" s="239">
        <v>0</v>
      </c>
      <c r="EK94" s="239">
        <v>0</v>
      </c>
      <c r="EL94" s="239">
        <v>0</v>
      </c>
      <c r="EM94" s="239">
        <v>2</v>
      </c>
      <c r="EN94" s="239"/>
      <c r="EO94" s="239"/>
      <c r="EP94" s="239"/>
      <c r="EQ94" s="239"/>
      <c r="ER94" s="239"/>
      <c r="ES94" s="239"/>
      <c r="ET94" s="239"/>
      <c r="EU94" s="239"/>
      <c r="EV94" s="239"/>
      <c r="EW94" s="239"/>
      <c r="EX94" s="243">
        <f t="shared" si="8"/>
        <v>7</v>
      </c>
      <c r="EY94" s="242">
        <v>0</v>
      </c>
      <c r="EZ94" s="239">
        <v>1</v>
      </c>
      <c r="FA94" s="239">
        <v>0</v>
      </c>
      <c r="FB94" s="239">
        <v>4</v>
      </c>
      <c r="FC94" s="239">
        <v>3</v>
      </c>
      <c r="FD94" s="239">
        <v>0</v>
      </c>
      <c r="FE94" s="239">
        <v>6</v>
      </c>
      <c r="FF94" s="239">
        <v>1</v>
      </c>
      <c r="FG94" s="239"/>
      <c r="FH94" s="239"/>
      <c r="FI94" s="239"/>
      <c r="FJ94" s="239"/>
      <c r="FK94" s="239"/>
      <c r="FL94" s="239"/>
      <c r="FM94" s="239"/>
      <c r="FN94" s="239"/>
      <c r="FO94" s="239"/>
      <c r="FP94" s="239"/>
      <c r="FQ94" s="239"/>
      <c r="FR94" s="243">
        <f t="shared" si="9"/>
        <v>15</v>
      </c>
      <c r="FS94" s="244">
        <f t="shared" ref="FS94:FS99" si="12">((L94+AD94)-FR94)</f>
        <v>0</v>
      </c>
      <c r="FT94" s="245">
        <f t="shared" ref="FT94:FT99" si="13">((AO94+AY94+BI94+BS94+CC94+CM94+CW94+DG94+DQ94)-EX94)</f>
        <v>0</v>
      </c>
      <c r="FU94" s="246"/>
    </row>
    <row r="95" spans="1:177" x14ac:dyDescent="0.25">
      <c r="A95" s="227">
        <v>40376</v>
      </c>
      <c r="B95" s="227" t="s">
        <v>133</v>
      </c>
      <c r="C95" s="227" t="s">
        <v>131</v>
      </c>
      <c r="D95" s="227" t="s">
        <v>506</v>
      </c>
      <c r="E95" s="228">
        <v>1546</v>
      </c>
      <c r="F95" s="229">
        <v>5</v>
      </c>
      <c r="G95" s="230" t="s">
        <v>493</v>
      </c>
      <c r="H95" s="231">
        <v>0</v>
      </c>
      <c r="I95" s="231">
        <v>1</v>
      </c>
      <c r="J95" s="232">
        <v>6</v>
      </c>
      <c r="K95" s="231">
        <v>3</v>
      </c>
      <c r="L95" s="231">
        <v>3</v>
      </c>
      <c r="M95" s="231">
        <v>2</v>
      </c>
      <c r="N95" s="231">
        <v>2</v>
      </c>
      <c r="O95" s="231">
        <v>11</v>
      </c>
      <c r="P95" s="231">
        <v>0</v>
      </c>
      <c r="Q95" s="231">
        <v>0</v>
      </c>
      <c r="R95" s="231">
        <v>23</v>
      </c>
      <c r="S95" s="231"/>
      <c r="T95" s="231"/>
      <c r="U95" s="231">
        <v>0</v>
      </c>
      <c r="V95" s="233">
        <v>0</v>
      </c>
      <c r="W95" s="234">
        <v>0</v>
      </c>
      <c r="X95" s="231">
        <v>0</v>
      </c>
      <c r="Y95" s="231">
        <v>0</v>
      </c>
      <c r="Z95" s="231">
        <v>0</v>
      </c>
      <c r="AA95" s="231">
        <v>0</v>
      </c>
      <c r="AB95" s="232">
        <v>2</v>
      </c>
      <c r="AC95" s="231">
        <v>0</v>
      </c>
      <c r="AD95" s="231">
        <v>1</v>
      </c>
      <c r="AE95" s="231">
        <v>1</v>
      </c>
      <c r="AF95" s="231">
        <v>2</v>
      </c>
      <c r="AG95" s="231">
        <v>3</v>
      </c>
      <c r="AH95" s="231">
        <v>0</v>
      </c>
      <c r="AI95" s="231">
        <v>0</v>
      </c>
      <c r="AJ95" s="231">
        <v>8</v>
      </c>
      <c r="AK95" s="231"/>
      <c r="AL95" s="233"/>
      <c r="AM95" s="235" t="s">
        <v>486</v>
      </c>
      <c r="AN95" s="236">
        <v>4</v>
      </c>
      <c r="AO95" s="236">
        <v>0</v>
      </c>
      <c r="AP95" s="236">
        <v>0</v>
      </c>
      <c r="AQ95" s="236">
        <v>0</v>
      </c>
      <c r="AR95" s="236">
        <v>0</v>
      </c>
      <c r="AS95" s="236">
        <v>2</v>
      </c>
      <c r="AT95" s="236">
        <v>0</v>
      </c>
      <c r="AU95" s="236">
        <v>0</v>
      </c>
      <c r="AV95" s="237">
        <v>0</v>
      </c>
      <c r="AW95" s="235" t="s">
        <v>485</v>
      </c>
      <c r="AX95" s="236">
        <v>4</v>
      </c>
      <c r="AY95" s="236">
        <v>1</v>
      </c>
      <c r="AZ95" s="236">
        <v>2</v>
      </c>
      <c r="BA95" s="236">
        <v>0</v>
      </c>
      <c r="BB95" s="236">
        <v>0</v>
      </c>
      <c r="BC95" s="236">
        <v>1</v>
      </c>
      <c r="BD95" s="236">
        <v>0</v>
      </c>
      <c r="BE95" s="236">
        <v>0</v>
      </c>
      <c r="BF95" s="237">
        <v>2</v>
      </c>
      <c r="BG95" s="235" t="s">
        <v>482</v>
      </c>
      <c r="BH95" s="236">
        <v>3</v>
      </c>
      <c r="BI95" s="236">
        <v>0</v>
      </c>
      <c r="BJ95" s="236">
        <v>1</v>
      </c>
      <c r="BK95" s="236">
        <v>0</v>
      </c>
      <c r="BL95" s="236">
        <v>1</v>
      </c>
      <c r="BM95" s="236">
        <v>0</v>
      </c>
      <c r="BN95" s="236">
        <v>0</v>
      </c>
      <c r="BO95" s="236">
        <v>0</v>
      </c>
      <c r="BP95" s="237">
        <v>1</v>
      </c>
      <c r="BQ95" s="235" t="s">
        <v>366</v>
      </c>
      <c r="BR95" s="236">
        <v>4</v>
      </c>
      <c r="BS95" s="236">
        <v>1</v>
      </c>
      <c r="BT95" s="236">
        <v>1</v>
      </c>
      <c r="BU95" s="236">
        <v>0</v>
      </c>
      <c r="BV95" s="236">
        <v>0</v>
      </c>
      <c r="BW95" s="236">
        <v>3</v>
      </c>
      <c r="BX95" s="236">
        <v>0</v>
      </c>
      <c r="BY95" s="236">
        <v>0</v>
      </c>
      <c r="BZ95" s="237">
        <v>1</v>
      </c>
      <c r="CA95" s="235" t="s">
        <v>367</v>
      </c>
      <c r="CB95" s="236">
        <v>4</v>
      </c>
      <c r="CC95" s="236">
        <v>1</v>
      </c>
      <c r="CD95" s="236">
        <v>2</v>
      </c>
      <c r="CE95" s="236">
        <v>1</v>
      </c>
      <c r="CF95" s="236">
        <v>0</v>
      </c>
      <c r="CG95" s="236">
        <v>1</v>
      </c>
      <c r="CH95" s="236">
        <v>0</v>
      </c>
      <c r="CI95" s="236">
        <v>0</v>
      </c>
      <c r="CJ95" s="237">
        <v>2</v>
      </c>
      <c r="CK95" s="235" t="s">
        <v>483</v>
      </c>
      <c r="CL95" s="236">
        <v>3</v>
      </c>
      <c r="CM95" s="236">
        <v>0</v>
      </c>
      <c r="CN95" s="236">
        <v>1</v>
      </c>
      <c r="CO95" s="236">
        <v>1</v>
      </c>
      <c r="CP95" s="236">
        <v>1</v>
      </c>
      <c r="CQ95" s="236">
        <v>0</v>
      </c>
      <c r="CR95" s="236">
        <v>0</v>
      </c>
      <c r="CS95" s="236">
        <v>0</v>
      </c>
      <c r="CT95" s="237">
        <v>1</v>
      </c>
      <c r="CU95" s="235" t="s">
        <v>489</v>
      </c>
      <c r="CV95" s="236">
        <v>3</v>
      </c>
      <c r="CW95" s="236">
        <v>0</v>
      </c>
      <c r="CX95" s="236">
        <v>0</v>
      </c>
      <c r="CY95" s="236">
        <v>0</v>
      </c>
      <c r="CZ95" s="236">
        <v>1</v>
      </c>
      <c r="DA95" s="236">
        <v>0</v>
      </c>
      <c r="DB95" s="236">
        <v>0</v>
      </c>
      <c r="DC95" s="236">
        <v>0</v>
      </c>
      <c r="DD95" s="237">
        <v>0</v>
      </c>
      <c r="DE95" s="235" t="s">
        <v>479</v>
      </c>
      <c r="DF95" s="236">
        <v>4</v>
      </c>
      <c r="DG95" s="236">
        <v>0</v>
      </c>
      <c r="DH95" s="236">
        <v>1</v>
      </c>
      <c r="DI95" s="236">
        <v>1</v>
      </c>
      <c r="DJ95" s="236">
        <v>0</v>
      </c>
      <c r="DK95" s="236">
        <v>1</v>
      </c>
      <c r="DL95" s="236">
        <v>0</v>
      </c>
      <c r="DM95" s="236">
        <v>0</v>
      </c>
      <c r="DN95" s="237">
        <v>1</v>
      </c>
      <c r="DO95" s="235" t="s">
        <v>519</v>
      </c>
      <c r="DP95" s="236">
        <v>4</v>
      </c>
      <c r="DQ95" s="236">
        <v>0</v>
      </c>
      <c r="DR95" s="236">
        <v>0</v>
      </c>
      <c r="DS95" s="236">
        <v>0</v>
      </c>
      <c r="DT95" s="236">
        <v>0</v>
      </c>
      <c r="DU95" s="236">
        <v>2</v>
      </c>
      <c r="DV95" s="236">
        <v>0</v>
      </c>
      <c r="DW95" s="236">
        <v>0</v>
      </c>
      <c r="DX95" s="237">
        <v>0</v>
      </c>
      <c r="DY95" s="238">
        <v>8</v>
      </c>
      <c r="DZ95" s="239">
        <v>0</v>
      </c>
      <c r="EA95" s="239">
        <v>0</v>
      </c>
      <c r="EB95" s="240">
        <v>1</v>
      </c>
      <c r="EC95" s="239">
        <v>0</v>
      </c>
      <c r="ED95" s="241">
        <v>0</v>
      </c>
      <c r="EE95" s="242">
        <v>0</v>
      </c>
      <c r="EF95" s="239">
        <v>0</v>
      </c>
      <c r="EG95" s="239">
        <v>0</v>
      </c>
      <c r="EH95" s="239">
        <v>0</v>
      </c>
      <c r="EI95" s="239">
        <v>0</v>
      </c>
      <c r="EJ95" s="239">
        <v>0</v>
      </c>
      <c r="EK95" s="239">
        <v>0</v>
      </c>
      <c r="EL95" s="239">
        <v>0</v>
      </c>
      <c r="EM95" s="239">
        <v>3</v>
      </c>
      <c r="EN95" s="239"/>
      <c r="EO95" s="239"/>
      <c r="EP95" s="239"/>
      <c r="EQ95" s="239"/>
      <c r="ER95" s="239"/>
      <c r="ES95" s="239"/>
      <c r="ET95" s="239"/>
      <c r="EU95" s="239"/>
      <c r="EV95" s="239"/>
      <c r="EW95" s="239"/>
      <c r="EX95" s="243">
        <f t="shared" si="8"/>
        <v>3</v>
      </c>
      <c r="EY95" s="242">
        <v>0</v>
      </c>
      <c r="EZ95" s="239">
        <v>0</v>
      </c>
      <c r="FA95" s="239">
        <v>0</v>
      </c>
      <c r="FB95" s="239">
        <v>3</v>
      </c>
      <c r="FC95" s="239">
        <v>0</v>
      </c>
      <c r="FD95" s="239">
        <v>0</v>
      </c>
      <c r="FE95" s="239">
        <v>0</v>
      </c>
      <c r="FF95" s="239">
        <v>1</v>
      </c>
      <c r="FG95" s="239"/>
      <c r="FH95" s="239"/>
      <c r="FI95" s="239"/>
      <c r="FJ95" s="239"/>
      <c r="FK95" s="239"/>
      <c r="FL95" s="239"/>
      <c r="FM95" s="239"/>
      <c r="FN95" s="239"/>
      <c r="FO95" s="239"/>
      <c r="FP95" s="239"/>
      <c r="FQ95" s="239"/>
      <c r="FR95" s="243">
        <f t="shared" si="9"/>
        <v>4</v>
      </c>
      <c r="FS95" s="244">
        <f t="shared" si="12"/>
        <v>0</v>
      </c>
      <c r="FT95" s="245">
        <f t="shared" si="13"/>
        <v>0</v>
      </c>
      <c r="FU95" s="246"/>
    </row>
    <row r="96" spans="1:177" x14ac:dyDescent="0.25">
      <c r="A96" s="227">
        <v>40377</v>
      </c>
      <c r="B96" s="227" t="s">
        <v>19</v>
      </c>
      <c r="C96" s="227" t="s">
        <v>131</v>
      </c>
      <c r="D96" s="227" t="s">
        <v>502</v>
      </c>
      <c r="E96" s="228">
        <v>1778</v>
      </c>
      <c r="F96" s="229" t="s">
        <v>523</v>
      </c>
      <c r="G96" s="230" t="s">
        <v>492</v>
      </c>
      <c r="H96" s="231">
        <v>0</v>
      </c>
      <c r="I96" s="231">
        <v>1</v>
      </c>
      <c r="J96" s="232">
        <v>4</v>
      </c>
      <c r="K96" s="231">
        <v>5</v>
      </c>
      <c r="L96" s="231">
        <v>3</v>
      </c>
      <c r="M96" s="231">
        <v>2</v>
      </c>
      <c r="N96" s="231">
        <v>3</v>
      </c>
      <c r="O96" s="231">
        <v>2</v>
      </c>
      <c r="P96" s="231">
        <v>1</v>
      </c>
      <c r="Q96" s="231">
        <v>0</v>
      </c>
      <c r="R96" s="231">
        <v>19</v>
      </c>
      <c r="S96" s="231"/>
      <c r="T96" s="231"/>
      <c r="U96" s="231">
        <v>0</v>
      </c>
      <c r="V96" s="233">
        <v>0</v>
      </c>
      <c r="W96" s="234">
        <v>0</v>
      </c>
      <c r="X96" s="231">
        <v>0</v>
      </c>
      <c r="Y96" s="231">
        <v>0</v>
      </c>
      <c r="Z96" s="231">
        <v>0</v>
      </c>
      <c r="AA96" s="231">
        <v>0</v>
      </c>
      <c r="AB96" s="232">
        <v>5</v>
      </c>
      <c r="AC96" s="231">
        <v>5</v>
      </c>
      <c r="AD96" s="231">
        <v>2</v>
      </c>
      <c r="AE96" s="231">
        <v>2</v>
      </c>
      <c r="AF96" s="231">
        <v>0</v>
      </c>
      <c r="AG96" s="231">
        <v>3</v>
      </c>
      <c r="AH96" s="231">
        <v>0</v>
      </c>
      <c r="AI96" s="231">
        <v>0</v>
      </c>
      <c r="AJ96" s="231">
        <v>19</v>
      </c>
      <c r="AK96" s="231"/>
      <c r="AL96" s="233"/>
      <c r="AM96" s="235" t="s">
        <v>519</v>
      </c>
      <c r="AN96" s="236">
        <v>2</v>
      </c>
      <c r="AO96" s="236">
        <v>0</v>
      </c>
      <c r="AP96" s="236">
        <v>0</v>
      </c>
      <c r="AQ96" s="236">
        <v>1</v>
      </c>
      <c r="AR96" s="236">
        <v>1</v>
      </c>
      <c r="AS96" s="236">
        <v>1</v>
      </c>
      <c r="AT96" s="236">
        <v>0</v>
      </c>
      <c r="AU96" s="236">
        <v>1</v>
      </c>
      <c r="AV96" s="237">
        <v>0</v>
      </c>
      <c r="AW96" s="235" t="s">
        <v>485</v>
      </c>
      <c r="AX96" s="236">
        <v>4</v>
      </c>
      <c r="AY96" s="236">
        <v>0</v>
      </c>
      <c r="AZ96" s="236">
        <v>0</v>
      </c>
      <c r="BA96" s="236">
        <v>0</v>
      </c>
      <c r="BB96" s="236">
        <v>0</v>
      </c>
      <c r="BC96" s="236">
        <v>0</v>
      </c>
      <c r="BD96" s="236">
        <v>0</v>
      </c>
      <c r="BE96" s="236">
        <v>0</v>
      </c>
      <c r="BF96" s="237">
        <v>0</v>
      </c>
      <c r="BG96" s="235" t="s">
        <v>484</v>
      </c>
      <c r="BH96" s="236">
        <v>4</v>
      </c>
      <c r="BI96" s="236">
        <v>0</v>
      </c>
      <c r="BJ96" s="236">
        <v>2</v>
      </c>
      <c r="BK96" s="236">
        <v>0</v>
      </c>
      <c r="BL96" s="236">
        <v>0</v>
      </c>
      <c r="BM96" s="236">
        <v>0</v>
      </c>
      <c r="BN96" s="236">
        <v>0</v>
      </c>
      <c r="BO96" s="236">
        <v>0</v>
      </c>
      <c r="BP96" s="237">
        <v>3</v>
      </c>
      <c r="BQ96" s="235" t="s">
        <v>367</v>
      </c>
      <c r="BR96" s="236">
        <v>4</v>
      </c>
      <c r="BS96" s="236">
        <v>0</v>
      </c>
      <c r="BT96" s="236">
        <v>0</v>
      </c>
      <c r="BU96" s="236">
        <v>0</v>
      </c>
      <c r="BV96" s="236">
        <v>0</v>
      </c>
      <c r="BW96" s="236">
        <v>0</v>
      </c>
      <c r="BX96" s="236">
        <v>0</v>
      </c>
      <c r="BY96" s="236">
        <v>0</v>
      </c>
      <c r="BZ96" s="237">
        <v>0</v>
      </c>
      <c r="CA96" s="235" t="s">
        <v>482</v>
      </c>
      <c r="CB96" s="236">
        <v>3</v>
      </c>
      <c r="CC96" s="236">
        <v>0</v>
      </c>
      <c r="CD96" s="236">
        <v>0</v>
      </c>
      <c r="CE96" s="236">
        <v>0</v>
      </c>
      <c r="CF96" s="236">
        <v>0</v>
      </c>
      <c r="CG96" s="236">
        <v>0</v>
      </c>
      <c r="CH96" s="236">
        <v>0</v>
      </c>
      <c r="CI96" s="236">
        <v>0</v>
      </c>
      <c r="CJ96" s="237">
        <v>0</v>
      </c>
      <c r="CK96" s="235" t="s">
        <v>486</v>
      </c>
      <c r="CL96" s="236">
        <v>3</v>
      </c>
      <c r="CM96" s="236">
        <v>0</v>
      </c>
      <c r="CN96" s="236">
        <v>0</v>
      </c>
      <c r="CO96" s="236">
        <v>0</v>
      </c>
      <c r="CP96" s="236">
        <v>0</v>
      </c>
      <c r="CQ96" s="236">
        <v>0</v>
      </c>
      <c r="CR96" s="236">
        <v>0</v>
      </c>
      <c r="CS96" s="236">
        <v>0</v>
      </c>
      <c r="CT96" s="237">
        <v>0</v>
      </c>
      <c r="CU96" s="235" t="s">
        <v>481</v>
      </c>
      <c r="CV96" s="236">
        <v>3</v>
      </c>
      <c r="CW96" s="236">
        <v>0</v>
      </c>
      <c r="CX96" s="236">
        <v>1</v>
      </c>
      <c r="CY96" s="236">
        <v>0</v>
      </c>
      <c r="CZ96" s="236">
        <v>0</v>
      </c>
      <c r="DA96" s="236">
        <v>0</v>
      </c>
      <c r="DB96" s="236">
        <v>0</v>
      </c>
      <c r="DC96" s="236">
        <v>0</v>
      </c>
      <c r="DD96" s="237">
        <v>1</v>
      </c>
      <c r="DE96" s="235" t="s">
        <v>480</v>
      </c>
      <c r="DF96" s="236">
        <v>3</v>
      </c>
      <c r="DG96" s="236">
        <v>1</v>
      </c>
      <c r="DH96" s="236">
        <v>1</v>
      </c>
      <c r="DI96" s="236">
        <v>0</v>
      </c>
      <c r="DJ96" s="236">
        <v>0</v>
      </c>
      <c r="DK96" s="236">
        <v>1</v>
      </c>
      <c r="DL96" s="236">
        <v>0</v>
      </c>
      <c r="DM96" s="236">
        <v>0</v>
      </c>
      <c r="DN96" s="237">
        <v>2</v>
      </c>
      <c r="DO96" s="235" t="s">
        <v>479</v>
      </c>
      <c r="DP96" s="236">
        <v>2</v>
      </c>
      <c r="DQ96" s="236">
        <v>0</v>
      </c>
      <c r="DR96" s="236">
        <v>0</v>
      </c>
      <c r="DS96" s="236">
        <v>0</v>
      </c>
      <c r="DT96" s="236">
        <v>0</v>
      </c>
      <c r="DU96" s="236">
        <v>1</v>
      </c>
      <c r="DV96" s="236">
        <v>0</v>
      </c>
      <c r="DW96" s="236">
        <v>0</v>
      </c>
      <c r="DX96" s="237">
        <v>0</v>
      </c>
      <c r="DY96" s="238">
        <v>3</v>
      </c>
      <c r="DZ96" s="239">
        <v>0</v>
      </c>
      <c r="EA96" s="239">
        <v>0</v>
      </c>
      <c r="EB96" s="240">
        <v>6</v>
      </c>
      <c r="EC96" s="239">
        <v>0</v>
      </c>
      <c r="ED96" s="241">
        <v>0</v>
      </c>
      <c r="EE96" s="242">
        <v>0</v>
      </c>
      <c r="EF96" s="239">
        <v>0</v>
      </c>
      <c r="EG96" s="239">
        <v>0</v>
      </c>
      <c r="EH96" s="239">
        <v>0</v>
      </c>
      <c r="EI96" s="239">
        <v>0</v>
      </c>
      <c r="EJ96" s="239">
        <v>1</v>
      </c>
      <c r="EK96" s="239">
        <v>0</v>
      </c>
      <c r="EL96" s="239">
        <v>0</v>
      </c>
      <c r="EM96" s="239">
        <v>0</v>
      </c>
      <c r="EN96" s="239"/>
      <c r="EO96" s="239"/>
      <c r="EP96" s="239"/>
      <c r="EQ96" s="239"/>
      <c r="ER96" s="239"/>
      <c r="ES96" s="239"/>
      <c r="ET96" s="239"/>
      <c r="EU96" s="239"/>
      <c r="EV96" s="239"/>
      <c r="EW96" s="239"/>
      <c r="EX96" s="243">
        <f t="shared" si="8"/>
        <v>1</v>
      </c>
      <c r="EY96" s="242">
        <v>0</v>
      </c>
      <c r="EZ96" s="239">
        <v>1</v>
      </c>
      <c r="FA96" s="239">
        <v>0</v>
      </c>
      <c r="FB96" s="239">
        <v>2</v>
      </c>
      <c r="FC96" s="239">
        <v>0</v>
      </c>
      <c r="FD96" s="239">
        <v>0</v>
      </c>
      <c r="FE96" s="239">
        <v>0</v>
      </c>
      <c r="FF96" s="239">
        <v>2</v>
      </c>
      <c r="FG96" s="239">
        <v>0</v>
      </c>
      <c r="FH96" s="239"/>
      <c r="FI96" s="239"/>
      <c r="FJ96" s="239"/>
      <c r="FK96" s="239"/>
      <c r="FL96" s="239"/>
      <c r="FM96" s="239"/>
      <c r="FN96" s="239"/>
      <c r="FO96" s="239"/>
      <c r="FP96" s="239"/>
      <c r="FQ96" s="239"/>
      <c r="FR96" s="243">
        <f t="shared" si="9"/>
        <v>5</v>
      </c>
      <c r="FS96" s="244">
        <f t="shared" si="12"/>
        <v>0</v>
      </c>
      <c r="FT96" s="245">
        <f t="shared" si="13"/>
        <v>0</v>
      </c>
      <c r="FU96" s="246"/>
    </row>
    <row r="97" spans="1:177" x14ac:dyDescent="0.25">
      <c r="A97" s="227">
        <v>40378</v>
      </c>
      <c r="B97" s="227" t="s">
        <v>19</v>
      </c>
      <c r="C97" s="227" t="s">
        <v>131</v>
      </c>
      <c r="D97" s="227" t="s">
        <v>502</v>
      </c>
      <c r="E97" s="228">
        <v>1526</v>
      </c>
      <c r="F97" s="229">
        <v>2</v>
      </c>
      <c r="G97" s="230" t="s">
        <v>498</v>
      </c>
      <c r="H97" s="231">
        <v>0</v>
      </c>
      <c r="I97" s="231">
        <v>0</v>
      </c>
      <c r="J97" s="232">
        <v>7</v>
      </c>
      <c r="K97" s="231">
        <v>6</v>
      </c>
      <c r="L97" s="231">
        <v>3</v>
      </c>
      <c r="M97" s="231">
        <v>3</v>
      </c>
      <c r="N97" s="231">
        <v>0</v>
      </c>
      <c r="O97" s="231">
        <v>1</v>
      </c>
      <c r="P97" s="231">
        <v>0</v>
      </c>
      <c r="Q97" s="231">
        <v>0</v>
      </c>
      <c r="R97" s="231">
        <v>29</v>
      </c>
      <c r="S97" s="231"/>
      <c r="T97" s="231"/>
      <c r="U97" s="231">
        <v>0</v>
      </c>
      <c r="V97" s="233">
        <v>0</v>
      </c>
      <c r="W97" s="234">
        <v>0</v>
      </c>
      <c r="X97" s="231">
        <v>1</v>
      </c>
      <c r="Y97" s="231">
        <v>0</v>
      </c>
      <c r="Z97" s="231">
        <v>0</v>
      </c>
      <c r="AA97" s="231">
        <v>0</v>
      </c>
      <c r="AB97" s="232">
        <v>12</v>
      </c>
      <c r="AC97" s="231">
        <v>5</v>
      </c>
      <c r="AD97" s="231">
        <v>1</v>
      </c>
      <c r="AE97" s="231">
        <v>1</v>
      </c>
      <c r="AF97" s="231">
        <v>2</v>
      </c>
      <c r="AG97" s="231">
        <v>7</v>
      </c>
      <c r="AH97" s="231">
        <v>0</v>
      </c>
      <c r="AI97" s="231">
        <v>1</v>
      </c>
      <c r="AJ97" s="231">
        <v>41</v>
      </c>
      <c r="AK97" s="231"/>
      <c r="AL97" s="233"/>
      <c r="AM97" s="235" t="s">
        <v>519</v>
      </c>
      <c r="AN97" s="236">
        <v>9</v>
      </c>
      <c r="AO97" s="236">
        <v>0</v>
      </c>
      <c r="AP97" s="236">
        <v>2</v>
      </c>
      <c r="AQ97" s="236">
        <v>0</v>
      </c>
      <c r="AR97" s="236">
        <v>0</v>
      </c>
      <c r="AS97" s="236">
        <v>1</v>
      </c>
      <c r="AT97" s="236">
        <v>0</v>
      </c>
      <c r="AU97" s="236">
        <v>0</v>
      </c>
      <c r="AV97" s="237">
        <v>2</v>
      </c>
      <c r="AW97" s="235" t="s">
        <v>485</v>
      </c>
      <c r="AX97" s="236">
        <v>6</v>
      </c>
      <c r="AY97" s="236">
        <v>1</v>
      </c>
      <c r="AZ97" s="236">
        <v>2</v>
      </c>
      <c r="BA97" s="236">
        <v>0</v>
      </c>
      <c r="BB97" s="236">
        <v>3</v>
      </c>
      <c r="BC97" s="236">
        <v>2</v>
      </c>
      <c r="BD97" s="236">
        <v>0</v>
      </c>
      <c r="BE97" s="236">
        <v>0</v>
      </c>
      <c r="BF97" s="237">
        <v>3</v>
      </c>
      <c r="BG97" s="235" t="s">
        <v>484</v>
      </c>
      <c r="BH97" s="236">
        <v>8</v>
      </c>
      <c r="BI97" s="236">
        <v>0</v>
      </c>
      <c r="BJ97" s="236">
        <v>1</v>
      </c>
      <c r="BK97" s="236">
        <v>0</v>
      </c>
      <c r="BL97" s="236">
        <v>0</v>
      </c>
      <c r="BM97" s="236">
        <v>2</v>
      </c>
      <c r="BN97" s="236">
        <v>0</v>
      </c>
      <c r="BO97" s="236">
        <v>0</v>
      </c>
      <c r="BP97" s="237">
        <v>2</v>
      </c>
      <c r="BQ97" s="235" t="s">
        <v>367</v>
      </c>
      <c r="BR97" s="236">
        <v>7</v>
      </c>
      <c r="BS97" s="236">
        <v>0</v>
      </c>
      <c r="BT97" s="236">
        <v>2</v>
      </c>
      <c r="BU97" s="236">
        <v>1</v>
      </c>
      <c r="BV97" s="236">
        <v>1</v>
      </c>
      <c r="BW97" s="236">
        <v>0</v>
      </c>
      <c r="BX97" s="236">
        <v>1</v>
      </c>
      <c r="BY97" s="236">
        <v>0</v>
      </c>
      <c r="BZ97" s="237">
        <v>3</v>
      </c>
      <c r="CA97" s="235" t="s">
        <v>489</v>
      </c>
      <c r="CB97" s="236">
        <v>8</v>
      </c>
      <c r="CC97" s="236">
        <v>1</v>
      </c>
      <c r="CD97" s="236">
        <v>1</v>
      </c>
      <c r="CE97" s="236">
        <v>0</v>
      </c>
      <c r="CF97" s="236">
        <v>1</v>
      </c>
      <c r="CG97" s="236">
        <v>2</v>
      </c>
      <c r="CH97" s="236">
        <v>0</v>
      </c>
      <c r="CI97" s="236">
        <v>0</v>
      </c>
      <c r="CJ97" s="237">
        <v>1</v>
      </c>
      <c r="CK97" s="235" t="s">
        <v>575</v>
      </c>
      <c r="CL97" s="236">
        <v>9</v>
      </c>
      <c r="CM97" s="236">
        <v>0</v>
      </c>
      <c r="CN97" s="236">
        <v>2</v>
      </c>
      <c r="CO97" s="236">
        <v>0</v>
      </c>
      <c r="CP97" s="236">
        <v>0</v>
      </c>
      <c r="CQ97" s="236">
        <v>4</v>
      </c>
      <c r="CR97" s="236">
        <v>0</v>
      </c>
      <c r="CS97" s="236">
        <v>0</v>
      </c>
      <c r="CT97" s="237">
        <v>3</v>
      </c>
      <c r="CU97" s="235" t="s">
        <v>481</v>
      </c>
      <c r="CV97" s="236">
        <v>8</v>
      </c>
      <c r="CW97" s="236">
        <v>1</v>
      </c>
      <c r="CX97" s="236">
        <v>1</v>
      </c>
      <c r="CY97" s="236">
        <v>0</v>
      </c>
      <c r="CZ97" s="236">
        <v>1</v>
      </c>
      <c r="DA97" s="236">
        <v>1</v>
      </c>
      <c r="DB97" s="236">
        <v>0</v>
      </c>
      <c r="DC97" s="236">
        <v>0</v>
      </c>
      <c r="DD97" s="237">
        <v>1</v>
      </c>
      <c r="DE97" s="235" t="s">
        <v>491</v>
      </c>
      <c r="DF97" s="236">
        <v>8</v>
      </c>
      <c r="DG97" s="236">
        <v>0</v>
      </c>
      <c r="DH97" s="236">
        <v>1</v>
      </c>
      <c r="DI97" s="236">
        <v>0</v>
      </c>
      <c r="DJ97" s="236">
        <v>1</v>
      </c>
      <c r="DK97" s="236">
        <v>0</v>
      </c>
      <c r="DL97" s="236">
        <v>0</v>
      </c>
      <c r="DM97" s="236">
        <v>0</v>
      </c>
      <c r="DN97" s="237">
        <v>1</v>
      </c>
      <c r="DO97" s="235" t="s">
        <v>480</v>
      </c>
      <c r="DP97" s="236">
        <v>7</v>
      </c>
      <c r="DQ97" s="236">
        <v>0</v>
      </c>
      <c r="DR97" s="236">
        <v>2</v>
      </c>
      <c r="DS97" s="236">
        <v>2</v>
      </c>
      <c r="DT97" s="236">
        <v>1</v>
      </c>
      <c r="DU97" s="236">
        <v>3</v>
      </c>
      <c r="DV97" s="236">
        <v>0</v>
      </c>
      <c r="DW97" s="236">
        <v>0</v>
      </c>
      <c r="DX97" s="237">
        <v>2</v>
      </c>
      <c r="DY97" s="238">
        <f>6+1/3</f>
        <v>6.333333333333333</v>
      </c>
      <c r="DZ97" s="239">
        <v>1</v>
      </c>
      <c r="EA97" s="239">
        <v>0</v>
      </c>
      <c r="EB97" s="240">
        <f>12+2/3</f>
        <v>12.666666666666666</v>
      </c>
      <c r="EC97" s="239">
        <v>4</v>
      </c>
      <c r="ED97" s="241">
        <v>0</v>
      </c>
      <c r="EE97" s="242">
        <v>1</v>
      </c>
      <c r="EF97" s="239">
        <v>0</v>
      </c>
      <c r="EG97" s="239">
        <v>0</v>
      </c>
      <c r="EH97" s="239">
        <v>0</v>
      </c>
      <c r="EI97" s="239">
        <v>0</v>
      </c>
      <c r="EJ97" s="239">
        <v>0</v>
      </c>
      <c r="EK97" s="239">
        <v>0</v>
      </c>
      <c r="EL97" s="239">
        <v>0</v>
      </c>
      <c r="EM97" s="239">
        <v>2</v>
      </c>
      <c r="EN97" s="239">
        <v>0</v>
      </c>
      <c r="EO97" s="239">
        <v>0</v>
      </c>
      <c r="EP97" s="239">
        <v>0</v>
      </c>
      <c r="EQ97" s="239">
        <v>0</v>
      </c>
      <c r="ER97" s="239">
        <v>0</v>
      </c>
      <c r="ES97" s="239">
        <v>0</v>
      </c>
      <c r="ET97" s="239">
        <v>0</v>
      </c>
      <c r="EU97" s="239">
        <v>0</v>
      </c>
      <c r="EV97" s="239">
        <v>0</v>
      </c>
      <c r="EW97" s="239">
        <v>0</v>
      </c>
      <c r="EX97" s="243">
        <f t="shared" ref="EX97:EX103" si="14">SUM(EE97:EW97)</f>
        <v>3</v>
      </c>
      <c r="EY97" s="242">
        <v>3</v>
      </c>
      <c r="EZ97" s="239">
        <v>0</v>
      </c>
      <c r="FA97" s="239">
        <v>0</v>
      </c>
      <c r="FB97" s="239">
        <v>0</v>
      </c>
      <c r="FC97" s="239">
        <v>0</v>
      </c>
      <c r="FD97" s="239">
        <v>0</v>
      </c>
      <c r="FE97" s="239">
        <v>0</v>
      </c>
      <c r="FF97" s="239">
        <v>0</v>
      </c>
      <c r="FG97" s="239">
        <v>0</v>
      </c>
      <c r="FH97" s="239">
        <v>0</v>
      </c>
      <c r="FI97" s="239">
        <v>0</v>
      </c>
      <c r="FJ97" s="239">
        <v>0</v>
      </c>
      <c r="FK97" s="239">
        <v>0</v>
      </c>
      <c r="FL97" s="239">
        <v>0</v>
      </c>
      <c r="FM97" s="239">
        <v>0</v>
      </c>
      <c r="FN97" s="239">
        <v>0</v>
      </c>
      <c r="FO97" s="239">
        <v>0</v>
      </c>
      <c r="FP97" s="239">
        <v>0</v>
      </c>
      <c r="FQ97" s="239">
        <v>1</v>
      </c>
      <c r="FR97" s="243">
        <f t="shared" ref="FR97:FR103" si="15">SUM(EY97:FQ97)</f>
        <v>4</v>
      </c>
      <c r="FS97" s="244">
        <f t="shared" si="12"/>
        <v>0</v>
      </c>
      <c r="FT97" s="245">
        <f t="shared" si="13"/>
        <v>0</v>
      </c>
      <c r="FU97" s="246"/>
    </row>
    <row r="98" spans="1:177" x14ac:dyDescent="0.25">
      <c r="A98" s="227">
        <v>40379</v>
      </c>
      <c r="B98" s="227" t="s">
        <v>19</v>
      </c>
      <c r="C98" s="227" t="s">
        <v>131</v>
      </c>
      <c r="D98" s="227" t="s">
        <v>502</v>
      </c>
      <c r="E98" s="228">
        <v>1708</v>
      </c>
      <c r="F98" s="229">
        <v>3</v>
      </c>
      <c r="G98" s="230" t="s">
        <v>490</v>
      </c>
      <c r="H98" s="231">
        <v>0</v>
      </c>
      <c r="I98" s="231">
        <v>1</v>
      </c>
      <c r="J98" s="232">
        <f>6+2/3</f>
        <v>6.666666666666667</v>
      </c>
      <c r="K98" s="231">
        <v>10</v>
      </c>
      <c r="L98" s="231">
        <v>3</v>
      </c>
      <c r="M98" s="231">
        <v>3</v>
      </c>
      <c r="N98" s="231">
        <v>1</v>
      </c>
      <c r="O98" s="231">
        <v>6</v>
      </c>
      <c r="P98" s="231">
        <v>0</v>
      </c>
      <c r="Q98" s="231">
        <v>1</v>
      </c>
      <c r="R98" s="231">
        <v>29</v>
      </c>
      <c r="S98" s="231"/>
      <c r="T98" s="231"/>
      <c r="U98" s="231">
        <v>1</v>
      </c>
      <c r="V98" s="233">
        <v>1</v>
      </c>
      <c r="W98" s="234">
        <v>0</v>
      </c>
      <c r="X98" s="231">
        <v>0</v>
      </c>
      <c r="Y98" s="231">
        <v>0</v>
      </c>
      <c r="Z98" s="231">
        <v>0</v>
      </c>
      <c r="AA98" s="231">
        <v>0</v>
      </c>
      <c r="AB98" s="232">
        <f>2+1/3</f>
        <v>2.3333333333333335</v>
      </c>
      <c r="AC98" s="231">
        <v>6</v>
      </c>
      <c r="AD98" s="231">
        <v>3</v>
      </c>
      <c r="AE98" s="231">
        <v>3</v>
      </c>
      <c r="AF98" s="231">
        <v>0</v>
      </c>
      <c r="AG98" s="231">
        <v>2</v>
      </c>
      <c r="AH98" s="231">
        <v>0</v>
      </c>
      <c r="AI98" s="231">
        <v>0</v>
      </c>
      <c r="AJ98" s="231">
        <v>13</v>
      </c>
      <c r="AK98" s="231"/>
      <c r="AL98" s="233"/>
      <c r="AM98" s="235" t="s">
        <v>519</v>
      </c>
      <c r="AN98" s="236">
        <v>3</v>
      </c>
      <c r="AO98" s="236">
        <v>0</v>
      </c>
      <c r="AP98" s="236">
        <v>1</v>
      </c>
      <c r="AQ98" s="236">
        <v>0</v>
      </c>
      <c r="AR98" s="236">
        <v>0</v>
      </c>
      <c r="AS98" s="236">
        <v>0</v>
      </c>
      <c r="AT98" s="236">
        <v>0</v>
      </c>
      <c r="AU98" s="236">
        <v>0</v>
      </c>
      <c r="AV98" s="237">
        <v>1</v>
      </c>
      <c r="AW98" s="235" t="s">
        <v>485</v>
      </c>
      <c r="AX98" s="236">
        <v>4</v>
      </c>
      <c r="AY98" s="236">
        <v>1</v>
      </c>
      <c r="AZ98" s="236">
        <v>1</v>
      </c>
      <c r="BA98" s="236">
        <v>0</v>
      </c>
      <c r="BB98" s="236">
        <v>0</v>
      </c>
      <c r="BC98" s="236">
        <v>2</v>
      </c>
      <c r="BD98" s="236">
        <v>0</v>
      </c>
      <c r="BE98" s="236">
        <v>0</v>
      </c>
      <c r="BF98" s="237">
        <v>1</v>
      </c>
      <c r="BG98" s="235" t="s">
        <v>482</v>
      </c>
      <c r="BH98" s="236">
        <v>4</v>
      </c>
      <c r="BI98" s="236">
        <v>0</v>
      </c>
      <c r="BJ98" s="236">
        <v>0</v>
      </c>
      <c r="BK98" s="236">
        <v>0</v>
      </c>
      <c r="BL98" s="236">
        <v>0</v>
      </c>
      <c r="BM98" s="236">
        <v>2</v>
      </c>
      <c r="BN98" s="236">
        <v>0</v>
      </c>
      <c r="BO98" s="236">
        <v>0</v>
      </c>
      <c r="BP98" s="237">
        <v>0</v>
      </c>
      <c r="BQ98" s="235" t="s">
        <v>367</v>
      </c>
      <c r="BR98" s="236">
        <v>3</v>
      </c>
      <c r="BS98" s="236">
        <v>1</v>
      </c>
      <c r="BT98" s="236">
        <v>1</v>
      </c>
      <c r="BU98" s="236">
        <v>1</v>
      </c>
      <c r="BV98" s="236">
        <v>1</v>
      </c>
      <c r="BW98" s="236">
        <v>0</v>
      </c>
      <c r="BX98" s="236">
        <v>0</v>
      </c>
      <c r="BY98" s="236">
        <v>0</v>
      </c>
      <c r="BZ98" s="237">
        <v>1</v>
      </c>
      <c r="CA98" s="235" t="s">
        <v>484</v>
      </c>
      <c r="CB98" s="236">
        <v>4</v>
      </c>
      <c r="CC98" s="236">
        <v>0</v>
      </c>
      <c r="CD98" s="236">
        <v>0</v>
      </c>
      <c r="CE98" s="236">
        <v>0</v>
      </c>
      <c r="CF98" s="236">
        <v>0</v>
      </c>
      <c r="CG98" s="236">
        <v>1</v>
      </c>
      <c r="CH98" s="236">
        <v>0</v>
      </c>
      <c r="CI98" s="236">
        <v>0</v>
      </c>
      <c r="CJ98" s="237">
        <v>0</v>
      </c>
      <c r="CK98" s="235" t="s">
        <v>481</v>
      </c>
      <c r="CL98" s="236">
        <v>3</v>
      </c>
      <c r="CM98" s="236">
        <v>0</v>
      </c>
      <c r="CN98" s="236">
        <v>0</v>
      </c>
      <c r="CO98" s="236">
        <v>0</v>
      </c>
      <c r="CP98" s="236">
        <v>0</v>
      </c>
      <c r="CQ98" s="236">
        <v>1</v>
      </c>
      <c r="CR98" s="236">
        <v>0</v>
      </c>
      <c r="CS98" s="236">
        <v>0</v>
      </c>
      <c r="CT98" s="237">
        <v>0</v>
      </c>
      <c r="CU98" s="235" t="s">
        <v>491</v>
      </c>
      <c r="CV98" s="236">
        <v>3</v>
      </c>
      <c r="CW98" s="236">
        <v>0</v>
      </c>
      <c r="CX98" s="236">
        <v>1</v>
      </c>
      <c r="CY98" s="236">
        <v>1</v>
      </c>
      <c r="CZ98" s="236">
        <v>0</v>
      </c>
      <c r="DA98" s="236">
        <v>1</v>
      </c>
      <c r="DB98" s="236">
        <v>0</v>
      </c>
      <c r="DC98" s="236">
        <v>0</v>
      </c>
      <c r="DD98" s="237">
        <v>2</v>
      </c>
      <c r="DE98" s="235" t="s">
        <v>480</v>
      </c>
      <c r="DF98" s="236">
        <v>3</v>
      </c>
      <c r="DG98" s="236">
        <v>0</v>
      </c>
      <c r="DH98" s="236">
        <v>1</v>
      </c>
      <c r="DI98" s="236">
        <v>0</v>
      </c>
      <c r="DJ98" s="236">
        <v>0</v>
      </c>
      <c r="DK98" s="236">
        <v>0</v>
      </c>
      <c r="DL98" s="236">
        <v>0</v>
      </c>
      <c r="DM98" s="236">
        <v>0</v>
      </c>
      <c r="DN98" s="237">
        <v>1</v>
      </c>
      <c r="DO98" s="235" t="s">
        <v>486</v>
      </c>
      <c r="DP98" s="236">
        <v>3</v>
      </c>
      <c r="DQ98" s="236">
        <v>0</v>
      </c>
      <c r="DR98" s="236">
        <v>1</v>
      </c>
      <c r="DS98" s="236">
        <v>0</v>
      </c>
      <c r="DT98" s="236">
        <v>0</v>
      </c>
      <c r="DU98" s="236">
        <v>0</v>
      </c>
      <c r="DV98" s="236">
        <v>0</v>
      </c>
      <c r="DW98" s="236">
        <v>0</v>
      </c>
      <c r="DX98" s="237">
        <v>1</v>
      </c>
      <c r="DY98" s="238">
        <v>2</v>
      </c>
      <c r="DZ98" s="239">
        <v>0</v>
      </c>
      <c r="EA98" s="239">
        <v>0</v>
      </c>
      <c r="EB98" s="240">
        <v>7</v>
      </c>
      <c r="EC98" s="239">
        <v>3</v>
      </c>
      <c r="ED98" s="241">
        <v>0</v>
      </c>
      <c r="EE98" s="242">
        <v>0</v>
      </c>
      <c r="EF98" s="239">
        <v>1</v>
      </c>
      <c r="EG98" s="239">
        <v>0</v>
      </c>
      <c r="EH98" s="239">
        <v>0</v>
      </c>
      <c r="EI98" s="239">
        <v>0</v>
      </c>
      <c r="EJ98" s="239">
        <v>1</v>
      </c>
      <c r="EK98" s="239">
        <v>0</v>
      </c>
      <c r="EL98" s="239">
        <v>0</v>
      </c>
      <c r="EM98" s="239">
        <v>0</v>
      </c>
      <c r="EN98" s="239"/>
      <c r="EO98" s="239"/>
      <c r="EP98" s="239"/>
      <c r="EQ98" s="239"/>
      <c r="ER98" s="239"/>
      <c r="ES98" s="239"/>
      <c r="ET98" s="239"/>
      <c r="EU98" s="239"/>
      <c r="EV98" s="239"/>
      <c r="EW98" s="239"/>
      <c r="EX98" s="243">
        <f t="shared" si="14"/>
        <v>2</v>
      </c>
      <c r="EY98" s="242">
        <v>0</v>
      </c>
      <c r="EZ98" s="239">
        <v>0</v>
      </c>
      <c r="FA98" s="239">
        <v>0</v>
      </c>
      <c r="FB98" s="239">
        <v>0</v>
      </c>
      <c r="FC98" s="239">
        <v>0</v>
      </c>
      <c r="FD98" s="239">
        <v>0</v>
      </c>
      <c r="FE98" s="239">
        <v>4</v>
      </c>
      <c r="FF98" s="239">
        <v>2</v>
      </c>
      <c r="FG98" s="239">
        <v>0</v>
      </c>
      <c r="FH98" s="239"/>
      <c r="FI98" s="239"/>
      <c r="FJ98" s="239"/>
      <c r="FK98" s="239"/>
      <c r="FL98" s="239"/>
      <c r="FM98" s="239"/>
      <c r="FN98" s="239"/>
      <c r="FO98" s="239"/>
      <c r="FP98" s="239"/>
      <c r="FQ98" s="239"/>
      <c r="FR98" s="243">
        <f t="shared" si="15"/>
        <v>6</v>
      </c>
      <c r="FS98" s="244">
        <f t="shared" si="12"/>
        <v>0</v>
      </c>
      <c r="FT98" s="245">
        <f t="shared" si="13"/>
        <v>0</v>
      </c>
      <c r="FU98" s="246"/>
    </row>
    <row r="99" spans="1:177" x14ac:dyDescent="0.25">
      <c r="A99" s="227">
        <v>40380</v>
      </c>
      <c r="B99" s="227" t="s">
        <v>19</v>
      </c>
      <c r="C99" s="227" t="s">
        <v>131</v>
      </c>
      <c r="D99" s="227" t="s">
        <v>502</v>
      </c>
      <c r="E99" s="228">
        <v>1636</v>
      </c>
      <c r="F99" s="229">
        <v>4</v>
      </c>
      <c r="G99" s="230" t="s">
        <v>487</v>
      </c>
      <c r="H99" s="231">
        <v>0</v>
      </c>
      <c r="I99" s="231">
        <v>1</v>
      </c>
      <c r="J99" s="232">
        <v>6</v>
      </c>
      <c r="K99" s="231">
        <v>10</v>
      </c>
      <c r="L99" s="231">
        <v>5</v>
      </c>
      <c r="M99" s="231">
        <v>4</v>
      </c>
      <c r="N99" s="231">
        <v>0</v>
      </c>
      <c r="O99" s="231">
        <v>4</v>
      </c>
      <c r="P99" s="231">
        <v>0</v>
      </c>
      <c r="Q99" s="231">
        <v>0</v>
      </c>
      <c r="R99" s="231">
        <v>27</v>
      </c>
      <c r="S99" s="231"/>
      <c r="T99" s="231"/>
      <c r="U99" s="231">
        <v>0</v>
      </c>
      <c r="V99" s="233">
        <v>0</v>
      </c>
      <c r="W99" s="234">
        <v>0</v>
      </c>
      <c r="X99" s="231">
        <v>0</v>
      </c>
      <c r="Y99" s="231">
        <v>0</v>
      </c>
      <c r="Z99" s="231">
        <v>0</v>
      </c>
      <c r="AA99" s="231">
        <v>0</v>
      </c>
      <c r="AB99" s="232">
        <v>3</v>
      </c>
      <c r="AC99" s="231">
        <v>2</v>
      </c>
      <c r="AD99" s="231">
        <v>0</v>
      </c>
      <c r="AE99" s="231">
        <v>0</v>
      </c>
      <c r="AF99" s="231">
        <v>2</v>
      </c>
      <c r="AG99" s="231">
        <v>1</v>
      </c>
      <c r="AH99" s="231">
        <v>0</v>
      </c>
      <c r="AI99" s="231">
        <v>0</v>
      </c>
      <c r="AJ99" s="231">
        <v>11</v>
      </c>
      <c r="AK99" s="231"/>
      <c r="AL99" s="233"/>
      <c r="AM99" s="235" t="s">
        <v>486</v>
      </c>
      <c r="AN99" s="236">
        <v>4</v>
      </c>
      <c r="AO99" s="236">
        <v>0</v>
      </c>
      <c r="AP99" s="236">
        <v>1</v>
      </c>
      <c r="AQ99" s="236">
        <v>0</v>
      </c>
      <c r="AR99" s="236">
        <v>0</v>
      </c>
      <c r="AS99" s="236">
        <v>1</v>
      </c>
      <c r="AT99" s="236">
        <v>0</v>
      </c>
      <c r="AU99" s="236">
        <v>0</v>
      </c>
      <c r="AV99" s="237">
        <v>1</v>
      </c>
      <c r="AW99" s="235" t="s">
        <v>485</v>
      </c>
      <c r="AX99" s="236">
        <v>4</v>
      </c>
      <c r="AY99" s="236">
        <v>0</v>
      </c>
      <c r="AZ99" s="236">
        <v>1</v>
      </c>
      <c r="BA99" s="236">
        <v>0</v>
      </c>
      <c r="BB99" s="236">
        <v>0</v>
      </c>
      <c r="BC99" s="236">
        <v>1</v>
      </c>
      <c r="BD99" s="236">
        <v>0</v>
      </c>
      <c r="BE99" s="236">
        <v>0</v>
      </c>
      <c r="BF99" s="237">
        <v>1</v>
      </c>
      <c r="BG99" s="235" t="s">
        <v>484</v>
      </c>
      <c r="BH99" s="236">
        <v>4</v>
      </c>
      <c r="BI99" s="236">
        <v>1</v>
      </c>
      <c r="BJ99" s="236">
        <v>2</v>
      </c>
      <c r="BK99" s="236">
        <v>1</v>
      </c>
      <c r="BL99" s="236">
        <v>0</v>
      </c>
      <c r="BM99" s="236">
        <v>0</v>
      </c>
      <c r="BN99" s="236">
        <v>0</v>
      </c>
      <c r="BO99" s="236">
        <v>0</v>
      </c>
      <c r="BP99" s="237">
        <v>3</v>
      </c>
      <c r="BQ99" s="235" t="s">
        <v>366</v>
      </c>
      <c r="BR99" s="236">
        <v>4</v>
      </c>
      <c r="BS99" s="236">
        <v>0</v>
      </c>
      <c r="BT99" s="236">
        <v>1</v>
      </c>
      <c r="BU99" s="236">
        <v>0</v>
      </c>
      <c r="BV99" s="236">
        <v>0</v>
      </c>
      <c r="BW99" s="236">
        <v>2</v>
      </c>
      <c r="BX99" s="236">
        <v>0</v>
      </c>
      <c r="BY99" s="236">
        <v>0</v>
      </c>
      <c r="BZ99" s="237">
        <v>1</v>
      </c>
      <c r="CA99" s="235" t="s">
        <v>367</v>
      </c>
      <c r="CB99" s="236">
        <v>4</v>
      </c>
      <c r="CC99" s="236">
        <v>0</v>
      </c>
      <c r="CD99" s="236">
        <v>1</v>
      </c>
      <c r="CE99" s="236">
        <v>1</v>
      </c>
      <c r="CF99" s="236">
        <v>0</v>
      </c>
      <c r="CG99" s="236">
        <v>2</v>
      </c>
      <c r="CH99" s="236">
        <v>0</v>
      </c>
      <c r="CI99" s="236">
        <v>0</v>
      </c>
      <c r="CJ99" s="237">
        <v>1</v>
      </c>
      <c r="CK99" s="235" t="s">
        <v>481</v>
      </c>
      <c r="CL99" s="236">
        <v>4</v>
      </c>
      <c r="CM99" s="236">
        <v>0</v>
      </c>
      <c r="CN99" s="236">
        <v>0</v>
      </c>
      <c r="CO99" s="236">
        <v>0</v>
      </c>
      <c r="CP99" s="236">
        <v>0</v>
      </c>
      <c r="CQ99" s="236">
        <v>1</v>
      </c>
      <c r="CR99" s="236">
        <v>0</v>
      </c>
      <c r="CS99" s="236">
        <v>0</v>
      </c>
      <c r="CT99" s="237">
        <v>0</v>
      </c>
      <c r="CU99" s="235" t="s">
        <v>482</v>
      </c>
      <c r="CV99" s="236">
        <v>3</v>
      </c>
      <c r="CW99" s="236">
        <v>0</v>
      </c>
      <c r="CX99" s="236">
        <v>0</v>
      </c>
      <c r="CY99" s="236">
        <v>0</v>
      </c>
      <c r="CZ99" s="236">
        <v>0</v>
      </c>
      <c r="DA99" s="236">
        <v>1</v>
      </c>
      <c r="DB99" s="236">
        <v>0</v>
      </c>
      <c r="DC99" s="236">
        <v>0</v>
      </c>
      <c r="DD99" s="237">
        <v>0</v>
      </c>
      <c r="DE99" s="235" t="s">
        <v>480</v>
      </c>
      <c r="DF99" s="236">
        <v>3</v>
      </c>
      <c r="DG99" s="236">
        <v>1</v>
      </c>
      <c r="DH99" s="236">
        <v>1</v>
      </c>
      <c r="DI99" s="236">
        <v>0</v>
      </c>
      <c r="DJ99" s="236">
        <v>0</v>
      </c>
      <c r="DK99" s="236">
        <v>0</v>
      </c>
      <c r="DL99" s="236">
        <v>0</v>
      </c>
      <c r="DM99" s="236">
        <v>0</v>
      </c>
      <c r="DN99" s="237">
        <v>1</v>
      </c>
      <c r="DO99" s="235" t="s">
        <v>479</v>
      </c>
      <c r="DP99" s="236">
        <v>3</v>
      </c>
      <c r="DQ99" s="236">
        <v>0</v>
      </c>
      <c r="DR99" s="236">
        <v>0</v>
      </c>
      <c r="DS99" s="236">
        <v>0</v>
      </c>
      <c r="DT99" s="236">
        <v>0</v>
      </c>
      <c r="DU99" s="236">
        <v>2</v>
      </c>
      <c r="DV99" s="236">
        <v>0</v>
      </c>
      <c r="DW99" s="236">
        <v>0</v>
      </c>
      <c r="DX99" s="237">
        <v>0</v>
      </c>
      <c r="DY99" s="238">
        <v>9</v>
      </c>
      <c r="DZ99" s="239">
        <v>0</v>
      </c>
      <c r="EA99" s="239">
        <v>0</v>
      </c>
      <c r="EB99" s="240">
        <v>0</v>
      </c>
      <c r="EC99" s="239">
        <v>0</v>
      </c>
      <c r="ED99" s="241">
        <v>0</v>
      </c>
      <c r="EE99" s="242">
        <v>0</v>
      </c>
      <c r="EF99" s="239">
        <v>0</v>
      </c>
      <c r="EG99" s="239">
        <v>0</v>
      </c>
      <c r="EH99" s="239">
        <v>0</v>
      </c>
      <c r="EI99" s="239">
        <v>0</v>
      </c>
      <c r="EJ99" s="239">
        <v>1</v>
      </c>
      <c r="EK99" s="239">
        <v>0</v>
      </c>
      <c r="EL99" s="239">
        <v>0</v>
      </c>
      <c r="EM99" s="239">
        <v>1</v>
      </c>
      <c r="EN99" s="239"/>
      <c r="EO99" s="239"/>
      <c r="EP99" s="239"/>
      <c r="EQ99" s="239"/>
      <c r="ER99" s="239"/>
      <c r="ES99" s="239"/>
      <c r="ET99" s="239"/>
      <c r="EU99" s="239"/>
      <c r="EV99" s="239"/>
      <c r="EW99" s="239"/>
      <c r="EX99" s="243">
        <f t="shared" si="14"/>
        <v>2</v>
      </c>
      <c r="EY99" s="242">
        <v>0</v>
      </c>
      <c r="EZ99" s="239">
        <v>1</v>
      </c>
      <c r="FA99" s="239">
        <v>0</v>
      </c>
      <c r="FB99" s="239">
        <v>0</v>
      </c>
      <c r="FC99" s="239">
        <v>0</v>
      </c>
      <c r="FD99" s="239">
        <v>4</v>
      </c>
      <c r="FE99" s="239">
        <v>0</v>
      </c>
      <c r="FF99" s="239">
        <v>0</v>
      </c>
      <c r="FG99" s="239">
        <v>0</v>
      </c>
      <c r="FH99" s="239"/>
      <c r="FI99" s="239"/>
      <c r="FJ99" s="239"/>
      <c r="FK99" s="239"/>
      <c r="FL99" s="239"/>
      <c r="FM99" s="239"/>
      <c r="FN99" s="239"/>
      <c r="FO99" s="239"/>
      <c r="FP99" s="239"/>
      <c r="FQ99" s="239"/>
      <c r="FR99" s="243">
        <f t="shared" si="15"/>
        <v>5</v>
      </c>
      <c r="FS99" s="244">
        <f t="shared" si="12"/>
        <v>0</v>
      </c>
      <c r="FT99" s="245">
        <f t="shared" si="13"/>
        <v>0</v>
      </c>
      <c r="FU99" s="246"/>
    </row>
    <row r="100" spans="1:177" x14ac:dyDescent="0.25">
      <c r="A100" s="227">
        <v>40381</v>
      </c>
      <c r="B100" s="227" t="s">
        <v>133</v>
      </c>
      <c r="C100" s="227" t="s">
        <v>129</v>
      </c>
      <c r="D100" s="227" t="s">
        <v>500</v>
      </c>
      <c r="E100" s="228">
        <v>3397</v>
      </c>
      <c r="F100" s="229">
        <v>5</v>
      </c>
      <c r="G100" s="230" t="s">
        <v>493</v>
      </c>
      <c r="H100" s="231">
        <v>0</v>
      </c>
      <c r="I100" s="231">
        <v>0</v>
      </c>
      <c r="J100" s="232">
        <v>7</v>
      </c>
      <c r="K100" s="231">
        <v>4</v>
      </c>
      <c r="L100" s="231">
        <v>0</v>
      </c>
      <c r="M100" s="231">
        <v>0</v>
      </c>
      <c r="N100" s="231">
        <v>1</v>
      </c>
      <c r="O100" s="231">
        <v>10</v>
      </c>
      <c r="P100" s="231">
        <v>0</v>
      </c>
      <c r="Q100" s="231">
        <v>1</v>
      </c>
      <c r="R100" s="231">
        <v>27</v>
      </c>
      <c r="S100" s="231"/>
      <c r="T100" s="231"/>
      <c r="U100" s="231">
        <v>0</v>
      </c>
      <c r="V100" s="233">
        <v>0</v>
      </c>
      <c r="W100" s="234">
        <v>1</v>
      </c>
      <c r="X100" s="231">
        <v>0</v>
      </c>
      <c r="Y100" s="231">
        <v>0</v>
      </c>
      <c r="Z100" s="231">
        <v>0</v>
      </c>
      <c r="AA100" s="231">
        <v>1</v>
      </c>
      <c r="AB100" s="232">
        <v>4</v>
      </c>
      <c r="AC100" s="231">
        <v>5</v>
      </c>
      <c r="AD100" s="231">
        <v>1</v>
      </c>
      <c r="AE100" s="231">
        <v>1</v>
      </c>
      <c r="AF100" s="231">
        <v>2</v>
      </c>
      <c r="AG100" s="231">
        <v>1</v>
      </c>
      <c r="AH100" s="231">
        <v>0</v>
      </c>
      <c r="AI100" s="231">
        <v>0</v>
      </c>
      <c r="AJ100" s="231">
        <v>18</v>
      </c>
      <c r="AK100" s="231"/>
      <c r="AL100" s="233"/>
      <c r="AM100" s="235" t="s">
        <v>519</v>
      </c>
      <c r="AN100" s="236">
        <v>4</v>
      </c>
      <c r="AO100" s="236">
        <v>0</v>
      </c>
      <c r="AP100" s="236">
        <v>0</v>
      </c>
      <c r="AQ100" s="236">
        <v>0</v>
      </c>
      <c r="AR100" s="236">
        <v>0</v>
      </c>
      <c r="AS100" s="236">
        <v>1</v>
      </c>
      <c r="AT100" s="236">
        <v>0</v>
      </c>
      <c r="AU100" s="236">
        <v>0</v>
      </c>
      <c r="AV100" s="237">
        <v>0</v>
      </c>
      <c r="AW100" s="235" t="s">
        <v>485</v>
      </c>
      <c r="AX100" s="236">
        <v>3</v>
      </c>
      <c r="AY100" s="236">
        <v>0</v>
      </c>
      <c r="AZ100" s="236">
        <v>0</v>
      </c>
      <c r="BA100" s="236">
        <v>0</v>
      </c>
      <c r="BB100" s="236">
        <v>2</v>
      </c>
      <c r="BC100" s="236">
        <v>2</v>
      </c>
      <c r="BD100" s="236">
        <v>0</v>
      </c>
      <c r="BE100" s="236">
        <v>0</v>
      </c>
      <c r="BF100" s="237">
        <v>0</v>
      </c>
      <c r="BG100" s="235" t="s">
        <v>484</v>
      </c>
      <c r="BH100" s="236">
        <v>4</v>
      </c>
      <c r="BI100" s="236">
        <v>0</v>
      </c>
      <c r="BJ100" s="236">
        <v>2</v>
      </c>
      <c r="BK100" s="236">
        <v>0</v>
      </c>
      <c r="BL100" s="236">
        <v>1</v>
      </c>
      <c r="BM100" s="236">
        <v>0</v>
      </c>
      <c r="BN100" s="236">
        <v>0</v>
      </c>
      <c r="BO100" s="236">
        <v>0</v>
      </c>
      <c r="BP100" s="237">
        <v>2</v>
      </c>
      <c r="BQ100" s="235" t="s">
        <v>367</v>
      </c>
      <c r="BR100" s="236">
        <v>5</v>
      </c>
      <c r="BS100" s="236">
        <v>2</v>
      </c>
      <c r="BT100" s="236">
        <v>3</v>
      </c>
      <c r="BU100" s="236">
        <v>0</v>
      </c>
      <c r="BV100" s="236">
        <v>0</v>
      </c>
      <c r="BW100" s="236">
        <v>1</v>
      </c>
      <c r="BX100" s="236">
        <v>0</v>
      </c>
      <c r="BY100" s="236">
        <v>0</v>
      </c>
      <c r="BZ100" s="237">
        <v>3</v>
      </c>
      <c r="CA100" s="235" t="s">
        <v>482</v>
      </c>
      <c r="CB100" s="236">
        <v>4</v>
      </c>
      <c r="CC100" s="236">
        <v>0</v>
      </c>
      <c r="CD100" s="236">
        <v>0</v>
      </c>
      <c r="CE100" s="236">
        <v>0</v>
      </c>
      <c r="CF100" s="236">
        <v>0</v>
      </c>
      <c r="CG100" s="236">
        <v>3</v>
      </c>
      <c r="CH100" s="236">
        <v>0</v>
      </c>
      <c r="CI100" s="236">
        <v>0</v>
      </c>
      <c r="CJ100" s="237">
        <v>0</v>
      </c>
      <c r="CK100" s="235" t="s">
        <v>575</v>
      </c>
      <c r="CL100" s="236">
        <v>5</v>
      </c>
      <c r="CM100" s="236">
        <v>0</v>
      </c>
      <c r="CN100" s="236">
        <v>2</v>
      </c>
      <c r="CO100" s="236">
        <v>0</v>
      </c>
      <c r="CP100" s="236">
        <v>0</v>
      </c>
      <c r="CQ100" s="236">
        <v>1</v>
      </c>
      <c r="CR100" s="236">
        <v>0</v>
      </c>
      <c r="CS100" s="236">
        <v>0</v>
      </c>
      <c r="CT100" s="237">
        <v>3</v>
      </c>
      <c r="CU100" s="235" t="s">
        <v>489</v>
      </c>
      <c r="CV100" s="236">
        <v>4</v>
      </c>
      <c r="CW100" s="236">
        <v>0</v>
      </c>
      <c r="CX100" s="236">
        <v>1</v>
      </c>
      <c r="CY100" s="236">
        <v>2</v>
      </c>
      <c r="CZ100" s="236">
        <v>0</v>
      </c>
      <c r="DA100" s="236">
        <v>0</v>
      </c>
      <c r="DB100" s="236">
        <v>0</v>
      </c>
      <c r="DC100" s="236">
        <v>1</v>
      </c>
      <c r="DD100" s="237">
        <v>1</v>
      </c>
      <c r="DE100" s="235" t="s">
        <v>491</v>
      </c>
      <c r="DF100" s="236">
        <v>5</v>
      </c>
      <c r="DG100" s="236">
        <v>0</v>
      </c>
      <c r="DH100" s="236">
        <v>0</v>
      </c>
      <c r="DI100" s="236">
        <v>0</v>
      </c>
      <c r="DJ100" s="236">
        <v>0</v>
      </c>
      <c r="DK100" s="236">
        <v>3</v>
      </c>
      <c r="DL100" s="236">
        <v>0</v>
      </c>
      <c r="DM100" s="236">
        <v>0</v>
      </c>
      <c r="DN100" s="237">
        <v>0</v>
      </c>
      <c r="DO100" s="235" t="s">
        <v>486</v>
      </c>
      <c r="DP100" s="236">
        <v>3</v>
      </c>
      <c r="DQ100" s="236">
        <v>0</v>
      </c>
      <c r="DR100" s="236">
        <v>1</v>
      </c>
      <c r="DS100" s="236">
        <v>0</v>
      </c>
      <c r="DT100" s="236">
        <v>1</v>
      </c>
      <c r="DU100" s="236">
        <v>0</v>
      </c>
      <c r="DV100" s="236">
        <v>0</v>
      </c>
      <c r="DW100" s="236">
        <v>0</v>
      </c>
      <c r="DX100" s="237">
        <v>1</v>
      </c>
      <c r="DY100" s="238">
        <f>1+2/3</f>
        <v>1.6666666666666665</v>
      </c>
      <c r="DZ100" s="239">
        <v>1</v>
      </c>
      <c r="EA100" s="239">
        <v>0</v>
      </c>
      <c r="EB100" s="240">
        <f>9+1/3</f>
        <v>9.3333333333333339</v>
      </c>
      <c r="EC100" s="239">
        <v>0</v>
      </c>
      <c r="ED100" s="241">
        <v>0</v>
      </c>
      <c r="EE100" s="242">
        <v>0</v>
      </c>
      <c r="EF100" s="239">
        <v>0</v>
      </c>
      <c r="EG100" s="239">
        <v>0</v>
      </c>
      <c r="EH100" s="239">
        <v>0</v>
      </c>
      <c r="EI100" s="239">
        <v>0</v>
      </c>
      <c r="EJ100" s="239">
        <v>0</v>
      </c>
      <c r="EK100" s="239">
        <v>1</v>
      </c>
      <c r="EL100" s="239">
        <v>0</v>
      </c>
      <c r="EM100" s="239">
        <v>0</v>
      </c>
      <c r="EN100" s="239">
        <v>0</v>
      </c>
      <c r="EO100" s="239">
        <v>1</v>
      </c>
      <c r="EP100" s="239"/>
      <c r="EQ100" s="239"/>
      <c r="ER100" s="239"/>
      <c r="ES100" s="239"/>
      <c r="ET100" s="239"/>
      <c r="EU100" s="239"/>
      <c r="EV100" s="239"/>
      <c r="EW100" s="239"/>
      <c r="EX100" s="243">
        <f t="shared" si="14"/>
        <v>2</v>
      </c>
      <c r="EY100" s="242">
        <v>0</v>
      </c>
      <c r="EZ100" s="239">
        <v>0</v>
      </c>
      <c r="FA100" s="239">
        <v>0</v>
      </c>
      <c r="FB100" s="239">
        <v>0</v>
      </c>
      <c r="FC100" s="239">
        <v>0</v>
      </c>
      <c r="FD100" s="239">
        <v>0</v>
      </c>
      <c r="FE100" s="239">
        <v>0</v>
      </c>
      <c r="FF100" s="239">
        <v>0</v>
      </c>
      <c r="FG100" s="239">
        <v>1</v>
      </c>
      <c r="FH100" s="239">
        <v>0</v>
      </c>
      <c r="FI100" s="239">
        <v>0</v>
      </c>
      <c r="FJ100" s="239"/>
      <c r="FK100" s="239"/>
      <c r="FL100" s="239"/>
      <c r="FM100" s="239"/>
      <c r="FN100" s="239"/>
      <c r="FO100" s="239"/>
      <c r="FP100" s="239"/>
      <c r="FQ100" s="239"/>
      <c r="FR100" s="243">
        <f t="shared" si="15"/>
        <v>1</v>
      </c>
      <c r="FS100" s="244">
        <f t="shared" ref="FS100:FS107" si="16">((L100+AD100)-FR100)</f>
        <v>0</v>
      </c>
      <c r="FT100" s="245">
        <f t="shared" ref="FT100:FT107" si="17">((AO100+AY100+BI100+BS100+CC100+CM100+CW100+DG100+DQ100)-EX100)</f>
        <v>0</v>
      </c>
      <c r="FU100" s="246"/>
    </row>
    <row r="101" spans="1:177" x14ac:dyDescent="0.25">
      <c r="A101" s="227">
        <v>40382</v>
      </c>
      <c r="B101" s="227" t="s">
        <v>133</v>
      </c>
      <c r="C101" s="227" t="s">
        <v>129</v>
      </c>
      <c r="D101" s="227" t="s">
        <v>500</v>
      </c>
      <c r="E101" s="228">
        <v>2285</v>
      </c>
      <c r="F101" s="229">
        <v>1</v>
      </c>
      <c r="G101" s="230" t="s">
        <v>494</v>
      </c>
      <c r="H101" s="231">
        <v>0</v>
      </c>
      <c r="I101" s="231">
        <v>0</v>
      </c>
      <c r="J101" s="232">
        <v>6</v>
      </c>
      <c r="K101" s="231">
        <v>5</v>
      </c>
      <c r="L101" s="231">
        <v>1</v>
      </c>
      <c r="M101" s="231">
        <v>1</v>
      </c>
      <c r="N101" s="231">
        <v>0</v>
      </c>
      <c r="O101" s="231">
        <v>4</v>
      </c>
      <c r="P101" s="231">
        <v>1</v>
      </c>
      <c r="Q101" s="231">
        <v>0</v>
      </c>
      <c r="R101" s="231">
        <v>23</v>
      </c>
      <c r="S101" s="231"/>
      <c r="T101" s="231"/>
      <c r="U101" s="231">
        <v>0</v>
      </c>
      <c r="V101" s="233">
        <v>0</v>
      </c>
      <c r="W101" s="234">
        <v>1</v>
      </c>
      <c r="X101" s="231">
        <v>0</v>
      </c>
      <c r="Y101" s="231">
        <v>0</v>
      </c>
      <c r="Z101" s="231">
        <v>1</v>
      </c>
      <c r="AA101" s="231">
        <v>0</v>
      </c>
      <c r="AB101" s="232">
        <v>3</v>
      </c>
      <c r="AC101" s="231">
        <v>7</v>
      </c>
      <c r="AD101" s="231">
        <v>1</v>
      </c>
      <c r="AE101" s="231">
        <v>1</v>
      </c>
      <c r="AF101" s="231">
        <v>1</v>
      </c>
      <c r="AG101" s="231">
        <v>3</v>
      </c>
      <c r="AH101" s="231">
        <v>0</v>
      </c>
      <c r="AI101" s="231">
        <v>0</v>
      </c>
      <c r="AJ101" s="231">
        <v>15</v>
      </c>
      <c r="AK101" s="231"/>
      <c r="AL101" s="233"/>
      <c r="AM101" s="235" t="s">
        <v>482</v>
      </c>
      <c r="AN101" s="236">
        <v>5</v>
      </c>
      <c r="AO101" s="236">
        <v>2</v>
      </c>
      <c r="AP101" s="236">
        <v>2</v>
      </c>
      <c r="AQ101" s="236">
        <v>1</v>
      </c>
      <c r="AR101" s="236">
        <v>0</v>
      </c>
      <c r="AS101" s="236">
        <v>2</v>
      </c>
      <c r="AT101" s="236">
        <v>0</v>
      </c>
      <c r="AU101" s="236">
        <v>0</v>
      </c>
      <c r="AV101" s="237">
        <v>5</v>
      </c>
      <c r="AW101" s="235" t="s">
        <v>486</v>
      </c>
      <c r="AX101" s="236">
        <v>5</v>
      </c>
      <c r="AY101" s="236">
        <v>2</v>
      </c>
      <c r="AZ101" s="236">
        <v>3</v>
      </c>
      <c r="BA101" s="236">
        <v>0</v>
      </c>
      <c r="BB101" s="236">
        <v>0</v>
      </c>
      <c r="BC101" s="236">
        <v>1</v>
      </c>
      <c r="BD101" s="236">
        <v>0</v>
      </c>
      <c r="BE101" s="236">
        <v>0</v>
      </c>
      <c r="BF101" s="237">
        <v>4</v>
      </c>
      <c r="BG101" s="235" t="s">
        <v>484</v>
      </c>
      <c r="BH101" s="236">
        <v>5</v>
      </c>
      <c r="BI101" s="236">
        <v>1</v>
      </c>
      <c r="BJ101" s="236">
        <v>3</v>
      </c>
      <c r="BK101" s="236">
        <v>3</v>
      </c>
      <c r="BL101" s="236">
        <v>0</v>
      </c>
      <c r="BM101" s="236">
        <v>1</v>
      </c>
      <c r="BN101" s="236">
        <v>0</v>
      </c>
      <c r="BO101" s="236">
        <v>0</v>
      </c>
      <c r="BP101" s="237">
        <v>5</v>
      </c>
      <c r="BQ101" s="235" t="s">
        <v>367</v>
      </c>
      <c r="BR101" s="236">
        <v>5</v>
      </c>
      <c r="BS101" s="236">
        <v>0</v>
      </c>
      <c r="BT101" s="236">
        <v>1</v>
      </c>
      <c r="BU101" s="236">
        <v>0</v>
      </c>
      <c r="BV101" s="236">
        <v>0</v>
      </c>
      <c r="BW101" s="236">
        <v>2</v>
      </c>
      <c r="BX101" s="236">
        <v>0</v>
      </c>
      <c r="BY101" s="236">
        <v>0</v>
      </c>
      <c r="BZ101" s="237">
        <v>1</v>
      </c>
      <c r="CA101" s="235" t="s">
        <v>481</v>
      </c>
      <c r="CB101" s="236">
        <v>2</v>
      </c>
      <c r="CC101" s="236">
        <v>0</v>
      </c>
      <c r="CD101" s="236">
        <v>0</v>
      </c>
      <c r="CE101" s="236">
        <v>0</v>
      </c>
      <c r="CF101" s="236">
        <v>2</v>
      </c>
      <c r="CG101" s="236">
        <v>0</v>
      </c>
      <c r="CH101" s="236">
        <v>1</v>
      </c>
      <c r="CI101" s="236">
        <v>0</v>
      </c>
      <c r="CJ101" s="237">
        <v>0</v>
      </c>
      <c r="CK101" s="235" t="s">
        <v>489</v>
      </c>
      <c r="CL101" s="236">
        <v>3</v>
      </c>
      <c r="CM101" s="236">
        <v>0</v>
      </c>
      <c r="CN101" s="236">
        <v>1</v>
      </c>
      <c r="CO101" s="236">
        <v>1</v>
      </c>
      <c r="CP101" s="236">
        <v>0</v>
      </c>
      <c r="CQ101" s="236">
        <v>0</v>
      </c>
      <c r="CR101" s="236">
        <v>1</v>
      </c>
      <c r="CS101" s="236">
        <v>0</v>
      </c>
      <c r="CT101" s="237">
        <v>1</v>
      </c>
      <c r="CU101" s="235" t="s">
        <v>480</v>
      </c>
      <c r="CV101" s="236">
        <v>3</v>
      </c>
      <c r="CW101" s="236">
        <v>0</v>
      </c>
      <c r="CX101" s="236">
        <v>0</v>
      </c>
      <c r="CY101" s="236">
        <v>0</v>
      </c>
      <c r="CZ101" s="236">
        <v>1</v>
      </c>
      <c r="DA101" s="236">
        <v>0</v>
      </c>
      <c r="DB101" s="236">
        <v>0</v>
      </c>
      <c r="DC101" s="236">
        <v>0</v>
      </c>
      <c r="DD101" s="237">
        <v>0</v>
      </c>
      <c r="DE101" s="235" t="s">
        <v>491</v>
      </c>
      <c r="DF101" s="236">
        <v>4</v>
      </c>
      <c r="DG101" s="236">
        <v>0</v>
      </c>
      <c r="DH101" s="236">
        <v>0</v>
      </c>
      <c r="DI101" s="236">
        <v>0</v>
      </c>
      <c r="DJ101" s="236">
        <v>0</v>
      </c>
      <c r="DK101" s="236">
        <v>3</v>
      </c>
      <c r="DL101" s="236">
        <v>0</v>
      </c>
      <c r="DM101" s="236">
        <v>0</v>
      </c>
      <c r="DN101" s="237">
        <v>0</v>
      </c>
      <c r="DO101" s="235" t="s">
        <v>479</v>
      </c>
      <c r="DP101" s="236">
        <v>4</v>
      </c>
      <c r="DQ101" s="236">
        <v>0</v>
      </c>
      <c r="DR101" s="236">
        <v>0</v>
      </c>
      <c r="DS101" s="236">
        <v>0</v>
      </c>
      <c r="DT101" s="236">
        <v>0</v>
      </c>
      <c r="DU101" s="236">
        <v>1</v>
      </c>
      <c r="DV101" s="236">
        <v>0</v>
      </c>
      <c r="DW101" s="236">
        <v>0</v>
      </c>
      <c r="DX101" s="237">
        <v>0</v>
      </c>
      <c r="DY101" s="238">
        <f>1+1/3</f>
        <v>1.3333333333333333</v>
      </c>
      <c r="DZ101" s="239">
        <v>0</v>
      </c>
      <c r="EA101" s="239">
        <v>0</v>
      </c>
      <c r="EB101" s="240">
        <f>7+2/3</f>
        <v>7.666666666666667</v>
      </c>
      <c r="EC101" s="239">
        <v>1</v>
      </c>
      <c r="ED101" s="241">
        <v>0</v>
      </c>
      <c r="EE101" s="242">
        <v>0</v>
      </c>
      <c r="EF101" s="239">
        <v>0</v>
      </c>
      <c r="EG101" s="239">
        <v>0</v>
      </c>
      <c r="EH101" s="239">
        <v>0</v>
      </c>
      <c r="EI101" s="239">
        <v>0</v>
      </c>
      <c r="EJ101" s="239">
        <v>1</v>
      </c>
      <c r="EK101" s="239">
        <v>0</v>
      </c>
      <c r="EL101" s="239">
        <v>3</v>
      </c>
      <c r="EM101" s="239">
        <v>1</v>
      </c>
      <c r="EN101" s="239"/>
      <c r="EO101" s="239"/>
      <c r="EP101" s="239"/>
      <c r="EQ101" s="239"/>
      <c r="ER101" s="239"/>
      <c r="ES101" s="239"/>
      <c r="ET101" s="239"/>
      <c r="EU101" s="239"/>
      <c r="EV101" s="239"/>
      <c r="EW101" s="239"/>
      <c r="EX101" s="243">
        <f t="shared" si="14"/>
        <v>5</v>
      </c>
      <c r="EY101" s="242">
        <v>0</v>
      </c>
      <c r="EZ101" s="239">
        <v>1</v>
      </c>
      <c r="FA101" s="239">
        <v>0</v>
      </c>
      <c r="FB101" s="239">
        <v>0</v>
      </c>
      <c r="FC101" s="239">
        <v>0</v>
      </c>
      <c r="FD101" s="239">
        <v>0</v>
      </c>
      <c r="FE101" s="239">
        <v>0</v>
      </c>
      <c r="FF101" s="239">
        <v>1</v>
      </c>
      <c r="FG101" s="239">
        <v>0</v>
      </c>
      <c r="FH101" s="239"/>
      <c r="FI101" s="239"/>
      <c r="FJ101" s="239"/>
      <c r="FK101" s="239"/>
      <c r="FL101" s="239"/>
      <c r="FM101" s="239"/>
      <c r="FN101" s="239"/>
      <c r="FO101" s="239"/>
      <c r="FP101" s="239"/>
      <c r="FQ101" s="239"/>
      <c r="FR101" s="243">
        <f t="shared" si="15"/>
        <v>2</v>
      </c>
      <c r="FS101" s="244">
        <f t="shared" si="16"/>
        <v>0</v>
      </c>
      <c r="FT101" s="245">
        <f t="shared" si="17"/>
        <v>0</v>
      </c>
      <c r="FU101" s="246" t="s">
        <v>630</v>
      </c>
    </row>
    <row r="102" spans="1:177" x14ac:dyDescent="0.25">
      <c r="A102" s="227">
        <v>40384</v>
      </c>
      <c r="B102" s="227" t="s">
        <v>133</v>
      </c>
      <c r="C102" s="227" t="s">
        <v>129</v>
      </c>
      <c r="D102" s="227" t="s">
        <v>500</v>
      </c>
      <c r="E102" s="228"/>
      <c r="F102" s="229">
        <v>2</v>
      </c>
      <c r="G102" s="230" t="s">
        <v>498</v>
      </c>
      <c r="H102" s="231">
        <v>1</v>
      </c>
      <c r="I102" s="231">
        <v>0</v>
      </c>
      <c r="J102" s="232">
        <v>6</v>
      </c>
      <c r="K102" s="231">
        <v>3</v>
      </c>
      <c r="L102" s="231">
        <v>2</v>
      </c>
      <c r="M102" s="231">
        <v>2</v>
      </c>
      <c r="N102" s="231">
        <v>2</v>
      </c>
      <c r="O102" s="231">
        <v>5</v>
      </c>
      <c r="P102" s="231">
        <v>1</v>
      </c>
      <c r="Q102" s="231">
        <v>2</v>
      </c>
      <c r="R102" s="231">
        <v>25</v>
      </c>
      <c r="S102" s="231"/>
      <c r="T102" s="231"/>
      <c r="U102" s="231">
        <v>0</v>
      </c>
      <c r="V102" s="233">
        <v>0</v>
      </c>
      <c r="W102" s="234">
        <v>0</v>
      </c>
      <c r="X102" s="231">
        <v>0</v>
      </c>
      <c r="Y102" s="231">
        <v>0</v>
      </c>
      <c r="Z102" s="231">
        <v>1</v>
      </c>
      <c r="AA102" s="231">
        <v>0</v>
      </c>
      <c r="AB102" s="232">
        <v>1</v>
      </c>
      <c r="AC102" s="231">
        <v>0</v>
      </c>
      <c r="AD102" s="231">
        <v>0</v>
      </c>
      <c r="AE102" s="231">
        <v>0</v>
      </c>
      <c r="AF102" s="231">
        <v>0</v>
      </c>
      <c r="AG102" s="231">
        <v>2</v>
      </c>
      <c r="AH102" s="231">
        <v>0</v>
      </c>
      <c r="AI102" s="231">
        <v>0</v>
      </c>
      <c r="AJ102" s="231">
        <v>3</v>
      </c>
      <c r="AK102" s="231"/>
      <c r="AL102" s="233"/>
      <c r="AM102" s="235" t="s">
        <v>482</v>
      </c>
      <c r="AN102" s="236">
        <v>4</v>
      </c>
      <c r="AO102" s="236">
        <v>0</v>
      </c>
      <c r="AP102" s="236">
        <v>0</v>
      </c>
      <c r="AQ102" s="236">
        <v>0</v>
      </c>
      <c r="AR102" s="236">
        <v>0</v>
      </c>
      <c r="AS102" s="236">
        <v>0</v>
      </c>
      <c r="AT102" s="236">
        <v>0</v>
      </c>
      <c r="AU102" s="236">
        <v>0</v>
      </c>
      <c r="AV102" s="237">
        <v>0</v>
      </c>
      <c r="AW102" s="235" t="s">
        <v>485</v>
      </c>
      <c r="AX102" s="236">
        <v>2</v>
      </c>
      <c r="AY102" s="236">
        <v>1</v>
      </c>
      <c r="AZ102" s="236">
        <v>1</v>
      </c>
      <c r="BA102" s="236">
        <v>0</v>
      </c>
      <c r="BB102" s="236">
        <v>2</v>
      </c>
      <c r="BC102" s="236">
        <v>1</v>
      </c>
      <c r="BD102" s="236">
        <v>0</v>
      </c>
      <c r="BE102" s="236">
        <v>0</v>
      </c>
      <c r="BF102" s="237">
        <v>1</v>
      </c>
      <c r="BG102" s="235" t="s">
        <v>484</v>
      </c>
      <c r="BH102" s="236">
        <v>3</v>
      </c>
      <c r="BI102" s="236">
        <v>1</v>
      </c>
      <c r="BJ102" s="236">
        <v>1</v>
      </c>
      <c r="BK102" s="236">
        <v>0</v>
      </c>
      <c r="BL102" s="236">
        <v>0</v>
      </c>
      <c r="BM102" s="236">
        <v>1</v>
      </c>
      <c r="BN102" s="236">
        <v>0</v>
      </c>
      <c r="BO102" s="236">
        <v>0</v>
      </c>
      <c r="BP102" s="237">
        <v>1</v>
      </c>
      <c r="BQ102" s="235" t="s">
        <v>367</v>
      </c>
      <c r="BR102" s="236">
        <v>3</v>
      </c>
      <c r="BS102" s="236">
        <v>0</v>
      </c>
      <c r="BT102" s="236">
        <v>1</v>
      </c>
      <c r="BU102" s="236">
        <v>2</v>
      </c>
      <c r="BV102" s="236">
        <v>0</v>
      </c>
      <c r="BW102" s="236">
        <v>1</v>
      </c>
      <c r="BX102" s="236">
        <v>0</v>
      </c>
      <c r="BY102" s="236">
        <v>0</v>
      </c>
      <c r="BZ102" s="237">
        <v>2</v>
      </c>
      <c r="CA102" s="235" t="s">
        <v>489</v>
      </c>
      <c r="CB102" s="236">
        <v>3</v>
      </c>
      <c r="CC102" s="236">
        <v>0</v>
      </c>
      <c r="CD102" s="236">
        <v>1</v>
      </c>
      <c r="CE102" s="236">
        <v>0</v>
      </c>
      <c r="CF102" s="236">
        <v>0</v>
      </c>
      <c r="CG102" s="236">
        <v>1</v>
      </c>
      <c r="CH102" s="236">
        <v>0</v>
      </c>
      <c r="CI102" s="236">
        <v>0</v>
      </c>
      <c r="CJ102" s="237">
        <v>1</v>
      </c>
      <c r="CK102" s="235" t="s">
        <v>481</v>
      </c>
      <c r="CL102" s="236">
        <v>3</v>
      </c>
      <c r="CM102" s="236">
        <v>0</v>
      </c>
      <c r="CN102" s="236">
        <v>2</v>
      </c>
      <c r="CO102" s="236">
        <v>0</v>
      </c>
      <c r="CP102" s="236">
        <v>0</v>
      </c>
      <c r="CQ102" s="236">
        <v>0</v>
      </c>
      <c r="CR102" s="236">
        <v>0</v>
      </c>
      <c r="CS102" s="236">
        <v>0</v>
      </c>
      <c r="CT102" s="237">
        <v>2</v>
      </c>
      <c r="CU102" s="235" t="s">
        <v>491</v>
      </c>
      <c r="CV102" s="236">
        <v>3</v>
      </c>
      <c r="CW102" s="236">
        <v>1</v>
      </c>
      <c r="CX102" s="236">
        <v>1</v>
      </c>
      <c r="CY102" s="236">
        <v>0</v>
      </c>
      <c r="CZ102" s="236">
        <v>0</v>
      </c>
      <c r="DA102" s="236">
        <v>1</v>
      </c>
      <c r="DB102" s="236">
        <v>0</v>
      </c>
      <c r="DC102" s="236">
        <v>0</v>
      </c>
      <c r="DD102" s="237">
        <v>2</v>
      </c>
      <c r="DE102" s="235" t="s">
        <v>486</v>
      </c>
      <c r="DF102" s="236">
        <v>3</v>
      </c>
      <c r="DG102" s="236">
        <v>0</v>
      </c>
      <c r="DH102" s="236">
        <v>1</v>
      </c>
      <c r="DI102" s="236">
        <v>1</v>
      </c>
      <c r="DJ102" s="236">
        <v>0</v>
      </c>
      <c r="DK102" s="236">
        <v>1</v>
      </c>
      <c r="DL102" s="236">
        <v>0</v>
      </c>
      <c r="DM102" s="236">
        <v>0</v>
      </c>
      <c r="DN102" s="237">
        <v>1</v>
      </c>
      <c r="DO102" s="235" t="s">
        <v>519</v>
      </c>
      <c r="DP102" s="236">
        <v>3</v>
      </c>
      <c r="DQ102" s="236">
        <v>0</v>
      </c>
      <c r="DR102" s="236">
        <v>0</v>
      </c>
      <c r="DS102" s="236">
        <v>0</v>
      </c>
      <c r="DT102" s="236">
        <v>0</v>
      </c>
      <c r="DU102" s="236">
        <v>1</v>
      </c>
      <c r="DV102" s="236">
        <v>0</v>
      </c>
      <c r="DW102" s="236">
        <v>0</v>
      </c>
      <c r="DX102" s="237">
        <v>0</v>
      </c>
      <c r="DY102" s="238">
        <v>0</v>
      </c>
      <c r="DZ102" s="239">
        <v>0</v>
      </c>
      <c r="EA102" s="239">
        <v>0</v>
      </c>
      <c r="EB102" s="240">
        <v>7</v>
      </c>
      <c r="EC102" s="239">
        <v>2</v>
      </c>
      <c r="ED102" s="241">
        <v>1</v>
      </c>
      <c r="EE102" s="242">
        <v>0</v>
      </c>
      <c r="EF102" s="239">
        <v>0</v>
      </c>
      <c r="EG102" s="239">
        <v>2</v>
      </c>
      <c r="EH102" s="239">
        <v>0</v>
      </c>
      <c r="EI102" s="239">
        <v>0</v>
      </c>
      <c r="EJ102" s="239">
        <v>0</v>
      </c>
      <c r="EK102" s="239">
        <v>1</v>
      </c>
      <c r="EL102" s="239"/>
      <c r="EM102" s="239"/>
      <c r="EN102" s="239"/>
      <c r="EO102" s="239"/>
      <c r="EP102" s="239"/>
      <c r="EQ102" s="239"/>
      <c r="ER102" s="239"/>
      <c r="ES102" s="239"/>
      <c r="ET102" s="239"/>
      <c r="EU102" s="239"/>
      <c r="EV102" s="239"/>
      <c r="EW102" s="239"/>
      <c r="EX102" s="243">
        <f t="shared" si="14"/>
        <v>3</v>
      </c>
      <c r="EY102" s="242">
        <v>0</v>
      </c>
      <c r="EZ102" s="239">
        <v>0</v>
      </c>
      <c r="FA102" s="239">
        <v>0</v>
      </c>
      <c r="FB102" s="239">
        <v>2</v>
      </c>
      <c r="FC102" s="239">
        <v>0</v>
      </c>
      <c r="FD102" s="239">
        <v>0</v>
      </c>
      <c r="FE102" s="239">
        <v>0</v>
      </c>
      <c r="FF102" s="239"/>
      <c r="FG102" s="239"/>
      <c r="FH102" s="239"/>
      <c r="FI102" s="239"/>
      <c r="FJ102" s="239"/>
      <c r="FK102" s="239"/>
      <c r="FL102" s="239"/>
      <c r="FM102" s="239"/>
      <c r="FN102" s="239"/>
      <c r="FO102" s="239"/>
      <c r="FP102" s="239"/>
      <c r="FQ102" s="239"/>
      <c r="FR102" s="243">
        <f t="shared" si="15"/>
        <v>2</v>
      </c>
      <c r="FS102" s="244">
        <f t="shared" si="16"/>
        <v>0</v>
      </c>
      <c r="FT102" s="245">
        <f t="shared" si="17"/>
        <v>0</v>
      </c>
      <c r="FU102" s="144" t="s">
        <v>475</v>
      </c>
    </row>
    <row r="103" spans="1:177" x14ac:dyDescent="0.25">
      <c r="A103" s="227">
        <v>40384</v>
      </c>
      <c r="B103" s="227" t="s">
        <v>133</v>
      </c>
      <c r="C103" s="227" t="s">
        <v>129</v>
      </c>
      <c r="D103" s="227" t="s">
        <v>500</v>
      </c>
      <c r="E103" s="228">
        <v>1464</v>
      </c>
      <c r="F103" s="229">
        <v>3</v>
      </c>
      <c r="G103" s="230" t="s">
        <v>490</v>
      </c>
      <c r="H103" s="231">
        <v>1</v>
      </c>
      <c r="I103" s="231">
        <v>0</v>
      </c>
      <c r="J103" s="232">
        <v>5</v>
      </c>
      <c r="K103" s="231">
        <v>6</v>
      </c>
      <c r="L103" s="231">
        <v>2</v>
      </c>
      <c r="M103" s="231">
        <v>1</v>
      </c>
      <c r="N103" s="231">
        <v>2</v>
      </c>
      <c r="O103" s="231">
        <v>4</v>
      </c>
      <c r="P103" s="231">
        <v>0</v>
      </c>
      <c r="Q103" s="231">
        <v>1</v>
      </c>
      <c r="R103" s="231">
        <v>23</v>
      </c>
      <c r="S103" s="231"/>
      <c r="T103" s="231"/>
      <c r="U103" s="231">
        <v>0</v>
      </c>
      <c r="V103" s="233">
        <v>0</v>
      </c>
      <c r="W103" s="234">
        <v>0</v>
      </c>
      <c r="X103" s="231">
        <v>0</v>
      </c>
      <c r="Y103" s="231">
        <v>1</v>
      </c>
      <c r="Z103" s="231">
        <v>1</v>
      </c>
      <c r="AA103" s="231">
        <v>0</v>
      </c>
      <c r="AB103" s="232">
        <v>2</v>
      </c>
      <c r="AC103" s="231">
        <v>1</v>
      </c>
      <c r="AD103" s="231">
        <v>2</v>
      </c>
      <c r="AE103" s="231">
        <v>0</v>
      </c>
      <c r="AF103" s="231">
        <v>2</v>
      </c>
      <c r="AG103" s="231">
        <v>2</v>
      </c>
      <c r="AH103" s="231">
        <v>0</v>
      </c>
      <c r="AI103" s="231">
        <v>0</v>
      </c>
      <c r="AJ103" s="231">
        <v>11</v>
      </c>
      <c r="AK103" s="231"/>
      <c r="AL103" s="233"/>
      <c r="AM103" s="235" t="s">
        <v>482</v>
      </c>
      <c r="AN103" s="236">
        <v>3</v>
      </c>
      <c r="AO103" s="236">
        <v>1</v>
      </c>
      <c r="AP103" s="236">
        <v>1</v>
      </c>
      <c r="AQ103" s="236">
        <v>0</v>
      </c>
      <c r="AR103" s="236">
        <v>0</v>
      </c>
      <c r="AS103" s="236">
        <v>1</v>
      </c>
      <c r="AT103" s="236">
        <v>1</v>
      </c>
      <c r="AU103" s="236">
        <v>0</v>
      </c>
      <c r="AV103" s="237">
        <v>1</v>
      </c>
      <c r="AW103" s="235" t="s">
        <v>485</v>
      </c>
      <c r="AX103" s="236">
        <v>4</v>
      </c>
      <c r="AY103" s="236">
        <v>1</v>
      </c>
      <c r="AZ103" s="236">
        <v>2</v>
      </c>
      <c r="BA103" s="236">
        <v>2</v>
      </c>
      <c r="BB103" s="236">
        <v>0</v>
      </c>
      <c r="BC103" s="236">
        <v>0</v>
      </c>
      <c r="BD103" s="236">
        <v>0</v>
      </c>
      <c r="BE103" s="236">
        <v>0</v>
      </c>
      <c r="BF103" s="237">
        <v>3</v>
      </c>
      <c r="BG103" s="235" t="s">
        <v>484</v>
      </c>
      <c r="BH103" s="236">
        <v>4</v>
      </c>
      <c r="BI103" s="236">
        <v>1</v>
      </c>
      <c r="BJ103" s="236">
        <v>0</v>
      </c>
      <c r="BK103" s="236">
        <v>0</v>
      </c>
      <c r="BL103" s="236">
        <v>0</v>
      </c>
      <c r="BM103" s="236">
        <v>1</v>
      </c>
      <c r="BN103" s="236">
        <v>0</v>
      </c>
      <c r="BO103" s="236">
        <v>0</v>
      </c>
      <c r="BP103" s="237">
        <v>0</v>
      </c>
      <c r="BQ103" s="235" t="s">
        <v>367</v>
      </c>
      <c r="BR103" s="236">
        <v>4</v>
      </c>
      <c r="BS103" s="236">
        <v>0</v>
      </c>
      <c r="BT103" s="236">
        <v>3</v>
      </c>
      <c r="BU103" s="236">
        <v>1</v>
      </c>
      <c r="BV103" s="236">
        <v>0</v>
      </c>
      <c r="BW103" s="236">
        <v>0</v>
      </c>
      <c r="BX103" s="236">
        <v>0</v>
      </c>
      <c r="BY103" s="236">
        <v>0</v>
      </c>
      <c r="BZ103" s="237">
        <v>4</v>
      </c>
      <c r="CA103" s="235" t="s">
        <v>489</v>
      </c>
      <c r="CB103" s="236">
        <v>4</v>
      </c>
      <c r="CC103" s="236">
        <v>1</v>
      </c>
      <c r="CD103" s="236">
        <v>0</v>
      </c>
      <c r="CE103" s="236">
        <v>0</v>
      </c>
      <c r="CF103" s="236">
        <v>0</v>
      </c>
      <c r="CG103" s="236">
        <v>0</v>
      </c>
      <c r="CH103" s="236">
        <v>0</v>
      </c>
      <c r="CI103" s="236">
        <v>0</v>
      </c>
      <c r="CJ103" s="237">
        <v>0</v>
      </c>
      <c r="CK103" s="235" t="s">
        <v>575</v>
      </c>
      <c r="CL103" s="236">
        <v>3</v>
      </c>
      <c r="CM103" s="236">
        <v>0</v>
      </c>
      <c r="CN103" s="236">
        <v>1</v>
      </c>
      <c r="CO103" s="236">
        <v>2</v>
      </c>
      <c r="CP103" s="236">
        <v>0</v>
      </c>
      <c r="CQ103" s="236">
        <v>1</v>
      </c>
      <c r="CR103" s="236">
        <v>0</v>
      </c>
      <c r="CS103" s="236">
        <v>0</v>
      </c>
      <c r="CT103" s="237">
        <v>1</v>
      </c>
      <c r="CU103" s="235" t="s">
        <v>480</v>
      </c>
      <c r="CV103" s="236">
        <v>3</v>
      </c>
      <c r="CW103" s="236">
        <v>0</v>
      </c>
      <c r="CX103" s="236">
        <v>0</v>
      </c>
      <c r="CY103" s="236">
        <v>0</v>
      </c>
      <c r="CZ103" s="236">
        <v>0</v>
      </c>
      <c r="DA103" s="236">
        <v>1</v>
      </c>
      <c r="DB103" s="236">
        <v>0</v>
      </c>
      <c r="DC103" s="236">
        <v>0</v>
      </c>
      <c r="DD103" s="237">
        <v>0</v>
      </c>
      <c r="DE103" s="235" t="s">
        <v>486</v>
      </c>
      <c r="DF103" s="236">
        <v>3</v>
      </c>
      <c r="DG103" s="236">
        <v>0</v>
      </c>
      <c r="DH103" s="236">
        <v>0</v>
      </c>
      <c r="DI103" s="236">
        <v>0</v>
      </c>
      <c r="DJ103" s="236">
        <v>0</v>
      </c>
      <c r="DK103" s="236">
        <v>1</v>
      </c>
      <c r="DL103" s="236">
        <v>0</v>
      </c>
      <c r="DM103" s="236">
        <v>0</v>
      </c>
      <c r="DN103" s="237">
        <v>0</v>
      </c>
      <c r="DO103" s="235" t="s">
        <v>479</v>
      </c>
      <c r="DP103" s="236">
        <v>3</v>
      </c>
      <c r="DQ103" s="236">
        <v>1</v>
      </c>
      <c r="DR103" s="236">
        <v>2</v>
      </c>
      <c r="DS103" s="236">
        <v>0</v>
      </c>
      <c r="DT103" s="236">
        <v>0</v>
      </c>
      <c r="DU103" s="236">
        <v>0</v>
      </c>
      <c r="DV103" s="236">
        <v>0</v>
      </c>
      <c r="DW103" s="236">
        <v>0</v>
      </c>
      <c r="DX103" s="237">
        <v>3</v>
      </c>
      <c r="DY103" s="238">
        <v>0</v>
      </c>
      <c r="DZ103" s="239">
        <v>0</v>
      </c>
      <c r="EA103" s="239">
        <v>0</v>
      </c>
      <c r="EB103" s="240">
        <v>7</v>
      </c>
      <c r="EC103" s="239">
        <v>1</v>
      </c>
      <c r="ED103" s="241">
        <v>1</v>
      </c>
      <c r="EE103" s="242">
        <v>3</v>
      </c>
      <c r="EF103" s="239">
        <v>2</v>
      </c>
      <c r="EG103" s="239">
        <v>0</v>
      </c>
      <c r="EH103" s="239">
        <v>0</v>
      </c>
      <c r="EI103" s="239">
        <v>0</v>
      </c>
      <c r="EJ103" s="239">
        <v>0</v>
      </c>
      <c r="EK103" s="239">
        <v>0</v>
      </c>
      <c r="EL103" s="239"/>
      <c r="EM103" s="239"/>
      <c r="EN103" s="239"/>
      <c r="EO103" s="239"/>
      <c r="EP103" s="239"/>
      <c r="EQ103" s="239"/>
      <c r="ER103" s="239"/>
      <c r="ES103" s="239"/>
      <c r="ET103" s="239"/>
      <c r="EU103" s="239"/>
      <c r="EV103" s="239"/>
      <c r="EW103" s="239"/>
      <c r="EX103" s="243">
        <f t="shared" si="14"/>
        <v>5</v>
      </c>
      <c r="EY103" s="242">
        <v>2</v>
      </c>
      <c r="EZ103" s="239">
        <v>0</v>
      </c>
      <c r="FA103" s="239">
        <v>0</v>
      </c>
      <c r="FB103" s="239">
        <v>0</v>
      </c>
      <c r="FC103" s="239">
        <v>0</v>
      </c>
      <c r="FD103" s="239">
        <v>0</v>
      </c>
      <c r="FE103" s="239">
        <v>2</v>
      </c>
      <c r="FF103" s="239"/>
      <c r="FG103" s="239"/>
      <c r="FH103" s="239"/>
      <c r="FI103" s="239"/>
      <c r="FJ103" s="239"/>
      <c r="FK103" s="239"/>
      <c r="FL103" s="239"/>
      <c r="FM103" s="239"/>
      <c r="FN103" s="239"/>
      <c r="FO103" s="239"/>
      <c r="FP103" s="239"/>
      <c r="FQ103" s="239"/>
      <c r="FR103" s="243">
        <f t="shared" si="15"/>
        <v>4</v>
      </c>
      <c r="FS103" s="244">
        <f t="shared" si="16"/>
        <v>0</v>
      </c>
      <c r="FT103" s="245">
        <f t="shared" si="17"/>
        <v>0</v>
      </c>
      <c r="FU103" s="246" t="s">
        <v>378</v>
      </c>
    </row>
    <row r="104" spans="1:177" x14ac:dyDescent="0.25">
      <c r="A104" s="227">
        <v>40386</v>
      </c>
      <c r="B104" s="227" t="s">
        <v>133</v>
      </c>
      <c r="C104" s="227" t="s">
        <v>129</v>
      </c>
      <c r="D104" s="227" t="s">
        <v>507</v>
      </c>
      <c r="E104" s="228">
        <v>1060</v>
      </c>
      <c r="F104" s="229">
        <v>4</v>
      </c>
      <c r="G104" s="230" t="s">
        <v>487</v>
      </c>
      <c r="H104" s="231">
        <v>1</v>
      </c>
      <c r="I104" s="231">
        <v>0</v>
      </c>
      <c r="J104" s="232">
        <v>6</v>
      </c>
      <c r="K104" s="231">
        <v>5</v>
      </c>
      <c r="L104" s="231">
        <v>1</v>
      </c>
      <c r="M104" s="231">
        <v>1</v>
      </c>
      <c r="N104" s="231">
        <v>1</v>
      </c>
      <c r="O104" s="231">
        <v>4</v>
      </c>
      <c r="P104" s="231">
        <v>0</v>
      </c>
      <c r="Q104" s="231">
        <v>0</v>
      </c>
      <c r="R104" s="231">
        <v>24</v>
      </c>
      <c r="S104" s="231"/>
      <c r="T104" s="231"/>
      <c r="U104" s="231">
        <v>0</v>
      </c>
      <c r="V104" s="233">
        <v>0</v>
      </c>
      <c r="W104" s="234">
        <v>0</v>
      </c>
      <c r="X104" s="231">
        <v>0</v>
      </c>
      <c r="Y104" s="231">
        <v>0</v>
      </c>
      <c r="Z104" s="231">
        <v>0</v>
      </c>
      <c r="AA104" s="231">
        <v>0</v>
      </c>
      <c r="AB104" s="232">
        <v>3</v>
      </c>
      <c r="AC104" s="231">
        <v>3</v>
      </c>
      <c r="AD104" s="231">
        <v>1</v>
      </c>
      <c r="AE104" s="231">
        <v>0</v>
      </c>
      <c r="AF104" s="231">
        <v>0</v>
      </c>
      <c r="AG104" s="231">
        <v>3</v>
      </c>
      <c r="AH104" s="231">
        <v>0</v>
      </c>
      <c r="AI104" s="231">
        <v>0</v>
      </c>
      <c r="AJ104" s="231">
        <v>11</v>
      </c>
      <c r="AK104" s="231"/>
      <c r="AL104" s="233"/>
      <c r="AM104" s="235" t="s">
        <v>486</v>
      </c>
      <c r="AN104" s="236">
        <v>4</v>
      </c>
      <c r="AO104" s="236">
        <v>2</v>
      </c>
      <c r="AP104" s="236">
        <v>1</v>
      </c>
      <c r="AQ104" s="236">
        <v>0</v>
      </c>
      <c r="AR104" s="236">
        <v>1</v>
      </c>
      <c r="AS104" s="236">
        <v>0</v>
      </c>
      <c r="AT104" s="236">
        <v>0</v>
      </c>
      <c r="AU104" s="236">
        <v>0</v>
      </c>
      <c r="AV104" s="237">
        <v>1</v>
      </c>
      <c r="AW104" s="235" t="s">
        <v>485</v>
      </c>
      <c r="AX104" s="236">
        <v>5</v>
      </c>
      <c r="AY104" s="236">
        <v>2</v>
      </c>
      <c r="AZ104" s="236">
        <v>2</v>
      </c>
      <c r="BA104" s="236">
        <v>0</v>
      </c>
      <c r="BB104" s="236">
        <v>0</v>
      </c>
      <c r="BC104" s="236">
        <v>3</v>
      </c>
      <c r="BD104" s="236">
        <v>0</v>
      </c>
      <c r="BE104" s="236">
        <v>0</v>
      </c>
      <c r="BF104" s="237">
        <v>2</v>
      </c>
      <c r="BG104" s="235" t="s">
        <v>482</v>
      </c>
      <c r="BH104" s="236">
        <v>5</v>
      </c>
      <c r="BI104" s="236">
        <v>2</v>
      </c>
      <c r="BJ104" s="236">
        <v>3</v>
      </c>
      <c r="BK104" s="236">
        <v>5</v>
      </c>
      <c r="BL104" s="236">
        <v>0</v>
      </c>
      <c r="BM104" s="236">
        <v>1</v>
      </c>
      <c r="BN104" s="236">
        <v>0</v>
      </c>
      <c r="BO104" s="236">
        <v>0</v>
      </c>
      <c r="BP104" s="237">
        <v>7</v>
      </c>
      <c r="BQ104" s="235" t="s">
        <v>367</v>
      </c>
      <c r="BR104" s="236">
        <v>5</v>
      </c>
      <c r="BS104" s="236">
        <v>1</v>
      </c>
      <c r="BT104" s="236">
        <v>1</v>
      </c>
      <c r="BU104" s="236">
        <v>1</v>
      </c>
      <c r="BV104" s="236">
        <v>0</v>
      </c>
      <c r="BW104" s="236">
        <v>0</v>
      </c>
      <c r="BX104" s="236">
        <v>0</v>
      </c>
      <c r="BY104" s="236">
        <v>0</v>
      </c>
      <c r="BZ104" s="237">
        <v>1</v>
      </c>
      <c r="CA104" s="235" t="s">
        <v>484</v>
      </c>
      <c r="CB104" s="236">
        <v>5</v>
      </c>
      <c r="CC104" s="236">
        <v>2</v>
      </c>
      <c r="CD104" s="236">
        <v>2</v>
      </c>
      <c r="CE104" s="236">
        <v>0</v>
      </c>
      <c r="CF104" s="236">
        <v>0</v>
      </c>
      <c r="CG104" s="236">
        <v>0</v>
      </c>
      <c r="CH104" s="236">
        <v>0</v>
      </c>
      <c r="CI104" s="236">
        <v>0</v>
      </c>
      <c r="CJ104" s="237">
        <v>2</v>
      </c>
      <c r="CK104" s="235" t="s">
        <v>575</v>
      </c>
      <c r="CL104" s="236">
        <v>5</v>
      </c>
      <c r="CM104" s="236">
        <v>1</v>
      </c>
      <c r="CN104" s="236">
        <v>2</v>
      </c>
      <c r="CO104" s="236">
        <v>1</v>
      </c>
      <c r="CP104" s="236">
        <v>0</v>
      </c>
      <c r="CQ104" s="236">
        <v>2</v>
      </c>
      <c r="CR104" s="236">
        <v>0</v>
      </c>
      <c r="CS104" s="236">
        <v>0</v>
      </c>
      <c r="CT104" s="237">
        <v>2</v>
      </c>
      <c r="CU104" s="235" t="s">
        <v>489</v>
      </c>
      <c r="CV104" s="236">
        <v>5</v>
      </c>
      <c r="CW104" s="236">
        <v>1</v>
      </c>
      <c r="CX104" s="236">
        <v>2</v>
      </c>
      <c r="CY104" s="236">
        <v>2</v>
      </c>
      <c r="CZ104" s="236">
        <v>0</v>
      </c>
      <c r="DA104" s="236">
        <v>0</v>
      </c>
      <c r="DB104" s="236">
        <v>0</v>
      </c>
      <c r="DC104" s="236">
        <v>0</v>
      </c>
      <c r="DD104" s="237">
        <v>2</v>
      </c>
      <c r="DE104" s="235" t="s">
        <v>481</v>
      </c>
      <c r="DF104" s="236">
        <v>5</v>
      </c>
      <c r="DG104" s="236">
        <v>1</v>
      </c>
      <c r="DH104" s="236">
        <v>1</v>
      </c>
      <c r="DI104" s="236">
        <v>2</v>
      </c>
      <c r="DJ104" s="236">
        <v>0</v>
      </c>
      <c r="DK104" s="236">
        <v>1</v>
      </c>
      <c r="DL104" s="236">
        <v>0</v>
      </c>
      <c r="DM104" s="236">
        <v>0</v>
      </c>
      <c r="DN104" s="237">
        <v>2</v>
      </c>
      <c r="DO104" s="235" t="s">
        <v>479</v>
      </c>
      <c r="DP104" s="236">
        <v>3</v>
      </c>
      <c r="DQ104" s="236">
        <v>0</v>
      </c>
      <c r="DR104" s="236">
        <v>0</v>
      </c>
      <c r="DS104" s="236">
        <v>1</v>
      </c>
      <c r="DT104" s="236">
        <v>0</v>
      </c>
      <c r="DU104" s="236">
        <v>2</v>
      </c>
      <c r="DV104" s="236">
        <v>0</v>
      </c>
      <c r="DW104" s="236">
        <v>1</v>
      </c>
      <c r="DX104" s="237">
        <v>0</v>
      </c>
      <c r="DY104" s="238">
        <f>4+1/3</f>
        <v>4.333333333333333</v>
      </c>
      <c r="DZ104" s="239">
        <v>2</v>
      </c>
      <c r="EA104" s="239">
        <v>0</v>
      </c>
      <c r="EB104" s="240">
        <f>4+2/3</f>
        <v>4.666666666666667</v>
      </c>
      <c r="EC104" s="239">
        <v>0</v>
      </c>
      <c r="ED104" s="241">
        <v>1</v>
      </c>
      <c r="EE104" s="242">
        <v>4</v>
      </c>
      <c r="EF104" s="239">
        <v>0</v>
      </c>
      <c r="EG104" s="239">
        <v>1</v>
      </c>
      <c r="EH104" s="239">
        <v>0</v>
      </c>
      <c r="EI104" s="239">
        <v>0</v>
      </c>
      <c r="EJ104" s="239">
        <v>0</v>
      </c>
      <c r="EK104" s="239">
        <v>2</v>
      </c>
      <c r="EL104" s="239">
        <v>5</v>
      </c>
      <c r="EM104" s="239">
        <v>0</v>
      </c>
      <c r="EN104" s="239"/>
      <c r="EO104" s="239"/>
      <c r="EP104" s="239"/>
      <c r="EQ104" s="239"/>
      <c r="ER104" s="239"/>
      <c r="ES104" s="239"/>
      <c r="ET104" s="239"/>
      <c r="EU104" s="239"/>
      <c r="EV104" s="239"/>
      <c r="EW104" s="239"/>
      <c r="EX104" s="243">
        <f t="shared" ref="EX104:EX109" si="18">SUM(EE104:EW104)</f>
        <v>12</v>
      </c>
      <c r="EY104" s="242">
        <v>0</v>
      </c>
      <c r="EZ104" s="239">
        <v>0</v>
      </c>
      <c r="FA104" s="239">
        <v>0</v>
      </c>
      <c r="FB104" s="239">
        <v>0</v>
      </c>
      <c r="FC104" s="239">
        <v>0</v>
      </c>
      <c r="FD104" s="239">
        <v>1</v>
      </c>
      <c r="FE104" s="239">
        <v>0</v>
      </c>
      <c r="FF104" s="239">
        <v>1</v>
      </c>
      <c r="FG104" s="239">
        <v>0</v>
      </c>
      <c r="FH104" s="239"/>
      <c r="FI104" s="239"/>
      <c r="FJ104" s="239"/>
      <c r="FK104" s="239"/>
      <c r="FL104" s="239"/>
      <c r="FM104" s="239"/>
      <c r="FN104" s="239"/>
      <c r="FO104" s="239"/>
      <c r="FP104" s="239"/>
      <c r="FQ104" s="239"/>
      <c r="FR104" s="243">
        <f t="shared" ref="FR104:FR109" si="19">SUM(EY104:FQ104)</f>
        <v>2</v>
      </c>
      <c r="FS104" s="244">
        <f t="shared" si="16"/>
        <v>0</v>
      </c>
      <c r="FT104" s="245">
        <f t="shared" si="17"/>
        <v>0</v>
      </c>
      <c r="FU104" s="246"/>
    </row>
    <row r="105" spans="1:177" x14ac:dyDescent="0.25">
      <c r="A105" s="227">
        <v>40387</v>
      </c>
      <c r="B105" s="227" t="s">
        <v>133</v>
      </c>
      <c r="C105" s="227" t="s">
        <v>131</v>
      </c>
      <c r="D105" s="227" t="s">
        <v>507</v>
      </c>
      <c r="E105" s="228">
        <v>843</v>
      </c>
      <c r="F105" s="229">
        <v>5</v>
      </c>
      <c r="G105" s="230" t="s">
        <v>493</v>
      </c>
      <c r="H105" s="231">
        <v>0</v>
      </c>
      <c r="I105" s="231">
        <v>0</v>
      </c>
      <c r="J105" s="232">
        <v>7</v>
      </c>
      <c r="K105" s="231">
        <v>1</v>
      </c>
      <c r="L105" s="231">
        <v>0</v>
      </c>
      <c r="M105" s="231">
        <v>0</v>
      </c>
      <c r="N105" s="231">
        <v>1</v>
      </c>
      <c r="O105" s="231">
        <v>10</v>
      </c>
      <c r="P105" s="231">
        <v>0</v>
      </c>
      <c r="Q105" s="231">
        <v>0</v>
      </c>
      <c r="R105" s="231">
        <v>23</v>
      </c>
      <c r="S105" s="231"/>
      <c r="T105" s="231"/>
      <c r="U105" s="231">
        <v>0</v>
      </c>
      <c r="V105" s="233">
        <v>0</v>
      </c>
      <c r="W105" s="234">
        <v>0</v>
      </c>
      <c r="X105" s="231">
        <v>1</v>
      </c>
      <c r="Y105" s="231">
        <v>0</v>
      </c>
      <c r="Z105" s="231">
        <v>0</v>
      </c>
      <c r="AA105" s="231">
        <v>0</v>
      </c>
      <c r="AB105" s="232">
        <v>1</v>
      </c>
      <c r="AC105" s="231">
        <v>3</v>
      </c>
      <c r="AD105" s="231">
        <v>3</v>
      </c>
      <c r="AE105" s="231">
        <v>3</v>
      </c>
      <c r="AF105" s="231">
        <v>1</v>
      </c>
      <c r="AG105" s="231">
        <v>0</v>
      </c>
      <c r="AH105" s="231">
        <v>0</v>
      </c>
      <c r="AI105" s="231">
        <v>0</v>
      </c>
      <c r="AJ105" s="231">
        <v>7</v>
      </c>
      <c r="AK105" s="231"/>
      <c r="AL105" s="233"/>
      <c r="AM105" s="235" t="s">
        <v>519</v>
      </c>
      <c r="AN105" s="236">
        <v>4</v>
      </c>
      <c r="AO105" s="236">
        <v>0</v>
      </c>
      <c r="AP105" s="236">
        <v>0</v>
      </c>
      <c r="AQ105" s="236">
        <v>0</v>
      </c>
      <c r="AR105" s="236">
        <v>0</v>
      </c>
      <c r="AS105" s="236">
        <v>3</v>
      </c>
      <c r="AT105" s="236">
        <v>0</v>
      </c>
      <c r="AU105" s="236">
        <v>0</v>
      </c>
      <c r="AV105" s="237">
        <v>0</v>
      </c>
      <c r="AW105" s="235" t="s">
        <v>485</v>
      </c>
      <c r="AX105" s="236">
        <v>4</v>
      </c>
      <c r="AY105" s="236">
        <v>0</v>
      </c>
      <c r="AZ105" s="236">
        <v>1</v>
      </c>
      <c r="BA105" s="236">
        <v>0</v>
      </c>
      <c r="BB105" s="236">
        <v>0</v>
      </c>
      <c r="BC105" s="236">
        <v>1</v>
      </c>
      <c r="BD105" s="236">
        <v>0</v>
      </c>
      <c r="BE105" s="236">
        <v>0</v>
      </c>
      <c r="BF105" s="237">
        <v>1</v>
      </c>
      <c r="BG105" s="235" t="s">
        <v>482</v>
      </c>
      <c r="BH105" s="236">
        <v>4</v>
      </c>
      <c r="BI105" s="236">
        <v>0</v>
      </c>
      <c r="BJ105" s="236">
        <v>0</v>
      </c>
      <c r="BK105" s="236">
        <v>0</v>
      </c>
      <c r="BL105" s="236">
        <v>0</v>
      </c>
      <c r="BM105" s="236">
        <v>0</v>
      </c>
      <c r="BN105" s="236">
        <v>0</v>
      </c>
      <c r="BO105" s="236">
        <v>0</v>
      </c>
      <c r="BP105" s="237">
        <v>0</v>
      </c>
      <c r="BQ105" s="235" t="s">
        <v>367</v>
      </c>
      <c r="BR105" s="236">
        <v>3</v>
      </c>
      <c r="BS105" s="236">
        <v>0</v>
      </c>
      <c r="BT105" s="236">
        <v>1</v>
      </c>
      <c r="BU105" s="236">
        <v>0</v>
      </c>
      <c r="BV105" s="236">
        <v>1</v>
      </c>
      <c r="BW105" s="236">
        <v>1</v>
      </c>
      <c r="BX105" s="236">
        <v>0</v>
      </c>
      <c r="BY105" s="236">
        <v>0</v>
      </c>
      <c r="BZ105" s="237">
        <v>1</v>
      </c>
      <c r="CA105" s="235" t="s">
        <v>484</v>
      </c>
      <c r="CB105" s="236">
        <v>3</v>
      </c>
      <c r="CC105" s="236">
        <v>0</v>
      </c>
      <c r="CD105" s="236">
        <v>1</v>
      </c>
      <c r="CE105" s="236">
        <v>0</v>
      </c>
      <c r="CF105" s="236">
        <v>1</v>
      </c>
      <c r="CG105" s="236">
        <v>0</v>
      </c>
      <c r="CH105" s="236">
        <v>0</v>
      </c>
      <c r="CI105" s="236">
        <v>0</v>
      </c>
      <c r="CJ105" s="237">
        <v>1</v>
      </c>
      <c r="CK105" s="235" t="s">
        <v>489</v>
      </c>
      <c r="CL105" s="236">
        <v>4</v>
      </c>
      <c r="CM105" s="236">
        <v>0</v>
      </c>
      <c r="CN105" s="236">
        <v>2</v>
      </c>
      <c r="CO105" s="236">
        <v>0</v>
      </c>
      <c r="CP105" s="236">
        <v>0</v>
      </c>
      <c r="CQ105" s="236">
        <v>0</v>
      </c>
      <c r="CR105" s="236">
        <v>0</v>
      </c>
      <c r="CS105" s="236">
        <v>0</v>
      </c>
      <c r="CT105" s="237">
        <v>2</v>
      </c>
      <c r="CU105" s="235" t="s">
        <v>481</v>
      </c>
      <c r="CV105" s="236">
        <v>4</v>
      </c>
      <c r="CW105" s="236">
        <v>0</v>
      </c>
      <c r="CX105" s="236">
        <v>1</v>
      </c>
      <c r="CY105" s="236">
        <v>0</v>
      </c>
      <c r="CZ105" s="236">
        <v>0</v>
      </c>
      <c r="DA105" s="236">
        <v>2</v>
      </c>
      <c r="DB105" s="236">
        <v>0</v>
      </c>
      <c r="DC105" s="236">
        <v>0</v>
      </c>
      <c r="DD105" s="237">
        <v>1</v>
      </c>
      <c r="DE105" s="235" t="s">
        <v>480</v>
      </c>
      <c r="DF105" s="236">
        <v>4</v>
      </c>
      <c r="DG105" s="236">
        <v>0</v>
      </c>
      <c r="DH105" s="236">
        <v>0</v>
      </c>
      <c r="DI105" s="236">
        <v>0</v>
      </c>
      <c r="DJ105" s="236">
        <v>0</v>
      </c>
      <c r="DK105" s="236">
        <v>2</v>
      </c>
      <c r="DL105" s="236">
        <v>0</v>
      </c>
      <c r="DM105" s="236">
        <v>0</v>
      </c>
      <c r="DN105" s="237">
        <v>0</v>
      </c>
      <c r="DO105" s="235" t="s">
        <v>491</v>
      </c>
      <c r="DP105" s="236">
        <v>3</v>
      </c>
      <c r="DQ105" s="236">
        <v>0</v>
      </c>
      <c r="DR105" s="236">
        <v>1</v>
      </c>
      <c r="DS105" s="236">
        <v>0</v>
      </c>
      <c r="DT105" s="236">
        <v>0</v>
      </c>
      <c r="DU105" s="236">
        <v>1</v>
      </c>
      <c r="DV105" s="236">
        <v>0</v>
      </c>
      <c r="DW105" s="236">
        <v>0</v>
      </c>
      <c r="DX105" s="237">
        <v>1</v>
      </c>
      <c r="DY105" s="238">
        <v>0</v>
      </c>
      <c r="DZ105" s="239">
        <v>0</v>
      </c>
      <c r="EA105" s="239">
        <v>0</v>
      </c>
      <c r="EB105" s="240">
        <v>9</v>
      </c>
      <c r="EC105" s="239">
        <v>0</v>
      </c>
      <c r="ED105" s="241">
        <v>1</v>
      </c>
      <c r="EE105" s="242">
        <v>0</v>
      </c>
      <c r="EF105" s="239">
        <v>0</v>
      </c>
      <c r="EG105" s="239">
        <v>0</v>
      </c>
      <c r="EH105" s="239">
        <v>0</v>
      </c>
      <c r="EI105" s="239">
        <v>0</v>
      </c>
      <c r="EJ105" s="239">
        <v>0</v>
      </c>
      <c r="EK105" s="239">
        <v>0</v>
      </c>
      <c r="EL105" s="239">
        <v>0</v>
      </c>
      <c r="EM105" s="239">
        <v>0</v>
      </c>
      <c r="EN105" s="239"/>
      <c r="EO105" s="239"/>
      <c r="EP105" s="239"/>
      <c r="EQ105" s="239"/>
      <c r="ER105" s="239"/>
      <c r="ES105" s="239"/>
      <c r="ET105" s="239"/>
      <c r="EU105" s="239"/>
      <c r="EV105" s="239"/>
      <c r="EW105" s="239"/>
      <c r="EX105" s="243">
        <f t="shared" si="18"/>
        <v>0</v>
      </c>
      <c r="EY105" s="242">
        <v>0</v>
      </c>
      <c r="EZ105" s="239">
        <v>0</v>
      </c>
      <c r="FA105" s="239">
        <v>0</v>
      </c>
      <c r="FB105" s="239">
        <v>0</v>
      </c>
      <c r="FC105" s="239">
        <v>0</v>
      </c>
      <c r="FD105" s="239">
        <v>0</v>
      </c>
      <c r="FE105" s="239">
        <v>0</v>
      </c>
      <c r="FF105" s="239">
        <v>3</v>
      </c>
      <c r="FG105" s="239"/>
      <c r="FH105" s="239"/>
      <c r="FI105" s="239"/>
      <c r="FJ105" s="239"/>
      <c r="FK105" s="239"/>
      <c r="FL105" s="239"/>
      <c r="FM105" s="239"/>
      <c r="FN105" s="239"/>
      <c r="FO105" s="239"/>
      <c r="FP105" s="239"/>
      <c r="FQ105" s="239"/>
      <c r="FR105" s="243">
        <f t="shared" si="19"/>
        <v>3</v>
      </c>
      <c r="FS105" s="244">
        <f t="shared" si="16"/>
        <v>0</v>
      </c>
      <c r="FT105" s="245">
        <f t="shared" si="17"/>
        <v>0</v>
      </c>
      <c r="FU105" s="246"/>
    </row>
    <row r="106" spans="1:177" x14ac:dyDescent="0.25">
      <c r="A106" s="227">
        <v>40388</v>
      </c>
      <c r="B106" s="227" t="s">
        <v>133</v>
      </c>
      <c r="C106" s="227" t="s">
        <v>131</v>
      </c>
      <c r="D106" s="227" t="s">
        <v>507</v>
      </c>
      <c r="E106" s="228">
        <v>1060</v>
      </c>
      <c r="F106" s="229">
        <v>1</v>
      </c>
      <c r="G106" s="230" t="s">
        <v>494</v>
      </c>
      <c r="H106" s="231">
        <v>0</v>
      </c>
      <c r="I106" s="231">
        <v>1</v>
      </c>
      <c r="J106" s="232">
        <f>5+2/3</f>
        <v>5.666666666666667</v>
      </c>
      <c r="K106" s="231">
        <v>7</v>
      </c>
      <c r="L106" s="231">
        <v>5</v>
      </c>
      <c r="M106" s="231">
        <v>5</v>
      </c>
      <c r="N106" s="231">
        <v>2</v>
      </c>
      <c r="O106" s="231">
        <v>5</v>
      </c>
      <c r="P106" s="231">
        <v>1</v>
      </c>
      <c r="Q106" s="231">
        <v>0</v>
      </c>
      <c r="R106" s="231">
        <v>27</v>
      </c>
      <c r="S106" s="231"/>
      <c r="T106" s="231"/>
      <c r="U106" s="231">
        <v>2</v>
      </c>
      <c r="V106" s="233">
        <v>1</v>
      </c>
      <c r="W106" s="234">
        <v>0</v>
      </c>
      <c r="X106" s="231">
        <v>0</v>
      </c>
      <c r="Y106" s="231">
        <v>0</v>
      </c>
      <c r="Z106" s="231">
        <v>0</v>
      </c>
      <c r="AA106" s="231">
        <v>0</v>
      </c>
      <c r="AB106" s="232">
        <f>2+1/3</f>
        <v>2.3333333333333335</v>
      </c>
      <c r="AC106" s="231">
        <v>4</v>
      </c>
      <c r="AD106" s="231">
        <v>5</v>
      </c>
      <c r="AE106" s="231">
        <v>3</v>
      </c>
      <c r="AF106" s="231">
        <v>2</v>
      </c>
      <c r="AG106" s="231">
        <v>6</v>
      </c>
      <c r="AH106" s="231">
        <v>1</v>
      </c>
      <c r="AI106" s="231">
        <v>0</v>
      </c>
      <c r="AJ106" s="231">
        <v>15</v>
      </c>
      <c r="AK106" s="231"/>
      <c r="AL106" s="233"/>
      <c r="AM106" s="235" t="s">
        <v>486</v>
      </c>
      <c r="AN106" s="236">
        <v>4</v>
      </c>
      <c r="AO106" s="236">
        <v>0</v>
      </c>
      <c r="AP106" s="236">
        <v>1</v>
      </c>
      <c r="AQ106" s="236">
        <v>0</v>
      </c>
      <c r="AR106" s="236">
        <v>0</v>
      </c>
      <c r="AS106" s="236">
        <v>1</v>
      </c>
      <c r="AT106" s="236">
        <v>0</v>
      </c>
      <c r="AU106" s="236">
        <v>0</v>
      </c>
      <c r="AV106" s="237">
        <v>2</v>
      </c>
      <c r="AW106" s="235" t="s">
        <v>485</v>
      </c>
      <c r="AX106" s="236">
        <v>3</v>
      </c>
      <c r="AY106" s="236">
        <v>0</v>
      </c>
      <c r="AZ106" s="236">
        <v>1</v>
      </c>
      <c r="BA106" s="236">
        <v>0</v>
      </c>
      <c r="BB106" s="236">
        <v>1</v>
      </c>
      <c r="BC106" s="236">
        <v>0</v>
      </c>
      <c r="BD106" s="236">
        <v>0</v>
      </c>
      <c r="BE106" s="236">
        <v>0</v>
      </c>
      <c r="BF106" s="237">
        <v>2</v>
      </c>
      <c r="BG106" s="235" t="s">
        <v>482</v>
      </c>
      <c r="BH106" s="236">
        <v>4</v>
      </c>
      <c r="BI106" s="236">
        <v>0</v>
      </c>
      <c r="BJ106" s="236">
        <v>0</v>
      </c>
      <c r="BK106" s="236">
        <v>0</v>
      </c>
      <c r="BL106" s="236">
        <v>0</v>
      </c>
      <c r="BM106" s="236">
        <v>2</v>
      </c>
      <c r="BN106" s="236">
        <v>0</v>
      </c>
      <c r="BO106" s="236">
        <v>0</v>
      </c>
      <c r="BP106" s="237">
        <v>0</v>
      </c>
      <c r="BQ106" s="235" t="s">
        <v>367</v>
      </c>
      <c r="BR106" s="236">
        <v>3</v>
      </c>
      <c r="BS106" s="236">
        <v>1</v>
      </c>
      <c r="BT106" s="236">
        <v>0</v>
      </c>
      <c r="BU106" s="236">
        <v>0</v>
      </c>
      <c r="BV106" s="236">
        <v>1</v>
      </c>
      <c r="BW106" s="236">
        <v>0</v>
      </c>
      <c r="BX106" s="236">
        <v>0</v>
      </c>
      <c r="BY106" s="236">
        <v>0</v>
      </c>
      <c r="BZ106" s="237">
        <v>0</v>
      </c>
      <c r="CA106" s="235" t="s">
        <v>484</v>
      </c>
      <c r="CB106" s="236">
        <v>4</v>
      </c>
      <c r="CC106" s="236">
        <v>0</v>
      </c>
      <c r="CD106" s="236">
        <v>1</v>
      </c>
      <c r="CE106" s="236">
        <v>0</v>
      </c>
      <c r="CF106" s="236">
        <v>0</v>
      </c>
      <c r="CG106" s="236">
        <v>0</v>
      </c>
      <c r="CH106" s="236">
        <v>0</v>
      </c>
      <c r="CI106" s="236">
        <v>0</v>
      </c>
      <c r="CJ106" s="237">
        <v>2</v>
      </c>
      <c r="CK106" s="235" t="s">
        <v>575</v>
      </c>
      <c r="CL106" s="236">
        <v>3</v>
      </c>
      <c r="CM106" s="236">
        <v>0</v>
      </c>
      <c r="CN106" s="236">
        <v>0</v>
      </c>
      <c r="CO106" s="236">
        <v>1</v>
      </c>
      <c r="CP106" s="236">
        <v>0</v>
      </c>
      <c r="CQ106" s="236">
        <v>1</v>
      </c>
      <c r="CR106" s="236">
        <v>0</v>
      </c>
      <c r="CS106" s="236">
        <v>0</v>
      </c>
      <c r="CT106" s="237">
        <v>0</v>
      </c>
      <c r="CU106" s="235" t="s">
        <v>489</v>
      </c>
      <c r="CV106" s="236">
        <v>3</v>
      </c>
      <c r="CW106" s="236">
        <v>0</v>
      </c>
      <c r="CX106" s="236">
        <v>0</v>
      </c>
      <c r="CY106" s="236">
        <v>0</v>
      </c>
      <c r="CZ106" s="236">
        <v>0</v>
      </c>
      <c r="DA106" s="236">
        <v>1</v>
      </c>
      <c r="DB106" s="236">
        <v>0</v>
      </c>
      <c r="DC106" s="236">
        <v>0</v>
      </c>
      <c r="DD106" s="237">
        <v>0</v>
      </c>
      <c r="DE106" s="235" t="s">
        <v>481</v>
      </c>
      <c r="DF106" s="236">
        <v>3</v>
      </c>
      <c r="DG106" s="236">
        <v>0</v>
      </c>
      <c r="DH106" s="236">
        <v>1</v>
      </c>
      <c r="DI106" s="236">
        <v>0</v>
      </c>
      <c r="DJ106" s="236">
        <v>0</v>
      </c>
      <c r="DK106" s="236">
        <v>0</v>
      </c>
      <c r="DL106" s="236">
        <v>0</v>
      </c>
      <c r="DM106" s="236">
        <v>0</v>
      </c>
      <c r="DN106" s="237">
        <v>1</v>
      </c>
      <c r="DO106" s="235" t="s">
        <v>479</v>
      </c>
      <c r="DP106" s="236">
        <v>3</v>
      </c>
      <c r="DQ106" s="236">
        <v>0</v>
      </c>
      <c r="DR106" s="236">
        <v>0</v>
      </c>
      <c r="DS106" s="236">
        <v>0</v>
      </c>
      <c r="DT106" s="236">
        <v>0</v>
      </c>
      <c r="DU106" s="236">
        <v>1</v>
      </c>
      <c r="DV106" s="236">
        <v>0</v>
      </c>
      <c r="DW106" s="236">
        <v>0</v>
      </c>
      <c r="DX106" s="237">
        <v>0</v>
      </c>
      <c r="DY106" s="238">
        <v>5</v>
      </c>
      <c r="DZ106" s="239">
        <v>0</v>
      </c>
      <c r="EA106" s="239">
        <v>0</v>
      </c>
      <c r="EB106" s="240">
        <v>4</v>
      </c>
      <c r="EC106" s="239">
        <v>0</v>
      </c>
      <c r="ED106" s="241">
        <v>1</v>
      </c>
      <c r="EE106" s="242">
        <v>0</v>
      </c>
      <c r="EF106" s="239">
        <v>0</v>
      </c>
      <c r="EG106" s="239">
        <v>0</v>
      </c>
      <c r="EH106" s="239">
        <v>0</v>
      </c>
      <c r="EI106" s="239">
        <v>0</v>
      </c>
      <c r="EJ106" s="239">
        <v>0</v>
      </c>
      <c r="EK106" s="239">
        <v>1</v>
      </c>
      <c r="EL106" s="239">
        <v>0</v>
      </c>
      <c r="EM106" s="239">
        <v>0</v>
      </c>
      <c r="EN106" s="239"/>
      <c r="EO106" s="239"/>
      <c r="EP106" s="239"/>
      <c r="EQ106" s="239"/>
      <c r="ER106" s="239"/>
      <c r="ES106" s="239"/>
      <c r="ET106" s="239"/>
      <c r="EU106" s="239"/>
      <c r="EV106" s="239"/>
      <c r="EW106" s="239"/>
      <c r="EX106" s="243">
        <f t="shared" si="18"/>
        <v>1</v>
      </c>
      <c r="EY106" s="242">
        <v>0</v>
      </c>
      <c r="EZ106" s="239">
        <v>2</v>
      </c>
      <c r="FA106" s="239">
        <v>2</v>
      </c>
      <c r="FB106" s="239">
        <v>0</v>
      </c>
      <c r="FC106" s="239">
        <v>0</v>
      </c>
      <c r="FD106" s="239">
        <v>1</v>
      </c>
      <c r="FE106" s="239">
        <v>3</v>
      </c>
      <c r="FF106" s="239">
        <v>2</v>
      </c>
      <c r="FG106" s="239"/>
      <c r="FH106" s="239"/>
      <c r="FI106" s="239"/>
      <c r="FJ106" s="239"/>
      <c r="FK106" s="239"/>
      <c r="FL106" s="239"/>
      <c r="FM106" s="239"/>
      <c r="FN106" s="239"/>
      <c r="FO106" s="239"/>
      <c r="FP106" s="239"/>
      <c r="FQ106" s="239"/>
      <c r="FR106" s="243">
        <f t="shared" si="19"/>
        <v>10</v>
      </c>
      <c r="FS106" s="244">
        <f t="shared" si="16"/>
        <v>0</v>
      </c>
      <c r="FT106" s="245">
        <f t="shared" si="17"/>
        <v>0</v>
      </c>
      <c r="FU106" s="246"/>
    </row>
    <row r="107" spans="1:177" x14ac:dyDescent="0.25">
      <c r="A107" s="227">
        <v>40389</v>
      </c>
      <c r="B107" s="227" t="s">
        <v>133</v>
      </c>
      <c r="C107" s="227" t="s">
        <v>129</v>
      </c>
      <c r="D107" s="227" t="s">
        <v>507</v>
      </c>
      <c r="E107" s="228">
        <v>1743</v>
      </c>
      <c r="F107" s="229">
        <v>2</v>
      </c>
      <c r="G107" s="230" t="s">
        <v>498</v>
      </c>
      <c r="H107" s="231">
        <v>0</v>
      </c>
      <c r="I107" s="231">
        <v>0</v>
      </c>
      <c r="J107" s="232">
        <v>5</v>
      </c>
      <c r="K107" s="231">
        <v>6</v>
      </c>
      <c r="L107" s="231">
        <v>3</v>
      </c>
      <c r="M107" s="231">
        <v>3</v>
      </c>
      <c r="N107" s="231">
        <v>2</v>
      </c>
      <c r="O107" s="231">
        <v>2</v>
      </c>
      <c r="P107" s="231">
        <v>1</v>
      </c>
      <c r="Q107" s="231">
        <v>2</v>
      </c>
      <c r="R107" s="231">
        <v>23</v>
      </c>
      <c r="S107" s="231"/>
      <c r="T107" s="231"/>
      <c r="U107" s="231">
        <v>0</v>
      </c>
      <c r="V107" s="233">
        <v>0</v>
      </c>
      <c r="W107" s="234">
        <v>1</v>
      </c>
      <c r="X107" s="231">
        <v>0</v>
      </c>
      <c r="Y107" s="231">
        <v>1</v>
      </c>
      <c r="Z107" s="231">
        <v>1</v>
      </c>
      <c r="AA107" s="231">
        <v>0</v>
      </c>
      <c r="AB107" s="232">
        <v>4</v>
      </c>
      <c r="AC107" s="231">
        <v>6</v>
      </c>
      <c r="AD107" s="231">
        <v>3</v>
      </c>
      <c r="AE107" s="231">
        <v>3</v>
      </c>
      <c r="AF107" s="231">
        <v>2</v>
      </c>
      <c r="AG107" s="231">
        <v>6</v>
      </c>
      <c r="AH107" s="231">
        <v>1</v>
      </c>
      <c r="AI107" s="231">
        <v>0</v>
      </c>
      <c r="AJ107" s="231">
        <v>19</v>
      </c>
      <c r="AK107" s="231"/>
      <c r="AL107" s="233"/>
      <c r="AM107" s="235" t="s">
        <v>482</v>
      </c>
      <c r="AN107" s="236">
        <v>3</v>
      </c>
      <c r="AO107" s="236">
        <v>2</v>
      </c>
      <c r="AP107" s="236">
        <v>0</v>
      </c>
      <c r="AQ107" s="236">
        <v>0</v>
      </c>
      <c r="AR107" s="236">
        <v>3</v>
      </c>
      <c r="AS107" s="236">
        <v>1</v>
      </c>
      <c r="AT107" s="236">
        <v>0</v>
      </c>
      <c r="AU107" s="236">
        <v>0</v>
      </c>
      <c r="AV107" s="237">
        <v>0</v>
      </c>
      <c r="AW107" s="235" t="s">
        <v>485</v>
      </c>
      <c r="AX107" s="236">
        <v>4</v>
      </c>
      <c r="AY107" s="236">
        <v>3</v>
      </c>
      <c r="AZ107" s="236">
        <v>4</v>
      </c>
      <c r="BA107" s="236">
        <v>3</v>
      </c>
      <c r="BB107" s="236">
        <v>1</v>
      </c>
      <c r="BC107" s="236">
        <v>0</v>
      </c>
      <c r="BD107" s="236">
        <v>0</v>
      </c>
      <c r="BE107" s="236">
        <v>0</v>
      </c>
      <c r="BF107" s="237">
        <v>5</v>
      </c>
      <c r="BG107" s="235" t="s">
        <v>491</v>
      </c>
      <c r="BH107" s="236">
        <v>4</v>
      </c>
      <c r="BI107" s="236">
        <v>0</v>
      </c>
      <c r="BJ107" s="236">
        <v>2</v>
      </c>
      <c r="BK107" s="236">
        <v>2</v>
      </c>
      <c r="BL107" s="236">
        <v>0</v>
      </c>
      <c r="BM107" s="236">
        <v>2</v>
      </c>
      <c r="BN107" s="236">
        <v>0</v>
      </c>
      <c r="BO107" s="236">
        <v>1</v>
      </c>
      <c r="BP107" s="237">
        <v>2</v>
      </c>
      <c r="BQ107" s="235" t="s">
        <v>367</v>
      </c>
      <c r="BR107" s="236">
        <v>5</v>
      </c>
      <c r="BS107" s="236">
        <v>0</v>
      </c>
      <c r="BT107" s="236">
        <v>1</v>
      </c>
      <c r="BU107" s="236">
        <v>0</v>
      </c>
      <c r="BV107" s="236">
        <v>0</v>
      </c>
      <c r="BW107" s="236">
        <v>1</v>
      </c>
      <c r="BX107" s="236">
        <v>0</v>
      </c>
      <c r="BY107" s="236">
        <v>0</v>
      </c>
      <c r="BZ107" s="237">
        <v>1</v>
      </c>
      <c r="CA107" s="235" t="s">
        <v>484</v>
      </c>
      <c r="CB107" s="236">
        <v>4</v>
      </c>
      <c r="CC107" s="236">
        <v>0</v>
      </c>
      <c r="CD107" s="236">
        <v>2</v>
      </c>
      <c r="CE107" s="236">
        <v>2</v>
      </c>
      <c r="CF107" s="236">
        <v>0</v>
      </c>
      <c r="CG107" s="236">
        <v>0</v>
      </c>
      <c r="CH107" s="236">
        <v>0</v>
      </c>
      <c r="CI107" s="236">
        <v>1</v>
      </c>
      <c r="CJ107" s="237">
        <v>2</v>
      </c>
      <c r="CK107" s="235" t="s">
        <v>489</v>
      </c>
      <c r="CL107" s="236">
        <v>5</v>
      </c>
      <c r="CM107" s="236">
        <v>1</v>
      </c>
      <c r="CN107" s="236">
        <v>1</v>
      </c>
      <c r="CO107" s="236">
        <v>0</v>
      </c>
      <c r="CP107" s="236">
        <v>0</v>
      </c>
      <c r="CQ107" s="236">
        <v>0</v>
      </c>
      <c r="CR107" s="236">
        <v>0</v>
      </c>
      <c r="CS107" s="236">
        <v>0</v>
      </c>
      <c r="CT107" s="237">
        <v>1</v>
      </c>
      <c r="CU107" s="235" t="s">
        <v>486</v>
      </c>
      <c r="CV107" s="236">
        <v>5</v>
      </c>
      <c r="CW107" s="236">
        <v>0</v>
      </c>
      <c r="CX107" s="236">
        <v>1</v>
      </c>
      <c r="CY107" s="236">
        <v>0</v>
      </c>
      <c r="CZ107" s="236">
        <v>0</v>
      </c>
      <c r="DA107" s="236">
        <v>1</v>
      </c>
      <c r="DB107" s="236">
        <v>0</v>
      </c>
      <c r="DC107" s="236">
        <v>0</v>
      </c>
      <c r="DD107" s="237">
        <v>2</v>
      </c>
      <c r="DE107" s="235" t="s">
        <v>480</v>
      </c>
      <c r="DF107" s="236">
        <v>4</v>
      </c>
      <c r="DG107" s="236">
        <v>2</v>
      </c>
      <c r="DH107" s="236">
        <v>1</v>
      </c>
      <c r="DI107" s="236">
        <v>2</v>
      </c>
      <c r="DJ107" s="236">
        <v>1</v>
      </c>
      <c r="DK107" s="236">
        <v>3</v>
      </c>
      <c r="DL107" s="236">
        <v>0</v>
      </c>
      <c r="DM107" s="236">
        <v>0</v>
      </c>
      <c r="DN107" s="237">
        <v>4</v>
      </c>
      <c r="DO107" s="235" t="s">
        <v>519</v>
      </c>
      <c r="DP107" s="236">
        <v>5</v>
      </c>
      <c r="DQ107" s="236">
        <v>1</v>
      </c>
      <c r="DR107" s="236">
        <v>2</v>
      </c>
      <c r="DS107" s="236">
        <v>0</v>
      </c>
      <c r="DT107" s="236">
        <v>0</v>
      </c>
      <c r="DU107" s="236">
        <v>1</v>
      </c>
      <c r="DV107" s="236">
        <v>0</v>
      </c>
      <c r="DW107" s="236">
        <v>0</v>
      </c>
      <c r="DX107" s="237">
        <v>2</v>
      </c>
      <c r="DY107" s="238">
        <f>1+1/3</f>
        <v>1.3333333333333333</v>
      </c>
      <c r="DZ107" s="239">
        <v>0</v>
      </c>
      <c r="EA107" s="239">
        <v>0</v>
      </c>
      <c r="EB107" s="240">
        <f>7+2/3</f>
        <v>7.666666666666667</v>
      </c>
      <c r="EC107" s="239">
        <v>1</v>
      </c>
      <c r="ED107" s="241">
        <v>0</v>
      </c>
      <c r="EE107" s="242">
        <v>0</v>
      </c>
      <c r="EF107" s="239">
        <v>0</v>
      </c>
      <c r="EG107" s="239">
        <v>0</v>
      </c>
      <c r="EH107" s="239">
        <v>2</v>
      </c>
      <c r="EI107" s="239">
        <v>1</v>
      </c>
      <c r="EJ107" s="239">
        <v>0</v>
      </c>
      <c r="EK107" s="239">
        <v>2</v>
      </c>
      <c r="EL107" s="239">
        <v>4</v>
      </c>
      <c r="EM107" s="239">
        <v>0</v>
      </c>
      <c r="EN107" s="239"/>
      <c r="EO107" s="239"/>
      <c r="EP107" s="239"/>
      <c r="EQ107" s="239"/>
      <c r="ER107" s="239"/>
      <c r="ES107" s="239"/>
      <c r="ET107" s="239"/>
      <c r="EU107" s="239"/>
      <c r="EV107" s="239"/>
      <c r="EW107" s="239"/>
      <c r="EX107" s="243">
        <f t="shared" si="18"/>
        <v>9</v>
      </c>
      <c r="EY107" s="242">
        <v>0</v>
      </c>
      <c r="EZ107" s="239">
        <v>0</v>
      </c>
      <c r="FA107" s="239">
        <v>0</v>
      </c>
      <c r="FB107" s="239">
        <v>3</v>
      </c>
      <c r="FC107" s="239">
        <v>0</v>
      </c>
      <c r="FD107" s="239">
        <v>3</v>
      </c>
      <c r="FE107" s="239">
        <v>0</v>
      </c>
      <c r="FF107" s="239">
        <v>0</v>
      </c>
      <c r="FG107" s="239">
        <v>0</v>
      </c>
      <c r="FH107" s="239"/>
      <c r="FI107" s="239"/>
      <c r="FJ107" s="239"/>
      <c r="FK107" s="239"/>
      <c r="FL107" s="239"/>
      <c r="FM107" s="239"/>
      <c r="FN107" s="239"/>
      <c r="FO107" s="239"/>
      <c r="FP107" s="239"/>
      <c r="FQ107" s="239"/>
      <c r="FR107" s="243">
        <f t="shared" si="19"/>
        <v>6</v>
      </c>
      <c r="FS107" s="244">
        <f t="shared" si="16"/>
        <v>0</v>
      </c>
      <c r="FT107" s="245">
        <f t="shared" si="17"/>
        <v>0</v>
      </c>
      <c r="FU107" s="246"/>
    </row>
    <row r="108" spans="1:177" x14ac:dyDescent="0.25">
      <c r="A108" s="121">
        <v>40390</v>
      </c>
      <c r="B108" s="121" t="s">
        <v>19</v>
      </c>
      <c r="C108" s="121" t="s">
        <v>129</v>
      </c>
      <c r="D108" s="121" t="s">
        <v>503</v>
      </c>
      <c r="E108" s="120">
        <v>5911</v>
      </c>
      <c r="F108" s="124">
        <v>3</v>
      </c>
      <c r="G108" s="125" t="s">
        <v>492</v>
      </c>
      <c r="H108" s="122">
        <v>1</v>
      </c>
      <c r="I108" s="122">
        <v>0</v>
      </c>
      <c r="J108" s="119">
        <f>7+1/3</f>
        <v>7.333333333333333</v>
      </c>
      <c r="K108" s="122">
        <v>5</v>
      </c>
      <c r="L108" s="122">
        <v>1</v>
      </c>
      <c r="M108" s="122">
        <v>1</v>
      </c>
      <c r="N108" s="122">
        <v>1</v>
      </c>
      <c r="O108" s="122">
        <v>2</v>
      </c>
      <c r="P108" s="122">
        <v>1</v>
      </c>
      <c r="Q108" s="122">
        <v>0</v>
      </c>
      <c r="R108" s="122">
        <v>27</v>
      </c>
      <c r="S108" s="122"/>
      <c r="T108" s="122"/>
      <c r="U108" s="122">
        <v>1</v>
      </c>
      <c r="V108" s="126">
        <v>0</v>
      </c>
      <c r="W108" s="139">
        <v>0</v>
      </c>
      <c r="X108" s="122">
        <v>0</v>
      </c>
      <c r="Y108" s="122">
        <v>1</v>
      </c>
      <c r="Z108" s="122">
        <v>1</v>
      </c>
      <c r="AA108" s="122">
        <v>0</v>
      </c>
      <c r="AB108" s="119">
        <f>1+2/3</f>
        <v>1.6666666666666665</v>
      </c>
      <c r="AC108" s="122">
        <v>0</v>
      </c>
      <c r="AD108" s="122">
        <v>0</v>
      </c>
      <c r="AE108" s="122">
        <v>0</v>
      </c>
      <c r="AF108" s="122">
        <v>1</v>
      </c>
      <c r="AG108" s="122">
        <v>3</v>
      </c>
      <c r="AH108" s="122">
        <v>0</v>
      </c>
      <c r="AI108" s="122">
        <v>0</v>
      </c>
      <c r="AJ108" s="122">
        <v>6</v>
      </c>
      <c r="AK108" s="122"/>
      <c r="AL108" s="126"/>
      <c r="AM108" s="127" t="s">
        <v>482</v>
      </c>
      <c r="AN108" s="128">
        <v>5</v>
      </c>
      <c r="AO108" s="128">
        <v>1</v>
      </c>
      <c r="AP108" s="128">
        <v>2</v>
      </c>
      <c r="AQ108" s="128">
        <v>1</v>
      </c>
      <c r="AR108" s="128">
        <v>0</v>
      </c>
      <c r="AS108" s="128">
        <v>0</v>
      </c>
      <c r="AT108" s="128">
        <v>0</v>
      </c>
      <c r="AU108" s="128">
        <v>0</v>
      </c>
      <c r="AV108" s="129">
        <v>4</v>
      </c>
      <c r="AW108" s="127" t="s">
        <v>486</v>
      </c>
      <c r="AX108" s="128">
        <v>4</v>
      </c>
      <c r="AY108" s="128">
        <v>1</v>
      </c>
      <c r="AZ108" s="128">
        <v>2</v>
      </c>
      <c r="BA108" s="128">
        <v>1</v>
      </c>
      <c r="BB108" s="128">
        <v>0</v>
      </c>
      <c r="BC108" s="128">
        <v>0</v>
      </c>
      <c r="BD108" s="128">
        <v>0</v>
      </c>
      <c r="BE108" s="128">
        <v>0</v>
      </c>
      <c r="BF108" s="129">
        <v>3</v>
      </c>
      <c r="BG108" s="127" t="s">
        <v>491</v>
      </c>
      <c r="BH108" s="128">
        <v>3</v>
      </c>
      <c r="BI108" s="128">
        <v>0</v>
      </c>
      <c r="BJ108" s="128">
        <v>1</v>
      </c>
      <c r="BK108" s="128">
        <v>1</v>
      </c>
      <c r="BL108" s="128">
        <v>1</v>
      </c>
      <c r="BM108" s="128">
        <v>0</v>
      </c>
      <c r="BN108" s="128">
        <v>0</v>
      </c>
      <c r="BO108" s="128">
        <v>0</v>
      </c>
      <c r="BP108" s="129">
        <v>3</v>
      </c>
      <c r="BQ108" s="127" t="s">
        <v>367</v>
      </c>
      <c r="BR108" s="128">
        <v>4</v>
      </c>
      <c r="BS108" s="128">
        <v>0</v>
      </c>
      <c r="BT108" s="128">
        <v>0</v>
      </c>
      <c r="BU108" s="128">
        <v>0</v>
      </c>
      <c r="BV108" s="128">
        <v>0</v>
      </c>
      <c r="BW108" s="128">
        <v>0</v>
      </c>
      <c r="BX108" s="128">
        <v>0</v>
      </c>
      <c r="BY108" s="128">
        <v>0</v>
      </c>
      <c r="BZ108" s="129">
        <v>0</v>
      </c>
      <c r="CA108" s="127" t="s">
        <v>481</v>
      </c>
      <c r="CB108" s="128">
        <v>4</v>
      </c>
      <c r="CC108" s="128">
        <v>1</v>
      </c>
      <c r="CD108" s="128">
        <v>2</v>
      </c>
      <c r="CE108" s="128">
        <v>0</v>
      </c>
      <c r="CF108" s="128">
        <v>0</v>
      </c>
      <c r="CG108" s="128">
        <v>0</v>
      </c>
      <c r="CH108" s="128">
        <v>0</v>
      </c>
      <c r="CI108" s="128">
        <v>0</v>
      </c>
      <c r="CJ108" s="129">
        <v>3</v>
      </c>
      <c r="CK108" s="127" t="s">
        <v>575</v>
      </c>
      <c r="CL108" s="128">
        <v>4</v>
      </c>
      <c r="CM108" s="128">
        <v>0</v>
      </c>
      <c r="CN108" s="128">
        <v>1</v>
      </c>
      <c r="CO108" s="128">
        <v>0</v>
      </c>
      <c r="CP108" s="128">
        <v>0</v>
      </c>
      <c r="CQ108" s="128">
        <v>2</v>
      </c>
      <c r="CR108" s="128">
        <v>0</v>
      </c>
      <c r="CS108" s="128">
        <v>0</v>
      </c>
      <c r="CT108" s="129">
        <v>1</v>
      </c>
      <c r="CU108" s="127" t="s">
        <v>489</v>
      </c>
      <c r="CV108" s="128">
        <v>4</v>
      </c>
      <c r="CW108" s="128">
        <v>0</v>
      </c>
      <c r="CX108" s="128">
        <v>0</v>
      </c>
      <c r="CY108" s="128">
        <v>0</v>
      </c>
      <c r="CZ108" s="128">
        <v>0</v>
      </c>
      <c r="DA108" s="128">
        <v>0</v>
      </c>
      <c r="DB108" s="128">
        <v>0</v>
      </c>
      <c r="DC108" s="128">
        <v>0</v>
      </c>
      <c r="DD108" s="129">
        <v>0</v>
      </c>
      <c r="DE108" s="127" t="s">
        <v>480</v>
      </c>
      <c r="DF108" s="128">
        <v>4</v>
      </c>
      <c r="DG108" s="128">
        <v>0</v>
      </c>
      <c r="DH108" s="128">
        <v>2</v>
      </c>
      <c r="DI108" s="128">
        <v>0</v>
      </c>
      <c r="DJ108" s="128">
        <v>0</v>
      </c>
      <c r="DK108" s="128">
        <v>1</v>
      </c>
      <c r="DL108" s="128">
        <v>0</v>
      </c>
      <c r="DM108" s="128">
        <v>0</v>
      </c>
      <c r="DN108" s="129">
        <v>3</v>
      </c>
      <c r="DO108" s="127" t="s">
        <v>479</v>
      </c>
      <c r="DP108" s="128">
        <v>4</v>
      </c>
      <c r="DQ108" s="128">
        <v>1</v>
      </c>
      <c r="DR108" s="128">
        <v>1</v>
      </c>
      <c r="DS108" s="128">
        <v>1</v>
      </c>
      <c r="DT108" s="128">
        <v>0</v>
      </c>
      <c r="DU108" s="128">
        <v>1</v>
      </c>
      <c r="DV108" s="128">
        <v>0</v>
      </c>
      <c r="DW108" s="128">
        <v>0</v>
      </c>
      <c r="DX108" s="129">
        <v>1</v>
      </c>
      <c r="DY108" s="130">
        <v>3</v>
      </c>
      <c r="DZ108" s="131">
        <v>0</v>
      </c>
      <c r="EA108" s="131">
        <v>0</v>
      </c>
      <c r="EB108" s="132">
        <v>5</v>
      </c>
      <c r="EC108" s="131">
        <v>0</v>
      </c>
      <c r="ED108" s="133">
        <v>0</v>
      </c>
      <c r="EE108" s="134">
        <v>0</v>
      </c>
      <c r="EF108" s="131">
        <v>0</v>
      </c>
      <c r="EG108" s="131">
        <v>0</v>
      </c>
      <c r="EH108" s="131">
        <v>0</v>
      </c>
      <c r="EI108" s="131">
        <v>2</v>
      </c>
      <c r="EJ108" s="131">
        <v>0</v>
      </c>
      <c r="EK108" s="131">
        <v>1</v>
      </c>
      <c r="EL108" s="131">
        <v>1</v>
      </c>
      <c r="EM108" s="131"/>
      <c r="EN108" s="131"/>
      <c r="EO108" s="131"/>
      <c r="EP108" s="131"/>
      <c r="EQ108" s="131"/>
      <c r="ER108" s="131"/>
      <c r="ES108" s="131"/>
      <c r="ET108" s="131"/>
      <c r="EU108" s="131"/>
      <c r="EV108" s="131"/>
      <c r="EW108" s="131"/>
      <c r="EX108" s="135">
        <f t="shared" si="18"/>
        <v>4</v>
      </c>
      <c r="EY108" s="134">
        <v>0</v>
      </c>
      <c r="EZ108" s="131">
        <v>0</v>
      </c>
      <c r="FA108" s="131">
        <v>0</v>
      </c>
      <c r="FB108" s="131">
        <v>0</v>
      </c>
      <c r="FC108" s="131">
        <v>1</v>
      </c>
      <c r="FD108" s="131">
        <v>0</v>
      </c>
      <c r="FE108" s="131">
        <v>0</v>
      </c>
      <c r="FF108" s="131">
        <v>0</v>
      </c>
      <c r="FG108" s="131">
        <v>0</v>
      </c>
      <c r="FH108" s="131"/>
      <c r="FI108" s="131"/>
      <c r="FJ108" s="131"/>
      <c r="FK108" s="131"/>
      <c r="FL108" s="131"/>
      <c r="FM108" s="131"/>
      <c r="FN108" s="131"/>
      <c r="FO108" s="131"/>
      <c r="FP108" s="131"/>
      <c r="FQ108" s="131"/>
      <c r="FR108" s="135">
        <f t="shared" si="19"/>
        <v>1</v>
      </c>
      <c r="FS108" s="141">
        <f t="shared" ref="FS108:FS116" si="20">((L108+AD108)-FR108)</f>
        <v>0</v>
      </c>
      <c r="FT108" s="143">
        <f t="shared" ref="FT108:FT116" si="21">((AO108+AY108+BI108+BS108+CC108+CM108+CW108+DG108+DQ108)-EX108)</f>
        <v>0</v>
      </c>
      <c r="FU108" s="144"/>
    </row>
    <row r="109" spans="1:177" x14ac:dyDescent="0.25">
      <c r="A109" s="121">
        <v>40391</v>
      </c>
      <c r="B109" s="121" t="s">
        <v>19</v>
      </c>
      <c r="C109" s="121" t="s">
        <v>131</v>
      </c>
      <c r="D109" s="121" t="s">
        <v>503</v>
      </c>
      <c r="E109" s="120">
        <v>1414</v>
      </c>
      <c r="F109" s="124">
        <v>4</v>
      </c>
      <c r="G109" s="125" t="s">
        <v>487</v>
      </c>
      <c r="H109" s="122">
        <v>0</v>
      </c>
      <c r="I109" s="122">
        <v>1</v>
      </c>
      <c r="J109" s="119">
        <v>5</v>
      </c>
      <c r="K109" s="122">
        <v>11</v>
      </c>
      <c r="L109" s="122">
        <v>8</v>
      </c>
      <c r="M109" s="122">
        <v>6</v>
      </c>
      <c r="N109" s="122">
        <v>1</v>
      </c>
      <c r="O109" s="122">
        <v>4</v>
      </c>
      <c r="P109" s="122">
        <v>2</v>
      </c>
      <c r="Q109" s="122">
        <v>1</v>
      </c>
      <c r="R109" s="122">
        <v>29</v>
      </c>
      <c r="S109" s="122"/>
      <c r="T109" s="122"/>
      <c r="U109" s="122">
        <v>0</v>
      </c>
      <c r="V109" s="126">
        <v>0</v>
      </c>
      <c r="W109" s="139">
        <v>0</v>
      </c>
      <c r="X109" s="122">
        <v>0</v>
      </c>
      <c r="Y109" s="122">
        <v>0</v>
      </c>
      <c r="Z109" s="122">
        <v>0</v>
      </c>
      <c r="AA109" s="122">
        <v>0</v>
      </c>
      <c r="AB109" s="119">
        <v>4</v>
      </c>
      <c r="AC109" s="122">
        <v>4</v>
      </c>
      <c r="AD109" s="122">
        <v>2</v>
      </c>
      <c r="AE109" s="122">
        <v>2</v>
      </c>
      <c r="AF109" s="122">
        <v>0</v>
      </c>
      <c r="AG109" s="122">
        <v>1</v>
      </c>
      <c r="AH109" s="122">
        <v>2</v>
      </c>
      <c r="AI109" s="122">
        <v>0</v>
      </c>
      <c r="AJ109" s="122">
        <v>16</v>
      </c>
      <c r="AK109" s="122"/>
      <c r="AL109" s="126"/>
      <c r="AM109" s="127" t="s">
        <v>482</v>
      </c>
      <c r="AN109" s="128">
        <v>4</v>
      </c>
      <c r="AO109" s="128">
        <v>1</v>
      </c>
      <c r="AP109" s="128">
        <v>1</v>
      </c>
      <c r="AQ109" s="128">
        <v>0</v>
      </c>
      <c r="AR109" s="128">
        <v>0</v>
      </c>
      <c r="AS109" s="128">
        <v>0</v>
      </c>
      <c r="AT109" s="128">
        <v>0</v>
      </c>
      <c r="AU109" s="128">
        <v>0</v>
      </c>
      <c r="AV109" s="129">
        <v>3</v>
      </c>
      <c r="AW109" s="127" t="s">
        <v>485</v>
      </c>
      <c r="AX109" s="128">
        <v>4</v>
      </c>
      <c r="AY109" s="128">
        <v>1</v>
      </c>
      <c r="AZ109" s="128">
        <v>1</v>
      </c>
      <c r="BA109" s="128">
        <v>1</v>
      </c>
      <c r="BB109" s="128">
        <v>0</v>
      </c>
      <c r="BC109" s="128">
        <v>0</v>
      </c>
      <c r="BD109" s="128">
        <v>0</v>
      </c>
      <c r="BE109" s="128">
        <v>0</v>
      </c>
      <c r="BF109" s="129">
        <v>1</v>
      </c>
      <c r="BG109" s="127" t="s">
        <v>491</v>
      </c>
      <c r="BH109" s="128">
        <v>3</v>
      </c>
      <c r="BI109" s="128">
        <v>0</v>
      </c>
      <c r="BJ109" s="128">
        <v>0</v>
      </c>
      <c r="BK109" s="128">
        <v>0</v>
      </c>
      <c r="BL109" s="128">
        <v>1</v>
      </c>
      <c r="BM109" s="128">
        <v>2</v>
      </c>
      <c r="BN109" s="128">
        <v>0</v>
      </c>
      <c r="BO109" s="128">
        <v>0</v>
      </c>
      <c r="BP109" s="129">
        <v>0</v>
      </c>
      <c r="BQ109" s="127" t="s">
        <v>367</v>
      </c>
      <c r="BR109" s="128">
        <v>4</v>
      </c>
      <c r="BS109" s="128">
        <v>1</v>
      </c>
      <c r="BT109" s="128">
        <v>2</v>
      </c>
      <c r="BU109" s="128">
        <v>0</v>
      </c>
      <c r="BV109" s="128">
        <v>0</v>
      </c>
      <c r="BW109" s="128">
        <v>0</v>
      </c>
      <c r="BX109" s="128">
        <v>0</v>
      </c>
      <c r="BY109" s="128">
        <v>0</v>
      </c>
      <c r="BZ109" s="129">
        <v>2</v>
      </c>
      <c r="CA109" s="127" t="s">
        <v>484</v>
      </c>
      <c r="CB109" s="128">
        <v>4</v>
      </c>
      <c r="CC109" s="128">
        <v>1</v>
      </c>
      <c r="CD109" s="128">
        <v>1</v>
      </c>
      <c r="CE109" s="128">
        <v>3</v>
      </c>
      <c r="CF109" s="128">
        <v>0</v>
      </c>
      <c r="CG109" s="128">
        <v>1</v>
      </c>
      <c r="CH109" s="128">
        <v>0</v>
      </c>
      <c r="CI109" s="128">
        <v>0</v>
      </c>
      <c r="CJ109" s="129">
        <v>4</v>
      </c>
      <c r="CK109" s="127" t="s">
        <v>481</v>
      </c>
      <c r="CL109" s="128">
        <v>4</v>
      </c>
      <c r="CM109" s="128">
        <v>0</v>
      </c>
      <c r="CN109" s="128">
        <v>1</v>
      </c>
      <c r="CO109" s="128">
        <v>0</v>
      </c>
      <c r="CP109" s="128">
        <v>0</v>
      </c>
      <c r="CQ109" s="128">
        <v>0</v>
      </c>
      <c r="CR109" s="128">
        <v>0</v>
      </c>
      <c r="CS109" s="128">
        <v>0</v>
      </c>
      <c r="CT109" s="129">
        <v>2</v>
      </c>
      <c r="CU109" s="127" t="s">
        <v>480</v>
      </c>
      <c r="CV109" s="128">
        <v>4</v>
      </c>
      <c r="CW109" s="128">
        <v>0</v>
      </c>
      <c r="CX109" s="128">
        <v>0</v>
      </c>
      <c r="CY109" s="128">
        <v>0</v>
      </c>
      <c r="CZ109" s="128">
        <v>0</v>
      </c>
      <c r="DA109" s="128">
        <v>1</v>
      </c>
      <c r="DB109" s="128">
        <v>0</v>
      </c>
      <c r="DC109" s="128">
        <v>0</v>
      </c>
      <c r="DD109" s="129">
        <v>0</v>
      </c>
      <c r="DE109" s="127" t="s">
        <v>486</v>
      </c>
      <c r="DF109" s="128">
        <v>3</v>
      </c>
      <c r="DG109" s="128">
        <v>0</v>
      </c>
      <c r="DH109" s="128">
        <v>1</v>
      </c>
      <c r="DI109" s="128">
        <v>0</v>
      </c>
      <c r="DJ109" s="128">
        <v>0</v>
      </c>
      <c r="DK109" s="128">
        <v>1</v>
      </c>
      <c r="DL109" s="128">
        <v>0</v>
      </c>
      <c r="DM109" s="128">
        <v>0</v>
      </c>
      <c r="DN109" s="129">
        <v>2</v>
      </c>
      <c r="DO109" s="127" t="s">
        <v>519</v>
      </c>
      <c r="DP109" s="128">
        <v>3</v>
      </c>
      <c r="DQ109" s="128">
        <v>0</v>
      </c>
      <c r="DR109" s="128">
        <v>0</v>
      </c>
      <c r="DS109" s="128">
        <v>0</v>
      </c>
      <c r="DT109" s="128">
        <v>0</v>
      </c>
      <c r="DU109" s="128">
        <v>0</v>
      </c>
      <c r="DV109" s="128">
        <v>0</v>
      </c>
      <c r="DW109" s="128">
        <v>0</v>
      </c>
      <c r="DX109" s="129">
        <v>0</v>
      </c>
      <c r="DY109" s="130">
        <v>3</v>
      </c>
      <c r="DZ109" s="131">
        <v>0</v>
      </c>
      <c r="EA109" s="131">
        <v>0</v>
      </c>
      <c r="EB109" s="132">
        <v>6</v>
      </c>
      <c r="EC109" s="131">
        <v>0</v>
      </c>
      <c r="ED109" s="133">
        <v>0</v>
      </c>
      <c r="EE109" s="134">
        <v>1</v>
      </c>
      <c r="EF109" s="131">
        <v>0</v>
      </c>
      <c r="EG109" s="131">
        <v>0</v>
      </c>
      <c r="EH109" s="131">
        <v>0</v>
      </c>
      <c r="EI109" s="131">
        <v>0</v>
      </c>
      <c r="EJ109" s="131">
        <v>3</v>
      </c>
      <c r="EK109" s="131">
        <v>0</v>
      </c>
      <c r="EL109" s="131">
        <v>0</v>
      </c>
      <c r="EM109" s="131">
        <v>0</v>
      </c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5">
        <f t="shared" si="18"/>
        <v>4</v>
      </c>
      <c r="EY109" s="134">
        <v>0</v>
      </c>
      <c r="EZ109" s="131">
        <v>2</v>
      </c>
      <c r="FA109" s="131">
        <v>0</v>
      </c>
      <c r="FB109" s="131">
        <v>2</v>
      </c>
      <c r="FC109" s="131">
        <v>4</v>
      </c>
      <c r="FD109" s="131">
        <v>0</v>
      </c>
      <c r="FE109" s="131">
        <v>0</v>
      </c>
      <c r="FF109" s="131">
        <v>2</v>
      </c>
      <c r="FG109" s="131">
        <v>0</v>
      </c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5">
        <f t="shared" si="19"/>
        <v>10</v>
      </c>
      <c r="FS109" s="141">
        <f t="shared" si="20"/>
        <v>0</v>
      </c>
      <c r="FT109" s="143">
        <f t="shared" si="21"/>
        <v>0</v>
      </c>
      <c r="FU109" s="144"/>
    </row>
    <row r="110" spans="1:177" x14ac:dyDescent="0.25">
      <c r="A110" s="326">
        <v>40392</v>
      </c>
      <c r="B110" s="326" t="s">
        <v>19</v>
      </c>
      <c r="C110" s="326" t="s">
        <v>131</v>
      </c>
      <c r="D110" s="326" t="s">
        <v>503</v>
      </c>
      <c r="E110" s="327">
        <v>2121</v>
      </c>
      <c r="F110" s="328">
        <v>5</v>
      </c>
      <c r="G110" s="329" t="s">
        <v>493</v>
      </c>
      <c r="H110" s="330">
        <v>0</v>
      </c>
      <c r="I110" s="330">
        <v>1</v>
      </c>
      <c r="J110" s="331">
        <v>4</v>
      </c>
      <c r="K110" s="330">
        <v>5</v>
      </c>
      <c r="L110" s="330">
        <v>2</v>
      </c>
      <c r="M110" s="330">
        <v>2</v>
      </c>
      <c r="N110" s="330">
        <v>1</v>
      </c>
      <c r="O110" s="330">
        <v>4</v>
      </c>
      <c r="P110" s="330">
        <v>1</v>
      </c>
      <c r="Q110" s="330">
        <v>0</v>
      </c>
      <c r="R110" s="330">
        <v>18</v>
      </c>
      <c r="S110" s="330"/>
      <c r="T110" s="330"/>
      <c r="U110" s="330">
        <v>0</v>
      </c>
      <c r="V110" s="332">
        <v>0</v>
      </c>
      <c r="W110" s="333">
        <v>0</v>
      </c>
      <c r="X110" s="330">
        <v>0</v>
      </c>
      <c r="Y110" s="330">
        <v>0</v>
      </c>
      <c r="Z110" s="330">
        <v>0</v>
      </c>
      <c r="AA110" s="330">
        <v>0</v>
      </c>
      <c r="AB110" s="331">
        <v>5</v>
      </c>
      <c r="AC110" s="330">
        <v>6</v>
      </c>
      <c r="AD110" s="330">
        <v>3</v>
      </c>
      <c r="AE110" s="330">
        <v>3</v>
      </c>
      <c r="AF110" s="330">
        <v>1</v>
      </c>
      <c r="AG110" s="330">
        <v>2</v>
      </c>
      <c r="AH110" s="330">
        <v>0</v>
      </c>
      <c r="AI110" s="330">
        <v>1</v>
      </c>
      <c r="AJ110" s="330">
        <v>21</v>
      </c>
      <c r="AK110" s="330"/>
      <c r="AL110" s="332"/>
      <c r="AM110" s="334" t="s">
        <v>575</v>
      </c>
      <c r="AN110" s="335">
        <v>4</v>
      </c>
      <c r="AO110" s="335">
        <v>0</v>
      </c>
      <c r="AP110" s="335">
        <v>0</v>
      </c>
      <c r="AQ110" s="335">
        <v>0</v>
      </c>
      <c r="AR110" s="335">
        <v>0</v>
      </c>
      <c r="AS110" s="335">
        <v>0</v>
      </c>
      <c r="AT110" s="335">
        <v>0</v>
      </c>
      <c r="AU110" s="335">
        <v>0</v>
      </c>
      <c r="AV110" s="336">
        <v>0</v>
      </c>
      <c r="AW110" s="334" t="s">
        <v>485</v>
      </c>
      <c r="AX110" s="335">
        <v>4</v>
      </c>
      <c r="AY110" s="335">
        <v>0</v>
      </c>
      <c r="AZ110" s="335">
        <v>0</v>
      </c>
      <c r="BA110" s="335">
        <v>0</v>
      </c>
      <c r="BB110" s="335">
        <v>0</v>
      </c>
      <c r="BC110" s="335">
        <v>1</v>
      </c>
      <c r="BD110" s="335">
        <v>0</v>
      </c>
      <c r="BE110" s="335">
        <v>0</v>
      </c>
      <c r="BF110" s="336">
        <v>0</v>
      </c>
      <c r="BG110" s="334" t="s">
        <v>484</v>
      </c>
      <c r="BH110" s="335">
        <v>4</v>
      </c>
      <c r="BI110" s="335">
        <v>0</v>
      </c>
      <c r="BJ110" s="335">
        <v>0</v>
      </c>
      <c r="BK110" s="335">
        <v>0</v>
      </c>
      <c r="BL110" s="335">
        <v>0</v>
      </c>
      <c r="BM110" s="335">
        <v>1</v>
      </c>
      <c r="BN110" s="335">
        <v>0</v>
      </c>
      <c r="BO110" s="335">
        <v>0</v>
      </c>
      <c r="BP110" s="336">
        <v>0</v>
      </c>
      <c r="BQ110" s="334" t="s">
        <v>367</v>
      </c>
      <c r="BR110" s="335">
        <v>4</v>
      </c>
      <c r="BS110" s="335">
        <v>0</v>
      </c>
      <c r="BT110" s="335">
        <v>1</v>
      </c>
      <c r="BU110" s="335">
        <v>0</v>
      </c>
      <c r="BV110" s="335">
        <v>0</v>
      </c>
      <c r="BW110" s="335">
        <v>1</v>
      </c>
      <c r="BX110" s="335">
        <v>0</v>
      </c>
      <c r="BY110" s="335">
        <v>0</v>
      </c>
      <c r="BZ110" s="336">
        <v>1</v>
      </c>
      <c r="CA110" s="334" t="s">
        <v>482</v>
      </c>
      <c r="CB110" s="335">
        <v>3</v>
      </c>
      <c r="CC110" s="335">
        <v>0</v>
      </c>
      <c r="CD110" s="335">
        <v>0</v>
      </c>
      <c r="CE110" s="335">
        <v>0</v>
      </c>
      <c r="CF110" s="335">
        <v>1</v>
      </c>
      <c r="CG110" s="335">
        <v>0</v>
      </c>
      <c r="CH110" s="335">
        <v>0</v>
      </c>
      <c r="CI110" s="335">
        <v>0</v>
      </c>
      <c r="CJ110" s="336">
        <v>0</v>
      </c>
      <c r="CK110" s="334" t="s">
        <v>491</v>
      </c>
      <c r="CL110" s="335">
        <v>3</v>
      </c>
      <c r="CM110" s="335">
        <v>0</v>
      </c>
      <c r="CN110" s="335">
        <v>1</v>
      </c>
      <c r="CO110" s="335">
        <v>0</v>
      </c>
      <c r="CP110" s="335">
        <v>0</v>
      </c>
      <c r="CQ110" s="335">
        <v>0</v>
      </c>
      <c r="CR110" s="335">
        <v>0</v>
      </c>
      <c r="CS110" s="335">
        <v>0</v>
      </c>
      <c r="CT110" s="336">
        <v>1</v>
      </c>
      <c r="CU110" s="334" t="s">
        <v>481</v>
      </c>
      <c r="CV110" s="335">
        <v>3</v>
      </c>
      <c r="CW110" s="335">
        <v>0</v>
      </c>
      <c r="CX110" s="335">
        <v>0</v>
      </c>
      <c r="CY110" s="335">
        <v>0</v>
      </c>
      <c r="CZ110" s="335">
        <v>0</v>
      </c>
      <c r="DA110" s="335">
        <v>1</v>
      </c>
      <c r="DB110" s="335">
        <v>0</v>
      </c>
      <c r="DC110" s="335">
        <v>0</v>
      </c>
      <c r="DD110" s="336">
        <v>0</v>
      </c>
      <c r="DE110" s="334" t="s">
        <v>489</v>
      </c>
      <c r="DF110" s="335">
        <v>3</v>
      </c>
      <c r="DG110" s="335">
        <v>0</v>
      </c>
      <c r="DH110" s="335">
        <v>0</v>
      </c>
      <c r="DI110" s="335">
        <v>0</v>
      </c>
      <c r="DJ110" s="335">
        <v>0</v>
      </c>
      <c r="DK110" s="335">
        <v>0</v>
      </c>
      <c r="DL110" s="335">
        <v>0</v>
      </c>
      <c r="DM110" s="335">
        <v>0</v>
      </c>
      <c r="DN110" s="336">
        <v>0</v>
      </c>
      <c r="DO110" s="334" t="s">
        <v>486</v>
      </c>
      <c r="DP110" s="335">
        <v>3</v>
      </c>
      <c r="DQ110" s="335">
        <v>0</v>
      </c>
      <c r="DR110" s="335">
        <v>3</v>
      </c>
      <c r="DS110" s="335">
        <v>0</v>
      </c>
      <c r="DT110" s="335">
        <v>0</v>
      </c>
      <c r="DU110" s="335">
        <v>0</v>
      </c>
      <c r="DV110" s="335">
        <v>0</v>
      </c>
      <c r="DW110" s="335">
        <v>0</v>
      </c>
      <c r="DX110" s="336">
        <v>3</v>
      </c>
      <c r="DY110" s="337">
        <v>1</v>
      </c>
      <c r="DZ110" s="338">
        <v>0</v>
      </c>
      <c r="EA110" s="338">
        <v>0</v>
      </c>
      <c r="EB110" s="339">
        <v>8</v>
      </c>
      <c r="EC110" s="338">
        <v>0</v>
      </c>
      <c r="ED110" s="340">
        <v>0</v>
      </c>
      <c r="EE110" s="341">
        <v>0</v>
      </c>
      <c r="EF110" s="338">
        <v>0</v>
      </c>
      <c r="EG110" s="338">
        <v>0</v>
      </c>
      <c r="EH110" s="338">
        <v>0</v>
      </c>
      <c r="EI110" s="338">
        <v>0</v>
      </c>
      <c r="EJ110" s="338">
        <v>0</v>
      </c>
      <c r="EK110" s="338">
        <v>0</v>
      </c>
      <c r="EL110" s="338">
        <v>0</v>
      </c>
      <c r="EM110" s="338">
        <v>0</v>
      </c>
      <c r="EN110" s="338"/>
      <c r="EO110" s="338"/>
      <c r="EP110" s="338"/>
      <c r="EQ110" s="338"/>
      <c r="ER110" s="338"/>
      <c r="ES110" s="338"/>
      <c r="ET110" s="338"/>
      <c r="EU110" s="338"/>
      <c r="EV110" s="338"/>
      <c r="EW110" s="338"/>
      <c r="EX110" s="342">
        <f t="shared" ref="EX110:EX116" si="22">SUM(EE110:EW110)</f>
        <v>0</v>
      </c>
      <c r="EY110" s="341">
        <v>0</v>
      </c>
      <c r="EZ110" s="338">
        <v>2</v>
      </c>
      <c r="FA110" s="338">
        <v>0</v>
      </c>
      <c r="FB110" s="338">
        <v>0</v>
      </c>
      <c r="FC110" s="338">
        <v>0</v>
      </c>
      <c r="FD110" s="338">
        <v>0</v>
      </c>
      <c r="FE110" s="338">
        <v>3</v>
      </c>
      <c r="FF110" s="338">
        <v>0</v>
      </c>
      <c r="FG110" s="338">
        <v>0</v>
      </c>
      <c r="FH110" s="338"/>
      <c r="FI110" s="338"/>
      <c r="FJ110" s="338"/>
      <c r="FK110" s="338"/>
      <c r="FL110" s="338"/>
      <c r="FM110" s="338"/>
      <c r="FN110" s="338"/>
      <c r="FO110" s="338"/>
      <c r="FP110" s="338"/>
      <c r="FQ110" s="338"/>
      <c r="FR110" s="342">
        <f t="shared" ref="FR110:FR116" si="23">SUM(EY110:FQ110)</f>
        <v>5</v>
      </c>
      <c r="FS110" s="343">
        <f t="shared" si="20"/>
        <v>0</v>
      </c>
      <c r="FT110" s="344">
        <f t="shared" si="21"/>
        <v>0</v>
      </c>
      <c r="FU110" s="345" t="s">
        <v>641</v>
      </c>
    </row>
    <row r="111" spans="1:177" x14ac:dyDescent="0.25">
      <c r="A111" s="326">
        <v>40393</v>
      </c>
      <c r="B111" s="326" t="s">
        <v>19</v>
      </c>
      <c r="C111" s="326" t="s">
        <v>129</v>
      </c>
      <c r="D111" s="326" t="s">
        <v>503</v>
      </c>
      <c r="E111" s="327">
        <v>1406</v>
      </c>
      <c r="F111" s="328">
        <v>1</v>
      </c>
      <c r="G111" s="329" t="s">
        <v>490</v>
      </c>
      <c r="H111" s="330">
        <v>1</v>
      </c>
      <c r="I111" s="330">
        <v>0</v>
      </c>
      <c r="J111" s="331">
        <v>5</v>
      </c>
      <c r="K111" s="330">
        <v>4</v>
      </c>
      <c r="L111" s="330">
        <v>0</v>
      </c>
      <c r="M111" s="330">
        <v>0</v>
      </c>
      <c r="N111" s="330">
        <v>0</v>
      </c>
      <c r="O111" s="330">
        <v>6</v>
      </c>
      <c r="P111" s="330">
        <v>0</v>
      </c>
      <c r="Q111" s="330">
        <v>0</v>
      </c>
      <c r="R111" s="330">
        <v>18</v>
      </c>
      <c r="S111" s="330"/>
      <c r="T111" s="330"/>
      <c r="U111" s="330">
        <v>0</v>
      </c>
      <c r="V111" s="332">
        <v>0</v>
      </c>
      <c r="W111" s="333">
        <v>0</v>
      </c>
      <c r="X111" s="330">
        <v>0</v>
      </c>
      <c r="Y111" s="330">
        <v>0</v>
      </c>
      <c r="Z111" s="330">
        <v>0</v>
      </c>
      <c r="AA111" s="330">
        <v>0</v>
      </c>
      <c r="AB111" s="331">
        <v>2</v>
      </c>
      <c r="AC111" s="330">
        <v>1</v>
      </c>
      <c r="AD111" s="330">
        <v>0</v>
      </c>
      <c r="AE111" s="330">
        <v>0</v>
      </c>
      <c r="AF111" s="330">
        <v>0</v>
      </c>
      <c r="AG111" s="330">
        <v>2</v>
      </c>
      <c r="AH111" s="330">
        <v>0</v>
      </c>
      <c r="AI111" s="330">
        <v>0</v>
      </c>
      <c r="AJ111" s="330">
        <v>6</v>
      </c>
      <c r="AK111" s="330"/>
      <c r="AL111" s="332"/>
      <c r="AM111" s="334" t="s">
        <v>486</v>
      </c>
      <c r="AN111" s="335">
        <v>4</v>
      </c>
      <c r="AO111" s="335">
        <v>1</v>
      </c>
      <c r="AP111" s="335">
        <v>2</v>
      </c>
      <c r="AQ111" s="335">
        <v>1</v>
      </c>
      <c r="AR111" s="335">
        <v>0</v>
      </c>
      <c r="AS111" s="335">
        <v>1</v>
      </c>
      <c r="AT111" s="335">
        <v>0</v>
      </c>
      <c r="AU111" s="335">
        <v>0</v>
      </c>
      <c r="AV111" s="336">
        <v>3</v>
      </c>
      <c r="AW111" s="334" t="s">
        <v>485</v>
      </c>
      <c r="AX111" s="335">
        <v>4</v>
      </c>
      <c r="AY111" s="335">
        <v>1</v>
      </c>
      <c r="AZ111" s="335">
        <v>3</v>
      </c>
      <c r="BA111" s="335">
        <v>1</v>
      </c>
      <c r="BB111" s="335">
        <v>0</v>
      </c>
      <c r="BC111" s="335">
        <v>0</v>
      </c>
      <c r="BD111" s="335">
        <v>0</v>
      </c>
      <c r="BE111" s="335">
        <v>0</v>
      </c>
      <c r="BF111" s="336">
        <v>4</v>
      </c>
      <c r="BG111" s="334" t="s">
        <v>484</v>
      </c>
      <c r="BH111" s="335">
        <v>2</v>
      </c>
      <c r="BI111" s="335">
        <v>0</v>
      </c>
      <c r="BJ111" s="335">
        <v>0</v>
      </c>
      <c r="BK111" s="335">
        <v>0</v>
      </c>
      <c r="BL111" s="335">
        <v>0</v>
      </c>
      <c r="BM111" s="335">
        <v>0</v>
      </c>
      <c r="BN111" s="335">
        <v>1</v>
      </c>
      <c r="BO111" s="335">
        <v>0</v>
      </c>
      <c r="BP111" s="336">
        <v>0</v>
      </c>
      <c r="BQ111" s="334" t="s">
        <v>367</v>
      </c>
      <c r="BR111" s="335">
        <v>2</v>
      </c>
      <c r="BS111" s="335">
        <v>0</v>
      </c>
      <c r="BT111" s="335">
        <v>0</v>
      </c>
      <c r="BU111" s="335">
        <v>1</v>
      </c>
      <c r="BV111" s="335">
        <v>0</v>
      </c>
      <c r="BW111" s="335">
        <v>1</v>
      </c>
      <c r="BX111" s="335">
        <v>0</v>
      </c>
      <c r="BY111" s="335">
        <v>1</v>
      </c>
      <c r="BZ111" s="336">
        <v>0</v>
      </c>
      <c r="CA111" s="334" t="s">
        <v>491</v>
      </c>
      <c r="CB111" s="335">
        <v>2</v>
      </c>
      <c r="CC111" s="335">
        <v>0</v>
      </c>
      <c r="CD111" s="335">
        <v>0</v>
      </c>
      <c r="CE111" s="335">
        <v>0</v>
      </c>
      <c r="CF111" s="335">
        <v>1</v>
      </c>
      <c r="CG111" s="335">
        <v>1</v>
      </c>
      <c r="CH111" s="335">
        <v>0</v>
      </c>
      <c r="CI111" s="335">
        <v>0</v>
      </c>
      <c r="CJ111" s="336">
        <v>0</v>
      </c>
      <c r="CK111" s="334" t="s">
        <v>489</v>
      </c>
      <c r="CL111" s="335">
        <v>2</v>
      </c>
      <c r="CM111" s="335">
        <v>0</v>
      </c>
      <c r="CN111" s="335">
        <v>0</v>
      </c>
      <c r="CO111" s="335">
        <v>0</v>
      </c>
      <c r="CP111" s="335">
        <v>1</v>
      </c>
      <c r="CQ111" s="335">
        <v>0</v>
      </c>
      <c r="CR111" s="335">
        <v>0</v>
      </c>
      <c r="CS111" s="335">
        <v>0</v>
      </c>
      <c r="CT111" s="336">
        <v>0</v>
      </c>
      <c r="CU111" s="334" t="s">
        <v>480</v>
      </c>
      <c r="CV111" s="335">
        <v>3</v>
      </c>
      <c r="CW111" s="335">
        <v>1</v>
      </c>
      <c r="CX111" s="335">
        <v>1</v>
      </c>
      <c r="CY111" s="335">
        <v>0</v>
      </c>
      <c r="CZ111" s="335">
        <v>0</v>
      </c>
      <c r="DA111" s="335">
        <v>2</v>
      </c>
      <c r="DB111" s="335">
        <v>0</v>
      </c>
      <c r="DC111" s="335">
        <v>0</v>
      </c>
      <c r="DD111" s="336">
        <v>1</v>
      </c>
      <c r="DE111" s="334" t="s">
        <v>479</v>
      </c>
      <c r="DF111" s="335">
        <v>2</v>
      </c>
      <c r="DG111" s="335">
        <v>1</v>
      </c>
      <c r="DH111" s="335">
        <v>2</v>
      </c>
      <c r="DI111" s="335">
        <v>0</v>
      </c>
      <c r="DJ111" s="335">
        <v>0</v>
      </c>
      <c r="DK111" s="335">
        <v>0</v>
      </c>
      <c r="DL111" s="335">
        <v>0</v>
      </c>
      <c r="DM111" s="335">
        <v>0</v>
      </c>
      <c r="DN111" s="336">
        <v>3</v>
      </c>
      <c r="DO111" s="334" t="s">
        <v>519</v>
      </c>
      <c r="DP111" s="335">
        <v>3</v>
      </c>
      <c r="DQ111" s="335">
        <v>1</v>
      </c>
      <c r="DR111" s="335">
        <v>1</v>
      </c>
      <c r="DS111" s="335">
        <v>0</v>
      </c>
      <c r="DT111" s="335">
        <v>0</v>
      </c>
      <c r="DU111" s="335">
        <v>1</v>
      </c>
      <c r="DV111" s="335">
        <v>0</v>
      </c>
      <c r="DW111" s="335">
        <v>0</v>
      </c>
      <c r="DX111" s="336">
        <v>1</v>
      </c>
      <c r="DY111" s="337">
        <f>4+1/3</f>
        <v>4.333333333333333</v>
      </c>
      <c r="DZ111" s="338">
        <v>0</v>
      </c>
      <c r="EA111" s="338">
        <v>1</v>
      </c>
      <c r="EB111" s="339">
        <f>1+2/3</f>
        <v>1.6666666666666665</v>
      </c>
      <c r="EC111" s="338">
        <v>0</v>
      </c>
      <c r="ED111" s="340">
        <v>0</v>
      </c>
      <c r="EE111" s="341">
        <v>0</v>
      </c>
      <c r="EF111" s="338">
        <v>0</v>
      </c>
      <c r="EG111" s="338">
        <v>2</v>
      </c>
      <c r="EH111" s="338">
        <v>0</v>
      </c>
      <c r="EI111" s="338">
        <v>3</v>
      </c>
      <c r="EJ111" s="338">
        <v>0</v>
      </c>
      <c r="EK111" s="338"/>
      <c r="EL111" s="338"/>
      <c r="EM111" s="338"/>
      <c r="EN111" s="338"/>
      <c r="EO111" s="338"/>
      <c r="EP111" s="338"/>
      <c r="EQ111" s="338"/>
      <c r="ER111" s="338"/>
      <c r="ES111" s="338"/>
      <c r="ET111" s="338"/>
      <c r="EU111" s="338"/>
      <c r="EV111" s="338"/>
      <c r="EW111" s="338"/>
      <c r="EX111" s="342">
        <f t="shared" si="22"/>
        <v>5</v>
      </c>
      <c r="EY111" s="341">
        <v>0</v>
      </c>
      <c r="EZ111" s="338">
        <v>0</v>
      </c>
      <c r="FA111" s="338">
        <v>0</v>
      </c>
      <c r="FB111" s="338">
        <v>0</v>
      </c>
      <c r="FC111" s="338">
        <v>0</v>
      </c>
      <c r="FD111" s="338">
        <v>0</v>
      </c>
      <c r="FE111" s="338">
        <v>0</v>
      </c>
      <c r="FF111" s="338"/>
      <c r="FG111" s="338"/>
      <c r="FH111" s="338"/>
      <c r="FI111" s="338"/>
      <c r="FJ111" s="338"/>
      <c r="FK111" s="338"/>
      <c r="FL111" s="338"/>
      <c r="FM111" s="338"/>
      <c r="FN111" s="338"/>
      <c r="FO111" s="338"/>
      <c r="FP111" s="338"/>
      <c r="FQ111" s="338"/>
      <c r="FR111" s="342">
        <f t="shared" si="23"/>
        <v>0</v>
      </c>
      <c r="FS111" s="343">
        <f t="shared" si="20"/>
        <v>0</v>
      </c>
      <c r="FT111" s="344">
        <f t="shared" si="21"/>
        <v>0</v>
      </c>
      <c r="FU111" s="345" t="s">
        <v>642</v>
      </c>
    </row>
    <row r="112" spans="1:177" x14ac:dyDescent="0.25">
      <c r="A112" s="326">
        <v>40394</v>
      </c>
      <c r="B112" s="326" t="s">
        <v>19</v>
      </c>
      <c r="C112" s="326" t="s">
        <v>129</v>
      </c>
      <c r="D112" s="326" t="s">
        <v>511</v>
      </c>
      <c r="E112" s="327">
        <v>1358</v>
      </c>
      <c r="F112" s="328">
        <v>2</v>
      </c>
      <c r="G112" s="329" t="s">
        <v>494</v>
      </c>
      <c r="H112" s="330">
        <v>1</v>
      </c>
      <c r="I112" s="330">
        <v>0</v>
      </c>
      <c r="J112" s="331">
        <v>6</v>
      </c>
      <c r="K112" s="330">
        <v>5</v>
      </c>
      <c r="L112" s="330">
        <v>1</v>
      </c>
      <c r="M112" s="330">
        <v>1</v>
      </c>
      <c r="N112" s="330">
        <v>2</v>
      </c>
      <c r="O112" s="330">
        <v>10</v>
      </c>
      <c r="P112" s="330">
        <v>0</v>
      </c>
      <c r="Q112" s="330">
        <v>0</v>
      </c>
      <c r="R112" s="330">
        <v>23</v>
      </c>
      <c r="S112" s="330"/>
      <c r="T112" s="330"/>
      <c r="U112" s="330">
        <v>0</v>
      </c>
      <c r="V112" s="332">
        <v>0</v>
      </c>
      <c r="W112" s="333">
        <v>0</v>
      </c>
      <c r="X112" s="330">
        <v>0</v>
      </c>
      <c r="Y112" s="330">
        <v>1</v>
      </c>
      <c r="Z112" s="330">
        <v>1</v>
      </c>
      <c r="AA112" s="330">
        <v>0</v>
      </c>
      <c r="AB112" s="331">
        <v>3</v>
      </c>
      <c r="AC112" s="330">
        <v>3</v>
      </c>
      <c r="AD112" s="330">
        <v>1</v>
      </c>
      <c r="AE112" s="330">
        <v>1</v>
      </c>
      <c r="AF112" s="330">
        <v>2</v>
      </c>
      <c r="AG112" s="330">
        <v>5</v>
      </c>
      <c r="AH112" s="330">
        <v>1</v>
      </c>
      <c r="AI112" s="330">
        <v>0</v>
      </c>
      <c r="AJ112" s="330">
        <v>14</v>
      </c>
      <c r="AK112" s="330"/>
      <c r="AL112" s="332"/>
      <c r="AM112" s="334" t="s">
        <v>575</v>
      </c>
      <c r="AN112" s="335">
        <v>4</v>
      </c>
      <c r="AO112" s="335">
        <v>2</v>
      </c>
      <c r="AP112" s="335">
        <v>2</v>
      </c>
      <c r="AQ112" s="335">
        <v>0</v>
      </c>
      <c r="AR112" s="335">
        <v>0</v>
      </c>
      <c r="AS112" s="335">
        <v>0</v>
      </c>
      <c r="AT112" s="335">
        <v>0</v>
      </c>
      <c r="AU112" s="335">
        <v>0</v>
      </c>
      <c r="AV112" s="336">
        <v>3</v>
      </c>
      <c r="AW112" s="334" t="s">
        <v>485</v>
      </c>
      <c r="AX112" s="335">
        <v>4</v>
      </c>
      <c r="AY112" s="335">
        <v>1</v>
      </c>
      <c r="AZ112" s="335">
        <v>1</v>
      </c>
      <c r="BA112" s="335">
        <v>0</v>
      </c>
      <c r="BB112" s="335">
        <v>0</v>
      </c>
      <c r="BC112" s="335">
        <v>2</v>
      </c>
      <c r="BD112" s="335">
        <v>0</v>
      </c>
      <c r="BE112" s="335">
        <v>0</v>
      </c>
      <c r="BF112" s="336">
        <v>2</v>
      </c>
      <c r="BG112" s="334" t="s">
        <v>484</v>
      </c>
      <c r="BH112" s="335">
        <v>4</v>
      </c>
      <c r="BI112" s="335">
        <v>0</v>
      </c>
      <c r="BJ112" s="335">
        <v>2</v>
      </c>
      <c r="BK112" s="335">
        <v>2</v>
      </c>
      <c r="BL112" s="335">
        <v>0</v>
      </c>
      <c r="BM112" s="335">
        <v>1</v>
      </c>
      <c r="BN112" s="335">
        <v>0</v>
      </c>
      <c r="BO112" s="335">
        <v>0</v>
      </c>
      <c r="BP112" s="336">
        <v>3</v>
      </c>
      <c r="BQ112" s="334" t="s">
        <v>367</v>
      </c>
      <c r="BR112" s="335">
        <v>4</v>
      </c>
      <c r="BS112" s="335">
        <v>1</v>
      </c>
      <c r="BT112" s="335">
        <v>1</v>
      </c>
      <c r="BU112" s="335">
        <v>1</v>
      </c>
      <c r="BV112" s="335">
        <v>0</v>
      </c>
      <c r="BW112" s="335">
        <v>1</v>
      </c>
      <c r="BX112" s="335">
        <v>0</v>
      </c>
      <c r="BY112" s="335">
        <v>0</v>
      </c>
      <c r="BZ112" s="336">
        <v>1</v>
      </c>
      <c r="CA112" s="334" t="s">
        <v>482</v>
      </c>
      <c r="CB112" s="335">
        <v>4</v>
      </c>
      <c r="CC112" s="335">
        <v>0</v>
      </c>
      <c r="CD112" s="335">
        <v>1</v>
      </c>
      <c r="CE112" s="335">
        <v>0</v>
      </c>
      <c r="CF112" s="335">
        <v>0</v>
      </c>
      <c r="CG112" s="335">
        <v>1</v>
      </c>
      <c r="CH112" s="335">
        <v>0</v>
      </c>
      <c r="CI112" s="335">
        <v>0</v>
      </c>
      <c r="CJ112" s="336">
        <v>1</v>
      </c>
      <c r="CK112" s="334" t="s">
        <v>481</v>
      </c>
      <c r="CL112" s="335">
        <v>4</v>
      </c>
      <c r="CM112" s="335">
        <v>0</v>
      </c>
      <c r="CN112" s="335">
        <v>1</v>
      </c>
      <c r="CO112" s="335">
        <v>0</v>
      </c>
      <c r="CP112" s="335">
        <v>0</v>
      </c>
      <c r="CQ112" s="335">
        <v>0</v>
      </c>
      <c r="CR112" s="335">
        <v>0</v>
      </c>
      <c r="CS112" s="335">
        <v>0</v>
      </c>
      <c r="CT112" s="336">
        <v>1</v>
      </c>
      <c r="CU112" s="334" t="s">
        <v>480</v>
      </c>
      <c r="CV112" s="335">
        <v>3</v>
      </c>
      <c r="CW112" s="335">
        <v>0</v>
      </c>
      <c r="CX112" s="335">
        <v>0</v>
      </c>
      <c r="CY112" s="335">
        <v>0</v>
      </c>
      <c r="CZ112" s="335">
        <v>1</v>
      </c>
      <c r="DA112" s="335">
        <v>0</v>
      </c>
      <c r="DB112" s="335">
        <v>0</v>
      </c>
      <c r="DC112" s="335">
        <v>0</v>
      </c>
      <c r="DD112" s="336">
        <v>0</v>
      </c>
      <c r="DE112" s="334" t="s">
        <v>486</v>
      </c>
      <c r="DF112" s="335">
        <v>3</v>
      </c>
      <c r="DG112" s="335">
        <v>0</v>
      </c>
      <c r="DH112" s="335">
        <v>0</v>
      </c>
      <c r="DI112" s="335">
        <v>0</v>
      </c>
      <c r="DJ112" s="335">
        <v>1</v>
      </c>
      <c r="DK112" s="335">
        <v>0</v>
      </c>
      <c r="DL112" s="335">
        <v>0</v>
      </c>
      <c r="DM112" s="335">
        <v>0</v>
      </c>
      <c r="DN112" s="336">
        <v>0</v>
      </c>
      <c r="DO112" s="334" t="s">
        <v>491</v>
      </c>
      <c r="DP112" s="335">
        <v>3</v>
      </c>
      <c r="DQ112" s="335">
        <v>1</v>
      </c>
      <c r="DR112" s="335">
        <v>1</v>
      </c>
      <c r="DS112" s="335">
        <v>0</v>
      </c>
      <c r="DT112" s="335">
        <v>0</v>
      </c>
      <c r="DU112" s="335">
        <v>1</v>
      </c>
      <c r="DV112" s="335">
        <v>0</v>
      </c>
      <c r="DW112" s="335">
        <v>0</v>
      </c>
      <c r="DX112" s="336">
        <v>1</v>
      </c>
      <c r="DY112" s="337">
        <f>2+2/3</f>
        <v>2.6666666666666665</v>
      </c>
      <c r="DZ112" s="338">
        <v>0</v>
      </c>
      <c r="EA112" s="338">
        <v>0</v>
      </c>
      <c r="EB112" s="339">
        <f>5+1/3</f>
        <v>5.333333333333333</v>
      </c>
      <c r="EC112" s="338">
        <v>0</v>
      </c>
      <c r="ED112" s="340">
        <v>0</v>
      </c>
      <c r="EE112" s="341">
        <v>2</v>
      </c>
      <c r="EF112" s="338">
        <v>0</v>
      </c>
      <c r="EG112" s="338">
        <v>0</v>
      </c>
      <c r="EH112" s="338">
        <v>0</v>
      </c>
      <c r="EI112" s="338">
        <v>1</v>
      </c>
      <c r="EJ112" s="338">
        <v>0</v>
      </c>
      <c r="EK112" s="338">
        <v>2</v>
      </c>
      <c r="EL112" s="338">
        <v>0</v>
      </c>
      <c r="EM112" s="338"/>
      <c r="EN112" s="338"/>
      <c r="EO112" s="338"/>
      <c r="EP112" s="338"/>
      <c r="EQ112" s="338"/>
      <c r="ER112" s="338"/>
      <c r="ES112" s="338"/>
      <c r="ET112" s="338"/>
      <c r="EU112" s="338"/>
      <c r="EV112" s="338"/>
      <c r="EW112" s="338"/>
      <c r="EX112" s="342">
        <f t="shared" si="22"/>
        <v>5</v>
      </c>
      <c r="EY112" s="341">
        <v>0</v>
      </c>
      <c r="EZ112" s="338">
        <v>0</v>
      </c>
      <c r="FA112" s="338">
        <v>0</v>
      </c>
      <c r="FB112" s="338">
        <v>0</v>
      </c>
      <c r="FC112" s="338">
        <v>0</v>
      </c>
      <c r="FD112" s="338">
        <v>1</v>
      </c>
      <c r="FE112" s="338">
        <v>0</v>
      </c>
      <c r="FF112" s="338">
        <v>0</v>
      </c>
      <c r="FG112" s="338">
        <v>1</v>
      </c>
      <c r="FH112" s="338"/>
      <c r="FI112" s="338"/>
      <c r="FJ112" s="338"/>
      <c r="FK112" s="338"/>
      <c r="FL112" s="338"/>
      <c r="FM112" s="338"/>
      <c r="FN112" s="338"/>
      <c r="FO112" s="338"/>
      <c r="FP112" s="338"/>
      <c r="FQ112" s="338"/>
      <c r="FR112" s="342">
        <f t="shared" si="23"/>
        <v>2</v>
      </c>
      <c r="FS112" s="343">
        <f t="shared" si="20"/>
        <v>0</v>
      </c>
      <c r="FT112" s="344">
        <f t="shared" si="21"/>
        <v>0</v>
      </c>
      <c r="FU112" s="345"/>
    </row>
    <row r="113" spans="1:177" x14ac:dyDescent="0.25">
      <c r="A113" s="326">
        <v>40395</v>
      </c>
      <c r="B113" s="326" t="s">
        <v>19</v>
      </c>
      <c r="C113" s="326" t="s">
        <v>129</v>
      </c>
      <c r="D113" s="326" t="s">
        <v>511</v>
      </c>
      <c r="E113" s="327">
        <v>1957</v>
      </c>
      <c r="F113" s="328">
        <v>3</v>
      </c>
      <c r="G113" s="329" t="s">
        <v>638</v>
      </c>
      <c r="H113" s="330">
        <v>0</v>
      </c>
      <c r="I113" s="330">
        <v>0</v>
      </c>
      <c r="J113" s="331">
        <f>1+1/3</f>
        <v>1.3333333333333333</v>
      </c>
      <c r="K113" s="330">
        <v>2</v>
      </c>
      <c r="L113" s="330">
        <v>1</v>
      </c>
      <c r="M113" s="330">
        <v>1</v>
      </c>
      <c r="N113" s="330">
        <v>1</v>
      </c>
      <c r="O113" s="330">
        <v>4</v>
      </c>
      <c r="P113" s="330">
        <v>0</v>
      </c>
      <c r="Q113" s="330">
        <v>0</v>
      </c>
      <c r="R113" s="330">
        <v>7</v>
      </c>
      <c r="S113" s="330"/>
      <c r="T113" s="330"/>
      <c r="U113" s="330">
        <v>0</v>
      </c>
      <c r="V113" s="332">
        <v>0</v>
      </c>
      <c r="W113" s="333">
        <v>1</v>
      </c>
      <c r="X113" s="330">
        <v>0</v>
      </c>
      <c r="Y113" s="330">
        <v>0</v>
      </c>
      <c r="Z113" s="330">
        <v>0</v>
      </c>
      <c r="AA113" s="330">
        <v>0</v>
      </c>
      <c r="AB113" s="331">
        <f>7+2/3</f>
        <v>7.666666666666667</v>
      </c>
      <c r="AC113" s="330">
        <v>8</v>
      </c>
      <c r="AD113" s="330">
        <v>2</v>
      </c>
      <c r="AE113" s="330">
        <v>2</v>
      </c>
      <c r="AF113" s="330">
        <v>2</v>
      </c>
      <c r="AG113" s="330">
        <v>7</v>
      </c>
      <c r="AH113" s="330">
        <v>1</v>
      </c>
      <c r="AI113" s="330">
        <v>0</v>
      </c>
      <c r="AJ113" s="330">
        <v>33</v>
      </c>
      <c r="AK113" s="330"/>
      <c r="AL113" s="332"/>
      <c r="AM113" s="334" t="s">
        <v>482</v>
      </c>
      <c r="AN113" s="335">
        <v>5</v>
      </c>
      <c r="AO113" s="335">
        <v>0</v>
      </c>
      <c r="AP113" s="335">
        <v>1</v>
      </c>
      <c r="AQ113" s="335">
        <v>1</v>
      </c>
      <c r="AR113" s="335">
        <v>0</v>
      </c>
      <c r="AS113" s="335">
        <v>2</v>
      </c>
      <c r="AT113" s="335">
        <v>0</v>
      </c>
      <c r="AU113" s="335">
        <v>0</v>
      </c>
      <c r="AV113" s="336">
        <v>1</v>
      </c>
      <c r="AW113" s="334" t="s">
        <v>485</v>
      </c>
      <c r="AX113" s="335">
        <v>4</v>
      </c>
      <c r="AY113" s="335">
        <v>2</v>
      </c>
      <c r="AZ113" s="335">
        <v>1</v>
      </c>
      <c r="BA113" s="335">
        <v>0</v>
      </c>
      <c r="BB113" s="335">
        <v>1</v>
      </c>
      <c r="BC113" s="335">
        <v>0</v>
      </c>
      <c r="BD113" s="335">
        <v>0</v>
      </c>
      <c r="BE113" s="335">
        <v>0</v>
      </c>
      <c r="BF113" s="336">
        <v>2</v>
      </c>
      <c r="BG113" s="334" t="s">
        <v>484</v>
      </c>
      <c r="BH113" s="335">
        <v>4</v>
      </c>
      <c r="BI113" s="335">
        <v>1</v>
      </c>
      <c r="BJ113" s="335">
        <v>2</v>
      </c>
      <c r="BK113" s="335">
        <v>1</v>
      </c>
      <c r="BL113" s="335">
        <v>1</v>
      </c>
      <c r="BM113" s="335">
        <v>1</v>
      </c>
      <c r="BN113" s="335">
        <v>0</v>
      </c>
      <c r="BO113" s="335">
        <v>0</v>
      </c>
      <c r="BP113" s="336">
        <v>2</v>
      </c>
      <c r="BQ113" s="334" t="s">
        <v>367</v>
      </c>
      <c r="BR113" s="335">
        <v>4</v>
      </c>
      <c r="BS113" s="335">
        <v>0</v>
      </c>
      <c r="BT113" s="335">
        <v>2</v>
      </c>
      <c r="BU113" s="335">
        <v>0</v>
      </c>
      <c r="BV113" s="335">
        <v>0</v>
      </c>
      <c r="BW113" s="335">
        <v>0</v>
      </c>
      <c r="BX113" s="335">
        <v>0</v>
      </c>
      <c r="BY113" s="335">
        <v>0</v>
      </c>
      <c r="BZ113" s="336">
        <v>2</v>
      </c>
      <c r="CA113" s="334" t="s">
        <v>481</v>
      </c>
      <c r="CB113" s="335">
        <v>4</v>
      </c>
      <c r="CC113" s="335">
        <v>0</v>
      </c>
      <c r="CD113" s="335">
        <v>2</v>
      </c>
      <c r="CE113" s="335">
        <v>0</v>
      </c>
      <c r="CF113" s="335">
        <v>1</v>
      </c>
      <c r="CG113" s="335">
        <v>0</v>
      </c>
      <c r="CH113" s="335">
        <v>0</v>
      </c>
      <c r="CI113" s="335">
        <v>0</v>
      </c>
      <c r="CJ113" s="336">
        <v>2</v>
      </c>
      <c r="CK113" s="334" t="s">
        <v>489</v>
      </c>
      <c r="CL113" s="335">
        <v>5</v>
      </c>
      <c r="CM113" s="335">
        <v>0</v>
      </c>
      <c r="CN113" s="335">
        <v>3</v>
      </c>
      <c r="CO113" s="335">
        <v>2</v>
      </c>
      <c r="CP113" s="335">
        <v>0</v>
      </c>
      <c r="CQ113" s="335">
        <v>0</v>
      </c>
      <c r="CR113" s="335">
        <v>0</v>
      </c>
      <c r="CS113" s="335">
        <v>0</v>
      </c>
      <c r="CT113" s="336">
        <v>4</v>
      </c>
      <c r="CU113" s="334" t="s">
        <v>480</v>
      </c>
      <c r="CV113" s="335">
        <v>3</v>
      </c>
      <c r="CW113" s="335">
        <v>1</v>
      </c>
      <c r="CX113" s="335">
        <v>2</v>
      </c>
      <c r="CY113" s="335">
        <v>0</v>
      </c>
      <c r="CZ113" s="335">
        <v>1</v>
      </c>
      <c r="DA113" s="335">
        <v>0</v>
      </c>
      <c r="DB113" s="335">
        <v>0</v>
      </c>
      <c r="DC113" s="335">
        <v>0</v>
      </c>
      <c r="DD113" s="336">
        <v>3</v>
      </c>
      <c r="DE113" s="334" t="s">
        <v>479</v>
      </c>
      <c r="DF113" s="335">
        <v>3</v>
      </c>
      <c r="DG113" s="335">
        <v>0</v>
      </c>
      <c r="DH113" s="335">
        <v>1</v>
      </c>
      <c r="DI113" s="335">
        <v>0</v>
      </c>
      <c r="DJ113" s="335">
        <v>0</v>
      </c>
      <c r="DK113" s="335">
        <v>1</v>
      </c>
      <c r="DL113" s="335">
        <v>0</v>
      </c>
      <c r="DM113" s="335">
        <v>0</v>
      </c>
      <c r="DN113" s="336">
        <v>1</v>
      </c>
      <c r="DO113" s="334" t="s">
        <v>519</v>
      </c>
      <c r="DP113" s="335">
        <v>4</v>
      </c>
      <c r="DQ113" s="335">
        <v>0</v>
      </c>
      <c r="DR113" s="335">
        <v>0</v>
      </c>
      <c r="DS113" s="335">
        <v>0</v>
      </c>
      <c r="DT113" s="335">
        <v>0</v>
      </c>
      <c r="DU113" s="335">
        <v>1</v>
      </c>
      <c r="DV113" s="335">
        <v>0</v>
      </c>
      <c r="DW113" s="335">
        <v>0</v>
      </c>
      <c r="DX113" s="336">
        <v>0</v>
      </c>
      <c r="DY113" s="337">
        <f>1+2/3</f>
        <v>1.6666666666666665</v>
      </c>
      <c r="DZ113" s="338">
        <v>0</v>
      </c>
      <c r="EA113" s="338">
        <v>0</v>
      </c>
      <c r="EB113" s="339">
        <f>6+2/3</f>
        <v>6.666666666666667</v>
      </c>
      <c r="EC113" s="338">
        <v>1</v>
      </c>
      <c r="ED113" s="340">
        <v>0</v>
      </c>
      <c r="EE113" s="341">
        <v>1</v>
      </c>
      <c r="EF113" s="338">
        <v>0</v>
      </c>
      <c r="EG113" s="338">
        <v>0</v>
      </c>
      <c r="EH113" s="338">
        <v>1</v>
      </c>
      <c r="EI113" s="338">
        <v>0</v>
      </c>
      <c r="EJ113" s="338">
        <v>0</v>
      </c>
      <c r="EK113" s="338">
        <v>1</v>
      </c>
      <c r="EL113" s="338">
        <v>0</v>
      </c>
      <c r="EM113" s="338">
        <v>1</v>
      </c>
      <c r="EN113" s="338"/>
      <c r="EO113" s="338"/>
      <c r="EP113" s="338"/>
      <c r="EQ113" s="338"/>
      <c r="ER113" s="338"/>
      <c r="ES113" s="338"/>
      <c r="ET113" s="338"/>
      <c r="EU113" s="338"/>
      <c r="EV113" s="338"/>
      <c r="EW113" s="338"/>
      <c r="EX113" s="342">
        <f t="shared" si="22"/>
        <v>4</v>
      </c>
      <c r="EY113" s="341">
        <v>1</v>
      </c>
      <c r="EZ113" s="338">
        <v>1</v>
      </c>
      <c r="FA113" s="338">
        <v>0</v>
      </c>
      <c r="FB113" s="338">
        <v>0</v>
      </c>
      <c r="FC113" s="338">
        <v>0</v>
      </c>
      <c r="FD113" s="338">
        <v>0</v>
      </c>
      <c r="FE113" s="338">
        <v>1</v>
      </c>
      <c r="FF113" s="338">
        <v>0</v>
      </c>
      <c r="FG113" s="338">
        <v>0</v>
      </c>
      <c r="FH113" s="338"/>
      <c r="FI113" s="338"/>
      <c r="FJ113" s="338"/>
      <c r="FK113" s="338"/>
      <c r="FL113" s="338"/>
      <c r="FM113" s="338"/>
      <c r="FN113" s="338"/>
      <c r="FO113" s="338"/>
      <c r="FP113" s="338"/>
      <c r="FQ113" s="338"/>
      <c r="FR113" s="342">
        <f t="shared" si="23"/>
        <v>3</v>
      </c>
      <c r="FS113" s="343">
        <f t="shared" si="20"/>
        <v>0</v>
      </c>
      <c r="FT113" s="344">
        <f t="shared" si="21"/>
        <v>0</v>
      </c>
      <c r="FU113" s="345"/>
    </row>
    <row r="114" spans="1:177" x14ac:dyDescent="0.25">
      <c r="A114" s="326">
        <v>40396</v>
      </c>
      <c r="B114" s="326" t="s">
        <v>19</v>
      </c>
      <c r="C114" s="326" t="s">
        <v>131</v>
      </c>
      <c r="D114" s="326" t="s">
        <v>511</v>
      </c>
      <c r="E114" s="327">
        <v>2568</v>
      </c>
      <c r="F114" s="328">
        <v>4</v>
      </c>
      <c r="G114" s="329" t="s">
        <v>487</v>
      </c>
      <c r="H114" s="330">
        <v>0</v>
      </c>
      <c r="I114" s="330">
        <v>1</v>
      </c>
      <c r="J114" s="331">
        <f>5+1/3</f>
        <v>5.333333333333333</v>
      </c>
      <c r="K114" s="330">
        <v>7</v>
      </c>
      <c r="L114" s="330">
        <v>4</v>
      </c>
      <c r="M114" s="330">
        <v>4</v>
      </c>
      <c r="N114" s="330">
        <v>2</v>
      </c>
      <c r="O114" s="330">
        <v>4</v>
      </c>
      <c r="P114" s="330">
        <v>0</v>
      </c>
      <c r="Q114" s="330">
        <v>0</v>
      </c>
      <c r="R114" s="330">
        <v>24</v>
      </c>
      <c r="S114" s="330"/>
      <c r="T114" s="330"/>
      <c r="U114" s="330">
        <v>2</v>
      </c>
      <c r="V114" s="332">
        <v>2</v>
      </c>
      <c r="W114" s="333">
        <v>0</v>
      </c>
      <c r="X114" s="330">
        <v>0</v>
      </c>
      <c r="Y114" s="330">
        <v>0</v>
      </c>
      <c r="Z114" s="330">
        <v>0</v>
      </c>
      <c r="AA114" s="330">
        <v>0</v>
      </c>
      <c r="AB114" s="331">
        <f>3+2/3</f>
        <v>3.6666666666666665</v>
      </c>
      <c r="AC114" s="330">
        <v>3</v>
      </c>
      <c r="AD114" s="330">
        <v>1</v>
      </c>
      <c r="AE114" s="330">
        <v>1</v>
      </c>
      <c r="AF114" s="330">
        <v>1</v>
      </c>
      <c r="AG114" s="330">
        <v>1</v>
      </c>
      <c r="AH114" s="330">
        <v>0</v>
      </c>
      <c r="AI114" s="330">
        <v>0</v>
      </c>
      <c r="AJ114" s="330">
        <v>13</v>
      </c>
      <c r="AK114" s="330"/>
      <c r="AL114" s="332"/>
      <c r="AM114" s="334" t="s">
        <v>575</v>
      </c>
      <c r="AN114" s="335">
        <v>5</v>
      </c>
      <c r="AO114" s="335">
        <v>1</v>
      </c>
      <c r="AP114" s="335">
        <v>1</v>
      </c>
      <c r="AQ114" s="335">
        <v>0</v>
      </c>
      <c r="AR114" s="335">
        <v>0</v>
      </c>
      <c r="AS114" s="335">
        <v>0</v>
      </c>
      <c r="AT114" s="335">
        <v>0</v>
      </c>
      <c r="AU114" s="335">
        <v>0</v>
      </c>
      <c r="AV114" s="336">
        <v>1</v>
      </c>
      <c r="AW114" s="334" t="s">
        <v>485</v>
      </c>
      <c r="AX114" s="335">
        <v>4</v>
      </c>
      <c r="AY114" s="335">
        <v>1</v>
      </c>
      <c r="AZ114" s="335">
        <v>0</v>
      </c>
      <c r="BA114" s="335">
        <v>1</v>
      </c>
      <c r="BB114" s="335">
        <v>1</v>
      </c>
      <c r="BC114" s="335">
        <v>2</v>
      </c>
      <c r="BD114" s="335">
        <v>0</v>
      </c>
      <c r="BE114" s="335">
        <v>0</v>
      </c>
      <c r="BF114" s="336">
        <v>0</v>
      </c>
      <c r="BG114" s="334" t="s">
        <v>484</v>
      </c>
      <c r="BH114" s="335">
        <v>5</v>
      </c>
      <c r="BI114" s="335">
        <v>0</v>
      </c>
      <c r="BJ114" s="335">
        <v>3</v>
      </c>
      <c r="BK114" s="335">
        <v>0</v>
      </c>
      <c r="BL114" s="335">
        <v>0</v>
      </c>
      <c r="BM114" s="335">
        <v>0</v>
      </c>
      <c r="BN114" s="335">
        <v>0</v>
      </c>
      <c r="BO114" s="335">
        <v>0</v>
      </c>
      <c r="BP114" s="336">
        <v>4</v>
      </c>
      <c r="BQ114" s="334" t="s">
        <v>367</v>
      </c>
      <c r="BR114" s="335">
        <v>3</v>
      </c>
      <c r="BS114" s="335">
        <v>1</v>
      </c>
      <c r="BT114" s="335">
        <v>1</v>
      </c>
      <c r="BU114" s="335">
        <v>1</v>
      </c>
      <c r="BV114" s="335">
        <v>0</v>
      </c>
      <c r="BW114" s="335">
        <v>0</v>
      </c>
      <c r="BX114" s="335">
        <v>1</v>
      </c>
      <c r="BY114" s="335">
        <v>1</v>
      </c>
      <c r="BZ114" s="336">
        <v>1</v>
      </c>
      <c r="CA114" s="334" t="s">
        <v>482</v>
      </c>
      <c r="CB114" s="335">
        <v>3</v>
      </c>
      <c r="CC114" s="335">
        <v>0</v>
      </c>
      <c r="CD114" s="335">
        <v>1</v>
      </c>
      <c r="CE114" s="335">
        <v>1</v>
      </c>
      <c r="CF114" s="335">
        <v>1</v>
      </c>
      <c r="CG114" s="335">
        <v>0</v>
      </c>
      <c r="CH114" s="335">
        <v>0</v>
      </c>
      <c r="CI114" s="335">
        <v>1</v>
      </c>
      <c r="CJ114" s="336">
        <v>2</v>
      </c>
      <c r="CK114" s="334" t="s">
        <v>481</v>
      </c>
      <c r="CL114" s="335">
        <v>4</v>
      </c>
      <c r="CM114" s="335">
        <v>0</v>
      </c>
      <c r="CN114" s="335">
        <v>0</v>
      </c>
      <c r="CO114" s="335">
        <v>0</v>
      </c>
      <c r="CP114" s="335">
        <v>0</v>
      </c>
      <c r="CQ114" s="335">
        <v>1</v>
      </c>
      <c r="CR114" s="335">
        <v>0</v>
      </c>
      <c r="CS114" s="335">
        <v>0</v>
      </c>
      <c r="CT114" s="336">
        <v>0</v>
      </c>
      <c r="CU114" s="334" t="s">
        <v>489</v>
      </c>
      <c r="CV114" s="335">
        <v>3</v>
      </c>
      <c r="CW114" s="335">
        <v>0</v>
      </c>
      <c r="CX114" s="335">
        <v>3</v>
      </c>
      <c r="CY114" s="335">
        <v>1</v>
      </c>
      <c r="CZ114" s="335">
        <v>0</v>
      </c>
      <c r="DA114" s="335">
        <v>0</v>
      </c>
      <c r="DB114" s="335">
        <v>0</v>
      </c>
      <c r="DC114" s="335">
        <v>1</v>
      </c>
      <c r="DD114" s="336">
        <v>4</v>
      </c>
      <c r="DE114" s="334" t="s">
        <v>486</v>
      </c>
      <c r="DF114" s="335">
        <v>4</v>
      </c>
      <c r="DG114" s="335">
        <v>0</v>
      </c>
      <c r="DH114" s="335">
        <v>1</v>
      </c>
      <c r="DI114" s="335">
        <v>0</v>
      </c>
      <c r="DJ114" s="335">
        <v>0</v>
      </c>
      <c r="DK114" s="335">
        <v>0</v>
      </c>
      <c r="DL114" s="335">
        <v>0</v>
      </c>
      <c r="DM114" s="335">
        <v>0</v>
      </c>
      <c r="DN114" s="336">
        <v>2</v>
      </c>
      <c r="DO114" s="334" t="s">
        <v>491</v>
      </c>
      <c r="DP114" s="335">
        <v>4</v>
      </c>
      <c r="DQ114" s="335">
        <v>1</v>
      </c>
      <c r="DR114" s="335">
        <v>1</v>
      </c>
      <c r="DS114" s="335">
        <v>0</v>
      </c>
      <c r="DT114" s="335">
        <v>0</v>
      </c>
      <c r="DU114" s="335">
        <v>0</v>
      </c>
      <c r="DV114" s="335">
        <v>0</v>
      </c>
      <c r="DW114" s="335">
        <v>0</v>
      </c>
      <c r="DX114" s="336">
        <v>2</v>
      </c>
      <c r="DY114" s="337">
        <v>0</v>
      </c>
      <c r="DZ114" s="338">
        <v>0</v>
      </c>
      <c r="EA114" s="338">
        <v>0</v>
      </c>
      <c r="EB114" s="339">
        <v>9</v>
      </c>
      <c r="EC114" s="338">
        <v>0</v>
      </c>
      <c r="ED114" s="340">
        <v>1</v>
      </c>
      <c r="EE114" s="341">
        <v>0</v>
      </c>
      <c r="EF114" s="338">
        <v>0</v>
      </c>
      <c r="EG114" s="338">
        <v>1</v>
      </c>
      <c r="EH114" s="338">
        <v>0</v>
      </c>
      <c r="EI114" s="338">
        <v>0</v>
      </c>
      <c r="EJ114" s="338">
        <v>1</v>
      </c>
      <c r="EK114" s="338">
        <v>1</v>
      </c>
      <c r="EL114" s="338">
        <v>0</v>
      </c>
      <c r="EM114" s="338">
        <v>1</v>
      </c>
      <c r="EN114" s="338"/>
      <c r="EO114" s="338"/>
      <c r="EP114" s="338"/>
      <c r="EQ114" s="338"/>
      <c r="ER114" s="338"/>
      <c r="ES114" s="338"/>
      <c r="ET114" s="338"/>
      <c r="EU114" s="338"/>
      <c r="EV114" s="338"/>
      <c r="EW114" s="338"/>
      <c r="EX114" s="342">
        <f t="shared" si="22"/>
        <v>4</v>
      </c>
      <c r="EY114" s="341">
        <v>0</v>
      </c>
      <c r="EZ114" s="338">
        <v>2</v>
      </c>
      <c r="FA114" s="338">
        <v>0</v>
      </c>
      <c r="FB114" s="338">
        <v>0</v>
      </c>
      <c r="FC114" s="338">
        <v>0</v>
      </c>
      <c r="FD114" s="338">
        <v>3</v>
      </c>
      <c r="FE114" s="338">
        <v>0</v>
      </c>
      <c r="FF114" s="338">
        <v>0</v>
      </c>
      <c r="FG114" s="338">
        <v>0</v>
      </c>
      <c r="FH114" s="338"/>
      <c r="FI114" s="338"/>
      <c r="FJ114" s="338"/>
      <c r="FK114" s="338"/>
      <c r="FL114" s="338"/>
      <c r="FM114" s="338"/>
      <c r="FN114" s="338"/>
      <c r="FO114" s="338"/>
      <c r="FP114" s="338"/>
      <c r="FQ114" s="338"/>
      <c r="FR114" s="342">
        <f t="shared" si="23"/>
        <v>5</v>
      </c>
      <c r="FS114" s="343">
        <f t="shared" si="20"/>
        <v>0</v>
      </c>
      <c r="FT114" s="344">
        <f t="shared" si="21"/>
        <v>0</v>
      </c>
      <c r="FU114" s="345"/>
    </row>
    <row r="115" spans="1:177" x14ac:dyDescent="0.25">
      <c r="A115" s="326">
        <v>40397</v>
      </c>
      <c r="B115" s="326" t="s">
        <v>19</v>
      </c>
      <c r="C115" s="326" t="s">
        <v>131</v>
      </c>
      <c r="D115" s="326" t="s">
        <v>511</v>
      </c>
      <c r="E115" s="327">
        <v>3984</v>
      </c>
      <c r="F115" s="328">
        <v>5</v>
      </c>
      <c r="G115" s="329" t="s">
        <v>493</v>
      </c>
      <c r="H115" s="330">
        <v>0</v>
      </c>
      <c r="I115" s="330">
        <v>0</v>
      </c>
      <c r="J115" s="331">
        <v>6</v>
      </c>
      <c r="K115" s="330">
        <v>4</v>
      </c>
      <c r="L115" s="330">
        <v>0</v>
      </c>
      <c r="M115" s="330">
        <v>0</v>
      </c>
      <c r="N115" s="330">
        <v>2</v>
      </c>
      <c r="O115" s="330">
        <v>13</v>
      </c>
      <c r="P115" s="330">
        <v>0</v>
      </c>
      <c r="Q115" s="330">
        <v>0</v>
      </c>
      <c r="R115" s="330">
        <v>22</v>
      </c>
      <c r="S115" s="330"/>
      <c r="T115" s="330"/>
      <c r="U115" s="330">
        <v>0</v>
      </c>
      <c r="V115" s="332">
        <v>0</v>
      </c>
      <c r="W115" s="333">
        <v>0</v>
      </c>
      <c r="X115" s="330">
        <v>1</v>
      </c>
      <c r="Y115" s="330">
        <v>0</v>
      </c>
      <c r="Z115" s="330">
        <v>0</v>
      </c>
      <c r="AA115" s="330">
        <v>0</v>
      </c>
      <c r="AB115" s="331">
        <v>3</v>
      </c>
      <c r="AC115" s="330">
        <v>3</v>
      </c>
      <c r="AD115" s="330">
        <v>1</v>
      </c>
      <c r="AE115" s="330">
        <v>1</v>
      </c>
      <c r="AF115" s="330">
        <v>1</v>
      </c>
      <c r="AG115" s="330">
        <v>6</v>
      </c>
      <c r="AH115" s="330">
        <v>0</v>
      </c>
      <c r="AI115" s="330">
        <v>0</v>
      </c>
      <c r="AJ115" s="330">
        <v>13</v>
      </c>
      <c r="AK115" s="330"/>
      <c r="AL115" s="332"/>
      <c r="AM115" s="334" t="s">
        <v>486</v>
      </c>
      <c r="AN115" s="335">
        <v>4</v>
      </c>
      <c r="AO115" s="335">
        <v>0</v>
      </c>
      <c r="AP115" s="335">
        <v>2</v>
      </c>
      <c r="AQ115" s="335">
        <v>0</v>
      </c>
      <c r="AR115" s="335">
        <v>0</v>
      </c>
      <c r="AS115" s="335">
        <v>1</v>
      </c>
      <c r="AT115" s="335">
        <v>0</v>
      </c>
      <c r="AU115" s="335">
        <v>0</v>
      </c>
      <c r="AV115" s="336">
        <v>2</v>
      </c>
      <c r="AW115" s="334" t="s">
        <v>485</v>
      </c>
      <c r="AX115" s="335">
        <v>3</v>
      </c>
      <c r="AY115" s="335">
        <v>0</v>
      </c>
      <c r="AZ115" s="335">
        <v>2</v>
      </c>
      <c r="BA115" s="335">
        <v>0</v>
      </c>
      <c r="BB115" s="335">
        <v>0</v>
      </c>
      <c r="BC115" s="335">
        <v>1</v>
      </c>
      <c r="BD115" s="335">
        <v>0</v>
      </c>
      <c r="BE115" s="335">
        <v>0</v>
      </c>
      <c r="BF115" s="336">
        <v>2</v>
      </c>
      <c r="BG115" s="334" t="s">
        <v>484</v>
      </c>
      <c r="BH115" s="335">
        <v>3</v>
      </c>
      <c r="BI115" s="335">
        <v>0</v>
      </c>
      <c r="BJ115" s="335">
        <v>0</v>
      </c>
      <c r="BK115" s="335">
        <v>0</v>
      </c>
      <c r="BL115" s="335">
        <v>0</v>
      </c>
      <c r="BM115" s="335">
        <v>0</v>
      </c>
      <c r="BN115" s="335">
        <v>0</v>
      </c>
      <c r="BO115" s="335">
        <v>0</v>
      </c>
      <c r="BP115" s="336">
        <v>0</v>
      </c>
      <c r="BQ115" s="334" t="s">
        <v>367</v>
      </c>
      <c r="BR115" s="335">
        <v>4</v>
      </c>
      <c r="BS115" s="335">
        <v>0</v>
      </c>
      <c r="BT115" s="335">
        <v>1</v>
      </c>
      <c r="BU115" s="335">
        <v>0</v>
      </c>
      <c r="BV115" s="335">
        <v>0</v>
      </c>
      <c r="BW115" s="335">
        <v>1</v>
      </c>
      <c r="BX115" s="335">
        <v>0</v>
      </c>
      <c r="BY115" s="335">
        <v>0</v>
      </c>
      <c r="BZ115" s="336">
        <v>1</v>
      </c>
      <c r="CA115" s="334" t="s">
        <v>482</v>
      </c>
      <c r="CB115" s="335">
        <v>3</v>
      </c>
      <c r="CC115" s="335">
        <v>0</v>
      </c>
      <c r="CD115" s="335">
        <v>0</v>
      </c>
      <c r="CE115" s="335">
        <v>0</v>
      </c>
      <c r="CF115" s="335">
        <v>0</v>
      </c>
      <c r="CG115" s="335">
        <v>1</v>
      </c>
      <c r="CH115" s="335">
        <v>0</v>
      </c>
      <c r="CI115" s="335">
        <v>0</v>
      </c>
      <c r="CJ115" s="336">
        <v>0</v>
      </c>
      <c r="CK115" s="334" t="s">
        <v>489</v>
      </c>
      <c r="CL115" s="335">
        <v>3</v>
      </c>
      <c r="CM115" s="335">
        <v>0</v>
      </c>
      <c r="CN115" s="335">
        <v>0</v>
      </c>
      <c r="CO115" s="335">
        <v>0</v>
      </c>
      <c r="CP115" s="335">
        <v>0</v>
      </c>
      <c r="CQ115" s="335">
        <v>0</v>
      </c>
      <c r="CR115" s="335">
        <v>0</v>
      </c>
      <c r="CS115" s="335">
        <v>0</v>
      </c>
      <c r="CT115" s="336">
        <v>0</v>
      </c>
      <c r="CU115" s="334" t="s">
        <v>480</v>
      </c>
      <c r="CV115" s="335">
        <v>3</v>
      </c>
      <c r="CW115" s="335">
        <v>0</v>
      </c>
      <c r="CX115" s="335">
        <v>1</v>
      </c>
      <c r="CY115" s="335">
        <v>0</v>
      </c>
      <c r="CZ115" s="335">
        <v>0</v>
      </c>
      <c r="DA115" s="335">
        <v>1</v>
      </c>
      <c r="DB115" s="335">
        <v>0</v>
      </c>
      <c r="DC115" s="335">
        <v>0</v>
      </c>
      <c r="DD115" s="336">
        <v>1</v>
      </c>
      <c r="DE115" s="334" t="s">
        <v>479</v>
      </c>
      <c r="DF115" s="335">
        <v>3</v>
      </c>
      <c r="DG115" s="335">
        <v>0</v>
      </c>
      <c r="DH115" s="335">
        <v>1</v>
      </c>
      <c r="DI115" s="335">
        <v>0</v>
      </c>
      <c r="DJ115" s="335">
        <v>0</v>
      </c>
      <c r="DK115" s="335">
        <v>0</v>
      </c>
      <c r="DL115" s="335">
        <v>0</v>
      </c>
      <c r="DM115" s="335">
        <v>0</v>
      </c>
      <c r="DN115" s="336">
        <v>1</v>
      </c>
      <c r="DO115" s="334" t="s">
        <v>519</v>
      </c>
      <c r="DP115" s="335">
        <v>3</v>
      </c>
      <c r="DQ115" s="335">
        <v>0</v>
      </c>
      <c r="DR115" s="335">
        <v>0</v>
      </c>
      <c r="DS115" s="335">
        <v>0</v>
      </c>
      <c r="DT115" s="335">
        <v>0</v>
      </c>
      <c r="DU115" s="335">
        <v>0</v>
      </c>
      <c r="DV115" s="335">
        <v>0</v>
      </c>
      <c r="DW115" s="335">
        <v>0</v>
      </c>
      <c r="DX115" s="336">
        <v>0</v>
      </c>
      <c r="DY115" s="337">
        <v>9</v>
      </c>
      <c r="DZ115" s="338">
        <v>1</v>
      </c>
      <c r="EA115" s="338">
        <v>1</v>
      </c>
      <c r="EB115" s="339">
        <v>0</v>
      </c>
      <c r="EC115" s="338">
        <v>0</v>
      </c>
      <c r="ED115" s="340">
        <v>0</v>
      </c>
      <c r="EE115" s="341">
        <v>0</v>
      </c>
      <c r="EF115" s="338">
        <v>0</v>
      </c>
      <c r="EG115" s="338">
        <v>0</v>
      </c>
      <c r="EH115" s="338">
        <v>0</v>
      </c>
      <c r="EI115" s="338">
        <v>0</v>
      </c>
      <c r="EJ115" s="338">
        <v>0</v>
      </c>
      <c r="EK115" s="338">
        <v>0</v>
      </c>
      <c r="EL115" s="338">
        <v>0</v>
      </c>
      <c r="EM115" s="338">
        <v>0</v>
      </c>
      <c r="EN115" s="338"/>
      <c r="EO115" s="338"/>
      <c r="EP115" s="338"/>
      <c r="EQ115" s="338"/>
      <c r="ER115" s="338"/>
      <c r="ES115" s="338"/>
      <c r="ET115" s="338"/>
      <c r="EU115" s="338"/>
      <c r="EV115" s="338"/>
      <c r="EW115" s="338"/>
      <c r="EX115" s="342">
        <f t="shared" si="22"/>
        <v>0</v>
      </c>
      <c r="EY115" s="341">
        <v>0</v>
      </c>
      <c r="EZ115" s="338">
        <v>0</v>
      </c>
      <c r="FA115" s="338">
        <v>0</v>
      </c>
      <c r="FB115" s="338">
        <v>0</v>
      </c>
      <c r="FC115" s="338">
        <v>0</v>
      </c>
      <c r="FD115" s="338">
        <v>0</v>
      </c>
      <c r="FE115" s="338">
        <v>0</v>
      </c>
      <c r="FF115" s="338">
        <v>1</v>
      </c>
      <c r="FG115" s="338">
        <v>0</v>
      </c>
      <c r="FH115" s="338"/>
      <c r="FI115" s="338"/>
      <c r="FJ115" s="338"/>
      <c r="FK115" s="338"/>
      <c r="FL115" s="338"/>
      <c r="FM115" s="338"/>
      <c r="FN115" s="338"/>
      <c r="FO115" s="338"/>
      <c r="FP115" s="338"/>
      <c r="FQ115" s="338"/>
      <c r="FR115" s="342">
        <f t="shared" si="23"/>
        <v>1</v>
      </c>
      <c r="FS115" s="343">
        <f t="shared" si="20"/>
        <v>0</v>
      </c>
      <c r="FT115" s="344">
        <f t="shared" si="21"/>
        <v>0</v>
      </c>
      <c r="FU115" s="345"/>
    </row>
    <row r="116" spans="1:177" x14ac:dyDescent="0.25">
      <c r="A116" s="326">
        <v>40399</v>
      </c>
      <c r="B116" s="326" t="s">
        <v>133</v>
      </c>
      <c r="C116" s="326" t="s">
        <v>129</v>
      </c>
      <c r="D116" s="326" t="s">
        <v>514</v>
      </c>
      <c r="E116" s="327">
        <v>667</v>
      </c>
      <c r="F116" s="328">
        <v>1</v>
      </c>
      <c r="G116" s="329" t="s">
        <v>490</v>
      </c>
      <c r="H116" s="330">
        <v>1</v>
      </c>
      <c r="I116" s="330">
        <v>0</v>
      </c>
      <c r="J116" s="331">
        <v>5</v>
      </c>
      <c r="K116" s="330">
        <v>7</v>
      </c>
      <c r="L116" s="330">
        <v>4</v>
      </c>
      <c r="M116" s="330">
        <v>3</v>
      </c>
      <c r="N116" s="330">
        <v>1</v>
      </c>
      <c r="O116" s="330">
        <v>6</v>
      </c>
      <c r="P116" s="330">
        <v>0</v>
      </c>
      <c r="Q116" s="330">
        <v>0</v>
      </c>
      <c r="R116" s="330">
        <v>23</v>
      </c>
      <c r="S116" s="330"/>
      <c r="T116" s="330"/>
      <c r="U116" s="330">
        <v>0</v>
      </c>
      <c r="V116" s="332">
        <v>0</v>
      </c>
      <c r="W116" s="333">
        <v>0</v>
      </c>
      <c r="X116" s="330">
        <v>0</v>
      </c>
      <c r="Y116" s="330">
        <v>1</v>
      </c>
      <c r="Z116" s="330">
        <v>1</v>
      </c>
      <c r="AA116" s="330">
        <v>0</v>
      </c>
      <c r="AB116" s="331">
        <v>4</v>
      </c>
      <c r="AC116" s="330">
        <v>3</v>
      </c>
      <c r="AD116" s="330">
        <v>2</v>
      </c>
      <c r="AE116" s="330">
        <v>2</v>
      </c>
      <c r="AF116" s="330">
        <v>1</v>
      </c>
      <c r="AG116" s="330">
        <v>2</v>
      </c>
      <c r="AH116" s="330">
        <v>0</v>
      </c>
      <c r="AI116" s="330">
        <v>0</v>
      </c>
      <c r="AJ116" s="330">
        <v>16</v>
      </c>
      <c r="AK116" s="330"/>
      <c r="AL116" s="332"/>
      <c r="AM116" s="334" t="s">
        <v>575</v>
      </c>
      <c r="AN116" s="335">
        <v>5</v>
      </c>
      <c r="AO116" s="335">
        <v>1</v>
      </c>
      <c r="AP116" s="335">
        <v>2</v>
      </c>
      <c r="AQ116" s="335">
        <v>2</v>
      </c>
      <c r="AR116" s="335">
        <v>0</v>
      </c>
      <c r="AS116" s="335">
        <v>0</v>
      </c>
      <c r="AT116" s="335">
        <v>0</v>
      </c>
      <c r="AU116" s="335">
        <v>0</v>
      </c>
      <c r="AV116" s="336">
        <v>3</v>
      </c>
      <c r="AW116" s="334" t="s">
        <v>485</v>
      </c>
      <c r="AX116" s="335">
        <v>5</v>
      </c>
      <c r="AY116" s="335">
        <v>0</v>
      </c>
      <c r="AZ116" s="335">
        <v>1</v>
      </c>
      <c r="BA116" s="335">
        <v>0</v>
      </c>
      <c r="BB116" s="335">
        <v>0</v>
      </c>
      <c r="BC116" s="335">
        <v>1</v>
      </c>
      <c r="BD116" s="335">
        <v>0</v>
      </c>
      <c r="BE116" s="335">
        <v>0</v>
      </c>
      <c r="BF116" s="336">
        <v>1</v>
      </c>
      <c r="BG116" s="334" t="s">
        <v>484</v>
      </c>
      <c r="BH116" s="335">
        <v>4</v>
      </c>
      <c r="BI116" s="335">
        <v>2</v>
      </c>
      <c r="BJ116" s="335">
        <v>2</v>
      </c>
      <c r="BK116" s="335">
        <v>1</v>
      </c>
      <c r="BL116" s="335">
        <v>1</v>
      </c>
      <c r="BM116" s="335">
        <v>2</v>
      </c>
      <c r="BN116" s="335">
        <v>0</v>
      </c>
      <c r="BO116" s="335">
        <v>0</v>
      </c>
      <c r="BP116" s="336">
        <v>5</v>
      </c>
      <c r="BQ116" s="334" t="s">
        <v>367</v>
      </c>
      <c r="BR116" s="335">
        <v>4</v>
      </c>
      <c r="BS116" s="335">
        <v>1</v>
      </c>
      <c r="BT116" s="335">
        <v>0</v>
      </c>
      <c r="BU116" s="335">
        <v>0</v>
      </c>
      <c r="BV116" s="335">
        <v>1</v>
      </c>
      <c r="BW116" s="335">
        <v>2</v>
      </c>
      <c r="BX116" s="335">
        <v>0</v>
      </c>
      <c r="BY116" s="335">
        <v>0</v>
      </c>
      <c r="BZ116" s="336">
        <v>0</v>
      </c>
      <c r="CA116" s="334" t="s">
        <v>482</v>
      </c>
      <c r="CB116" s="335">
        <v>4</v>
      </c>
      <c r="CC116" s="335">
        <v>1</v>
      </c>
      <c r="CD116" s="335">
        <v>0</v>
      </c>
      <c r="CE116" s="335">
        <v>1</v>
      </c>
      <c r="CF116" s="335">
        <v>1</v>
      </c>
      <c r="CG116" s="335">
        <v>1</v>
      </c>
      <c r="CH116" s="335">
        <v>0</v>
      </c>
      <c r="CI116" s="335">
        <v>0</v>
      </c>
      <c r="CJ116" s="336">
        <v>0</v>
      </c>
      <c r="CK116" s="334" t="s">
        <v>481</v>
      </c>
      <c r="CL116" s="335">
        <v>3</v>
      </c>
      <c r="CM116" s="335">
        <v>1</v>
      </c>
      <c r="CN116" s="335">
        <v>1</v>
      </c>
      <c r="CO116" s="335">
        <v>0</v>
      </c>
      <c r="CP116" s="335">
        <v>2</v>
      </c>
      <c r="CQ116" s="335">
        <v>1</v>
      </c>
      <c r="CR116" s="335">
        <v>0</v>
      </c>
      <c r="CS116" s="335">
        <v>0</v>
      </c>
      <c r="CT116" s="336">
        <v>1</v>
      </c>
      <c r="CU116" s="334" t="s">
        <v>489</v>
      </c>
      <c r="CV116" s="335">
        <v>4</v>
      </c>
      <c r="CW116" s="335">
        <v>1</v>
      </c>
      <c r="CX116" s="335">
        <v>3</v>
      </c>
      <c r="CY116" s="335">
        <v>2</v>
      </c>
      <c r="CZ116" s="335">
        <v>1</v>
      </c>
      <c r="DA116" s="335">
        <v>0</v>
      </c>
      <c r="DB116" s="335">
        <v>0</v>
      </c>
      <c r="DC116" s="335">
        <v>0</v>
      </c>
      <c r="DD116" s="336">
        <v>5</v>
      </c>
      <c r="DE116" s="334" t="s">
        <v>491</v>
      </c>
      <c r="DF116" s="335">
        <v>4</v>
      </c>
      <c r="DG116" s="335">
        <v>0</v>
      </c>
      <c r="DH116" s="335">
        <v>1</v>
      </c>
      <c r="DI116" s="335">
        <v>1</v>
      </c>
      <c r="DJ116" s="335">
        <v>0</v>
      </c>
      <c r="DK116" s="335">
        <v>1</v>
      </c>
      <c r="DL116" s="335">
        <v>0</v>
      </c>
      <c r="DM116" s="335">
        <v>1</v>
      </c>
      <c r="DN116" s="336">
        <v>1</v>
      </c>
      <c r="DO116" s="334" t="s">
        <v>486</v>
      </c>
      <c r="DP116" s="335">
        <v>3</v>
      </c>
      <c r="DQ116" s="335">
        <v>0</v>
      </c>
      <c r="DR116" s="335">
        <v>0</v>
      </c>
      <c r="DS116" s="335">
        <v>0</v>
      </c>
      <c r="DT116" s="335">
        <v>0</v>
      </c>
      <c r="DU116" s="335">
        <v>0</v>
      </c>
      <c r="DV116" s="335">
        <v>1</v>
      </c>
      <c r="DW116" s="335">
        <v>0</v>
      </c>
      <c r="DX116" s="336">
        <v>0</v>
      </c>
      <c r="DY116" s="337">
        <v>0</v>
      </c>
      <c r="DZ116" s="338">
        <v>0</v>
      </c>
      <c r="EA116" s="338">
        <v>0</v>
      </c>
      <c r="EB116" s="339">
        <v>9</v>
      </c>
      <c r="EC116" s="338">
        <v>0</v>
      </c>
      <c r="ED116" s="340">
        <v>0</v>
      </c>
      <c r="EE116" s="341">
        <v>1</v>
      </c>
      <c r="EF116" s="338">
        <v>1</v>
      </c>
      <c r="EG116" s="338">
        <v>1</v>
      </c>
      <c r="EH116" s="338">
        <v>0</v>
      </c>
      <c r="EI116" s="338">
        <v>4</v>
      </c>
      <c r="EJ116" s="338">
        <v>0</v>
      </c>
      <c r="EK116" s="338">
        <v>0</v>
      </c>
      <c r="EL116" s="338">
        <v>0</v>
      </c>
      <c r="EM116" s="338">
        <v>0</v>
      </c>
      <c r="EN116" s="338"/>
      <c r="EO116" s="338"/>
      <c r="EP116" s="338"/>
      <c r="EQ116" s="338"/>
      <c r="ER116" s="338"/>
      <c r="ES116" s="338"/>
      <c r="ET116" s="338"/>
      <c r="EU116" s="338"/>
      <c r="EV116" s="338"/>
      <c r="EW116" s="338"/>
      <c r="EX116" s="342">
        <f t="shared" si="22"/>
        <v>7</v>
      </c>
      <c r="EY116" s="341">
        <v>3</v>
      </c>
      <c r="EZ116" s="338">
        <v>0</v>
      </c>
      <c r="FA116" s="338">
        <v>0</v>
      </c>
      <c r="FB116" s="338">
        <v>1</v>
      </c>
      <c r="FC116" s="338">
        <v>0</v>
      </c>
      <c r="FD116" s="338">
        <v>0</v>
      </c>
      <c r="FE116" s="338">
        <v>0</v>
      </c>
      <c r="FF116" s="338">
        <v>2</v>
      </c>
      <c r="FG116" s="338">
        <v>0</v>
      </c>
      <c r="FH116" s="338"/>
      <c r="FI116" s="338"/>
      <c r="FJ116" s="338"/>
      <c r="FK116" s="338"/>
      <c r="FL116" s="338"/>
      <c r="FM116" s="338"/>
      <c r="FN116" s="338"/>
      <c r="FO116" s="338"/>
      <c r="FP116" s="338"/>
      <c r="FQ116" s="338"/>
      <c r="FR116" s="342">
        <f t="shared" si="23"/>
        <v>6</v>
      </c>
      <c r="FS116" s="343">
        <f t="shared" si="20"/>
        <v>0</v>
      </c>
      <c r="FT116" s="344">
        <f t="shared" si="21"/>
        <v>0</v>
      </c>
      <c r="FU116" s="345" t="s">
        <v>647</v>
      </c>
    </row>
    <row r="117" spans="1:177" x14ac:dyDescent="0.25">
      <c r="A117" s="326">
        <v>40401</v>
      </c>
      <c r="B117" s="326" t="s">
        <v>133</v>
      </c>
      <c r="C117" s="326" t="s">
        <v>129</v>
      </c>
      <c r="D117" s="326" t="s">
        <v>514</v>
      </c>
      <c r="E117" s="327"/>
      <c r="F117" s="328">
        <v>2</v>
      </c>
      <c r="G117" s="329" t="s">
        <v>494</v>
      </c>
      <c r="H117" s="330">
        <v>0</v>
      </c>
      <c r="I117" s="330">
        <v>0</v>
      </c>
      <c r="J117" s="331">
        <f>1+2/3</f>
        <v>1.6666666666666665</v>
      </c>
      <c r="K117" s="330">
        <v>0</v>
      </c>
      <c r="L117" s="330">
        <v>0</v>
      </c>
      <c r="M117" s="330">
        <v>0</v>
      </c>
      <c r="N117" s="330">
        <v>0</v>
      </c>
      <c r="O117" s="330">
        <v>0</v>
      </c>
      <c r="P117" s="330">
        <v>0</v>
      </c>
      <c r="Q117" s="330">
        <v>0</v>
      </c>
      <c r="R117" s="330">
        <v>5</v>
      </c>
      <c r="S117" s="330"/>
      <c r="T117" s="330"/>
      <c r="U117" s="330">
        <v>0</v>
      </c>
      <c r="V117" s="332">
        <v>0</v>
      </c>
      <c r="W117" s="333">
        <v>1</v>
      </c>
      <c r="X117" s="330">
        <v>0</v>
      </c>
      <c r="Y117" s="330">
        <v>0</v>
      </c>
      <c r="Z117" s="330">
        <v>1</v>
      </c>
      <c r="AA117" s="330">
        <v>0</v>
      </c>
      <c r="AB117" s="331">
        <f>5+1/3</f>
        <v>5.333333333333333</v>
      </c>
      <c r="AC117" s="330">
        <v>4</v>
      </c>
      <c r="AD117" s="330">
        <v>1</v>
      </c>
      <c r="AE117" s="330">
        <v>1</v>
      </c>
      <c r="AF117" s="330">
        <v>1</v>
      </c>
      <c r="AG117" s="330">
        <v>4</v>
      </c>
      <c r="AH117" s="330">
        <v>1</v>
      </c>
      <c r="AI117" s="330">
        <v>0</v>
      </c>
      <c r="AJ117" s="330">
        <v>21</v>
      </c>
      <c r="AK117" s="330"/>
      <c r="AL117" s="332"/>
      <c r="AM117" s="334" t="s">
        <v>575</v>
      </c>
      <c r="AN117" s="335">
        <v>4</v>
      </c>
      <c r="AO117" s="335">
        <v>0</v>
      </c>
      <c r="AP117" s="335">
        <v>0</v>
      </c>
      <c r="AQ117" s="335">
        <v>0</v>
      </c>
      <c r="AR117" s="335">
        <v>0</v>
      </c>
      <c r="AS117" s="335">
        <v>1</v>
      </c>
      <c r="AT117" s="335">
        <v>0</v>
      </c>
      <c r="AU117" s="335">
        <v>0</v>
      </c>
      <c r="AV117" s="336">
        <v>0</v>
      </c>
      <c r="AW117" s="334" t="s">
        <v>485</v>
      </c>
      <c r="AX117" s="335">
        <v>4</v>
      </c>
      <c r="AY117" s="335">
        <v>1</v>
      </c>
      <c r="AZ117" s="335">
        <v>2</v>
      </c>
      <c r="BA117" s="335">
        <v>0</v>
      </c>
      <c r="BB117" s="335">
        <v>0</v>
      </c>
      <c r="BC117" s="335">
        <v>2</v>
      </c>
      <c r="BD117" s="335">
        <v>0</v>
      </c>
      <c r="BE117" s="335">
        <v>0</v>
      </c>
      <c r="BF117" s="336">
        <v>2</v>
      </c>
      <c r="BG117" s="334" t="s">
        <v>484</v>
      </c>
      <c r="BH117" s="335">
        <v>3</v>
      </c>
      <c r="BI117" s="335">
        <v>1</v>
      </c>
      <c r="BJ117" s="335">
        <v>0</v>
      </c>
      <c r="BK117" s="335">
        <v>0</v>
      </c>
      <c r="BL117" s="335">
        <v>1</v>
      </c>
      <c r="BM117" s="335">
        <v>0</v>
      </c>
      <c r="BN117" s="335">
        <v>0</v>
      </c>
      <c r="BO117" s="335">
        <v>0</v>
      </c>
      <c r="BP117" s="336">
        <v>0</v>
      </c>
      <c r="BQ117" s="334" t="s">
        <v>367</v>
      </c>
      <c r="BR117" s="335">
        <v>2</v>
      </c>
      <c r="BS117" s="335">
        <v>0</v>
      </c>
      <c r="BT117" s="335">
        <v>1</v>
      </c>
      <c r="BU117" s="335">
        <v>0</v>
      </c>
      <c r="BV117" s="335">
        <v>2</v>
      </c>
      <c r="BW117" s="335">
        <v>0</v>
      </c>
      <c r="BX117" s="335">
        <v>0</v>
      </c>
      <c r="BY117" s="335">
        <v>0</v>
      </c>
      <c r="BZ117" s="336">
        <v>2</v>
      </c>
      <c r="CA117" s="334" t="s">
        <v>489</v>
      </c>
      <c r="CB117" s="335">
        <v>3</v>
      </c>
      <c r="CC117" s="335">
        <v>0</v>
      </c>
      <c r="CD117" s="335">
        <v>0</v>
      </c>
      <c r="CE117" s="335">
        <v>0</v>
      </c>
      <c r="CF117" s="335">
        <v>0</v>
      </c>
      <c r="CG117" s="335">
        <v>0</v>
      </c>
      <c r="CH117" s="335">
        <v>0</v>
      </c>
      <c r="CI117" s="335">
        <v>0</v>
      </c>
      <c r="CJ117" s="336">
        <v>0</v>
      </c>
      <c r="CK117" s="334" t="s">
        <v>481</v>
      </c>
      <c r="CL117" s="335">
        <v>2</v>
      </c>
      <c r="CM117" s="335">
        <v>0</v>
      </c>
      <c r="CN117" s="335">
        <v>0</v>
      </c>
      <c r="CO117" s="335">
        <v>0</v>
      </c>
      <c r="CP117" s="335">
        <v>1</v>
      </c>
      <c r="CQ117" s="335">
        <v>0</v>
      </c>
      <c r="CR117" s="335">
        <v>0</v>
      </c>
      <c r="CS117" s="335">
        <v>0</v>
      </c>
      <c r="CT117" s="336">
        <v>0</v>
      </c>
      <c r="CU117" s="334" t="s">
        <v>480</v>
      </c>
      <c r="CV117" s="335">
        <v>1</v>
      </c>
      <c r="CW117" s="335">
        <v>1</v>
      </c>
      <c r="CX117" s="335">
        <v>0</v>
      </c>
      <c r="CY117" s="335">
        <v>1</v>
      </c>
      <c r="CZ117" s="335">
        <v>1</v>
      </c>
      <c r="DA117" s="335">
        <v>1</v>
      </c>
      <c r="DB117" s="335">
        <v>0</v>
      </c>
      <c r="DC117" s="335">
        <v>1</v>
      </c>
      <c r="DD117" s="336">
        <v>0</v>
      </c>
      <c r="DE117" s="334" t="s">
        <v>479</v>
      </c>
      <c r="DF117" s="335">
        <v>2</v>
      </c>
      <c r="DG117" s="335">
        <v>0</v>
      </c>
      <c r="DH117" s="335">
        <v>0</v>
      </c>
      <c r="DI117" s="335">
        <v>0</v>
      </c>
      <c r="DJ117" s="335">
        <v>1</v>
      </c>
      <c r="DK117" s="335">
        <v>0</v>
      </c>
      <c r="DL117" s="335">
        <v>0</v>
      </c>
      <c r="DM117" s="335">
        <v>0</v>
      </c>
      <c r="DN117" s="336">
        <v>0</v>
      </c>
      <c r="DO117" s="334" t="s">
        <v>519</v>
      </c>
      <c r="DP117" s="335">
        <v>2</v>
      </c>
      <c r="DQ117" s="335">
        <v>0</v>
      </c>
      <c r="DR117" s="335">
        <v>0</v>
      </c>
      <c r="DS117" s="335">
        <v>0</v>
      </c>
      <c r="DT117" s="335">
        <v>1</v>
      </c>
      <c r="DU117" s="335">
        <v>0</v>
      </c>
      <c r="DV117" s="335">
        <v>0</v>
      </c>
      <c r="DW117" s="335">
        <v>0</v>
      </c>
      <c r="DX117" s="336">
        <v>0</v>
      </c>
      <c r="DY117" s="337">
        <v>0</v>
      </c>
      <c r="DZ117" s="338">
        <v>0</v>
      </c>
      <c r="EA117" s="338">
        <v>0</v>
      </c>
      <c r="EB117" s="339">
        <v>7</v>
      </c>
      <c r="EC117" s="338">
        <v>0</v>
      </c>
      <c r="ED117" s="340">
        <v>0</v>
      </c>
      <c r="EE117" s="341">
        <v>1</v>
      </c>
      <c r="EF117" s="338">
        <v>0</v>
      </c>
      <c r="EG117" s="338">
        <v>0</v>
      </c>
      <c r="EH117" s="338">
        <v>0</v>
      </c>
      <c r="EI117" s="338">
        <v>1</v>
      </c>
      <c r="EJ117" s="338">
        <v>1</v>
      </c>
      <c r="EK117" s="338">
        <v>0</v>
      </c>
      <c r="EL117" s="338"/>
      <c r="EM117" s="338"/>
      <c r="EN117" s="338"/>
      <c r="EO117" s="338"/>
      <c r="EP117" s="338"/>
      <c r="EQ117" s="338"/>
      <c r="ER117" s="338"/>
      <c r="ES117" s="338"/>
      <c r="ET117" s="338"/>
      <c r="EU117" s="338"/>
      <c r="EV117" s="338"/>
      <c r="EW117" s="338"/>
      <c r="EX117" s="342">
        <f t="shared" ref="EX117:EX127" si="24">SUM(EE117:EW117)</f>
        <v>3</v>
      </c>
      <c r="EY117" s="341">
        <v>0</v>
      </c>
      <c r="EZ117" s="338">
        <v>0</v>
      </c>
      <c r="FA117" s="338">
        <v>0</v>
      </c>
      <c r="FB117" s="338">
        <v>0</v>
      </c>
      <c r="FC117" s="338">
        <v>0</v>
      </c>
      <c r="FD117" s="338">
        <v>0</v>
      </c>
      <c r="FE117" s="338">
        <v>1</v>
      </c>
      <c r="FF117" s="338"/>
      <c r="FG117" s="338"/>
      <c r="FH117" s="338"/>
      <c r="FI117" s="338"/>
      <c r="FJ117" s="338"/>
      <c r="FK117" s="338"/>
      <c r="FL117" s="338"/>
      <c r="FM117" s="338"/>
      <c r="FN117" s="338"/>
      <c r="FO117" s="338"/>
      <c r="FP117" s="338"/>
      <c r="FQ117" s="338"/>
      <c r="FR117" s="342">
        <f t="shared" ref="FR117:FR127" si="25">SUM(EY117:FQ117)</f>
        <v>1</v>
      </c>
      <c r="FS117" s="343">
        <f t="shared" ref="FS117:FS127" si="26">((L117+AD117)-FR117)</f>
        <v>0</v>
      </c>
      <c r="FT117" s="344">
        <f t="shared" ref="FT117:FT127" si="27">((AO117+AY117+BI117+BS117+CC117+CM117+CW117+DG117+DQ117)-EX117)</f>
        <v>0</v>
      </c>
      <c r="FU117" s="345" t="s">
        <v>475</v>
      </c>
    </row>
    <row r="118" spans="1:177" x14ac:dyDescent="0.25">
      <c r="A118" s="326">
        <v>40401</v>
      </c>
      <c r="B118" s="326" t="s">
        <v>133</v>
      </c>
      <c r="C118" s="326" t="s">
        <v>129</v>
      </c>
      <c r="D118" s="326" t="s">
        <v>514</v>
      </c>
      <c r="E118" s="327">
        <v>1443</v>
      </c>
      <c r="F118" s="328">
        <v>3</v>
      </c>
      <c r="G118" s="329" t="s">
        <v>492</v>
      </c>
      <c r="H118" s="330">
        <v>0</v>
      </c>
      <c r="I118" s="330">
        <v>0</v>
      </c>
      <c r="J118" s="331">
        <v>5</v>
      </c>
      <c r="K118" s="330">
        <v>4</v>
      </c>
      <c r="L118" s="330">
        <v>3</v>
      </c>
      <c r="M118" s="330">
        <v>3</v>
      </c>
      <c r="N118" s="330">
        <v>2</v>
      </c>
      <c r="O118" s="330">
        <v>6</v>
      </c>
      <c r="P118" s="330">
        <v>0</v>
      </c>
      <c r="Q118" s="330">
        <v>0</v>
      </c>
      <c r="R118" s="330">
        <v>20</v>
      </c>
      <c r="S118" s="330"/>
      <c r="T118" s="330"/>
      <c r="U118" s="330">
        <v>0</v>
      </c>
      <c r="V118" s="332">
        <v>0</v>
      </c>
      <c r="W118" s="333">
        <v>1</v>
      </c>
      <c r="X118" s="330">
        <v>0</v>
      </c>
      <c r="Y118" s="330">
        <v>0</v>
      </c>
      <c r="Z118" s="330">
        <v>1</v>
      </c>
      <c r="AA118" s="330">
        <v>0</v>
      </c>
      <c r="AB118" s="331">
        <v>2</v>
      </c>
      <c r="AC118" s="330">
        <v>2</v>
      </c>
      <c r="AD118" s="330">
        <v>2</v>
      </c>
      <c r="AE118" s="330">
        <v>2</v>
      </c>
      <c r="AF118" s="330">
        <v>1</v>
      </c>
      <c r="AG118" s="330">
        <v>3</v>
      </c>
      <c r="AH118" s="330">
        <v>0</v>
      </c>
      <c r="AI118" s="330">
        <v>0</v>
      </c>
      <c r="AJ118" s="330">
        <v>8</v>
      </c>
      <c r="AK118" s="330"/>
      <c r="AL118" s="332"/>
      <c r="AM118" s="334" t="s">
        <v>482</v>
      </c>
      <c r="AN118" s="335">
        <v>3</v>
      </c>
      <c r="AO118" s="335">
        <v>0</v>
      </c>
      <c r="AP118" s="335">
        <v>1</v>
      </c>
      <c r="AQ118" s="335">
        <v>0</v>
      </c>
      <c r="AR118" s="335">
        <v>1</v>
      </c>
      <c r="AS118" s="335">
        <v>0</v>
      </c>
      <c r="AT118" s="335">
        <v>0</v>
      </c>
      <c r="AU118" s="335">
        <v>0</v>
      </c>
      <c r="AV118" s="336">
        <v>2</v>
      </c>
      <c r="AW118" s="334" t="s">
        <v>485</v>
      </c>
      <c r="AX118" s="335">
        <v>4</v>
      </c>
      <c r="AY118" s="335">
        <v>1</v>
      </c>
      <c r="AZ118" s="335">
        <v>1</v>
      </c>
      <c r="BA118" s="335">
        <v>0</v>
      </c>
      <c r="BB118" s="335">
        <v>0</v>
      </c>
      <c r="BC118" s="335">
        <v>2</v>
      </c>
      <c r="BD118" s="335">
        <v>0</v>
      </c>
      <c r="BE118" s="335">
        <v>0</v>
      </c>
      <c r="BF118" s="336">
        <v>1</v>
      </c>
      <c r="BG118" s="334" t="s">
        <v>484</v>
      </c>
      <c r="BH118" s="335">
        <v>3</v>
      </c>
      <c r="BI118" s="335">
        <v>0</v>
      </c>
      <c r="BJ118" s="335">
        <v>1</v>
      </c>
      <c r="BK118" s="335">
        <v>0</v>
      </c>
      <c r="BL118" s="335">
        <v>0</v>
      </c>
      <c r="BM118" s="335">
        <v>0</v>
      </c>
      <c r="BN118" s="335">
        <v>1</v>
      </c>
      <c r="BO118" s="335">
        <v>0</v>
      </c>
      <c r="BP118" s="336">
        <v>1</v>
      </c>
      <c r="BQ118" s="334" t="s">
        <v>367</v>
      </c>
      <c r="BR118" s="335">
        <v>3</v>
      </c>
      <c r="BS118" s="335">
        <v>1</v>
      </c>
      <c r="BT118" s="335">
        <v>0</v>
      </c>
      <c r="BU118" s="335">
        <v>0</v>
      </c>
      <c r="BV118" s="335">
        <v>1</v>
      </c>
      <c r="BW118" s="335">
        <v>1</v>
      </c>
      <c r="BX118" s="335">
        <v>0</v>
      </c>
      <c r="BY118" s="335">
        <v>0</v>
      </c>
      <c r="BZ118" s="336">
        <v>0</v>
      </c>
      <c r="CA118" s="334" t="s">
        <v>489</v>
      </c>
      <c r="CB118" s="335">
        <v>3</v>
      </c>
      <c r="CC118" s="335">
        <v>1</v>
      </c>
      <c r="CD118" s="335">
        <v>1</v>
      </c>
      <c r="CE118" s="335">
        <v>0</v>
      </c>
      <c r="CF118" s="335">
        <v>1</v>
      </c>
      <c r="CG118" s="335">
        <v>0</v>
      </c>
      <c r="CH118" s="335">
        <v>0</v>
      </c>
      <c r="CI118" s="335">
        <v>0</v>
      </c>
      <c r="CJ118" s="336">
        <v>1</v>
      </c>
      <c r="CK118" s="334" t="s">
        <v>480</v>
      </c>
      <c r="CL118" s="335">
        <v>3</v>
      </c>
      <c r="CM118" s="335">
        <v>2</v>
      </c>
      <c r="CN118" s="335">
        <v>1</v>
      </c>
      <c r="CO118" s="335">
        <v>0</v>
      </c>
      <c r="CP118" s="335">
        <v>1</v>
      </c>
      <c r="CQ118" s="335">
        <v>1</v>
      </c>
      <c r="CR118" s="335">
        <v>0</v>
      </c>
      <c r="CS118" s="335">
        <v>0</v>
      </c>
      <c r="CT118" s="336">
        <v>2</v>
      </c>
      <c r="CU118" s="334" t="s">
        <v>491</v>
      </c>
      <c r="CV118" s="335">
        <v>4</v>
      </c>
      <c r="CW118" s="335">
        <v>2</v>
      </c>
      <c r="CX118" s="335">
        <v>3</v>
      </c>
      <c r="CY118" s="335">
        <v>3</v>
      </c>
      <c r="CZ118" s="335">
        <v>0</v>
      </c>
      <c r="DA118" s="335">
        <v>0</v>
      </c>
      <c r="DB118" s="335">
        <v>0</v>
      </c>
      <c r="DC118" s="335">
        <v>0</v>
      </c>
      <c r="DD118" s="336">
        <v>5</v>
      </c>
      <c r="DE118" s="334" t="s">
        <v>486</v>
      </c>
      <c r="DF118" s="335">
        <v>2</v>
      </c>
      <c r="DG118" s="335">
        <v>1</v>
      </c>
      <c r="DH118" s="335">
        <v>1</v>
      </c>
      <c r="DI118" s="335">
        <v>2</v>
      </c>
      <c r="DJ118" s="335">
        <v>1</v>
      </c>
      <c r="DK118" s="335">
        <v>1</v>
      </c>
      <c r="DL118" s="335">
        <v>0</v>
      </c>
      <c r="DM118" s="335">
        <v>1</v>
      </c>
      <c r="DN118" s="336">
        <v>1</v>
      </c>
      <c r="DO118" s="334" t="s">
        <v>519</v>
      </c>
      <c r="DP118" s="335">
        <v>3</v>
      </c>
      <c r="DQ118" s="335">
        <v>0</v>
      </c>
      <c r="DR118" s="335">
        <v>0</v>
      </c>
      <c r="DS118" s="335">
        <v>0</v>
      </c>
      <c r="DT118" s="335">
        <v>0</v>
      </c>
      <c r="DU118" s="335">
        <v>2</v>
      </c>
      <c r="DV118" s="335">
        <v>0</v>
      </c>
      <c r="DW118" s="335">
        <v>0</v>
      </c>
      <c r="DX118" s="336">
        <v>0</v>
      </c>
      <c r="DY118" s="337">
        <v>0</v>
      </c>
      <c r="DZ118" s="338">
        <v>0</v>
      </c>
      <c r="EA118" s="338">
        <v>0</v>
      </c>
      <c r="EB118" s="339">
        <v>7</v>
      </c>
      <c r="EC118" s="338">
        <v>2</v>
      </c>
      <c r="ED118" s="340">
        <v>0</v>
      </c>
      <c r="EE118" s="341">
        <v>0</v>
      </c>
      <c r="EF118" s="338">
        <v>3</v>
      </c>
      <c r="EG118" s="338">
        <v>0</v>
      </c>
      <c r="EH118" s="338">
        <v>0</v>
      </c>
      <c r="EI118" s="338">
        <v>0</v>
      </c>
      <c r="EJ118" s="338">
        <v>0</v>
      </c>
      <c r="EK118" s="338">
        <v>5</v>
      </c>
      <c r="EL118" s="338"/>
      <c r="EM118" s="338"/>
      <c r="EN118" s="338"/>
      <c r="EO118" s="338"/>
      <c r="EP118" s="338"/>
      <c r="EQ118" s="338"/>
      <c r="ER118" s="338"/>
      <c r="ES118" s="338"/>
      <c r="ET118" s="338"/>
      <c r="EU118" s="338"/>
      <c r="EV118" s="338"/>
      <c r="EW118" s="338"/>
      <c r="EX118" s="342">
        <f t="shared" si="24"/>
        <v>8</v>
      </c>
      <c r="EY118" s="341">
        <v>1</v>
      </c>
      <c r="EZ118" s="338">
        <v>0</v>
      </c>
      <c r="FA118" s="338">
        <v>0</v>
      </c>
      <c r="FB118" s="338">
        <v>2</v>
      </c>
      <c r="FC118" s="338">
        <v>0</v>
      </c>
      <c r="FD118" s="338">
        <v>2</v>
      </c>
      <c r="FE118" s="338">
        <v>0</v>
      </c>
      <c r="FF118" s="338"/>
      <c r="FG118" s="338"/>
      <c r="FH118" s="338"/>
      <c r="FI118" s="338"/>
      <c r="FJ118" s="338"/>
      <c r="FK118" s="338"/>
      <c r="FL118" s="338"/>
      <c r="FM118" s="338"/>
      <c r="FN118" s="338"/>
      <c r="FO118" s="338"/>
      <c r="FP118" s="338"/>
      <c r="FQ118" s="338"/>
      <c r="FR118" s="342">
        <f t="shared" si="25"/>
        <v>5</v>
      </c>
      <c r="FS118" s="343">
        <f t="shared" si="26"/>
        <v>0</v>
      </c>
      <c r="FT118" s="344">
        <f t="shared" si="27"/>
        <v>0</v>
      </c>
      <c r="FU118" s="345" t="s">
        <v>378</v>
      </c>
    </row>
    <row r="119" spans="1:177" x14ac:dyDescent="0.25">
      <c r="A119" s="381">
        <v>40402</v>
      </c>
      <c r="B119" s="381" t="s">
        <v>19</v>
      </c>
      <c r="C119" s="381" t="s">
        <v>129</v>
      </c>
      <c r="D119" s="381" t="s">
        <v>495</v>
      </c>
      <c r="E119" s="382">
        <v>1757</v>
      </c>
      <c r="F119" s="383">
        <v>4</v>
      </c>
      <c r="G119" s="384" t="s">
        <v>487</v>
      </c>
      <c r="H119" s="385">
        <v>1</v>
      </c>
      <c r="I119" s="385">
        <v>0</v>
      </c>
      <c r="J119" s="386">
        <v>7</v>
      </c>
      <c r="K119" s="385">
        <v>8</v>
      </c>
      <c r="L119" s="385">
        <v>1</v>
      </c>
      <c r="M119" s="385">
        <v>1</v>
      </c>
      <c r="N119" s="385">
        <v>0</v>
      </c>
      <c r="O119" s="385">
        <v>6</v>
      </c>
      <c r="P119" s="385">
        <v>0</v>
      </c>
      <c r="Q119" s="385">
        <v>0</v>
      </c>
      <c r="R119" s="385">
        <v>28</v>
      </c>
      <c r="S119" s="385"/>
      <c r="T119" s="385"/>
      <c r="U119" s="385">
        <v>0</v>
      </c>
      <c r="V119" s="387">
        <v>0</v>
      </c>
      <c r="W119" s="388">
        <v>0</v>
      </c>
      <c r="X119" s="385">
        <v>0</v>
      </c>
      <c r="Y119" s="385">
        <v>0</v>
      </c>
      <c r="Z119" s="385">
        <v>1</v>
      </c>
      <c r="AA119" s="385">
        <v>0</v>
      </c>
      <c r="AB119" s="386">
        <v>2</v>
      </c>
      <c r="AC119" s="385">
        <v>3</v>
      </c>
      <c r="AD119" s="385">
        <v>5</v>
      </c>
      <c r="AE119" s="385">
        <v>0</v>
      </c>
      <c r="AF119" s="385">
        <v>3</v>
      </c>
      <c r="AG119" s="385">
        <v>2</v>
      </c>
      <c r="AH119" s="385">
        <v>0</v>
      </c>
      <c r="AI119" s="385">
        <v>0</v>
      </c>
      <c r="AJ119" s="385">
        <v>14</v>
      </c>
      <c r="AK119" s="385"/>
      <c r="AL119" s="387"/>
      <c r="AM119" s="389" t="s">
        <v>575</v>
      </c>
      <c r="AN119" s="390">
        <v>4</v>
      </c>
      <c r="AO119" s="390">
        <v>2</v>
      </c>
      <c r="AP119" s="390">
        <v>3</v>
      </c>
      <c r="AQ119" s="390">
        <v>0</v>
      </c>
      <c r="AR119" s="390">
        <v>1</v>
      </c>
      <c r="AS119" s="390">
        <v>0</v>
      </c>
      <c r="AT119" s="390">
        <v>0</v>
      </c>
      <c r="AU119" s="390">
        <v>0</v>
      </c>
      <c r="AV119" s="391">
        <v>4</v>
      </c>
      <c r="AW119" s="389" t="s">
        <v>485</v>
      </c>
      <c r="AX119" s="390">
        <v>4</v>
      </c>
      <c r="AY119" s="390">
        <v>1</v>
      </c>
      <c r="AZ119" s="390">
        <v>1</v>
      </c>
      <c r="BA119" s="390">
        <v>1</v>
      </c>
      <c r="BB119" s="390">
        <v>1</v>
      </c>
      <c r="BC119" s="390">
        <v>1</v>
      </c>
      <c r="BD119" s="390">
        <v>0</v>
      </c>
      <c r="BE119" s="390">
        <v>0</v>
      </c>
      <c r="BF119" s="391">
        <v>1</v>
      </c>
      <c r="BG119" s="389" t="s">
        <v>484</v>
      </c>
      <c r="BH119" s="390">
        <v>5</v>
      </c>
      <c r="BI119" s="390">
        <v>1</v>
      </c>
      <c r="BJ119" s="390">
        <v>3</v>
      </c>
      <c r="BK119" s="390">
        <v>1</v>
      </c>
      <c r="BL119" s="390">
        <v>0</v>
      </c>
      <c r="BM119" s="390">
        <v>0</v>
      </c>
      <c r="BN119" s="390">
        <v>0</v>
      </c>
      <c r="BO119" s="390">
        <v>0</v>
      </c>
      <c r="BP119" s="391">
        <v>3</v>
      </c>
      <c r="BQ119" s="389" t="s">
        <v>367</v>
      </c>
      <c r="BR119" s="390">
        <v>5</v>
      </c>
      <c r="BS119" s="390">
        <v>1</v>
      </c>
      <c r="BT119" s="390">
        <v>2</v>
      </c>
      <c r="BU119" s="390">
        <v>4</v>
      </c>
      <c r="BV119" s="390">
        <v>0</v>
      </c>
      <c r="BW119" s="390">
        <v>0</v>
      </c>
      <c r="BX119" s="390">
        <v>0</v>
      </c>
      <c r="BY119" s="390">
        <v>0</v>
      </c>
      <c r="BZ119" s="391">
        <v>5</v>
      </c>
      <c r="CA119" s="389" t="s">
        <v>489</v>
      </c>
      <c r="CB119" s="390">
        <v>3</v>
      </c>
      <c r="CC119" s="390">
        <v>1</v>
      </c>
      <c r="CD119" s="390">
        <v>1</v>
      </c>
      <c r="CE119" s="390">
        <v>0</v>
      </c>
      <c r="CF119" s="390">
        <v>1</v>
      </c>
      <c r="CG119" s="390">
        <v>0</v>
      </c>
      <c r="CH119" s="390">
        <v>0</v>
      </c>
      <c r="CI119" s="390">
        <v>0</v>
      </c>
      <c r="CJ119" s="391">
        <v>1</v>
      </c>
      <c r="CK119" s="389" t="s">
        <v>482</v>
      </c>
      <c r="CL119" s="390">
        <v>3</v>
      </c>
      <c r="CM119" s="390">
        <v>0</v>
      </c>
      <c r="CN119" s="390">
        <v>2</v>
      </c>
      <c r="CO119" s="390">
        <v>0</v>
      </c>
      <c r="CP119" s="390">
        <v>1</v>
      </c>
      <c r="CQ119" s="390">
        <v>0</v>
      </c>
      <c r="CR119" s="390">
        <v>0</v>
      </c>
      <c r="CS119" s="390">
        <v>0</v>
      </c>
      <c r="CT119" s="391">
        <v>2</v>
      </c>
      <c r="CU119" s="389" t="s">
        <v>481</v>
      </c>
      <c r="CV119" s="390">
        <v>4</v>
      </c>
      <c r="CW119" s="390">
        <v>0</v>
      </c>
      <c r="CX119" s="390">
        <v>0</v>
      </c>
      <c r="CY119" s="390">
        <v>0</v>
      </c>
      <c r="CZ119" s="390">
        <v>0</v>
      </c>
      <c r="DA119" s="390">
        <v>0</v>
      </c>
      <c r="DB119" s="390">
        <v>0</v>
      </c>
      <c r="DC119" s="390">
        <v>0</v>
      </c>
      <c r="DD119" s="391">
        <v>0</v>
      </c>
      <c r="DE119" s="389" t="s">
        <v>486</v>
      </c>
      <c r="DF119" s="390">
        <v>3</v>
      </c>
      <c r="DG119" s="390">
        <v>1</v>
      </c>
      <c r="DH119" s="390">
        <v>1</v>
      </c>
      <c r="DI119" s="390">
        <v>0</v>
      </c>
      <c r="DJ119" s="390">
        <v>1</v>
      </c>
      <c r="DK119" s="390">
        <v>0</v>
      </c>
      <c r="DL119" s="390">
        <v>0</v>
      </c>
      <c r="DM119" s="390">
        <v>0</v>
      </c>
      <c r="DN119" s="391">
        <v>1</v>
      </c>
      <c r="DO119" s="389" t="s">
        <v>479</v>
      </c>
      <c r="DP119" s="390">
        <v>3</v>
      </c>
      <c r="DQ119" s="390">
        <v>1</v>
      </c>
      <c r="DR119" s="390">
        <v>0</v>
      </c>
      <c r="DS119" s="390">
        <v>0</v>
      </c>
      <c r="DT119" s="390">
        <v>1</v>
      </c>
      <c r="DU119" s="390">
        <v>1</v>
      </c>
      <c r="DV119" s="390">
        <v>0</v>
      </c>
      <c r="DW119" s="390">
        <v>0</v>
      </c>
      <c r="DX119" s="391">
        <v>0</v>
      </c>
      <c r="DY119" s="392">
        <f>7+1/3</f>
        <v>7.333333333333333</v>
      </c>
      <c r="DZ119" s="393">
        <v>0</v>
      </c>
      <c r="EA119" s="393">
        <v>1</v>
      </c>
      <c r="EB119" s="394">
        <f>0+2/3</f>
        <v>0.66666666666666663</v>
      </c>
      <c r="EC119" s="393">
        <v>0</v>
      </c>
      <c r="ED119" s="395">
        <v>0</v>
      </c>
      <c r="EE119" s="396">
        <v>4</v>
      </c>
      <c r="EF119" s="393">
        <v>0</v>
      </c>
      <c r="EG119" s="393">
        <v>0</v>
      </c>
      <c r="EH119" s="393">
        <v>0</v>
      </c>
      <c r="EI119" s="393">
        <v>1</v>
      </c>
      <c r="EJ119" s="393">
        <v>0</v>
      </c>
      <c r="EK119" s="393">
        <v>0</v>
      </c>
      <c r="EL119" s="393">
        <v>3</v>
      </c>
      <c r="EM119" s="393"/>
      <c r="EN119" s="393"/>
      <c r="EO119" s="393"/>
      <c r="EP119" s="393"/>
      <c r="EQ119" s="393"/>
      <c r="ER119" s="393"/>
      <c r="ES119" s="393"/>
      <c r="ET119" s="393"/>
      <c r="EU119" s="393"/>
      <c r="EV119" s="393"/>
      <c r="EW119" s="393"/>
      <c r="EX119" s="397">
        <f t="shared" si="24"/>
        <v>8</v>
      </c>
      <c r="EY119" s="396">
        <v>1</v>
      </c>
      <c r="EZ119" s="393">
        <v>0</v>
      </c>
      <c r="FA119" s="393">
        <v>0</v>
      </c>
      <c r="FB119" s="393">
        <v>0</v>
      </c>
      <c r="FC119" s="393">
        <v>0</v>
      </c>
      <c r="FD119" s="393">
        <v>0</v>
      </c>
      <c r="FE119" s="393">
        <v>0</v>
      </c>
      <c r="FF119" s="393">
        <v>0</v>
      </c>
      <c r="FG119" s="393">
        <v>5</v>
      </c>
      <c r="FH119" s="393"/>
      <c r="FI119" s="393"/>
      <c r="FJ119" s="393"/>
      <c r="FK119" s="393"/>
      <c r="FL119" s="393"/>
      <c r="FM119" s="393"/>
      <c r="FN119" s="393"/>
      <c r="FO119" s="393"/>
      <c r="FP119" s="393"/>
      <c r="FQ119" s="393"/>
      <c r="FR119" s="397">
        <f t="shared" si="25"/>
        <v>6</v>
      </c>
      <c r="FS119" s="398">
        <f t="shared" si="26"/>
        <v>0</v>
      </c>
      <c r="FT119" s="399">
        <f t="shared" si="27"/>
        <v>0</v>
      </c>
      <c r="FU119" s="400"/>
    </row>
    <row r="120" spans="1:177" x14ac:dyDescent="0.25">
      <c r="A120" s="381">
        <v>40403</v>
      </c>
      <c r="B120" s="381" t="s">
        <v>19</v>
      </c>
      <c r="C120" s="381" t="s">
        <v>129</v>
      </c>
      <c r="D120" s="381" t="s">
        <v>495</v>
      </c>
      <c r="E120" s="382">
        <v>2305</v>
      </c>
      <c r="F120" s="383">
        <v>5</v>
      </c>
      <c r="G120" s="384" t="s">
        <v>493</v>
      </c>
      <c r="H120" s="385">
        <v>0</v>
      </c>
      <c r="I120" s="385">
        <v>0</v>
      </c>
      <c r="J120" s="386">
        <f>6+2/3</f>
        <v>6.666666666666667</v>
      </c>
      <c r="K120" s="385">
        <v>3</v>
      </c>
      <c r="L120" s="385">
        <v>1</v>
      </c>
      <c r="M120" s="385">
        <v>0</v>
      </c>
      <c r="N120" s="385">
        <v>2</v>
      </c>
      <c r="O120" s="385">
        <v>12</v>
      </c>
      <c r="P120" s="385">
        <v>0</v>
      </c>
      <c r="Q120" s="385">
        <v>0</v>
      </c>
      <c r="R120" s="385">
        <v>25</v>
      </c>
      <c r="S120" s="385"/>
      <c r="T120" s="385"/>
      <c r="U120" s="385">
        <v>3</v>
      </c>
      <c r="V120" s="387">
        <v>0</v>
      </c>
      <c r="W120" s="388">
        <v>1</v>
      </c>
      <c r="X120" s="385">
        <v>0</v>
      </c>
      <c r="Y120" s="385">
        <v>0</v>
      </c>
      <c r="Z120" s="385">
        <v>1</v>
      </c>
      <c r="AA120" s="385">
        <v>0</v>
      </c>
      <c r="AB120" s="386">
        <f>2+1/3</f>
        <v>2.3333333333333335</v>
      </c>
      <c r="AC120" s="385">
        <v>3</v>
      </c>
      <c r="AD120" s="385">
        <v>1</v>
      </c>
      <c r="AE120" s="385">
        <v>1</v>
      </c>
      <c r="AF120" s="385">
        <v>1</v>
      </c>
      <c r="AG120" s="385">
        <v>2</v>
      </c>
      <c r="AH120" s="385">
        <v>0</v>
      </c>
      <c r="AI120" s="385">
        <v>0</v>
      </c>
      <c r="AJ120" s="385">
        <v>10</v>
      </c>
      <c r="AK120" s="385"/>
      <c r="AL120" s="387"/>
      <c r="AM120" s="389" t="s">
        <v>482</v>
      </c>
      <c r="AN120" s="390">
        <v>3</v>
      </c>
      <c r="AO120" s="390">
        <v>1</v>
      </c>
      <c r="AP120" s="390">
        <v>1</v>
      </c>
      <c r="AQ120" s="390">
        <v>0</v>
      </c>
      <c r="AR120" s="390">
        <v>1</v>
      </c>
      <c r="AS120" s="390">
        <v>1</v>
      </c>
      <c r="AT120" s="390">
        <v>0</v>
      </c>
      <c r="AU120" s="390">
        <v>0</v>
      </c>
      <c r="AV120" s="391">
        <v>1</v>
      </c>
      <c r="AW120" s="389" t="s">
        <v>485</v>
      </c>
      <c r="AX120" s="390">
        <v>4</v>
      </c>
      <c r="AY120" s="390">
        <v>1</v>
      </c>
      <c r="AZ120" s="390">
        <v>1</v>
      </c>
      <c r="BA120" s="390">
        <v>1</v>
      </c>
      <c r="BB120" s="390">
        <v>0</v>
      </c>
      <c r="BC120" s="390">
        <v>0</v>
      </c>
      <c r="BD120" s="390">
        <v>0</v>
      </c>
      <c r="BE120" s="390">
        <v>0</v>
      </c>
      <c r="BF120" s="391">
        <v>1</v>
      </c>
      <c r="BG120" s="389" t="s">
        <v>484</v>
      </c>
      <c r="BH120" s="390">
        <v>3</v>
      </c>
      <c r="BI120" s="390">
        <v>0</v>
      </c>
      <c r="BJ120" s="390">
        <v>1</v>
      </c>
      <c r="BK120" s="390">
        <v>0</v>
      </c>
      <c r="BL120" s="390">
        <v>0</v>
      </c>
      <c r="BM120" s="390">
        <v>0</v>
      </c>
      <c r="BN120" s="390">
        <v>0</v>
      </c>
      <c r="BO120" s="390">
        <v>0</v>
      </c>
      <c r="BP120" s="391">
        <v>1</v>
      </c>
      <c r="BQ120" s="389" t="s">
        <v>367</v>
      </c>
      <c r="BR120" s="390">
        <v>2</v>
      </c>
      <c r="BS120" s="390">
        <v>1</v>
      </c>
      <c r="BT120" s="390">
        <v>0</v>
      </c>
      <c r="BU120" s="390">
        <v>0</v>
      </c>
      <c r="BV120" s="390">
        <v>2</v>
      </c>
      <c r="BW120" s="390">
        <v>0</v>
      </c>
      <c r="BX120" s="390">
        <v>0</v>
      </c>
      <c r="BY120" s="390">
        <v>0</v>
      </c>
      <c r="BZ120" s="391">
        <v>0</v>
      </c>
      <c r="CA120" s="389" t="s">
        <v>489</v>
      </c>
      <c r="CB120" s="390">
        <v>4</v>
      </c>
      <c r="CC120" s="390">
        <v>1</v>
      </c>
      <c r="CD120" s="390">
        <v>2</v>
      </c>
      <c r="CE120" s="390">
        <v>3</v>
      </c>
      <c r="CF120" s="390">
        <v>0</v>
      </c>
      <c r="CG120" s="390">
        <v>0</v>
      </c>
      <c r="CH120" s="390">
        <v>0</v>
      </c>
      <c r="CI120" s="390">
        <v>0</v>
      </c>
      <c r="CJ120" s="391">
        <v>3</v>
      </c>
      <c r="CK120" s="389" t="s">
        <v>491</v>
      </c>
      <c r="CL120" s="390">
        <v>4</v>
      </c>
      <c r="CM120" s="390">
        <v>0</v>
      </c>
      <c r="CN120" s="390">
        <v>0</v>
      </c>
      <c r="CO120" s="390">
        <v>0</v>
      </c>
      <c r="CP120" s="390">
        <v>0</v>
      </c>
      <c r="CQ120" s="390">
        <v>2</v>
      </c>
      <c r="CR120" s="390">
        <v>0</v>
      </c>
      <c r="CS120" s="390">
        <v>0</v>
      </c>
      <c r="CT120" s="391">
        <v>0</v>
      </c>
      <c r="CU120" s="389" t="s">
        <v>481</v>
      </c>
      <c r="CV120" s="390">
        <v>3</v>
      </c>
      <c r="CW120" s="390">
        <v>0</v>
      </c>
      <c r="CX120" s="390">
        <v>2</v>
      </c>
      <c r="CY120" s="390">
        <v>1</v>
      </c>
      <c r="CZ120" s="390">
        <v>0</v>
      </c>
      <c r="DA120" s="390">
        <v>1</v>
      </c>
      <c r="DB120" s="390">
        <v>0</v>
      </c>
      <c r="DC120" s="390">
        <v>0</v>
      </c>
      <c r="DD120" s="391">
        <v>2</v>
      </c>
      <c r="DE120" s="389" t="s">
        <v>480</v>
      </c>
      <c r="DF120" s="390">
        <v>4</v>
      </c>
      <c r="DG120" s="390">
        <v>0</v>
      </c>
      <c r="DH120" s="390">
        <v>0</v>
      </c>
      <c r="DI120" s="390">
        <v>0</v>
      </c>
      <c r="DJ120" s="390">
        <v>0</v>
      </c>
      <c r="DK120" s="390">
        <v>2</v>
      </c>
      <c r="DL120" s="390">
        <v>0</v>
      </c>
      <c r="DM120" s="390">
        <v>0</v>
      </c>
      <c r="DN120" s="391">
        <v>0</v>
      </c>
      <c r="DO120" s="389" t="s">
        <v>519</v>
      </c>
      <c r="DP120" s="390">
        <v>3</v>
      </c>
      <c r="DQ120" s="390">
        <v>1</v>
      </c>
      <c r="DR120" s="390">
        <v>1</v>
      </c>
      <c r="DS120" s="390">
        <v>0</v>
      </c>
      <c r="DT120" s="390">
        <v>0</v>
      </c>
      <c r="DU120" s="390">
        <v>0</v>
      </c>
      <c r="DV120" s="390">
        <v>0</v>
      </c>
      <c r="DW120" s="390">
        <v>0</v>
      </c>
      <c r="DX120" s="391">
        <v>1</v>
      </c>
      <c r="DY120" s="392">
        <v>0</v>
      </c>
      <c r="DZ120" s="393">
        <v>0</v>
      </c>
      <c r="EA120" s="393">
        <v>0</v>
      </c>
      <c r="EB120" s="394">
        <v>8</v>
      </c>
      <c r="EC120" s="393">
        <v>0</v>
      </c>
      <c r="ED120" s="395">
        <v>1</v>
      </c>
      <c r="EE120" s="396">
        <v>0</v>
      </c>
      <c r="EF120" s="393">
        <v>0</v>
      </c>
      <c r="EG120" s="393">
        <v>0</v>
      </c>
      <c r="EH120" s="393">
        <v>0</v>
      </c>
      <c r="EI120" s="393">
        <v>0</v>
      </c>
      <c r="EJ120" s="393">
        <v>0</v>
      </c>
      <c r="EK120" s="393">
        <v>0</v>
      </c>
      <c r="EL120" s="393">
        <v>5</v>
      </c>
      <c r="EM120" s="393"/>
      <c r="EN120" s="393"/>
      <c r="EO120" s="393"/>
      <c r="EP120" s="393"/>
      <c r="EQ120" s="393"/>
      <c r="ER120" s="393"/>
      <c r="ES120" s="393"/>
      <c r="ET120" s="393"/>
      <c r="EU120" s="393"/>
      <c r="EV120" s="393"/>
      <c r="EW120" s="393"/>
      <c r="EX120" s="397">
        <f t="shared" si="24"/>
        <v>5</v>
      </c>
      <c r="EY120" s="396">
        <v>0</v>
      </c>
      <c r="EZ120" s="393">
        <v>0</v>
      </c>
      <c r="FA120" s="393">
        <v>0</v>
      </c>
      <c r="FB120" s="393">
        <v>0</v>
      </c>
      <c r="FC120" s="393">
        <v>1</v>
      </c>
      <c r="FD120" s="393">
        <v>0</v>
      </c>
      <c r="FE120" s="393">
        <v>0</v>
      </c>
      <c r="FF120" s="393">
        <v>1</v>
      </c>
      <c r="FG120" s="393">
        <v>0</v>
      </c>
      <c r="FH120" s="393"/>
      <c r="FI120" s="393"/>
      <c r="FJ120" s="393"/>
      <c r="FK120" s="393"/>
      <c r="FL120" s="393"/>
      <c r="FM120" s="393"/>
      <c r="FN120" s="393"/>
      <c r="FO120" s="393"/>
      <c r="FP120" s="393"/>
      <c r="FQ120" s="393"/>
      <c r="FR120" s="397">
        <f t="shared" si="25"/>
        <v>2</v>
      </c>
      <c r="FS120" s="398">
        <f t="shared" si="26"/>
        <v>0</v>
      </c>
      <c r="FT120" s="399">
        <f t="shared" si="27"/>
        <v>0</v>
      </c>
      <c r="FU120" s="400"/>
    </row>
    <row r="121" spans="1:177" x14ac:dyDescent="0.25">
      <c r="A121" s="381">
        <v>40404</v>
      </c>
      <c r="B121" s="381" t="s">
        <v>19</v>
      </c>
      <c r="C121" s="381" t="s">
        <v>129</v>
      </c>
      <c r="D121" s="381" t="s">
        <v>495</v>
      </c>
      <c r="E121" s="382">
        <v>4761</v>
      </c>
      <c r="F121" s="383">
        <v>1</v>
      </c>
      <c r="G121" s="384" t="s">
        <v>490</v>
      </c>
      <c r="H121" s="385">
        <v>1</v>
      </c>
      <c r="I121" s="385">
        <v>0</v>
      </c>
      <c r="J121" s="386">
        <v>5</v>
      </c>
      <c r="K121" s="385">
        <v>1</v>
      </c>
      <c r="L121" s="385">
        <v>0</v>
      </c>
      <c r="M121" s="385">
        <v>0</v>
      </c>
      <c r="N121" s="385">
        <v>1</v>
      </c>
      <c r="O121" s="385">
        <v>4</v>
      </c>
      <c r="P121" s="385">
        <v>0</v>
      </c>
      <c r="Q121" s="385">
        <v>0</v>
      </c>
      <c r="R121" s="385">
        <v>16</v>
      </c>
      <c r="S121" s="385"/>
      <c r="T121" s="385"/>
      <c r="U121" s="385">
        <v>0</v>
      </c>
      <c r="V121" s="387">
        <v>0</v>
      </c>
      <c r="W121" s="388">
        <v>0</v>
      </c>
      <c r="X121" s="385">
        <v>0</v>
      </c>
      <c r="Y121" s="385">
        <v>0</v>
      </c>
      <c r="Z121" s="385">
        <v>0</v>
      </c>
      <c r="AA121" s="385">
        <v>0</v>
      </c>
      <c r="AB121" s="386">
        <v>4</v>
      </c>
      <c r="AC121" s="385">
        <v>5</v>
      </c>
      <c r="AD121" s="385">
        <v>1</v>
      </c>
      <c r="AE121" s="385">
        <v>1</v>
      </c>
      <c r="AF121" s="385">
        <v>3</v>
      </c>
      <c r="AG121" s="385">
        <v>7</v>
      </c>
      <c r="AH121" s="385">
        <v>0</v>
      </c>
      <c r="AI121" s="385">
        <v>0</v>
      </c>
      <c r="AJ121" s="385">
        <v>19</v>
      </c>
      <c r="AK121" s="385"/>
      <c r="AL121" s="387"/>
      <c r="AM121" s="389" t="s">
        <v>519</v>
      </c>
      <c r="AN121" s="390">
        <v>3</v>
      </c>
      <c r="AO121" s="390">
        <v>0</v>
      </c>
      <c r="AP121" s="390">
        <v>2</v>
      </c>
      <c r="AQ121" s="390">
        <v>1</v>
      </c>
      <c r="AR121" s="390">
        <v>1</v>
      </c>
      <c r="AS121" s="390">
        <v>0</v>
      </c>
      <c r="AT121" s="390">
        <v>0</v>
      </c>
      <c r="AU121" s="390">
        <v>1</v>
      </c>
      <c r="AV121" s="391">
        <v>2</v>
      </c>
      <c r="AW121" s="389" t="s">
        <v>485</v>
      </c>
      <c r="AX121" s="390">
        <v>5</v>
      </c>
      <c r="AY121" s="390">
        <v>0</v>
      </c>
      <c r="AZ121" s="390">
        <v>0</v>
      </c>
      <c r="BA121" s="390">
        <v>0</v>
      </c>
      <c r="BB121" s="390">
        <v>0</v>
      </c>
      <c r="BC121" s="390">
        <v>1</v>
      </c>
      <c r="BD121" s="390">
        <v>0</v>
      </c>
      <c r="BE121" s="390">
        <v>0</v>
      </c>
      <c r="BF121" s="391">
        <v>0</v>
      </c>
      <c r="BG121" s="389" t="s">
        <v>484</v>
      </c>
      <c r="BH121" s="390">
        <v>5</v>
      </c>
      <c r="BI121" s="390">
        <v>1</v>
      </c>
      <c r="BJ121" s="390">
        <v>3</v>
      </c>
      <c r="BK121" s="390">
        <v>0</v>
      </c>
      <c r="BL121" s="390">
        <v>0</v>
      </c>
      <c r="BM121" s="390">
        <v>0</v>
      </c>
      <c r="BN121" s="390">
        <v>0</v>
      </c>
      <c r="BO121" s="390">
        <v>0</v>
      </c>
      <c r="BP121" s="391">
        <v>4</v>
      </c>
      <c r="BQ121" s="389" t="s">
        <v>367</v>
      </c>
      <c r="BR121" s="390">
        <v>5</v>
      </c>
      <c r="BS121" s="390">
        <v>0</v>
      </c>
      <c r="BT121" s="390">
        <v>0</v>
      </c>
      <c r="BU121" s="390">
        <v>0</v>
      </c>
      <c r="BV121" s="390">
        <v>0</v>
      </c>
      <c r="BW121" s="390">
        <v>1</v>
      </c>
      <c r="BX121" s="390">
        <v>0</v>
      </c>
      <c r="BY121" s="390">
        <v>0</v>
      </c>
      <c r="BZ121" s="391">
        <v>0</v>
      </c>
      <c r="CA121" s="389" t="s">
        <v>489</v>
      </c>
      <c r="CB121" s="390">
        <v>4</v>
      </c>
      <c r="CC121" s="390">
        <v>2</v>
      </c>
      <c r="CD121" s="390">
        <v>1</v>
      </c>
      <c r="CE121" s="390">
        <v>1</v>
      </c>
      <c r="CF121" s="390">
        <v>1</v>
      </c>
      <c r="CG121" s="390">
        <v>0</v>
      </c>
      <c r="CH121" s="390">
        <v>0</v>
      </c>
      <c r="CI121" s="390">
        <v>0</v>
      </c>
      <c r="CJ121" s="391">
        <v>4</v>
      </c>
      <c r="CK121" s="389" t="s">
        <v>491</v>
      </c>
      <c r="CL121" s="390">
        <v>2</v>
      </c>
      <c r="CM121" s="390">
        <v>3</v>
      </c>
      <c r="CN121" s="390">
        <v>2</v>
      </c>
      <c r="CO121" s="390">
        <v>1</v>
      </c>
      <c r="CP121" s="390">
        <v>2</v>
      </c>
      <c r="CQ121" s="390">
        <v>0</v>
      </c>
      <c r="CR121" s="390">
        <v>0</v>
      </c>
      <c r="CS121" s="390">
        <v>0</v>
      </c>
      <c r="CT121" s="391">
        <v>2</v>
      </c>
      <c r="CU121" s="389" t="s">
        <v>482</v>
      </c>
      <c r="CV121" s="390">
        <v>2</v>
      </c>
      <c r="CW121" s="390">
        <v>0</v>
      </c>
      <c r="CX121" s="390">
        <v>0</v>
      </c>
      <c r="CY121" s="390">
        <v>0</v>
      </c>
      <c r="CZ121" s="390">
        <v>1</v>
      </c>
      <c r="DA121" s="390">
        <v>0</v>
      </c>
      <c r="DB121" s="390">
        <v>0</v>
      </c>
      <c r="DC121" s="390">
        <v>0</v>
      </c>
      <c r="DD121" s="391">
        <v>0</v>
      </c>
      <c r="DE121" s="389" t="s">
        <v>480</v>
      </c>
      <c r="DF121" s="390">
        <v>2</v>
      </c>
      <c r="DG121" s="390">
        <v>0</v>
      </c>
      <c r="DH121" s="390">
        <v>1</v>
      </c>
      <c r="DI121" s="390">
        <v>1</v>
      </c>
      <c r="DJ121" s="390">
        <v>2</v>
      </c>
      <c r="DK121" s="390">
        <v>1</v>
      </c>
      <c r="DL121" s="390">
        <v>0</v>
      </c>
      <c r="DM121" s="390">
        <v>0</v>
      </c>
      <c r="DN121" s="391">
        <v>1</v>
      </c>
      <c r="DO121" s="389" t="s">
        <v>486</v>
      </c>
      <c r="DP121" s="390">
        <v>4</v>
      </c>
      <c r="DQ121" s="390">
        <v>1</v>
      </c>
      <c r="DR121" s="390">
        <v>1</v>
      </c>
      <c r="DS121" s="390">
        <v>3</v>
      </c>
      <c r="DT121" s="390">
        <v>0</v>
      </c>
      <c r="DU121" s="390">
        <v>2</v>
      </c>
      <c r="DV121" s="390">
        <v>0</v>
      </c>
      <c r="DW121" s="390">
        <v>0</v>
      </c>
      <c r="DX121" s="391">
        <v>4</v>
      </c>
      <c r="DY121" s="392">
        <v>2</v>
      </c>
      <c r="DZ121" s="393">
        <v>0</v>
      </c>
      <c r="EA121" s="393">
        <v>0</v>
      </c>
      <c r="EB121" s="394">
        <v>6</v>
      </c>
      <c r="EC121" s="393">
        <v>0</v>
      </c>
      <c r="ED121" s="395">
        <v>1</v>
      </c>
      <c r="EE121" s="396">
        <v>0</v>
      </c>
      <c r="EF121" s="393">
        <v>1</v>
      </c>
      <c r="EG121" s="393">
        <v>0</v>
      </c>
      <c r="EH121" s="393">
        <v>2</v>
      </c>
      <c r="EI121" s="393">
        <v>1</v>
      </c>
      <c r="EJ121" s="393">
        <v>0</v>
      </c>
      <c r="EK121" s="393">
        <v>3</v>
      </c>
      <c r="EL121" s="393">
        <v>0</v>
      </c>
      <c r="EM121" s="393"/>
      <c r="EN121" s="393"/>
      <c r="EO121" s="393"/>
      <c r="EP121" s="393"/>
      <c r="EQ121" s="393"/>
      <c r="ER121" s="393"/>
      <c r="ES121" s="393"/>
      <c r="ET121" s="393"/>
      <c r="EU121" s="393"/>
      <c r="EV121" s="393"/>
      <c r="EW121" s="393"/>
      <c r="EX121" s="397">
        <f t="shared" si="24"/>
        <v>7</v>
      </c>
      <c r="EY121" s="396">
        <v>0</v>
      </c>
      <c r="EZ121" s="393">
        <v>0</v>
      </c>
      <c r="FA121" s="393">
        <v>0</v>
      </c>
      <c r="FB121" s="393">
        <v>0</v>
      </c>
      <c r="FC121" s="393">
        <v>0</v>
      </c>
      <c r="FD121" s="393">
        <v>0</v>
      </c>
      <c r="FE121" s="393">
        <v>0</v>
      </c>
      <c r="FF121" s="393">
        <v>0</v>
      </c>
      <c r="FG121" s="393">
        <v>1</v>
      </c>
      <c r="FH121" s="393"/>
      <c r="FI121" s="393"/>
      <c r="FJ121" s="393"/>
      <c r="FK121" s="393"/>
      <c r="FL121" s="393"/>
      <c r="FM121" s="393"/>
      <c r="FN121" s="393"/>
      <c r="FO121" s="393"/>
      <c r="FP121" s="393"/>
      <c r="FQ121" s="393"/>
      <c r="FR121" s="397">
        <f t="shared" si="25"/>
        <v>1</v>
      </c>
      <c r="FS121" s="398">
        <f t="shared" si="26"/>
        <v>0</v>
      </c>
      <c r="FT121" s="399">
        <f t="shared" si="27"/>
        <v>0</v>
      </c>
      <c r="FU121" s="400"/>
    </row>
    <row r="122" spans="1:177" x14ac:dyDescent="0.25">
      <c r="A122" s="381">
        <v>40405</v>
      </c>
      <c r="B122" s="381" t="s">
        <v>19</v>
      </c>
      <c r="C122" s="381" t="s">
        <v>129</v>
      </c>
      <c r="D122" s="381" t="s">
        <v>514</v>
      </c>
      <c r="E122" s="382">
        <v>1792</v>
      </c>
      <c r="F122" s="383">
        <v>2</v>
      </c>
      <c r="G122" s="384" t="s">
        <v>580</v>
      </c>
      <c r="H122" s="385">
        <v>0</v>
      </c>
      <c r="I122" s="385">
        <v>0</v>
      </c>
      <c r="J122" s="386">
        <f>5+1/3</f>
        <v>5.333333333333333</v>
      </c>
      <c r="K122" s="385">
        <v>7</v>
      </c>
      <c r="L122" s="385">
        <v>3</v>
      </c>
      <c r="M122" s="385">
        <v>3</v>
      </c>
      <c r="N122" s="385">
        <v>2</v>
      </c>
      <c r="O122" s="385">
        <v>3</v>
      </c>
      <c r="P122" s="385">
        <v>0</v>
      </c>
      <c r="Q122" s="385">
        <v>0</v>
      </c>
      <c r="R122" s="385">
        <v>21</v>
      </c>
      <c r="S122" s="385"/>
      <c r="T122" s="385"/>
      <c r="U122" s="385">
        <v>2</v>
      </c>
      <c r="V122" s="387">
        <v>2</v>
      </c>
      <c r="W122" s="388">
        <v>1</v>
      </c>
      <c r="X122" s="385">
        <v>0</v>
      </c>
      <c r="Y122" s="385">
        <v>0</v>
      </c>
      <c r="Z122" s="385">
        <v>0</v>
      </c>
      <c r="AA122" s="385">
        <v>1</v>
      </c>
      <c r="AB122" s="386">
        <f>3+2/3</f>
        <v>3.6666666666666665</v>
      </c>
      <c r="AC122" s="385">
        <v>5</v>
      </c>
      <c r="AD122" s="385">
        <v>4</v>
      </c>
      <c r="AE122" s="385">
        <v>4</v>
      </c>
      <c r="AF122" s="385">
        <v>1</v>
      </c>
      <c r="AG122" s="385">
        <v>3</v>
      </c>
      <c r="AH122" s="385">
        <v>2</v>
      </c>
      <c r="AI122" s="385">
        <v>0</v>
      </c>
      <c r="AJ122" s="385">
        <v>16</v>
      </c>
      <c r="AK122" s="385"/>
      <c r="AL122" s="387"/>
      <c r="AM122" s="389" t="s">
        <v>274</v>
      </c>
      <c r="AN122" s="390">
        <v>5</v>
      </c>
      <c r="AO122" s="390">
        <v>1</v>
      </c>
      <c r="AP122" s="390">
        <v>3</v>
      </c>
      <c r="AQ122" s="390">
        <v>1</v>
      </c>
      <c r="AR122" s="390">
        <v>0</v>
      </c>
      <c r="AS122" s="390">
        <v>0</v>
      </c>
      <c r="AT122" s="390">
        <v>0</v>
      </c>
      <c r="AU122" s="390">
        <v>0</v>
      </c>
      <c r="AV122" s="391">
        <v>3</v>
      </c>
      <c r="AW122" s="389" t="s">
        <v>485</v>
      </c>
      <c r="AX122" s="390">
        <v>5</v>
      </c>
      <c r="AY122" s="390">
        <v>1</v>
      </c>
      <c r="AZ122" s="390">
        <v>2</v>
      </c>
      <c r="BA122" s="390">
        <v>0</v>
      </c>
      <c r="BB122" s="390">
        <v>0</v>
      </c>
      <c r="BC122" s="390">
        <v>3</v>
      </c>
      <c r="BD122" s="390">
        <v>0</v>
      </c>
      <c r="BE122" s="390">
        <v>0</v>
      </c>
      <c r="BF122" s="391">
        <v>3</v>
      </c>
      <c r="BG122" s="389" t="s">
        <v>484</v>
      </c>
      <c r="BH122" s="390">
        <v>4</v>
      </c>
      <c r="BI122" s="390">
        <v>1</v>
      </c>
      <c r="BJ122" s="390">
        <v>0</v>
      </c>
      <c r="BK122" s="390">
        <v>0</v>
      </c>
      <c r="BL122" s="390">
        <v>1</v>
      </c>
      <c r="BM122" s="390">
        <v>1</v>
      </c>
      <c r="BN122" s="390">
        <v>0</v>
      </c>
      <c r="BO122" s="390">
        <v>0</v>
      </c>
      <c r="BP122" s="391">
        <v>0</v>
      </c>
      <c r="BQ122" s="389" t="s">
        <v>367</v>
      </c>
      <c r="BR122" s="390">
        <v>4</v>
      </c>
      <c r="BS122" s="390">
        <v>1</v>
      </c>
      <c r="BT122" s="390">
        <v>2</v>
      </c>
      <c r="BU122" s="390">
        <v>1</v>
      </c>
      <c r="BV122" s="390">
        <v>1</v>
      </c>
      <c r="BW122" s="390">
        <v>1</v>
      </c>
      <c r="BX122" s="390">
        <v>0</v>
      </c>
      <c r="BY122" s="390">
        <v>0</v>
      </c>
      <c r="BZ122" s="391">
        <v>4</v>
      </c>
      <c r="CA122" s="389" t="s">
        <v>489</v>
      </c>
      <c r="CB122" s="390">
        <v>3</v>
      </c>
      <c r="CC122" s="390">
        <v>2</v>
      </c>
      <c r="CD122" s="390">
        <v>1</v>
      </c>
      <c r="CE122" s="390">
        <v>0</v>
      </c>
      <c r="CF122" s="390">
        <v>2</v>
      </c>
      <c r="CG122" s="390">
        <v>1</v>
      </c>
      <c r="CH122" s="390">
        <v>0</v>
      </c>
      <c r="CI122" s="390">
        <v>0</v>
      </c>
      <c r="CJ122" s="391">
        <v>1</v>
      </c>
      <c r="CK122" s="389" t="s">
        <v>481</v>
      </c>
      <c r="CL122" s="390">
        <v>4</v>
      </c>
      <c r="CM122" s="390">
        <v>2</v>
      </c>
      <c r="CN122" s="390">
        <v>2</v>
      </c>
      <c r="CO122" s="390">
        <v>4</v>
      </c>
      <c r="CP122" s="390">
        <v>1</v>
      </c>
      <c r="CQ122" s="390">
        <v>2</v>
      </c>
      <c r="CR122" s="390">
        <v>0</v>
      </c>
      <c r="CS122" s="390">
        <v>0</v>
      </c>
      <c r="CT122" s="391">
        <v>6</v>
      </c>
      <c r="CU122" s="389" t="s">
        <v>486</v>
      </c>
      <c r="CV122" s="390">
        <v>4</v>
      </c>
      <c r="CW122" s="390">
        <v>0</v>
      </c>
      <c r="CX122" s="390">
        <v>2</v>
      </c>
      <c r="CY122" s="390">
        <v>1</v>
      </c>
      <c r="CZ122" s="390">
        <v>1</v>
      </c>
      <c r="DA122" s="390">
        <v>1</v>
      </c>
      <c r="DB122" s="390">
        <v>0</v>
      </c>
      <c r="DC122" s="390">
        <v>0</v>
      </c>
      <c r="DD122" s="391">
        <v>2</v>
      </c>
      <c r="DE122" s="389" t="s">
        <v>480</v>
      </c>
      <c r="DF122" s="390">
        <v>4</v>
      </c>
      <c r="DG122" s="390">
        <v>0</v>
      </c>
      <c r="DH122" s="390">
        <v>1</v>
      </c>
      <c r="DI122" s="390">
        <v>1</v>
      </c>
      <c r="DJ122" s="390">
        <v>0</v>
      </c>
      <c r="DK122" s="390">
        <v>1</v>
      </c>
      <c r="DL122" s="390">
        <v>0</v>
      </c>
      <c r="DM122" s="390">
        <v>0</v>
      </c>
      <c r="DN122" s="391">
        <v>1</v>
      </c>
      <c r="DO122" s="389" t="s">
        <v>479</v>
      </c>
      <c r="DP122" s="390">
        <v>3</v>
      </c>
      <c r="DQ122" s="390">
        <v>0</v>
      </c>
      <c r="DR122" s="390">
        <v>0</v>
      </c>
      <c r="DS122" s="390">
        <v>0</v>
      </c>
      <c r="DT122" s="390">
        <v>1</v>
      </c>
      <c r="DU122" s="390">
        <v>1</v>
      </c>
      <c r="DV122" s="390">
        <v>0</v>
      </c>
      <c r="DW122" s="390">
        <v>0</v>
      </c>
      <c r="DX122" s="391">
        <v>0</v>
      </c>
      <c r="DY122" s="392">
        <v>0</v>
      </c>
      <c r="DZ122" s="393">
        <v>0</v>
      </c>
      <c r="EA122" s="393">
        <v>0</v>
      </c>
      <c r="EB122" s="394">
        <f>8+2/3</f>
        <v>8.6666666666666661</v>
      </c>
      <c r="EC122" s="393">
        <v>0</v>
      </c>
      <c r="ED122" s="395">
        <v>1</v>
      </c>
      <c r="EE122" s="396">
        <v>1</v>
      </c>
      <c r="EF122" s="393">
        <v>2</v>
      </c>
      <c r="EG122" s="393">
        <v>0</v>
      </c>
      <c r="EH122" s="393">
        <v>0</v>
      </c>
      <c r="EI122" s="393">
        <v>0</v>
      </c>
      <c r="EJ122" s="393">
        <v>3</v>
      </c>
      <c r="EK122" s="393">
        <v>0</v>
      </c>
      <c r="EL122" s="393">
        <v>0</v>
      </c>
      <c r="EM122" s="393">
        <v>2</v>
      </c>
      <c r="EN122" s="393"/>
      <c r="EO122" s="393"/>
      <c r="EP122" s="393"/>
      <c r="EQ122" s="393"/>
      <c r="ER122" s="393"/>
      <c r="ES122" s="393"/>
      <c r="ET122" s="393"/>
      <c r="EU122" s="393"/>
      <c r="EV122" s="393"/>
      <c r="EW122" s="393"/>
      <c r="EX122" s="397">
        <f t="shared" si="24"/>
        <v>8</v>
      </c>
      <c r="EY122" s="396">
        <v>0</v>
      </c>
      <c r="EZ122" s="393">
        <v>0</v>
      </c>
      <c r="FA122" s="393">
        <v>0</v>
      </c>
      <c r="FB122" s="393">
        <v>0</v>
      </c>
      <c r="FC122" s="393">
        <v>0</v>
      </c>
      <c r="FD122" s="393">
        <v>4</v>
      </c>
      <c r="FE122" s="393">
        <v>3</v>
      </c>
      <c r="FF122" s="393">
        <v>0</v>
      </c>
      <c r="FG122" s="393">
        <v>0</v>
      </c>
      <c r="FH122" s="393"/>
      <c r="FI122" s="393"/>
      <c r="FJ122" s="393"/>
      <c r="FK122" s="393"/>
      <c r="FL122" s="393"/>
      <c r="FM122" s="393"/>
      <c r="FN122" s="393"/>
      <c r="FO122" s="393"/>
      <c r="FP122" s="393"/>
      <c r="FQ122" s="393"/>
      <c r="FR122" s="397">
        <f t="shared" si="25"/>
        <v>7</v>
      </c>
      <c r="FS122" s="398">
        <f t="shared" si="26"/>
        <v>0</v>
      </c>
      <c r="FT122" s="399">
        <f t="shared" si="27"/>
        <v>0</v>
      </c>
      <c r="FU122" s="400"/>
    </row>
    <row r="123" spans="1:177" x14ac:dyDescent="0.25">
      <c r="A123" s="381">
        <v>40406</v>
      </c>
      <c r="B123" s="381" t="s">
        <v>19</v>
      </c>
      <c r="C123" s="381" t="s">
        <v>131</v>
      </c>
      <c r="D123" s="381" t="s">
        <v>514</v>
      </c>
      <c r="E123" s="382">
        <v>1205</v>
      </c>
      <c r="F123" s="383">
        <v>3</v>
      </c>
      <c r="G123" s="384" t="s">
        <v>492</v>
      </c>
      <c r="H123" s="385">
        <v>0</v>
      </c>
      <c r="I123" s="385">
        <v>0</v>
      </c>
      <c r="J123" s="386">
        <v>5</v>
      </c>
      <c r="K123" s="385">
        <v>7</v>
      </c>
      <c r="L123" s="385">
        <v>4</v>
      </c>
      <c r="M123" s="385">
        <v>4</v>
      </c>
      <c r="N123" s="385">
        <v>2</v>
      </c>
      <c r="O123" s="385">
        <v>4</v>
      </c>
      <c r="P123" s="385">
        <v>0</v>
      </c>
      <c r="Q123" s="385">
        <v>0</v>
      </c>
      <c r="R123" s="385">
        <v>23</v>
      </c>
      <c r="S123" s="385"/>
      <c r="T123" s="385"/>
      <c r="U123" s="385">
        <v>1</v>
      </c>
      <c r="V123" s="387">
        <v>1</v>
      </c>
      <c r="W123" s="388">
        <v>0</v>
      </c>
      <c r="X123" s="385">
        <v>1</v>
      </c>
      <c r="Y123" s="385">
        <v>0</v>
      </c>
      <c r="Z123" s="385">
        <v>0</v>
      </c>
      <c r="AA123" s="385">
        <v>0</v>
      </c>
      <c r="AB123" s="386">
        <v>8</v>
      </c>
      <c r="AC123" s="385">
        <v>8</v>
      </c>
      <c r="AD123" s="385">
        <v>3</v>
      </c>
      <c r="AE123" s="385">
        <v>2</v>
      </c>
      <c r="AF123" s="385">
        <v>2</v>
      </c>
      <c r="AG123" s="385">
        <v>9</v>
      </c>
      <c r="AH123" s="385">
        <v>0</v>
      </c>
      <c r="AI123" s="385">
        <v>0</v>
      </c>
      <c r="AJ123" s="385">
        <v>35</v>
      </c>
      <c r="AK123" s="385"/>
      <c r="AL123" s="387"/>
      <c r="AM123" s="389" t="s">
        <v>519</v>
      </c>
      <c r="AN123" s="390">
        <v>6</v>
      </c>
      <c r="AO123" s="390">
        <v>1</v>
      </c>
      <c r="AP123" s="390">
        <v>3</v>
      </c>
      <c r="AQ123" s="390">
        <v>0</v>
      </c>
      <c r="AR123" s="390">
        <v>1</v>
      </c>
      <c r="AS123" s="390">
        <v>2</v>
      </c>
      <c r="AT123" s="390">
        <v>0</v>
      </c>
      <c r="AU123" s="390">
        <v>0</v>
      </c>
      <c r="AV123" s="391">
        <v>3</v>
      </c>
      <c r="AW123" s="389" t="s">
        <v>485</v>
      </c>
      <c r="AX123" s="390">
        <v>3</v>
      </c>
      <c r="AY123" s="390">
        <v>0</v>
      </c>
      <c r="AZ123" s="390">
        <v>1</v>
      </c>
      <c r="BA123" s="390">
        <v>0</v>
      </c>
      <c r="BB123" s="390">
        <v>4</v>
      </c>
      <c r="BC123" s="390">
        <v>1</v>
      </c>
      <c r="BD123" s="390">
        <v>0</v>
      </c>
      <c r="BE123" s="390">
        <v>0</v>
      </c>
      <c r="BF123" s="391">
        <v>1</v>
      </c>
      <c r="BG123" s="389" t="s">
        <v>491</v>
      </c>
      <c r="BH123" s="390">
        <v>6</v>
      </c>
      <c r="BI123" s="390">
        <v>0</v>
      </c>
      <c r="BJ123" s="390">
        <v>1</v>
      </c>
      <c r="BK123" s="390">
        <v>3</v>
      </c>
      <c r="BL123" s="390">
        <v>0</v>
      </c>
      <c r="BM123" s="390">
        <v>2</v>
      </c>
      <c r="BN123" s="390">
        <v>0</v>
      </c>
      <c r="BO123" s="390">
        <v>1</v>
      </c>
      <c r="BP123" s="391">
        <v>1</v>
      </c>
      <c r="BQ123" s="389" t="s">
        <v>367</v>
      </c>
      <c r="BR123" s="390">
        <v>4</v>
      </c>
      <c r="BS123" s="390">
        <v>0</v>
      </c>
      <c r="BT123" s="390">
        <v>0</v>
      </c>
      <c r="BU123" s="390">
        <v>0</v>
      </c>
      <c r="BV123" s="390">
        <v>2</v>
      </c>
      <c r="BW123" s="390">
        <v>2</v>
      </c>
      <c r="BX123" s="390">
        <v>0</v>
      </c>
      <c r="BY123" s="390">
        <v>0</v>
      </c>
      <c r="BZ123" s="391">
        <v>0</v>
      </c>
      <c r="CA123" s="389" t="s">
        <v>489</v>
      </c>
      <c r="CB123" s="390">
        <v>5</v>
      </c>
      <c r="CC123" s="390">
        <v>0</v>
      </c>
      <c r="CD123" s="390">
        <v>1</v>
      </c>
      <c r="CE123" s="390">
        <v>0</v>
      </c>
      <c r="CF123" s="390">
        <v>0</v>
      </c>
      <c r="CG123" s="390">
        <v>2</v>
      </c>
      <c r="CH123" s="390">
        <v>0</v>
      </c>
      <c r="CI123" s="390">
        <v>0</v>
      </c>
      <c r="CJ123" s="391">
        <v>1</v>
      </c>
      <c r="CK123" s="389" t="s">
        <v>447</v>
      </c>
      <c r="CL123" s="390">
        <v>6</v>
      </c>
      <c r="CM123" s="390">
        <v>1</v>
      </c>
      <c r="CN123" s="390">
        <v>1</v>
      </c>
      <c r="CO123" s="390">
        <v>0</v>
      </c>
      <c r="CP123" s="390">
        <v>0</v>
      </c>
      <c r="CQ123" s="390">
        <v>3</v>
      </c>
      <c r="CR123" s="390">
        <v>0</v>
      </c>
      <c r="CS123" s="390">
        <v>0</v>
      </c>
      <c r="CT123" s="391">
        <v>1</v>
      </c>
      <c r="CU123" s="389" t="s">
        <v>481</v>
      </c>
      <c r="CV123" s="390">
        <v>5</v>
      </c>
      <c r="CW123" s="390">
        <v>1</v>
      </c>
      <c r="CX123" s="390">
        <v>1</v>
      </c>
      <c r="CY123" s="390">
        <v>0</v>
      </c>
      <c r="CZ123" s="390">
        <v>1</v>
      </c>
      <c r="DA123" s="390">
        <v>0</v>
      </c>
      <c r="DB123" s="390">
        <v>0</v>
      </c>
      <c r="DC123" s="390">
        <v>0</v>
      </c>
      <c r="DD123" s="391">
        <v>2</v>
      </c>
      <c r="DE123" s="389" t="s">
        <v>486</v>
      </c>
      <c r="DF123" s="390">
        <v>5</v>
      </c>
      <c r="DG123" s="390">
        <v>1</v>
      </c>
      <c r="DH123" s="390">
        <v>1</v>
      </c>
      <c r="DI123" s="390">
        <v>0</v>
      </c>
      <c r="DJ123" s="390">
        <v>1</v>
      </c>
      <c r="DK123" s="390">
        <v>0</v>
      </c>
      <c r="DL123" s="390">
        <v>0</v>
      </c>
      <c r="DM123" s="390">
        <v>0</v>
      </c>
      <c r="DN123" s="391">
        <v>2</v>
      </c>
      <c r="DO123" s="389" t="s">
        <v>482</v>
      </c>
      <c r="DP123" s="390">
        <v>4</v>
      </c>
      <c r="DQ123" s="390">
        <v>1</v>
      </c>
      <c r="DR123" s="390">
        <v>1</v>
      </c>
      <c r="DS123" s="390">
        <v>0</v>
      </c>
      <c r="DT123" s="390">
        <v>2</v>
      </c>
      <c r="DU123" s="390">
        <v>0</v>
      </c>
      <c r="DV123" s="390">
        <v>0</v>
      </c>
      <c r="DW123" s="390">
        <v>0</v>
      </c>
      <c r="DX123" s="391">
        <v>1</v>
      </c>
      <c r="DY123" s="392">
        <v>0</v>
      </c>
      <c r="DZ123" s="393">
        <v>0</v>
      </c>
      <c r="EA123" s="393">
        <v>0</v>
      </c>
      <c r="EB123" s="394">
        <v>13</v>
      </c>
      <c r="EC123" s="393">
        <v>0</v>
      </c>
      <c r="ED123" s="395">
        <v>1</v>
      </c>
      <c r="EE123" s="396">
        <v>0</v>
      </c>
      <c r="EF123" s="393">
        <v>0</v>
      </c>
      <c r="EG123" s="393">
        <v>1</v>
      </c>
      <c r="EH123" s="393">
        <v>0</v>
      </c>
      <c r="EI123" s="393">
        <v>2</v>
      </c>
      <c r="EJ123" s="393">
        <v>0</v>
      </c>
      <c r="EK123" s="393">
        <v>0</v>
      </c>
      <c r="EL123" s="393">
        <v>0</v>
      </c>
      <c r="EM123" s="393">
        <v>1</v>
      </c>
      <c r="EN123" s="393">
        <v>1</v>
      </c>
      <c r="EO123" s="393">
        <v>0</v>
      </c>
      <c r="EP123" s="393">
        <v>0</v>
      </c>
      <c r="EQ123" s="393">
        <v>0</v>
      </c>
      <c r="ER123" s="393"/>
      <c r="ES123" s="393"/>
      <c r="ET123" s="393"/>
      <c r="EU123" s="393"/>
      <c r="EV123" s="393"/>
      <c r="EW123" s="393"/>
      <c r="EX123" s="397">
        <f t="shared" si="24"/>
        <v>5</v>
      </c>
      <c r="EY123" s="396">
        <v>0</v>
      </c>
      <c r="EZ123" s="393">
        <v>0</v>
      </c>
      <c r="FA123" s="393">
        <v>2</v>
      </c>
      <c r="FB123" s="393">
        <v>0</v>
      </c>
      <c r="FC123" s="393">
        <v>1</v>
      </c>
      <c r="FD123" s="393">
        <v>1</v>
      </c>
      <c r="FE123" s="393">
        <v>0</v>
      </c>
      <c r="FF123" s="393">
        <v>0</v>
      </c>
      <c r="FG123" s="393">
        <v>0</v>
      </c>
      <c r="FH123" s="393">
        <v>1</v>
      </c>
      <c r="FI123" s="393">
        <v>0</v>
      </c>
      <c r="FJ123" s="393">
        <v>0</v>
      </c>
      <c r="FK123" s="393">
        <v>2</v>
      </c>
      <c r="FL123" s="393"/>
      <c r="FM123" s="393"/>
      <c r="FN123" s="393"/>
      <c r="FO123" s="393"/>
      <c r="FP123" s="393"/>
      <c r="FQ123" s="393"/>
      <c r="FR123" s="397">
        <f t="shared" si="25"/>
        <v>7</v>
      </c>
      <c r="FS123" s="398">
        <f t="shared" si="26"/>
        <v>0</v>
      </c>
      <c r="FT123" s="399">
        <f t="shared" si="27"/>
        <v>0</v>
      </c>
      <c r="FU123" s="400"/>
    </row>
    <row r="124" spans="1:177" x14ac:dyDescent="0.25">
      <c r="A124" s="381">
        <v>40407</v>
      </c>
      <c r="B124" s="381" t="s">
        <v>19</v>
      </c>
      <c r="C124" s="381" t="s">
        <v>131</v>
      </c>
      <c r="D124" s="381" t="s">
        <v>514</v>
      </c>
      <c r="E124" s="382">
        <v>1653</v>
      </c>
      <c r="F124" s="383">
        <v>4</v>
      </c>
      <c r="G124" s="384" t="s">
        <v>487</v>
      </c>
      <c r="H124" s="385">
        <v>0</v>
      </c>
      <c r="I124" s="385">
        <v>1</v>
      </c>
      <c r="J124" s="386">
        <v>7</v>
      </c>
      <c r="K124" s="385">
        <v>12</v>
      </c>
      <c r="L124" s="385">
        <v>9</v>
      </c>
      <c r="M124" s="385">
        <v>3</v>
      </c>
      <c r="N124" s="385">
        <v>0</v>
      </c>
      <c r="O124" s="385">
        <v>5</v>
      </c>
      <c r="P124" s="385">
        <v>0</v>
      </c>
      <c r="Q124" s="385">
        <v>0</v>
      </c>
      <c r="R124" s="385">
        <v>33</v>
      </c>
      <c r="S124" s="385"/>
      <c r="T124" s="385"/>
      <c r="U124" s="385">
        <v>0</v>
      </c>
      <c r="V124" s="387">
        <v>0</v>
      </c>
      <c r="W124" s="388">
        <v>0</v>
      </c>
      <c r="X124" s="385">
        <v>0</v>
      </c>
      <c r="Y124" s="385">
        <v>0</v>
      </c>
      <c r="Z124" s="385">
        <v>0</v>
      </c>
      <c r="AA124" s="385">
        <v>0</v>
      </c>
      <c r="AB124" s="386">
        <v>2</v>
      </c>
      <c r="AC124" s="385">
        <v>0</v>
      </c>
      <c r="AD124" s="385">
        <v>0</v>
      </c>
      <c r="AE124" s="385">
        <v>0</v>
      </c>
      <c r="AF124" s="385">
        <v>0</v>
      </c>
      <c r="AG124" s="385">
        <v>4</v>
      </c>
      <c r="AH124" s="385">
        <v>0</v>
      </c>
      <c r="AI124" s="385">
        <v>0</v>
      </c>
      <c r="AJ124" s="385">
        <v>6</v>
      </c>
      <c r="AK124" s="385"/>
      <c r="AL124" s="387"/>
      <c r="AM124" s="389" t="s">
        <v>519</v>
      </c>
      <c r="AN124" s="390">
        <v>4</v>
      </c>
      <c r="AO124" s="390">
        <v>1</v>
      </c>
      <c r="AP124" s="390">
        <v>1</v>
      </c>
      <c r="AQ124" s="390">
        <v>0</v>
      </c>
      <c r="AR124" s="390">
        <v>1</v>
      </c>
      <c r="AS124" s="390">
        <v>2</v>
      </c>
      <c r="AT124" s="390">
        <v>0</v>
      </c>
      <c r="AU124" s="390">
        <v>0</v>
      </c>
      <c r="AV124" s="391">
        <v>1</v>
      </c>
      <c r="AW124" s="389" t="s">
        <v>486</v>
      </c>
      <c r="AX124" s="390">
        <v>3</v>
      </c>
      <c r="AY124" s="390">
        <v>0</v>
      </c>
      <c r="AZ124" s="390">
        <v>1</v>
      </c>
      <c r="BA124" s="390">
        <v>0</v>
      </c>
      <c r="BB124" s="390">
        <v>1</v>
      </c>
      <c r="BC124" s="390">
        <v>1</v>
      </c>
      <c r="BD124" s="390">
        <v>0</v>
      </c>
      <c r="BE124" s="390">
        <v>0</v>
      </c>
      <c r="BF124" s="391">
        <v>1</v>
      </c>
      <c r="BG124" s="389" t="s">
        <v>491</v>
      </c>
      <c r="BH124" s="390">
        <v>4</v>
      </c>
      <c r="BI124" s="390">
        <v>0</v>
      </c>
      <c r="BJ124" s="390">
        <v>1</v>
      </c>
      <c r="BK124" s="390">
        <v>1</v>
      </c>
      <c r="BL124" s="390">
        <v>0</v>
      </c>
      <c r="BM124" s="390">
        <v>2</v>
      </c>
      <c r="BN124" s="390">
        <v>0</v>
      </c>
      <c r="BO124" s="390">
        <v>0</v>
      </c>
      <c r="BP124" s="391">
        <v>1</v>
      </c>
      <c r="BQ124" s="389" t="s">
        <v>367</v>
      </c>
      <c r="BR124" s="390">
        <v>4</v>
      </c>
      <c r="BS124" s="390">
        <v>0</v>
      </c>
      <c r="BT124" s="390">
        <v>1</v>
      </c>
      <c r="BU124" s="390">
        <v>0</v>
      </c>
      <c r="BV124" s="390">
        <v>0</v>
      </c>
      <c r="BW124" s="390">
        <v>1</v>
      </c>
      <c r="BX124" s="390">
        <v>0</v>
      </c>
      <c r="BY124" s="390">
        <v>0</v>
      </c>
      <c r="BZ124" s="391">
        <v>1</v>
      </c>
      <c r="CA124" s="389" t="s">
        <v>484</v>
      </c>
      <c r="CB124" s="390">
        <v>4</v>
      </c>
      <c r="CC124" s="390">
        <v>0</v>
      </c>
      <c r="CD124" s="390">
        <v>0</v>
      </c>
      <c r="CE124" s="390">
        <v>0</v>
      </c>
      <c r="CF124" s="390">
        <v>0</v>
      </c>
      <c r="CG124" s="390">
        <v>2</v>
      </c>
      <c r="CH124" s="390">
        <v>0</v>
      </c>
      <c r="CI124" s="390">
        <v>0</v>
      </c>
      <c r="CJ124" s="391">
        <v>0</v>
      </c>
      <c r="CK124" s="389" t="s">
        <v>481</v>
      </c>
      <c r="CL124" s="390">
        <v>3</v>
      </c>
      <c r="CM124" s="390">
        <v>0</v>
      </c>
      <c r="CN124" s="390">
        <v>1</v>
      </c>
      <c r="CO124" s="390">
        <v>0</v>
      </c>
      <c r="CP124" s="390">
        <v>1</v>
      </c>
      <c r="CQ124" s="390">
        <v>0</v>
      </c>
      <c r="CR124" s="390">
        <v>0</v>
      </c>
      <c r="CS124" s="390">
        <v>0</v>
      </c>
      <c r="CT124" s="391">
        <v>1</v>
      </c>
      <c r="CU124" s="389" t="s">
        <v>480</v>
      </c>
      <c r="CV124" s="390">
        <v>3</v>
      </c>
      <c r="CW124" s="390">
        <v>1</v>
      </c>
      <c r="CX124" s="390">
        <v>1</v>
      </c>
      <c r="CY124" s="390">
        <v>0</v>
      </c>
      <c r="CZ124" s="390">
        <v>1</v>
      </c>
      <c r="DA124" s="390">
        <v>1</v>
      </c>
      <c r="DB124" s="390">
        <v>0</v>
      </c>
      <c r="DC124" s="390">
        <v>0</v>
      </c>
      <c r="DD124" s="391">
        <v>1</v>
      </c>
      <c r="DE124" s="389" t="s">
        <v>482</v>
      </c>
      <c r="DF124" s="390">
        <v>3</v>
      </c>
      <c r="DG124" s="390">
        <v>0</v>
      </c>
      <c r="DH124" s="390">
        <v>1</v>
      </c>
      <c r="DI124" s="390">
        <v>0</v>
      </c>
      <c r="DJ124" s="390">
        <v>1</v>
      </c>
      <c r="DK124" s="390">
        <v>1</v>
      </c>
      <c r="DL124" s="390">
        <v>0</v>
      </c>
      <c r="DM124" s="390">
        <v>0</v>
      </c>
      <c r="DN124" s="391">
        <v>1</v>
      </c>
      <c r="DO124" s="389" t="s">
        <v>479</v>
      </c>
      <c r="DP124" s="390">
        <v>4</v>
      </c>
      <c r="DQ124" s="390">
        <v>0</v>
      </c>
      <c r="DR124" s="390">
        <v>0</v>
      </c>
      <c r="DS124" s="390">
        <v>0</v>
      </c>
      <c r="DT124" s="390">
        <v>0</v>
      </c>
      <c r="DU124" s="390">
        <v>4</v>
      </c>
      <c r="DV124" s="390">
        <v>0</v>
      </c>
      <c r="DW124" s="390">
        <v>0</v>
      </c>
      <c r="DX124" s="391">
        <v>0</v>
      </c>
      <c r="DY124" s="392">
        <v>0</v>
      </c>
      <c r="DZ124" s="393">
        <v>0</v>
      </c>
      <c r="EA124" s="393">
        <v>0</v>
      </c>
      <c r="EB124" s="394">
        <v>9</v>
      </c>
      <c r="EC124" s="393">
        <v>0</v>
      </c>
      <c r="ED124" s="395">
        <v>0</v>
      </c>
      <c r="EE124" s="396">
        <v>0</v>
      </c>
      <c r="EF124" s="393">
        <v>0</v>
      </c>
      <c r="EG124" s="393">
        <v>2</v>
      </c>
      <c r="EH124" s="393">
        <v>0</v>
      </c>
      <c r="EI124" s="393">
        <v>0</v>
      </c>
      <c r="EJ124" s="393">
        <v>0</v>
      </c>
      <c r="EK124" s="393">
        <v>0</v>
      </c>
      <c r="EL124" s="393">
        <v>0</v>
      </c>
      <c r="EM124" s="393">
        <v>0</v>
      </c>
      <c r="EN124" s="393"/>
      <c r="EO124" s="393"/>
      <c r="EP124" s="393"/>
      <c r="EQ124" s="393"/>
      <c r="ER124" s="393"/>
      <c r="ES124" s="393"/>
      <c r="ET124" s="393"/>
      <c r="EU124" s="393"/>
      <c r="EV124" s="393"/>
      <c r="EW124" s="393"/>
      <c r="EX124" s="397">
        <f t="shared" si="24"/>
        <v>2</v>
      </c>
      <c r="EY124" s="396">
        <v>1</v>
      </c>
      <c r="EZ124" s="393">
        <v>0</v>
      </c>
      <c r="FA124" s="393">
        <v>3</v>
      </c>
      <c r="FB124" s="393">
        <v>3</v>
      </c>
      <c r="FC124" s="393">
        <v>0</v>
      </c>
      <c r="FD124" s="393">
        <v>0</v>
      </c>
      <c r="FE124" s="393">
        <v>2</v>
      </c>
      <c r="FF124" s="393">
        <v>0</v>
      </c>
      <c r="FG124" s="393">
        <v>0</v>
      </c>
      <c r="FH124" s="393"/>
      <c r="FI124" s="393"/>
      <c r="FJ124" s="393"/>
      <c r="FK124" s="393"/>
      <c r="FL124" s="393"/>
      <c r="FM124" s="393"/>
      <c r="FN124" s="393"/>
      <c r="FO124" s="393"/>
      <c r="FP124" s="393"/>
      <c r="FQ124" s="393"/>
      <c r="FR124" s="397">
        <f t="shared" si="25"/>
        <v>9</v>
      </c>
      <c r="FS124" s="398">
        <f t="shared" si="26"/>
        <v>0</v>
      </c>
      <c r="FT124" s="399">
        <f t="shared" si="27"/>
        <v>0</v>
      </c>
      <c r="FU124" s="400"/>
    </row>
    <row r="125" spans="1:177" x14ac:dyDescent="0.25">
      <c r="A125" s="381">
        <v>40408</v>
      </c>
      <c r="B125" s="381" t="s">
        <v>133</v>
      </c>
      <c r="C125" s="381" t="s">
        <v>131</v>
      </c>
      <c r="D125" s="381" t="s">
        <v>495</v>
      </c>
      <c r="E125" s="382">
        <v>1743</v>
      </c>
      <c r="F125" s="383">
        <v>5</v>
      </c>
      <c r="G125" s="384" t="s">
        <v>493</v>
      </c>
      <c r="H125" s="385">
        <v>0</v>
      </c>
      <c r="I125" s="385">
        <v>1</v>
      </c>
      <c r="J125" s="386">
        <v>5</v>
      </c>
      <c r="K125" s="385">
        <v>3</v>
      </c>
      <c r="L125" s="385">
        <v>3</v>
      </c>
      <c r="M125" s="385">
        <v>2</v>
      </c>
      <c r="N125" s="385">
        <v>1</v>
      </c>
      <c r="O125" s="385">
        <v>5</v>
      </c>
      <c r="P125" s="385">
        <v>0</v>
      </c>
      <c r="Q125" s="385">
        <v>1</v>
      </c>
      <c r="R125" s="385">
        <v>21</v>
      </c>
      <c r="S125" s="385"/>
      <c r="T125" s="385"/>
      <c r="U125" s="385">
        <v>1</v>
      </c>
      <c r="V125" s="387">
        <v>1</v>
      </c>
      <c r="W125" s="388">
        <v>0</v>
      </c>
      <c r="X125" s="385">
        <v>0</v>
      </c>
      <c r="Y125" s="385">
        <v>0</v>
      </c>
      <c r="Z125" s="385">
        <v>0</v>
      </c>
      <c r="AA125" s="385">
        <v>0</v>
      </c>
      <c r="AB125" s="386">
        <v>3</v>
      </c>
      <c r="AC125" s="385">
        <v>5</v>
      </c>
      <c r="AD125" s="385">
        <v>2</v>
      </c>
      <c r="AE125" s="385">
        <v>2</v>
      </c>
      <c r="AF125" s="385">
        <v>0</v>
      </c>
      <c r="AG125" s="385">
        <v>1</v>
      </c>
      <c r="AH125" s="385">
        <v>0</v>
      </c>
      <c r="AI125" s="385">
        <v>0</v>
      </c>
      <c r="AJ125" s="385">
        <v>14</v>
      </c>
      <c r="AK125" s="385"/>
      <c r="AL125" s="387"/>
      <c r="AM125" s="389" t="s">
        <v>482</v>
      </c>
      <c r="AN125" s="390">
        <v>5</v>
      </c>
      <c r="AO125" s="390">
        <v>0</v>
      </c>
      <c r="AP125" s="390">
        <v>2</v>
      </c>
      <c r="AQ125" s="390">
        <v>0</v>
      </c>
      <c r="AR125" s="390">
        <v>0</v>
      </c>
      <c r="AS125" s="390">
        <v>0</v>
      </c>
      <c r="AT125" s="390">
        <v>0</v>
      </c>
      <c r="AU125" s="390">
        <v>0</v>
      </c>
      <c r="AV125" s="391">
        <v>2</v>
      </c>
      <c r="AW125" s="389" t="s">
        <v>485</v>
      </c>
      <c r="AX125" s="390">
        <v>5</v>
      </c>
      <c r="AY125" s="390">
        <v>0</v>
      </c>
      <c r="AZ125" s="390">
        <v>0</v>
      </c>
      <c r="BA125" s="390">
        <v>0</v>
      </c>
      <c r="BB125" s="390">
        <v>0</v>
      </c>
      <c r="BC125" s="390">
        <v>1</v>
      </c>
      <c r="BD125" s="390">
        <v>0</v>
      </c>
      <c r="BE125" s="390">
        <v>0</v>
      </c>
      <c r="BF125" s="391">
        <v>0</v>
      </c>
      <c r="BG125" s="389" t="s">
        <v>484</v>
      </c>
      <c r="BH125" s="390">
        <v>4</v>
      </c>
      <c r="BI125" s="390">
        <v>0</v>
      </c>
      <c r="BJ125" s="390">
        <v>2</v>
      </c>
      <c r="BK125" s="390">
        <v>0</v>
      </c>
      <c r="BL125" s="390">
        <v>0</v>
      </c>
      <c r="BM125" s="390">
        <v>0</v>
      </c>
      <c r="BN125" s="390">
        <v>0</v>
      </c>
      <c r="BO125" s="390">
        <v>0</v>
      </c>
      <c r="BP125" s="391">
        <v>3</v>
      </c>
      <c r="BQ125" s="389" t="s">
        <v>367</v>
      </c>
      <c r="BR125" s="390">
        <v>2</v>
      </c>
      <c r="BS125" s="390">
        <v>0</v>
      </c>
      <c r="BT125" s="390">
        <v>0</v>
      </c>
      <c r="BU125" s="390">
        <v>0</v>
      </c>
      <c r="BV125" s="390">
        <v>2</v>
      </c>
      <c r="BW125" s="390">
        <v>1</v>
      </c>
      <c r="BX125" s="390">
        <v>0</v>
      </c>
      <c r="BY125" s="390">
        <v>0</v>
      </c>
      <c r="BZ125" s="391">
        <v>0</v>
      </c>
      <c r="CA125" s="389" t="s">
        <v>489</v>
      </c>
      <c r="CB125" s="390">
        <v>4</v>
      </c>
      <c r="CC125" s="390">
        <v>0</v>
      </c>
      <c r="CD125" s="390">
        <v>0</v>
      </c>
      <c r="CE125" s="390">
        <v>0</v>
      </c>
      <c r="CF125" s="390">
        <v>0</v>
      </c>
      <c r="CG125" s="390">
        <v>1</v>
      </c>
      <c r="CH125" s="390">
        <v>0</v>
      </c>
      <c r="CI125" s="390">
        <v>0</v>
      </c>
      <c r="CJ125" s="391">
        <v>0</v>
      </c>
      <c r="CK125" s="389" t="s">
        <v>491</v>
      </c>
      <c r="CL125" s="390">
        <v>4</v>
      </c>
      <c r="CM125" s="390">
        <v>0</v>
      </c>
      <c r="CN125" s="390">
        <v>1</v>
      </c>
      <c r="CO125" s="390">
        <v>0</v>
      </c>
      <c r="CP125" s="390">
        <v>0</v>
      </c>
      <c r="CQ125" s="390">
        <v>1</v>
      </c>
      <c r="CR125" s="390">
        <v>0</v>
      </c>
      <c r="CS125" s="390">
        <v>0</v>
      </c>
      <c r="CT125" s="391">
        <v>1</v>
      </c>
      <c r="CU125" s="389" t="s">
        <v>480</v>
      </c>
      <c r="CV125" s="390">
        <v>4</v>
      </c>
      <c r="CW125" s="390">
        <v>0</v>
      </c>
      <c r="CX125" s="390">
        <v>1</v>
      </c>
      <c r="CY125" s="390">
        <v>0</v>
      </c>
      <c r="CZ125" s="390">
        <v>0</v>
      </c>
      <c r="DA125" s="390">
        <v>3</v>
      </c>
      <c r="DB125" s="390">
        <v>0</v>
      </c>
      <c r="DC125" s="390">
        <v>0</v>
      </c>
      <c r="DD125" s="391">
        <v>2</v>
      </c>
      <c r="DE125" s="389" t="s">
        <v>486</v>
      </c>
      <c r="DF125" s="390">
        <v>4</v>
      </c>
      <c r="DG125" s="390">
        <v>0</v>
      </c>
      <c r="DH125" s="390">
        <v>1</v>
      </c>
      <c r="DI125" s="390">
        <v>0</v>
      </c>
      <c r="DJ125" s="390">
        <v>0</v>
      </c>
      <c r="DK125" s="390">
        <v>0</v>
      </c>
      <c r="DL125" s="390">
        <v>0</v>
      </c>
      <c r="DM125" s="390">
        <v>0</v>
      </c>
      <c r="DN125" s="391">
        <v>1</v>
      </c>
      <c r="DO125" s="389" t="s">
        <v>519</v>
      </c>
      <c r="DP125" s="390">
        <v>4</v>
      </c>
      <c r="DQ125" s="390">
        <v>0</v>
      </c>
      <c r="DR125" s="390">
        <v>1</v>
      </c>
      <c r="DS125" s="390">
        <v>0</v>
      </c>
      <c r="DT125" s="390">
        <v>0</v>
      </c>
      <c r="DU125" s="390">
        <v>1</v>
      </c>
      <c r="DV125" s="390">
        <v>0</v>
      </c>
      <c r="DW125" s="390">
        <v>0</v>
      </c>
      <c r="DX125" s="391">
        <v>2</v>
      </c>
      <c r="DY125" s="392">
        <v>0</v>
      </c>
      <c r="DZ125" s="393">
        <v>0</v>
      </c>
      <c r="EA125" s="393">
        <v>0</v>
      </c>
      <c r="EB125" s="394">
        <v>9</v>
      </c>
      <c r="EC125" s="393">
        <v>0</v>
      </c>
      <c r="ED125" s="395">
        <v>0</v>
      </c>
      <c r="EE125" s="396">
        <v>0</v>
      </c>
      <c r="EF125" s="393">
        <v>0</v>
      </c>
      <c r="EG125" s="393">
        <v>0</v>
      </c>
      <c r="EH125" s="393">
        <v>0</v>
      </c>
      <c r="EI125" s="393">
        <v>0</v>
      </c>
      <c r="EJ125" s="393">
        <v>0</v>
      </c>
      <c r="EK125" s="393">
        <v>0</v>
      </c>
      <c r="EL125" s="393">
        <v>0</v>
      </c>
      <c r="EM125" s="393">
        <v>0</v>
      </c>
      <c r="EN125" s="393"/>
      <c r="EO125" s="393"/>
      <c r="EP125" s="393"/>
      <c r="EQ125" s="393"/>
      <c r="ER125" s="393"/>
      <c r="ES125" s="393"/>
      <c r="ET125" s="393"/>
      <c r="EU125" s="393"/>
      <c r="EV125" s="393"/>
      <c r="EW125" s="393"/>
      <c r="EX125" s="397">
        <f t="shared" si="24"/>
        <v>0</v>
      </c>
      <c r="EY125" s="396">
        <v>0</v>
      </c>
      <c r="EZ125" s="393">
        <v>0</v>
      </c>
      <c r="FA125" s="393">
        <v>0</v>
      </c>
      <c r="FB125" s="393">
        <v>0</v>
      </c>
      <c r="FC125" s="393">
        <v>2</v>
      </c>
      <c r="FD125" s="393">
        <v>1</v>
      </c>
      <c r="FE125" s="393">
        <v>2</v>
      </c>
      <c r="FF125" s="393">
        <v>0</v>
      </c>
      <c r="FG125" s="393"/>
      <c r="FH125" s="393"/>
      <c r="FI125" s="393"/>
      <c r="FJ125" s="393"/>
      <c r="FK125" s="393"/>
      <c r="FL125" s="393"/>
      <c r="FM125" s="393"/>
      <c r="FN125" s="393"/>
      <c r="FO125" s="393"/>
      <c r="FP125" s="393"/>
      <c r="FQ125" s="393"/>
      <c r="FR125" s="397">
        <f t="shared" si="25"/>
        <v>5</v>
      </c>
      <c r="FS125" s="398">
        <f t="shared" si="26"/>
        <v>0</v>
      </c>
      <c r="FT125" s="399">
        <f t="shared" si="27"/>
        <v>0</v>
      </c>
      <c r="FU125" s="400"/>
    </row>
    <row r="126" spans="1:177" x14ac:dyDescent="0.25">
      <c r="A126" s="381">
        <v>40409</v>
      </c>
      <c r="B126" s="381" t="s">
        <v>133</v>
      </c>
      <c r="C126" s="381" t="s">
        <v>129</v>
      </c>
      <c r="D126" s="381" t="s">
        <v>495</v>
      </c>
      <c r="E126" s="382">
        <v>1392</v>
      </c>
      <c r="F126" s="383">
        <v>1</v>
      </c>
      <c r="G126" s="384" t="s">
        <v>490</v>
      </c>
      <c r="H126" s="385">
        <v>1</v>
      </c>
      <c r="I126" s="385">
        <v>0</v>
      </c>
      <c r="J126" s="386">
        <v>5</v>
      </c>
      <c r="K126" s="385">
        <v>8</v>
      </c>
      <c r="L126" s="385">
        <v>1</v>
      </c>
      <c r="M126" s="385">
        <v>1</v>
      </c>
      <c r="N126" s="385">
        <v>2</v>
      </c>
      <c r="O126" s="385">
        <v>1</v>
      </c>
      <c r="P126" s="385">
        <v>0</v>
      </c>
      <c r="Q126" s="385">
        <v>1</v>
      </c>
      <c r="R126" s="385">
        <v>24</v>
      </c>
      <c r="S126" s="385"/>
      <c r="T126" s="385"/>
      <c r="U126" s="385">
        <v>0</v>
      </c>
      <c r="V126" s="387">
        <v>0</v>
      </c>
      <c r="W126" s="388">
        <v>0</v>
      </c>
      <c r="X126" s="385">
        <v>0</v>
      </c>
      <c r="Y126" s="385">
        <v>1</v>
      </c>
      <c r="Z126" s="385">
        <v>0</v>
      </c>
      <c r="AA126" s="385">
        <v>0</v>
      </c>
      <c r="AB126" s="386">
        <v>4</v>
      </c>
      <c r="AC126" s="385">
        <v>0</v>
      </c>
      <c r="AD126" s="385">
        <v>0</v>
      </c>
      <c r="AE126" s="385">
        <v>0</v>
      </c>
      <c r="AF126" s="385">
        <v>2</v>
      </c>
      <c r="AG126" s="385">
        <v>2</v>
      </c>
      <c r="AH126" s="385">
        <v>0</v>
      </c>
      <c r="AI126" s="385">
        <v>0</v>
      </c>
      <c r="AJ126" s="385">
        <v>14</v>
      </c>
      <c r="AK126" s="385"/>
      <c r="AL126" s="387"/>
      <c r="AM126" s="389" t="s">
        <v>519</v>
      </c>
      <c r="AN126" s="390">
        <v>5</v>
      </c>
      <c r="AO126" s="390">
        <v>1</v>
      </c>
      <c r="AP126" s="390">
        <v>2</v>
      </c>
      <c r="AQ126" s="390">
        <v>1</v>
      </c>
      <c r="AR126" s="390">
        <v>1</v>
      </c>
      <c r="AS126" s="390">
        <v>0</v>
      </c>
      <c r="AT126" s="390">
        <v>0</v>
      </c>
      <c r="AU126" s="390">
        <v>0</v>
      </c>
      <c r="AV126" s="391">
        <v>2</v>
      </c>
      <c r="AW126" s="389" t="s">
        <v>485</v>
      </c>
      <c r="AX126" s="390">
        <v>6</v>
      </c>
      <c r="AY126" s="390">
        <v>1</v>
      </c>
      <c r="AZ126" s="390">
        <v>3</v>
      </c>
      <c r="BA126" s="390">
        <v>1</v>
      </c>
      <c r="BB126" s="390">
        <v>0</v>
      </c>
      <c r="BC126" s="390">
        <v>1</v>
      </c>
      <c r="BD126" s="390">
        <v>0</v>
      </c>
      <c r="BE126" s="390">
        <v>0</v>
      </c>
      <c r="BF126" s="391">
        <v>3</v>
      </c>
      <c r="BG126" s="389" t="s">
        <v>484</v>
      </c>
      <c r="BH126" s="390">
        <v>4</v>
      </c>
      <c r="BI126" s="390">
        <v>0</v>
      </c>
      <c r="BJ126" s="390">
        <v>1</v>
      </c>
      <c r="BK126" s="390">
        <v>1</v>
      </c>
      <c r="BL126" s="390">
        <v>1</v>
      </c>
      <c r="BM126" s="390">
        <v>1</v>
      </c>
      <c r="BN126" s="390">
        <v>0</v>
      </c>
      <c r="BO126" s="390">
        <v>1</v>
      </c>
      <c r="BP126" s="391">
        <v>1</v>
      </c>
      <c r="BQ126" s="389" t="s">
        <v>367</v>
      </c>
      <c r="BR126" s="390">
        <v>5</v>
      </c>
      <c r="BS126" s="390">
        <v>0</v>
      </c>
      <c r="BT126" s="390">
        <v>0</v>
      </c>
      <c r="BU126" s="390">
        <v>1</v>
      </c>
      <c r="BV126" s="390">
        <v>0</v>
      </c>
      <c r="BW126" s="390">
        <v>0</v>
      </c>
      <c r="BX126" s="390">
        <v>0</v>
      </c>
      <c r="BY126" s="390">
        <v>0</v>
      </c>
      <c r="BZ126" s="391">
        <v>0</v>
      </c>
      <c r="CA126" s="389" t="s">
        <v>482</v>
      </c>
      <c r="CB126" s="390">
        <v>2</v>
      </c>
      <c r="CC126" s="390">
        <v>0</v>
      </c>
      <c r="CD126" s="390">
        <v>1</v>
      </c>
      <c r="CE126" s="390">
        <v>0</v>
      </c>
      <c r="CF126" s="390">
        <v>3</v>
      </c>
      <c r="CG126" s="390">
        <v>0</v>
      </c>
      <c r="CH126" s="390">
        <v>0</v>
      </c>
      <c r="CI126" s="390">
        <v>0</v>
      </c>
      <c r="CJ126" s="391">
        <v>1</v>
      </c>
      <c r="CK126" s="389" t="s">
        <v>489</v>
      </c>
      <c r="CL126" s="390">
        <v>2</v>
      </c>
      <c r="CM126" s="390">
        <v>0</v>
      </c>
      <c r="CN126" s="390">
        <v>0</v>
      </c>
      <c r="CO126" s="390">
        <v>0</v>
      </c>
      <c r="CP126" s="390">
        <v>3</v>
      </c>
      <c r="CQ126" s="390">
        <v>0</v>
      </c>
      <c r="CR126" s="390">
        <v>0</v>
      </c>
      <c r="CS126" s="390">
        <v>0</v>
      </c>
      <c r="CT126" s="391">
        <v>0</v>
      </c>
      <c r="CU126" s="389" t="s">
        <v>447</v>
      </c>
      <c r="CV126" s="390">
        <v>4</v>
      </c>
      <c r="CW126" s="390">
        <v>1</v>
      </c>
      <c r="CX126" s="390">
        <v>1</v>
      </c>
      <c r="CY126" s="390">
        <v>0</v>
      </c>
      <c r="CZ126" s="390">
        <v>1</v>
      </c>
      <c r="DA126" s="390">
        <v>0</v>
      </c>
      <c r="DB126" s="390">
        <v>0</v>
      </c>
      <c r="DC126" s="390">
        <v>0</v>
      </c>
      <c r="DD126" s="391">
        <v>1</v>
      </c>
      <c r="DE126" s="389" t="s">
        <v>481</v>
      </c>
      <c r="DF126" s="390">
        <v>1</v>
      </c>
      <c r="DG126" s="390">
        <v>3</v>
      </c>
      <c r="DH126" s="390">
        <v>0</v>
      </c>
      <c r="DI126" s="390">
        <v>0</v>
      </c>
      <c r="DJ126" s="390">
        <v>4</v>
      </c>
      <c r="DK126" s="390">
        <v>0</v>
      </c>
      <c r="DL126" s="390">
        <v>0</v>
      </c>
      <c r="DM126" s="390">
        <v>0</v>
      </c>
      <c r="DN126" s="391">
        <v>0</v>
      </c>
      <c r="DO126" s="389" t="s">
        <v>479</v>
      </c>
      <c r="DP126" s="390">
        <v>4</v>
      </c>
      <c r="DQ126" s="390">
        <v>2</v>
      </c>
      <c r="DR126" s="390">
        <v>1</v>
      </c>
      <c r="DS126" s="390">
        <v>1</v>
      </c>
      <c r="DT126" s="390">
        <v>1</v>
      </c>
      <c r="DU126" s="390">
        <v>1</v>
      </c>
      <c r="DV126" s="390">
        <v>0</v>
      </c>
      <c r="DW126" s="390">
        <v>0</v>
      </c>
      <c r="DX126" s="391">
        <v>4</v>
      </c>
      <c r="DY126" s="392">
        <v>0</v>
      </c>
      <c r="DZ126" s="393">
        <v>0</v>
      </c>
      <c r="EA126" s="393">
        <v>0</v>
      </c>
      <c r="EB126" s="394">
        <v>9</v>
      </c>
      <c r="EC126" s="393">
        <v>0</v>
      </c>
      <c r="ED126" s="395">
        <v>0</v>
      </c>
      <c r="EE126" s="396">
        <v>1</v>
      </c>
      <c r="EF126" s="393">
        <v>0</v>
      </c>
      <c r="EG126" s="393">
        <v>0</v>
      </c>
      <c r="EH126" s="393">
        <v>1</v>
      </c>
      <c r="EI126" s="393">
        <v>0</v>
      </c>
      <c r="EJ126" s="393">
        <v>2</v>
      </c>
      <c r="EK126" s="393">
        <v>3</v>
      </c>
      <c r="EL126" s="393">
        <v>0</v>
      </c>
      <c r="EM126" s="393">
        <v>1</v>
      </c>
      <c r="EN126" s="393"/>
      <c r="EO126" s="393"/>
      <c r="EP126" s="393"/>
      <c r="EQ126" s="393"/>
      <c r="ER126" s="393"/>
      <c r="ES126" s="393"/>
      <c r="ET126" s="393"/>
      <c r="EU126" s="393"/>
      <c r="EV126" s="393"/>
      <c r="EW126" s="393"/>
      <c r="EX126" s="397">
        <f t="shared" si="24"/>
        <v>8</v>
      </c>
      <c r="EY126" s="396">
        <v>1</v>
      </c>
      <c r="EZ126" s="393">
        <v>0</v>
      </c>
      <c r="FA126" s="393">
        <v>0</v>
      </c>
      <c r="FB126" s="393">
        <v>0</v>
      </c>
      <c r="FC126" s="393">
        <v>0</v>
      </c>
      <c r="FD126" s="393">
        <v>0</v>
      </c>
      <c r="FE126" s="393">
        <v>0</v>
      </c>
      <c r="FF126" s="393">
        <v>0</v>
      </c>
      <c r="FG126" s="393">
        <v>0</v>
      </c>
      <c r="FH126" s="393"/>
      <c r="FI126" s="393"/>
      <c r="FJ126" s="393"/>
      <c r="FK126" s="393"/>
      <c r="FL126" s="393"/>
      <c r="FM126" s="393"/>
      <c r="FN126" s="393"/>
      <c r="FO126" s="393"/>
      <c r="FP126" s="393"/>
      <c r="FQ126" s="393"/>
      <c r="FR126" s="397">
        <f t="shared" si="25"/>
        <v>1</v>
      </c>
      <c r="FS126" s="398">
        <f t="shared" si="26"/>
        <v>0</v>
      </c>
      <c r="FT126" s="399">
        <f t="shared" si="27"/>
        <v>0</v>
      </c>
      <c r="FU126" s="400"/>
    </row>
    <row r="127" spans="1:177" x14ac:dyDescent="0.25">
      <c r="A127" s="381">
        <v>40410</v>
      </c>
      <c r="B127" s="381" t="s">
        <v>133</v>
      </c>
      <c r="C127" s="381" t="s">
        <v>131</v>
      </c>
      <c r="D127" s="381" t="s">
        <v>495</v>
      </c>
      <c r="E127" s="382">
        <v>1480</v>
      </c>
      <c r="F127" s="383">
        <v>2</v>
      </c>
      <c r="G127" s="384" t="s">
        <v>666</v>
      </c>
      <c r="H127" s="385">
        <v>0</v>
      </c>
      <c r="I127" s="385">
        <v>1</v>
      </c>
      <c r="J127" s="386">
        <f>4+1/3</f>
        <v>4.333333333333333</v>
      </c>
      <c r="K127" s="385">
        <v>1</v>
      </c>
      <c r="L127" s="385">
        <v>2</v>
      </c>
      <c r="M127" s="385">
        <v>2</v>
      </c>
      <c r="N127" s="385">
        <v>4</v>
      </c>
      <c r="O127" s="385">
        <v>2</v>
      </c>
      <c r="P127" s="385">
        <v>1</v>
      </c>
      <c r="Q127" s="385">
        <v>1</v>
      </c>
      <c r="R127" s="385">
        <v>18</v>
      </c>
      <c r="S127" s="385"/>
      <c r="T127" s="385"/>
      <c r="U127" s="385">
        <v>2</v>
      </c>
      <c r="V127" s="387">
        <v>1</v>
      </c>
      <c r="W127" s="388">
        <v>0</v>
      </c>
      <c r="X127" s="385">
        <v>0</v>
      </c>
      <c r="Y127" s="385">
        <v>0</v>
      </c>
      <c r="Z127" s="385">
        <v>0</v>
      </c>
      <c r="AA127" s="385">
        <v>0</v>
      </c>
      <c r="AB127" s="386">
        <f>3+2/3</f>
        <v>3.6666666666666665</v>
      </c>
      <c r="AC127" s="385">
        <v>1</v>
      </c>
      <c r="AD127" s="385">
        <v>0</v>
      </c>
      <c r="AE127" s="385">
        <v>0</v>
      </c>
      <c r="AF127" s="385">
        <v>2</v>
      </c>
      <c r="AG127" s="385">
        <v>2</v>
      </c>
      <c r="AH127" s="385">
        <v>0</v>
      </c>
      <c r="AI127" s="385">
        <v>0</v>
      </c>
      <c r="AJ127" s="385">
        <v>14</v>
      </c>
      <c r="AK127" s="385"/>
      <c r="AL127" s="387"/>
      <c r="AM127" s="389" t="s">
        <v>519</v>
      </c>
      <c r="AN127" s="390">
        <v>4</v>
      </c>
      <c r="AO127" s="390">
        <v>1</v>
      </c>
      <c r="AP127" s="390">
        <v>2</v>
      </c>
      <c r="AQ127" s="390">
        <v>0</v>
      </c>
      <c r="AR127" s="390">
        <v>0</v>
      </c>
      <c r="AS127" s="390">
        <v>0</v>
      </c>
      <c r="AT127" s="390">
        <v>0</v>
      </c>
      <c r="AU127" s="390">
        <v>0</v>
      </c>
      <c r="AV127" s="391">
        <v>2</v>
      </c>
      <c r="AW127" s="389" t="s">
        <v>485</v>
      </c>
      <c r="AX127" s="390">
        <v>4</v>
      </c>
      <c r="AY127" s="390">
        <v>0</v>
      </c>
      <c r="AZ127" s="390">
        <v>0</v>
      </c>
      <c r="BA127" s="390">
        <v>0</v>
      </c>
      <c r="BB127" s="390">
        <v>0</v>
      </c>
      <c r="BC127" s="390">
        <v>0</v>
      </c>
      <c r="BD127" s="390">
        <v>0</v>
      </c>
      <c r="BE127" s="390">
        <v>0</v>
      </c>
      <c r="BF127" s="391">
        <v>0</v>
      </c>
      <c r="BG127" s="389" t="s">
        <v>482</v>
      </c>
      <c r="BH127" s="390">
        <v>4</v>
      </c>
      <c r="BI127" s="390">
        <v>0</v>
      </c>
      <c r="BJ127" s="390">
        <v>0</v>
      </c>
      <c r="BK127" s="390">
        <v>0</v>
      </c>
      <c r="BL127" s="390">
        <v>0</v>
      </c>
      <c r="BM127" s="390">
        <v>1</v>
      </c>
      <c r="BN127" s="390">
        <v>0</v>
      </c>
      <c r="BO127" s="390">
        <v>0</v>
      </c>
      <c r="BP127" s="391">
        <v>0</v>
      </c>
      <c r="BQ127" s="389" t="s">
        <v>484</v>
      </c>
      <c r="BR127" s="390">
        <v>4</v>
      </c>
      <c r="BS127" s="390">
        <v>0</v>
      </c>
      <c r="BT127" s="390">
        <v>1</v>
      </c>
      <c r="BU127" s="390">
        <v>1</v>
      </c>
      <c r="BV127" s="390">
        <v>0</v>
      </c>
      <c r="BW127" s="390">
        <v>0</v>
      </c>
      <c r="BX127" s="390">
        <v>0</v>
      </c>
      <c r="BY127" s="390">
        <v>0</v>
      </c>
      <c r="BZ127" s="391">
        <v>1</v>
      </c>
      <c r="CA127" s="389" t="s">
        <v>489</v>
      </c>
      <c r="CB127" s="390">
        <v>4</v>
      </c>
      <c r="CC127" s="390">
        <v>0</v>
      </c>
      <c r="CD127" s="390">
        <v>2</v>
      </c>
      <c r="CE127" s="390">
        <v>0</v>
      </c>
      <c r="CF127" s="390">
        <v>0</v>
      </c>
      <c r="CG127" s="390">
        <v>0</v>
      </c>
      <c r="CH127" s="390">
        <v>0</v>
      </c>
      <c r="CI127" s="390">
        <v>0</v>
      </c>
      <c r="CJ127" s="391">
        <v>3</v>
      </c>
      <c r="CK127" s="389" t="s">
        <v>491</v>
      </c>
      <c r="CL127" s="390">
        <v>3</v>
      </c>
      <c r="CM127" s="390">
        <v>0</v>
      </c>
      <c r="CN127" s="390">
        <v>0</v>
      </c>
      <c r="CO127" s="390">
        <v>0</v>
      </c>
      <c r="CP127" s="390">
        <v>0</v>
      </c>
      <c r="CQ127" s="390">
        <v>0</v>
      </c>
      <c r="CR127" s="390">
        <v>0</v>
      </c>
      <c r="CS127" s="390">
        <v>0</v>
      </c>
      <c r="CT127" s="391">
        <v>0</v>
      </c>
      <c r="CU127" s="389" t="s">
        <v>481</v>
      </c>
      <c r="CV127" s="390">
        <v>3</v>
      </c>
      <c r="CW127" s="390">
        <v>0</v>
      </c>
      <c r="CX127" s="390">
        <v>0</v>
      </c>
      <c r="CY127" s="390">
        <v>0</v>
      </c>
      <c r="CZ127" s="390">
        <v>0</v>
      </c>
      <c r="DA127" s="390">
        <v>0</v>
      </c>
      <c r="DB127" s="390">
        <v>0</v>
      </c>
      <c r="DC127" s="390">
        <v>0</v>
      </c>
      <c r="DD127" s="391">
        <v>0</v>
      </c>
      <c r="DE127" s="389" t="s">
        <v>480</v>
      </c>
      <c r="DF127" s="390">
        <v>3</v>
      </c>
      <c r="DG127" s="390">
        <v>0</v>
      </c>
      <c r="DH127" s="390">
        <v>0</v>
      </c>
      <c r="DI127" s="390">
        <v>0</v>
      </c>
      <c r="DJ127" s="390">
        <v>0</v>
      </c>
      <c r="DK127" s="390">
        <v>0</v>
      </c>
      <c r="DL127" s="390">
        <v>0</v>
      </c>
      <c r="DM127" s="390">
        <v>0</v>
      </c>
      <c r="DN127" s="391">
        <v>0</v>
      </c>
      <c r="DO127" s="389" t="s">
        <v>479</v>
      </c>
      <c r="DP127" s="390">
        <v>3</v>
      </c>
      <c r="DQ127" s="390">
        <v>0</v>
      </c>
      <c r="DR127" s="390">
        <v>1</v>
      </c>
      <c r="DS127" s="390">
        <v>0</v>
      </c>
      <c r="DT127" s="390">
        <v>0</v>
      </c>
      <c r="DU127" s="390">
        <v>0</v>
      </c>
      <c r="DV127" s="390">
        <v>0</v>
      </c>
      <c r="DW127" s="390">
        <v>0</v>
      </c>
      <c r="DX127" s="391">
        <v>1</v>
      </c>
      <c r="DY127" s="392">
        <v>0</v>
      </c>
      <c r="DZ127" s="393">
        <v>0</v>
      </c>
      <c r="EA127" s="393">
        <v>0</v>
      </c>
      <c r="EB127" s="394">
        <v>9</v>
      </c>
      <c r="EC127" s="393">
        <v>0</v>
      </c>
      <c r="ED127" s="395">
        <v>1</v>
      </c>
      <c r="EE127" s="396">
        <v>1</v>
      </c>
      <c r="EF127" s="393">
        <v>0</v>
      </c>
      <c r="EG127" s="393">
        <v>0</v>
      </c>
      <c r="EH127" s="393">
        <v>0</v>
      </c>
      <c r="EI127" s="393">
        <v>0</v>
      </c>
      <c r="EJ127" s="393">
        <v>0</v>
      </c>
      <c r="EK127" s="393">
        <v>0</v>
      </c>
      <c r="EL127" s="393">
        <v>0</v>
      </c>
      <c r="EM127" s="393">
        <v>0</v>
      </c>
      <c r="EN127" s="393"/>
      <c r="EO127" s="393"/>
      <c r="EP127" s="393"/>
      <c r="EQ127" s="393"/>
      <c r="ER127" s="393"/>
      <c r="ES127" s="393"/>
      <c r="ET127" s="393"/>
      <c r="EU127" s="393"/>
      <c r="EV127" s="393"/>
      <c r="EW127" s="393"/>
      <c r="EX127" s="397">
        <f t="shared" si="24"/>
        <v>1</v>
      </c>
      <c r="EY127" s="396">
        <v>0</v>
      </c>
      <c r="EZ127" s="393">
        <v>0</v>
      </c>
      <c r="FA127" s="393">
        <v>1</v>
      </c>
      <c r="FB127" s="393">
        <v>0</v>
      </c>
      <c r="FC127" s="393">
        <v>1</v>
      </c>
      <c r="FD127" s="393">
        <v>0</v>
      </c>
      <c r="FE127" s="393">
        <v>0</v>
      </c>
      <c r="FF127" s="393">
        <v>0</v>
      </c>
      <c r="FG127" s="393"/>
      <c r="FH127" s="393"/>
      <c r="FI127" s="393"/>
      <c r="FJ127" s="393"/>
      <c r="FK127" s="393"/>
      <c r="FL127" s="393"/>
      <c r="FM127" s="393"/>
      <c r="FN127" s="393"/>
      <c r="FO127" s="393"/>
      <c r="FP127" s="393"/>
      <c r="FQ127" s="393"/>
      <c r="FR127" s="397">
        <f t="shared" si="25"/>
        <v>2</v>
      </c>
      <c r="FS127" s="398">
        <f t="shared" si="26"/>
        <v>0</v>
      </c>
      <c r="FT127" s="399">
        <f t="shared" si="27"/>
        <v>0</v>
      </c>
      <c r="FU127" s="400"/>
    </row>
    <row r="128" spans="1:177" x14ac:dyDescent="0.25">
      <c r="A128" s="381">
        <v>40411</v>
      </c>
      <c r="B128" s="381" t="s">
        <v>133</v>
      </c>
      <c r="C128" s="381" t="s">
        <v>131</v>
      </c>
      <c r="D128" s="381" t="s">
        <v>488</v>
      </c>
      <c r="E128" s="382">
        <v>1383</v>
      </c>
      <c r="F128" s="383">
        <v>3</v>
      </c>
      <c r="G128" s="384" t="s">
        <v>492</v>
      </c>
      <c r="H128" s="385">
        <v>0</v>
      </c>
      <c r="I128" s="385">
        <v>1</v>
      </c>
      <c r="J128" s="386">
        <v>4</v>
      </c>
      <c r="K128" s="385">
        <v>7</v>
      </c>
      <c r="L128" s="385">
        <v>6</v>
      </c>
      <c r="M128" s="385">
        <v>5</v>
      </c>
      <c r="N128" s="385">
        <v>3</v>
      </c>
      <c r="O128" s="385">
        <v>4</v>
      </c>
      <c r="P128" s="385">
        <v>0</v>
      </c>
      <c r="Q128" s="385">
        <v>1</v>
      </c>
      <c r="R128" s="385">
        <v>23</v>
      </c>
      <c r="S128" s="385"/>
      <c r="T128" s="385"/>
      <c r="U128" s="385">
        <v>0</v>
      </c>
      <c r="V128" s="387">
        <v>0</v>
      </c>
      <c r="W128" s="388">
        <v>0</v>
      </c>
      <c r="X128" s="385">
        <v>0</v>
      </c>
      <c r="Y128" s="385">
        <v>0</v>
      </c>
      <c r="Z128" s="385">
        <v>0</v>
      </c>
      <c r="AA128" s="385">
        <v>0</v>
      </c>
      <c r="AB128" s="386">
        <v>4</v>
      </c>
      <c r="AC128" s="385">
        <v>1</v>
      </c>
      <c r="AD128" s="385">
        <v>0</v>
      </c>
      <c r="AE128" s="385">
        <v>0</v>
      </c>
      <c r="AF128" s="385">
        <v>0</v>
      </c>
      <c r="AG128" s="385">
        <v>6</v>
      </c>
      <c r="AH128" s="385">
        <v>0</v>
      </c>
      <c r="AI128" s="385">
        <v>0</v>
      </c>
      <c r="AJ128" s="385">
        <v>13</v>
      </c>
      <c r="AK128" s="385"/>
      <c r="AL128" s="387"/>
      <c r="AM128" s="389" t="s">
        <v>519</v>
      </c>
      <c r="AN128" s="390">
        <v>5</v>
      </c>
      <c r="AO128" s="390">
        <v>0</v>
      </c>
      <c r="AP128" s="390">
        <v>1</v>
      </c>
      <c r="AQ128" s="390">
        <v>1</v>
      </c>
      <c r="AR128" s="390">
        <v>0</v>
      </c>
      <c r="AS128" s="390">
        <v>0</v>
      </c>
      <c r="AT128" s="390">
        <v>0</v>
      </c>
      <c r="AU128" s="390">
        <v>0</v>
      </c>
      <c r="AV128" s="391">
        <v>1</v>
      </c>
      <c r="AW128" s="389" t="s">
        <v>485</v>
      </c>
      <c r="AX128" s="390">
        <v>4</v>
      </c>
      <c r="AY128" s="390">
        <v>0</v>
      </c>
      <c r="AZ128" s="390">
        <v>3</v>
      </c>
      <c r="BA128" s="390">
        <v>0</v>
      </c>
      <c r="BB128" s="390">
        <v>1</v>
      </c>
      <c r="BC128" s="390">
        <v>0</v>
      </c>
      <c r="BD128" s="390">
        <v>0</v>
      </c>
      <c r="BE128" s="390">
        <v>0</v>
      </c>
      <c r="BF128" s="391">
        <v>4</v>
      </c>
      <c r="BG128" s="389" t="s">
        <v>482</v>
      </c>
      <c r="BH128" s="390">
        <v>5</v>
      </c>
      <c r="BI128" s="390">
        <v>0</v>
      </c>
      <c r="BJ128" s="390">
        <v>1</v>
      </c>
      <c r="BK128" s="390">
        <v>0</v>
      </c>
      <c r="BL128" s="390">
        <v>0</v>
      </c>
      <c r="BM128" s="390">
        <v>2</v>
      </c>
      <c r="BN128" s="390">
        <v>0</v>
      </c>
      <c r="BO128" s="390">
        <v>0</v>
      </c>
      <c r="BP128" s="391">
        <v>1</v>
      </c>
      <c r="BQ128" s="389" t="s">
        <v>367</v>
      </c>
      <c r="BR128" s="390">
        <v>4</v>
      </c>
      <c r="BS128" s="390">
        <v>0</v>
      </c>
      <c r="BT128" s="390">
        <v>0</v>
      </c>
      <c r="BU128" s="390">
        <v>0</v>
      </c>
      <c r="BV128" s="390">
        <v>1</v>
      </c>
      <c r="BW128" s="390">
        <v>0</v>
      </c>
      <c r="BX128" s="390">
        <v>0</v>
      </c>
      <c r="BY128" s="390">
        <v>0</v>
      </c>
      <c r="BZ128" s="391">
        <v>0</v>
      </c>
      <c r="CA128" s="389" t="s">
        <v>489</v>
      </c>
      <c r="CB128" s="390">
        <v>4</v>
      </c>
      <c r="CC128" s="390">
        <v>0</v>
      </c>
      <c r="CD128" s="390">
        <v>1</v>
      </c>
      <c r="CE128" s="390">
        <v>0</v>
      </c>
      <c r="CF128" s="390">
        <v>1</v>
      </c>
      <c r="CG128" s="390">
        <v>0</v>
      </c>
      <c r="CH128" s="390">
        <v>0</v>
      </c>
      <c r="CI128" s="390">
        <v>0</v>
      </c>
      <c r="CJ128" s="391">
        <v>1</v>
      </c>
      <c r="CK128" s="389" t="s">
        <v>491</v>
      </c>
      <c r="CL128" s="390">
        <v>4</v>
      </c>
      <c r="CM128" s="390">
        <v>1</v>
      </c>
      <c r="CN128" s="390">
        <v>2</v>
      </c>
      <c r="CO128" s="390">
        <v>0</v>
      </c>
      <c r="CP128" s="390">
        <v>1</v>
      </c>
      <c r="CQ128" s="390">
        <v>0</v>
      </c>
      <c r="CR128" s="390">
        <v>0</v>
      </c>
      <c r="CS128" s="390">
        <v>0</v>
      </c>
      <c r="CT128" s="391">
        <v>3</v>
      </c>
      <c r="CU128" s="389" t="s">
        <v>481</v>
      </c>
      <c r="CV128" s="390">
        <v>4</v>
      </c>
      <c r="CW128" s="390">
        <v>1</v>
      </c>
      <c r="CX128" s="390">
        <v>1</v>
      </c>
      <c r="CY128" s="390">
        <v>1</v>
      </c>
      <c r="CZ128" s="390">
        <v>0</v>
      </c>
      <c r="DA128" s="390">
        <v>0</v>
      </c>
      <c r="DB128" s="390">
        <v>1</v>
      </c>
      <c r="DC128" s="390">
        <v>0</v>
      </c>
      <c r="DD128" s="391">
        <v>1</v>
      </c>
      <c r="DE128" s="389" t="s">
        <v>480</v>
      </c>
      <c r="DF128" s="390">
        <v>4</v>
      </c>
      <c r="DG128" s="390">
        <v>1</v>
      </c>
      <c r="DH128" s="390">
        <v>1</v>
      </c>
      <c r="DI128" s="390">
        <v>1</v>
      </c>
      <c r="DJ128" s="390">
        <v>1</v>
      </c>
      <c r="DK128" s="390">
        <v>2</v>
      </c>
      <c r="DL128" s="390">
        <v>0</v>
      </c>
      <c r="DM128" s="390">
        <v>0</v>
      </c>
      <c r="DN128" s="391">
        <v>1</v>
      </c>
      <c r="DO128" s="389" t="s">
        <v>486</v>
      </c>
      <c r="DP128" s="390">
        <v>4</v>
      </c>
      <c r="DQ128" s="390">
        <v>0</v>
      </c>
      <c r="DR128" s="390">
        <v>1</v>
      </c>
      <c r="DS128" s="390">
        <v>0</v>
      </c>
      <c r="DT128" s="390">
        <v>0</v>
      </c>
      <c r="DU128" s="390">
        <v>1</v>
      </c>
      <c r="DV128" s="390">
        <v>0</v>
      </c>
      <c r="DW128" s="390">
        <v>0</v>
      </c>
      <c r="DX128" s="391">
        <v>2</v>
      </c>
      <c r="DY128" s="392">
        <v>0</v>
      </c>
      <c r="DZ128" s="393">
        <v>0</v>
      </c>
      <c r="EA128" s="393">
        <v>0</v>
      </c>
      <c r="EB128" s="394">
        <v>9</v>
      </c>
      <c r="EC128" s="393">
        <v>0</v>
      </c>
      <c r="ED128" s="395">
        <v>0</v>
      </c>
      <c r="EE128" s="396">
        <v>0</v>
      </c>
      <c r="EF128" s="393">
        <v>2</v>
      </c>
      <c r="EG128" s="393">
        <v>0</v>
      </c>
      <c r="EH128" s="393">
        <v>1</v>
      </c>
      <c r="EI128" s="393">
        <v>0</v>
      </c>
      <c r="EJ128" s="393">
        <v>0</v>
      </c>
      <c r="EK128" s="393">
        <v>0</v>
      </c>
      <c r="EL128" s="393">
        <v>0</v>
      </c>
      <c r="EM128" s="393">
        <v>0</v>
      </c>
      <c r="EN128" s="393"/>
      <c r="EO128" s="393"/>
      <c r="EP128" s="393"/>
      <c r="EQ128" s="393"/>
      <c r="ER128" s="393"/>
      <c r="ES128" s="393"/>
      <c r="ET128" s="393"/>
      <c r="EU128" s="393"/>
      <c r="EV128" s="393"/>
      <c r="EW128" s="393"/>
      <c r="EX128" s="397">
        <f t="shared" ref="EX128:EX134" si="28">SUM(EE128:EW128)</f>
        <v>3</v>
      </c>
      <c r="EY128" s="396">
        <v>0</v>
      </c>
      <c r="EZ128" s="393">
        <v>0</v>
      </c>
      <c r="FA128" s="393">
        <v>5</v>
      </c>
      <c r="FB128" s="393">
        <v>1</v>
      </c>
      <c r="FC128" s="393">
        <v>0</v>
      </c>
      <c r="FD128" s="393">
        <v>0</v>
      </c>
      <c r="FE128" s="393">
        <v>0</v>
      </c>
      <c r="FF128" s="393">
        <v>0</v>
      </c>
      <c r="FG128" s="393"/>
      <c r="FH128" s="393"/>
      <c r="FI128" s="393"/>
      <c r="FJ128" s="393"/>
      <c r="FK128" s="393"/>
      <c r="FL128" s="393"/>
      <c r="FM128" s="393"/>
      <c r="FN128" s="393"/>
      <c r="FO128" s="393"/>
      <c r="FP128" s="393"/>
      <c r="FQ128" s="393"/>
      <c r="FR128" s="397">
        <f t="shared" ref="FR128:FR134" si="29">SUM(EY128:FQ128)</f>
        <v>6</v>
      </c>
      <c r="FS128" s="398">
        <f t="shared" ref="FS128:FS134" si="30">((L128+AD128)-FR128)</f>
        <v>0</v>
      </c>
      <c r="FT128" s="399">
        <f t="shared" ref="FT128:FT134" si="31">((AO128+AY128+BI128+BS128+CC128+CM128+CW128+DG128+DQ128)-EX128)</f>
        <v>0</v>
      </c>
      <c r="FU128" s="400"/>
    </row>
    <row r="129" spans="1:177" x14ac:dyDescent="0.25">
      <c r="A129" s="381">
        <v>40412</v>
      </c>
      <c r="B129" s="381" t="s">
        <v>19</v>
      </c>
      <c r="C129" s="381" t="s">
        <v>129</v>
      </c>
      <c r="D129" s="381" t="s">
        <v>488</v>
      </c>
      <c r="E129" s="382">
        <v>1588</v>
      </c>
      <c r="F129" s="383">
        <v>4</v>
      </c>
      <c r="G129" s="384" t="s">
        <v>487</v>
      </c>
      <c r="H129" s="385">
        <v>1</v>
      </c>
      <c r="I129" s="385">
        <v>0</v>
      </c>
      <c r="J129" s="386">
        <v>7</v>
      </c>
      <c r="K129" s="385">
        <v>5</v>
      </c>
      <c r="L129" s="385">
        <v>1</v>
      </c>
      <c r="M129" s="385">
        <v>1</v>
      </c>
      <c r="N129" s="385">
        <v>4</v>
      </c>
      <c r="O129" s="385">
        <v>4</v>
      </c>
      <c r="P129" s="385">
        <v>0</v>
      </c>
      <c r="Q129" s="385">
        <v>0</v>
      </c>
      <c r="R129" s="385">
        <v>28</v>
      </c>
      <c r="S129" s="385"/>
      <c r="T129" s="385"/>
      <c r="U129" s="385">
        <v>0</v>
      </c>
      <c r="V129" s="387">
        <v>0</v>
      </c>
      <c r="W129" s="388">
        <v>0</v>
      </c>
      <c r="X129" s="385">
        <v>0</v>
      </c>
      <c r="Y129" s="385">
        <v>0</v>
      </c>
      <c r="Z129" s="385">
        <v>0</v>
      </c>
      <c r="AA129" s="385">
        <v>0</v>
      </c>
      <c r="AB129" s="386">
        <v>2</v>
      </c>
      <c r="AC129" s="385">
        <v>1</v>
      </c>
      <c r="AD129" s="385">
        <v>0</v>
      </c>
      <c r="AE129" s="385">
        <v>0</v>
      </c>
      <c r="AF129" s="385">
        <v>0</v>
      </c>
      <c r="AG129" s="385">
        <v>3</v>
      </c>
      <c r="AH129" s="385">
        <v>0</v>
      </c>
      <c r="AI129" s="385">
        <v>0</v>
      </c>
      <c r="AJ129" s="385">
        <v>7</v>
      </c>
      <c r="AK129" s="385"/>
      <c r="AL129" s="387"/>
      <c r="AM129" s="389" t="s">
        <v>486</v>
      </c>
      <c r="AN129" s="390">
        <v>5</v>
      </c>
      <c r="AO129" s="390">
        <v>1</v>
      </c>
      <c r="AP129" s="390">
        <v>2</v>
      </c>
      <c r="AQ129" s="390">
        <v>1</v>
      </c>
      <c r="AR129" s="390">
        <v>0</v>
      </c>
      <c r="AS129" s="390">
        <v>0</v>
      </c>
      <c r="AT129" s="390">
        <v>0</v>
      </c>
      <c r="AU129" s="390">
        <v>0</v>
      </c>
      <c r="AV129" s="391">
        <v>5</v>
      </c>
      <c r="AW129" s="389" t="s">
        <v>485</v>
      </c>
      <c r="AX129" s="390">
        <v>4</v>
      </c>
      <c r="AY129" s="390">
        <v>1</v>
      </c>
      <c r="AZ129" s="390">
        <v>1</v>
      </c>
      <c r="BA129" s="390">
        <v>0</v>
      </c>
      <c r="BB129" s="390">
        <v>1</v>
      </c>
      <c r="BC129" s="390">
        <v>0</v>
      </c>
      <c r="BD129" s="390">
        <v>0</v>
      </c>
      <c r="BE129" s="390">
        <v>0</v>
      </c>
      <c r="BF129" s="391">
        <v>1</v>
      </c>
      <c r="BG129" s="389" t="s">
        <v>482</v>
      </c>
      <c r="BH129" s="390">
        <v>5</v>
      </c>
      <c r="BI129" s="390">
        <v>1</v>
      </c>
      <c r="BJ129" s="390">
        <v>3</v>
      </c>
      <c r="BK129" s="390">
        <v>0</v>
      </c>
      <c r="BL129" s="390">
        <v>0</v>
      </c>
      <c r="BM129" s="390">
        <v>0</v>
      </c>
      <c r="BN129" s="390">
        <v>0</v>
      </c>
      <c r="BO129" s="390">
        <v>0</v>
      </c>
      <c r="BP129" s="391">
        <v>3</v>
      </c>
      <c r="BQ129" s="389" t="s">
        <v>447</v>
      </c>
      <c r="BR129" s="390">
        <v>4</v>
      </c>
      <c r="BS129" s="390">
        <v>1</v>
      </c>
      <c r="BT129" s="390">
        <v>2</v>
      </c>
      <c r="BU129" s="390">
        <v>1</v>
      </c>
      <c r="BV129" s="390">
        <v>1</v>
      </c>
      <c r="BW129" s="390">
        <v>0</v>
      </c>
      <c r="BX129" s="390">
        <v>0</v>
      </c>
      <c r="BY129" s="390">
        <v>0</v>
      </c>
      <c r="BZ129" s="391">
        <v>3</v>
      </c>
      <c r="CA129" s="389" t="s">
        <v>484</v>
      </c>
      <c r="CB129" s="390">
        <v>2</v>
      </c>
      <c r="CC129" s="390">
        <v>0</v>
      </c>
      <c r="CD129" s="390">
        <v>0</v>
      </c>
      <c r="CE129" s="390">
        <v>0</v>
      </c>
      <c r="CF129" s="390">
        <v>1</v>
      </c>
      <c r="CG129" s="390">
        <v>0</v>
      </c>
      <c r="CH129" s="390">
        <v>1</v>
      </c>
      <c r="CI129" s="390">
        <v>0</v>
      </c>
      <c r="CJ129" s="391">
        <v>0</v>
      </c>
      <c r="CK129" s="389" t="s">
        <v>489</v>
      </c>
      <c r="CL129" s="390">
        <v>3</v>
      </c>
      <c r="CM129" s="390">
        <v>0</v>
      </c>
      <c r="CN129" s="390">
        <v>2</v>
      </c>
      <c r="CO129" s="390">
        <v>2</v>
      </c>
      <c r="CP129" s="390">
        <v>0</v>
      </c>
      <c r="CQ129" s="390">
        <v>1</v>
      </c>
      <c r="CR129" s="390">
        <v>0</v>
      </c>
      <c r="CS129" s="390">
        <v>0</v>
      </c>
      <c r="CT129" s="391">
        <v>2</v>
      </c>
      <c r="CU129" s="389" t="s">
        <v>367</v>
      </c>
      <c r="CV129" s="390">
        <v>4</v>
      </c>
      <c r="CW129" s="390">
        <v>0</v>
      </c>
      <c r="CX129" s="390">
        <v>1</v>
      </c>
      <c r="CY129" s="390">
        <v>0</v>
      </c>
      <c r="CZ129" s="390">
        <v>0</v>
      </c>
      <c r="DA129" s="390">
        <v>0</v>
      </c>
      <c r="DB129" s="390">
        <v>0</v>
      </c>
      <c r="DC129" s="390">
        <v>0</v>
      </c>
      <c r="DD129" s="391">
        <v>1</v>
      </c>
      <c r="DE129" s="389" t="s">
        <v>479</v>
      </c>
      <c r="DF129" s="390">
        <v>4</v>
      </c>
      <c r="DG129" s="390">
        <v>2</v>
      </c>
      <c r="DH129" s="390">
        <v>2</v>
      </c>
      <c r="DI129" s="390">
        <v>1</v>
      </c>
      <c r="DJ129" s="390">
        <v>0</v>
      </c>
      <c r="DK129" s="390">
        <v>0</v>
      </c>
      <c r="DL129" s="390">
        <v>0</v>
      </c>
      <c r="DM129" s="390">
        <v>0</v>
      </c>
      <c r="DN129" s="391">
        <v>5</v>
      </c>
      <c r="DO129" s="389" t="s">
        <v>519</v>
      </c>
      <c r="DP129" s="390">
        <v>4</v>
      </c>
      <c r="DQ129" s="390">
        <v>0</v>
      </c>
      <c r="DR129" s="390">
        <v>1</v>
      </c>
      <c r="DS129" s="390">
        <v>1</v>
      </c>
      <c r="DT129" s="390">
        <v>0</v>
      </c>
      <c r="DU129" s="390">
        <v>1</v>
      </c>
      <c r="DV129" s="390">
        <v>0</v>
      </c>
      <c r="DW129" s="390">
        <v>0</v>
      </c>
      <c r="DX129" s="391">
        <v>1</v>
      </c>
      <c r="DY129" s="392">
        <v>0</v>
      </c>
      <c r="DZ129" s="393">
        <v>0</v>
      </c>
      <c r="EA129" s="393">
        <v>0</v>
      </c>
      <c r="EB129" s="394">
        <v>8</v>
      </c>
      <c r="EC129" s="393">
        <v>2</v>
      </c>
      <c r="ED129" s="395">
        <v>0</v>
      </c>
      <c r="EE129" s="396">
        <v>1</v>
      </c>
      <c r="EF129" s="393">
        <v>1</v>
      </c>
      <c r="EG129" s="393">
        <v>1</v>
      </c>
      <c r="EH129" s="393">
        <v>1</v>
      </c>
      <c r="EI129" s="393">
        <v>1</v>
      </c>
      <c r="EJ129" s="393">
        <v>1</v>
      </c>
      <c r="EK129" s="393">
        <v>0</v>
      </c>
      <c r="EL129" s="393">
        <v>0</v>
      </c>
      <c r="EM129" s="393"/>
      <c r="EN129" s="393"/>
      <c r="EO129" s="393"/>
      <c r="EP129" s="393"/>
      <c r="EQ129" s="393"/>
      <c r="ER129" s="393"/>
      <c r="ES129" s="393"/>
      <c r="ET129" s="393"/>
      <c r="EU129" s="393"/>
      <c r="EV129" s="393"/>
      <c r="EW129" s="393"/>
      <c r="EX129" s="397">
        <f t="shared" si="28"/>
        <v>6</v>
      </c>
      <c r="EY129" s="396">
        <v>0</v>
      </c>
      <c r="EZ129" s="393">
        <v>1</v>
      </c>
      <c r="FA129" s="393">
        <v>0</v>
      </c>
      <c r="FB129" s="393">
        <v>0</v>
      </c>
      <c r="FC129" s="393">
        <v>0</v>
      </c>
      <c r="FD129" s="393">
        <v>0</v>
      </c>
      <c r="FE129" s="393">
        <v>0</v>
      </c>
      <c r="FF129" s="393">
        <v>0</v>
      </c>
      <c r="FG129" s="393">
        <v>0</v>
      </c>
      <c r="FH129" s="393"/>
      <c r="FI129" s="393"/>
      <c r="FJ129" s="393"/>
      <c r="FK129" s="393"/>
      <c r="FL129" s="393"/>
      <c r="FM129" s="393"/>
      <c r="FN129" s="393"/>
      <c r="FO129" s="393"/>
      <c r="FP129" s="393"/>
      <c r="FQ129" s="393"/>
      <c r="FR129" s="397">
        <f t="shared" si="29"/>
        <v>1</v>
      </c>
      <c r="FS129" s="398">
        <f t="shared" si="30"/>
        <v>0</v>
      </c>
      <c r="FT129" s="399">
        <f t="shared" si="31"/>
        <v>0</v>
      </c>
      <c r="FU129" s="400"/>
    </row>
    <row r="130" spans="1:177" x14ac:dyDescent="0.25">
      <c r="A130" s="381">
        <v>40413</v>
      </c>
      <c r="B130" s="381" t="s">
        <v>19</v>
      </c>
      <c r="C130" s="381" t="s">
        <v>129</v>
      </c>
      <c r="D130" s="381" t="s">
        <v>488</v>
      </c>
      <c r="E130" s="382">
        <v>1208</v>
      </c>
      <c r="F130" s="383" t="s">
        <v>523</v>
      </c>
      <c r="G130" s="384" t="s">
        <v>494</v>
      </c>
      <c r="H130" s="385">
        <v>0</v>
      </c>
      <c r="I130" s="385">
        <v>0</v>
      </c>
      <c r="J130" s="386">
        <v>4</v>
      </c>
      <c r="K130" s="385">
        <v>3</v>
      </c>
      <c r="L130" s="385">
        <v>0</v>
      </c>
      <c r="M130" s="385">
        <v>0</v>
      </c>
      <c r="N130" s="385">
        <v>1</v>
      </c>
      <c r="O130" s="385">
        <v>4</v>
      </c>
      <c r="P130" s="385">
        <v>0</v>
      </c>
      <c r="Q130" s="385">
        <v>0</v>
      </c>
      <c r="R130" s="385">
        <v>15</v>
      </c>
      <c r="S130" s="385"/>
      <c r="T130" s="385"/>
      <c r="U130" s="385">
        <v>0</v>
      </c>
      <c r="V130" s="387">
        <v>0</v>
      </c>
      <c r="W130" s="388">
        <v>1</v>
      </c>
      <c r="X130" s="385">
        <v>0</v>
      </c>
      <c r="Y130" s="385">
        <v>0</v>
      </c>
      <c r="Z130" s="385">
        <v>1</v>
      </c>
      <c r="AA130" s="385">
        <v>0</v>
      </c>
      <c r="AB130" s="386">
        <v>5</v>
      </c>
      <c r="AC130" s="385">
        <v>2</v>
      </c>
      <c r="AD130" s="385">
        <v>0</v>
      </c>
      <c r="AE130" s="385">
        <v>0</v>
      </c>
      <c r="AF130" s="385">
        <v>5</v>
      </c>
      <c r="AG130" s="385">
        <v>3</v>
      </c>
      <c r="AH130" s="385">
        <v>0</v>
      </c>
      <c r="AI130" s="385">
        <v>0</v>
      </c>
      <c r="AJ130" s="385">
        <v>22</v>
      </c>
      <c r="AK130" s="385"/>
      <c r="AL130" s="387"/>
      <c r="AM130" s="389" t="s">
        <v>482</v>
      </c>
      <c r="AN130" s="390">
        <v>2</v>
      </c>
      <c r="AO130" s="390">
        <v>0</v>
      </c>
      <c r="AP130" s="390">
        <v>1</v>
      </c>
      <c r="AQ130" s="390">
        <v>0</v>
      </c>
      <c r="AR130" s="390">
        <v>1</v>
      </c>
      <c r="AS130" s="390">
        <v>0</v>
      </c>
      <c r="AT130" s="390">
        <v>0</v>
      </c>
      <c r="AU130" s="390">
        <v>0</v>
      </c>
      <c r="AV130" s="391">
        <v>1</v>
      </c>
      <c r="AW130" s="389" t="s">
        <v>485</v>
      </c>
      <c r="AX130" s="390">
        <v>4</v>
      </c>
      <c r="AY130" s="390">
        <v>1</v>
      </c>
      <c r="AZ130" s="390">
        <v>1</v>
      </c>
      <c r="BA130" s="390">
        <v>1</v>
      </c>
      <c r="BB130" s="390">
        <v>0</v>
      </c>
      <c r="BC130" s="390">
        <v>1</v>
      </c>
      <c r="BD130" s="390">
        <v>0</v>
      </c>
      <c r="BE130" s="390">
        <v>0</v>
      </c>
      <c r="BF130" s="391">
        <v>3</v>
      </c>
      <c r="BG130" s="389" t="s">
        <v>484</v>
      </c>
      <c r="BH130" s="390">
        <v>3</v>
      </c>
      <c r="BI130" s="390">
        <v>0</v>
      </c>
      <c r="BJ130" s="390">
        <v>0</v>
      </c>
      <c r="BK130" s="390">
        <v>0</v>
      </c>
      <c r="BL130" s="390">
        <v>1</v>
      </c>
      <c r="BM130" s="390">
        <v>0</v>
      </c>
      <c r="BN130" s="390">
        <v>0</v>
      </c>
      <c r="BO130" s="390">
        <v>0</v>
      </c>
      <c r="BP130" s="391">
        <v>0</v>
      </c>
      <c r="BQ130" s="389" t="s">
        <v>367</v>
      </c>
      <c r="BR130" s="390">
        <v>3</v>
      </c>
      <c r="BS130" s="390">
        <v>0</v>
      </c>
      <c r="BT130" s="390">
        <v>1</v>
      </c>
      <c r="BU130" s="390">
        <v>1</v>
      </c>
      <c r="BV130" s="390">
        <v>0</v>
      </c>
      <c r="BW130" s="390">
        <v>1</v>
      </c>
      <c r="BX130" s="390">
        <v>0</v>
      </c>
      <c r="BY130" s="390">
        <v>1</v>
      </c>
      <c r="BZ130" s="391">
        <v>1</v>
      </c>
      <c r="CA130" s="389" t="s">
        <v>489</v>
      </c>
      <c r="CB130" s="390">
        <v>2</v>
      </c>
      <c r="CC130" s="390">
        <v>0</v>
      </c>
      <c r="CD130" s="390">
        <v>1</v>
      </c>
      <c r="CE130" s="390">
        <v>0</v>
      </c>
      <c r="CF130" s="390">
        <v>2</v>
      </c>
      <c r="CG130" s="390">
        <v>0</v>
      </c>
      <c r="CH130" s="390">
        <v>0</v>
      </c>
      <c r="CI130" s="390">
        <v>0</v>
      </c>
      <c r="CJ130" s="391">
        <v>1</v>
      </c>
      <c r="CK130" s="389" t="s">
        <v>481</v>
      </c>
      <c r="CL130" s="390">
        <v>4</v>
      </c>
      <c r="CM130" s="390">
        <v>0</v>
      </c>
      <c r="CN130" s="390">
        <v>1</v>
      </c>
      <c r="CO130" s="390">
        <v>0</v>
      </c>
      <c r="CP130" s="390">
        <v>0</v>
      </c>
      <c r="CQ130" s="390">
        <v>0</v>
      </c>
      <c r="CR130" s="390">
        <v>0</v>
      </c>
      <c r="CS130" s="390">
        <v>0</v>
      </c>
      <c r="CT130" s="391">
        <v>1</v>
      </c>
      <c r="CU130" s="389" t="s">
        <v>534</v>
      </c>
      <c r="CV130" s="390">
        <v>2</v>
      </c>
      <c r="CW130" s="390">
        <v>0</v>
      </c>
      <c r="CX130" s="390">
        <v>0</v>
      </c>
      <c r="CY130" s="390">
        <v>0</v>
      </c>
      <c r="CZ130" s="390">
        <v>1</v>
      </c>
      <c r="DA130" s="390">
        <v>2</v>
      </c>
      <c r="DB130" s="390">
        <v>0</v>
      </c>
      <c r="DC130" s="390">
        <v>0</v>
      </c>
      <c r="DD130" s="391">
        <v>0</v>
      </c>
      <c r="DE130" s="389" t="s">
        <v>480</v>
      </c>
      <c r="DF130" s="390">
        <v>3</v>
      </c>
      <c r="DG130" s="390">
        <v>0</v>
      </c>
      <c r="DH130" s="390">
        <v>0</v>
      </c>
      <c r="DI130" s="390">
        <v>0</v>
      </c>
      <c r="DJ130" s="390">
        <v>0</v>
      </c>
      <c r="DK130" s="390">
        <v>0</v>
      </c>
      <c r="DL130" s="390">
        <v>0</v>
      </c>
      <c r="DM130" s="390">
        <v>0</v>
      </c>
      <c r="DN130" s="391">
        <v>0</v>
      </c>
      <c r="DO130" s="389" t="s">
        <v>486</v>
      </c>
      <c r="DP130" s="390">
        <v>2</v>
      </c>
      <c r="DQ130" s="390">
        <v>1</v>
      </c>
      <c r="DR130" s="390">
        <v>0</v>
      </c>
      <c r="DS130" s="390">
        <v>0</v>
      </c>
      <c r="DT130" s="390">
        <v>1</v>
      </c>
      <c r="DU130" s="390">
        <v>2</v>
      </c>
      <c r="DV130" s="390">
        <v>0</v>
      </c>
      <c r="DW130" s="390">
        <v>0</v>
      </c>
      <c r="DX130" s="391">
        <v>0</v>
      </c>
      <c r="DY130" s="392">
        <v>0</v>
      </c>
      <c r="DZ130" s="393">
        <v>0</v>
      </c>
      <c r="EA130" s="393">
        <v>0</v>
      </c>
      <c r="EB130" s="394">
        <v>8</v>
      </c>
      <c r="EC130" s="393">
        <v>0</v>
      </c>
      <c r="ED130" s="395">
        <v>0</v>
      </c>
      <c r="EE130" s="396">
        <v>0</v>
      </c>
      <c r="EF130" s="393">
        <v>0</v>
      </c>
      <c r="EG130" s="393">
        <v>0</v>
      </c>
      <c r="EH130" s="393">
        <v>0</v>
      </c>
      <c r="EI130" s="393">
        <v>0</v>
      </c>
      <c r="EJ130" s="393">
        <v>0</v>
      </c>
      <c r="EK130" s="393">
        <v>0</v>
      </c>
      <c r="EL130" s="393">
        <v>2</v>
      </c>
      <c r="EM130" s="393"/>
      <c r="EN130" s="393"/>
      <c r="EO130" s="393"/>
      <c r="EP130" s="393"/>
      <c r="EQ130" s="393"/>
      <c r="ER130" s="393"/>
      <c r="ES130" s="393"/>
      <c r="ET130" s="393"/>
      <c r="EU130" s="393"/>
      <c r="EV130" s="393"/>
      <c r="EW130" s="393"/>
      <c r="EX130" s="397">
        <f t="shared" si="28"/>
        <v>2</v>
      </c>
      <c r="EY130" s="396">
        <v>0</v>
      </c>
      <c r="EZ130" s="393">
        <v>0</v>
      </c>
      <c r="FA130" s="393">
        <v>0</v>
      </c>
      <c r="FB130" s="393">
        <v>0</v>
      </c>
      <c r="FC130" s="393">
        <v>0</v>
      </c>
      <c r="FD130" s="393">
        <v>0</v>
      </c>
      <c r="FE130" s="393">
        <v>0</v>
      </c>
      <c r="FF130" s="393">
        <v>0</v>
      </c>
      <c r="FG130" s="393">
        <v>0</v>
      </c>
      <c r="FH130" s="393"/>
      <c r="FI130" s="393"/>
      <c r="FJ130" s="393"/>
      <c r="FK130" s="393"/>
      <c r="FL130" s="393"/>
      <c r="FM130" s="393"/>
      <c r="FN130" s="393"/>
      <c r="FO130" s="393"/>
      <c r="FP130" s="393"/>
      <c r="FQ130" s="393"/>
      <c r="FR130" s="397">
        <f t="shared" si="29"/>
        <v>0</v>
      </c>
      <c r="FS130" s="398">
        <f t="shared" si="30"/>
        <v>0</v>
      </c>
      <c r="FT130" s="399">
        <f t="shared" si="31"/>
        <v>0</v>
      </c>
      <c r="FU130" s="400" t="s">
        <v>671</v>
      </c>
    </row>
    <row r="131" spans="1:177" x14ac:dyDescent="0.25">
      <c r="A131" s="381">
        <v>40416</v>
      </c>
      <c r="B131" s="381" t="s">
        <v>19</v>
      </c>
      <c r="C131" s="381" t="s">
        <v>129</v>
      </c>
      <c r="D131" s="381" t="s">
        <v>497</v>
      </c>
      <c r="E131" s="382"/>
      <c r="F131" s="383">
        <v>5</v>
      </c>
      <c r="G131" s="384" t="s">
        <v>493</v>
      </c>
      <c r="H131" s="385">
        <v>1</v>
      </c>
      <c r="I131" s="385">
        <v>0</v>
      </c>
      <c r="J131" s="386">
        <v>6</v>
      </c>
      <c r="K131" s="385">
        <v>3</v>
      </c>
      <c r="L131" s="385">
        <v>0</v>
      </c>
      <c r="M131" s="385">
        <v>0</v>
      </c>
      <c r="N131" s="385">
        <v>1</v>
      </c>
      <c r="O131" s="385">
        <v>10</v>
      </c>
      <c r="P131" s="385">
        <v>0</v>
      </c>
      <c r="Q131" s="385">
        <v>1</v>
      </c>
      <c r="R131" s="385">
        <v>23</v>
      </c>
      <c r="S131" s="385"/>
      <c r="T131" s="385"/>
      <c r="U131" s="385">
        <v>0</v>
      </c>
      <c r="V131" s="387">
        <v>0</v>
      </c>
      <c r="W131" s="388">
        <v>0</v>
      </c>
      <c r="X131" s="385">
        <v>0</v>
      </c>
      <c r="Y131" s="385">
        <v>0</v>
      </c>
      <c r="Z131" s="385">
        <v>1</v>
      </c>
      <c r="AA131" s="385">
        <v>0</v>
      </c>
      <c r="AB131" s="386">
        <v>1</v>
      </c>
      <c r="AC131" s="385">
        <v>1</v>
      </c>
      <c r="AD131" s="385">
        <v>0</v>
      </c>
      <c r="AE131" s="385">
        <v>0</v>
      </c>
      <c r="AF131" s="385">
        <v>1</v>
      </c>
      <c r="AG131" s="385">
        <v>0</v>
      </c>
      <c r="AH131" s="385">
        <v>0</v>
      </c>
      <c r="AI131" s="385">
        <v>0</v>
      </c>
      <c r="AJ131" s="385">
        <v>5</v>
      </c>
      <c r="AK131" s="385"/>
      <c r="AL131" s="387"/>
      <c r="AM131" s="389" t="s">
        <v>519</v>
      </c>
      <c r="AN131" s="390">
        <v>3</v>
      </c>
      <c r="AO131" s="390">
        <v>0</v>
      </c>
      <c r="AP131" s="390">
        <v>0</v>
      </c>
      <c r="AQ131" s="390">
        <v>0</v>
      </c>
      <c r="AR131" s="390">
        <v>0</v>
      </c>
      <c r="AS131" s="390">
        <v>1</v>
      </c>
      <c r="AT131" s="390">
        <v>0</v>
      </c>
      <c r="AU131" s="390">
        <v>0</v>
      </c>
      <c r="AV131" s="391">
        <v>0</v>
      </c>
      <c r="AW131" s="389" t="s">
        <v>485</v>
      </c>
      <c r="AX131" s="390">
        <v>3</v>
      </c>
      <c r="AY131" s="390">
        <v>1</v>
      </c>
      <c r="AZ131" s="390">
        <v>2</v>
      </c>
      <c r="BA131" s="390">
        <v>0</v>
      </c>
      <c r="BB131" s="390">
        <v>0</v>
      </c>
      <c r="BC131" s="390">
        <v>1</v>
      </c>
      <c r="BD131" s="390">
        <v>0</v>
      </c>
      <c r="BE131" s="390">
        <v>0</v>
      </c>
      <c r="BF131" s="391">
        <v>3</v>
      </c>
      <c r="BG131" s="389" t="s">
        <v>489</v>
      </c>
      <c r="BH131" s="390">
        <v>3</v>
      </c>
      <c r="BI131" s="390">
        <v>0</v>
      </c>
      <c r="BJ131" s="390">
        <v>0</v>
      </c>
      <c r="BK131" s="390">
        <v>0</v>
      </c>
      <c r="BL131" s="390">
        <v>0</v>
      </c>
      <c r="BM131" s="390">
        <v>1</v>
      </c>
      <c r="BN131" s="390">
        <v>0</v>
      </c>
      <c r="BO131" s="390">
        <v>0</v>
      </c>
      <c r="BP131" s="391">
        <v>0</v>
      </c>
      <c r="BQ131" s="389" t="s">
        <v>447</v>
      </c>
      <c r="BR131" s="390">
        <v>3</v>
      </c>
      <c r="BS131" s="390">
        <v>1</v>
      </c>
      <c r="BT131" s="390">
        <v>1</v>
      </c>
      <c r="BU131" s="390">
        <v>0</v>
      </c>
      <c r="BV131" s="390">
        <v>0</v>
      </c>
      <c r="BW131" s="390">
        <v>1</v>
      </c>
      <c r="BX131" s="390">
        <v>0</v>
      </c>
      <c r="BY131" s="390">
        <v>0</v>
      </c>
      <c r="BZ131" s="391">
        <v>2</v>
      </c>
      <c r="CA131" s="389" t="s">
        <v>484</v>
      </c>
      <c r="CB131" s="390">
        <v>2</v>
      </c>
      <c r="CC131" s="390">
        <v>1</v>
      </c>
      <c r="CD131" s="390">
        <v>1</v>
      </c>
      <c r="CE131" s="390">
        <v>0</v>
      </c>
      <c r="CF131" s="390">
        <v>1</v>
      </c>
      <c r="CG131" s="390">
        <v>0</v>
      </c>
      <c r="CH131" s="390">
        <v>0</v>
      </c>
      <c r="CI131" s="390">
        <v>0</v>
      </c>
      <c r="CJ131" s="391">
        <v>1</v>
      </c>
      <c r="CK131" s="389" t="s">
        <v>534</v>
      </c>
      <c r="CL131" s="390">
        <v>3</v>
      </c>
      <c r="CM131" s="390">
        <v>1</v>
      </c>
      <c r="CN131" s="390">
        <v>1</v>
      </c>
      <c r="CO131" s="390">
        <v>3</v>
      </c>
      <c r="CP131" s="390">
        <v>0</v>
      </c>
      <c r="CQ131" s="390">
        <v>0</v>
      </c>
      <c r="CR131" s="390">
        <v>0</v>
      </c>
      <c r="CS131" s="390">
        <v>0</v>
      </c>
      <c r="CT131" s="391">
        <v>4</v>
      </c>
      <c r="CU131" s="389" t="s">
        <v>480</v>
      </c>
      <c r="CV131" s="390">
        <v>1</v>
      </c>
      <c r="CW131" s="390">
        <v>0</v>
      </c>
      <c r="CX131" s="390">
        <v>0</v>
      </c>
      <c r="CY131" s="390">
        <v>0</v>
      </c>
      <c r="CZ131" s="390">
        <v>2</v>
      </c>
      <c r="DA131" s="390">
        <v>1</v>
      </c>
      <c r="DB131" s="390">
        <v>0</v>
      </c>
      <c r="DC131" s="390">
        <v>0</v>
      </c>
      <c r="DD131" s="391">
        <v>0</v>
      </c>
      <c r="DE131" s="389" t="s">
        <v>486</v>
      </c>
      <c r="DF131" s="390">
        <v>3</v>
      </c>
      <c r="DG131" s="390">
        <v>0</v>
      </c>
      <c r="DH131" s="390">
        <v>1</v>
      </c>
      <c r="DI131" s="390">
        <v>0</v>
      </c>
      <c r="DJ131" s="390">
        <v>0</v>
      </c>
      <c r="DK131" s="390">
        <v>1</v>
      </c>
      <c r="DL131" s="390">
        <v>0</v>
      </c>
      <c r="DM131" s="390">
        <v>0</v>
      </c>
      <c r="DN131" s="391">
        <v>1</v>
      </c>
      <c r="DO131" s="389" t="s">
        <v>479</v>
      </c>
      <c r="DP131" s="390">
        <v>2</v>
      </c>
      <c r="DQ131" s="390">
        <v>0</v>
      </c>
      <c r="DR131" s="390">
        <v>0</v>
      </c>
      <c r="DS131" s="390">
        <v>0</v>
      </c>
      <c r="DT131" s="390">
        <v>0</v>
      </c>
      <c r="DU131" s="390">
        <v>0</v>
      </c>
      <c r="DV131" s="390">
        <v>0</v>
      </c>
      <c r="DW131" s="390">
        <v>0</v>
      </c>
      <c r="DX131" s="391">
        <v>0</v>
      </c>
      <c r="DY131" s="392">
        <v>0</v>
      </c>
      <c r="DZ131" s="393">
        <v>0</v>
      </c>
      <c r="EA131" s="393">
        <v>0</v>
      </c>
      <c r="EB131" s="394">
        <v>6</v>
      </c>
      <c r="EC131" s="393">
        <v>2</v>
      </c>
      <c r="ED131" s="395">
        <v>0</v>
      </c>
      <c r="EE131" s="396">
        <v>0</v>
      </c>
      <c r="EF131" s="393">
        <v>1</v>
      </c>
      <c r="EG131" s="393">
        <v>0</v>
      </c>
      <c r="EH131" s="393">
        <v>0</v>
      </c>
      <c r="EI131" s="393">
        <v>0</v>
      </c>
      <c r="EJ131" s="393">
        <v>3</v>
      </c>
      <c r="EK131" s="393"/>
      <c r="EL131" s="393"/>
      <c r="EM131" s="393"/>
      <c r="EN131" s="393"/>
      <c r="EO131" s="393"/>
      <c r="EP131" s="393"/>
      <c r="EQ131" s="393"/>
      <c r="ER131" s="393"/>
      <c r="ES131" s="393"/>
      <c r="ET131" s="393"/>
      <c r="EU131" s="393"/>
      <c r="EV131" s="393"/>
      <c r="EW131" s="393"/>
      <c r="EX131" s="397">
        <f t="shared" si="28"/>
        <v>4</v>
      </c>
      <c r="EY131" s="396">
        <v>0</v>
      </c>
      <c r="EZ131" s="393">
        <v>0</v>
      </c>
      <c r="FA131" s="393">
        <v>0</v>
      </c>
      <c r="FB131" s="393">
        <v>0</v>
      </c>
      <c r="FC131" s="393">
        <v>0</v>
      </c>
      <c r="FD131" s="393">
        <v>0</v>
      </c>
      <c r="FE131" s="393">
        <v>0</v>
      </c>
      <c r="FF131" s="393"/>
      <c r="FG131" s="393"/>
      <c r="FH131" s="393"/>
      <c r="FI131" s="393"/>
      <c r="FJ131" s="393"/>
      <c r="FK131" s="393"/>
      <c r="FL131" s="393"/>
      <c r="FM131" s="393"/>
      <c r="FN131" s="393"/>
      <c r="FO131" s="393"/>
      <c r="FP131" s="393"/>
      <c r="FQ131" s="393"/>
      <c r="FR131" s="397">
        <f t="shared" si="29"/>
        <v>0</v>
      </c>
      <c r="FS131" s="398">
        <f t="shared" si="30"/>
        <v>0</v>
      </c>
      <c r="FT131" s="399">
        <f t="shared" si="31"/>
        <v>0</v>
      </c>
      <c r="FU131" s="400" t="s">
        <v>475</v>
      </c>
    </row>
    <row r="132" spans="1:177" x14ac:dyDescent="0.25">
      <c r="A132" s="381">
        <v>40416</v>
      </c>
      <c r="B132" s="381" t="s">
        <v>19</v>
      </c>
      <c r="C132" s="381" t="s">
        <v>129</v>
      </c>
      <c r="D132" s="381" t="s">
        <v>497</v>
      </c>
      <c r="E132" s="382">
        <v>2389</v>
      </c>
      <c r="F132" s="383">
        <v>1</v>
      </c>
      <c r="G132" s="384" t="s">
        <v>490</v>
      </c>
      <c r="H132" s="385">
        <v>0</v>
      </c>
      <c r="I132" s="385">
        <v>0</v>
      </c>
      <c r="J132" s="386">
        <v>4</v>
      </c>
      <c r="K132" s="385">
        <v>0</v>
      </c>
      <c r="L132" s="385">
        <v>0</v>
      </c>
      <c r="M132" s="385">
        <v>0</v>
      </c>
      <c r="N132" s="385">
        <v>0</v>
      </c>
      <c r="O132" s="385">
        <v>6</v>
      </c>
      <c r="P132" s="385">
        <v>0</v>
      </c>
      <c r="Q132" s="385">
        <v>0</v>
      </c>
      <c r="R132" s="385">
        <v>12</v>
      </c>
      <c r="S132" s="385"/>
      <c r="T132" s="385"/>
      <c r="U132" s="385">
        <v>0</v>
      </c>
      <c r="V132" s="387">
        <v>0</v>
      </c>
      <c r="W132" s="388">
        <v>1</v>
      </c>
      <c r="X132" s="385">
        <v>0</v>
      </c>
      <c r="Y132" s="385">
        <v>0</v>
      </c>
      <c r="Z132" s="385">
        <v>0</v>
      </c>
      <c r="AA132" s="385">
        <v>0</v>
      </c>
      <c r="AB132" s="386">
        <v>3</v>
      </c>
      <c r="AC132" s="385">
        <v>5</v>
      </c>
      <c r="AD132" s="385">
        <v>4</v>
      </c>
      <c r="AE132" s="385">
        <v>4</v>
      </c>
      <c r="AF132" s="385">
        <v>2</v>
      </c>
      <c r="AG132" s="385">
        <v>6</v>
      </c>
      <c r="AH132" s="385">
        <v>0</v>
      </c>
      <c r="AI132" s="385">
        <v>0</v>
      </c>
      <c r="AJ132" s="385">
        <v>16</v>
      </c>
      <c r="AK132" s="385"/>
      <c r="AL132" s="387"/>
      <c r="AM132" s="389" t="s">
        <v>534</v>
      </c>
      <c r="AN132" s="390">
        <v>3</v>
      </c>
      <c r="AO132" s="390">
        <v>1</v>
      </c>
      <c r="AP132" s="390">
        <v>0</v>
      </c>
      <c r="AQ132" s="390">
        <v>1</v>
      </c>
      <c r="AR132" s="390">
        <v>0</v>
      </c>
      <c r="AS132" s="390">
        <v>1</v>
      </c>
      <c r="AT132" s="390">
        <v>0</v>
      </c>
      <c r="AU132" s="390">
        <v>0</v>
      </c>
      <c r="AV132" s="391">
        <v>0</v>
      </c>
      <c r="AW132" s="389" t="s">
        <v>485</v>
      </c>
      <c r="AX132" s="390">
        <v>3</v>
      </c>
      <c r="AY132" s="390">
        <v>0</v>
      </c>
      <c r="AZ132" s="390">
        <v>1</v>
      </c>
      <c r="BA132" s="390">
        <v>1</v>
      </c>
      <c r="BB132" s="390">
        <v>0</v>
      </c>
      <c r="BC132" s="390">
        <v>0</v>
      </c>
      <c r="BD132" s="390">
        <v>0</v>
      </c>
      <c r="BE132" s="390">
        <v>0</v>
      </c>
      <c r="BF132" s="391">
        <v>1</v>
      </c>
      <c r="BG132" s="389" t="s">
        <v>482</v>
      </c>
      <c r="BH132" s="390">
        <v>3</v>
      </c>
      <c r="BI132" s="390">
        <v>0</v>
      </c>
      <c r="BJ132" s="390">
        <v>0</v>
      </c>
      <c r="BK132" s="390">
        <v>0</v>
      </c>
      <c r="BL132" s="390">
        <v>0</v>
      </c>
      <c r="BM132" s="390">
        <v>1</v>
      </c>
      <c r="BN132" s="390">
        <v>0</v>
      </c>
      <c r="BO132" s="390">
        <v>0</v>
      </c>
      <c r="BP132" s="391">
        <v>0</v>
      </c>
      <c r="BQ132" s="389" t="s">
        <v>447</v>
      </c>
      <c r="BR132" s="390">
        <v>3</v>
      </c>
      <c r="BS132" s="390">
        <v>0</v>
      </c>
      <c r="BT132" s="390">
        <v>1</v>
      </c>
      <c r="BU132" s="390">
        <v>0</v>
      </c>
      <c r="BV132" s="390">
        <v>0</v>
      </c>
      <c r="BW132" s="390">
        <v>1</v>
      </c>
      <c r="BX132" s="390">
        <v>0</v>
      </c>
      <c r="BY132" s="390">
        <v>0</v>
      </c>
      <c r="BZ132" s="391">
        <v>1</v>
      </c>
      <c r="CA132" s="389" t="s">
        <v>481</v>
      </c>
      <c r="CB132" s="390">
        <v>3</v>
      </c>
      <c r="CC132" s="390">
        <v>1</v>
      </c>
      <c r="CD132" s="390">
        <v>1</v>
      </c>
      <c r="CE132" s="390">
        <v>0</v>
      </c>
      <c r="CF132" s="390">
        <v>0</v>
      </c>
      <c r="CG132" s="390">
        <v>0</v>
      </c>
      <c r="CH132" s="390">
        <v>0</v>
      </c>
      <c r="CI132" s="390">
        <v>0</v>
      </c>
      <c r="CJ132" s="391">
        <v>1</v>
      </c>
      <c r="CK132" s="389" t="s">
        <v>367</v>
      </c>
      <c r="CL132" s="390">
        <v>3</v>
      </c>
      <c r="CM132" s="390">
        <v>0</v>
      </c>
      <c r="CN132" s="390">
        <v>0</v>
      </c>
      <c r="CO132" s="390">
        <v>0</v>
      </c>
      <c r="CP132" s="390">
        <v>0</v>
      </c>
      <c r="CQ132" s="390">
        <v>3</v>
      </c>
      <c r="CR132" s="390">
        <v>0</v>
      </c>
      <c r="CS132" s="390">
        <v>0</v>
      </c>
      <c r="CT132" s="391">
        <v>0</v>
      </c>
      <c r="CU132" s="389" t="s">
        <v>489</v>
      </c>
      <c r="CV132" s="390">
        <v>3</v>
      </c>
      <c r="CW132" s="390">
        <v>0</v>
      </c>
      <c r="CX132" s="390">
        <v>1</v>
      </c>
      <c r="CY132" s="390">
        <v>1</v>
      </c>
      <c r="CZ132" s="390">
        <v>0</v>
      </c>
      <c r="DA132" s="390">
        <v>0</v>
      </c>
      <c r="DB132" s="390">
        <v>0</v>
      </c>
      <c r="DC132" s="390">
        <v>0</v>
      </c>
      <c r="DD132" s="391">
        <v>2</v>
      </c>
      <c r="DE132" s="389" t="s">
        <v>480</v>
      </c>
      <c r="DF132" s="390">
        <v>1</v>
      </c>
      <c r="DG132" s="390">
        <v>1</v>
      </c>
      <c r="DH132" s="390">
        <v>0</v>
      </c>
      <c r="DI132" s="390">
        <v>0</v>
      </c>
      <c r="DJ132" s="390">
        <v>1</v>
      </c>
      <c r="DK132" s="390">
        <v>0</v>
      </c>
      <c r="DL132" s="390">
        <v>0</v>
      </c>
      <c r="DM132" s="390">
        <v>0</v>
      </c>
      <c r="DN132" s="391">
        <v>0</v>
      </c>
      <c r="DO132" s="389" t="s">
        <v>486</v>
      </c>
      <c r="DP132" s="390">
        <v>2</v>
      </c>
      <c r="DQ132" s="390">
        <v>2</v>
      </c>
      <c r="DR132" s="390">
        <v>2</v>
      </c>
      <c r="DS132" s="390">
        <v>0</v>
      </c>
      <c r="DT132" s="390">
        <v>0</v>
      </c>
      <c r="DU132" s="390">
        <v>0</v>
      </c>
      <c r="DV132" s="390">
        <v>0</v>
      </c>
      <c r="DW132" s="390">
        <v>0</v>
      </c>
      <c r="DX132" s="391">
        <v>2</v>
      </c>
      <c r="DY132" s="392">
        <v>0</v>
      </c>
      <c r="DZ132" s="393">
        <v>0</v>
      </c>
      <c r="EA132" s="393">
        <v>0</v>
      </c>
      <c r="EB132" s="394">
        <v>6</v>
      </c>
      <c r="EC132" s="393">
        <v>2</v>
      </c>
      <c r="ED132" s="395">
        <v>0</v>
      </c>
      <c r="EE132" s="396">
        <v>0</v>
      </c>
      <c r="EF132" s="393">
        <v>0</v>
      </c>
      <c r="EG132" s="393">
        <v>3</v>
      </c>
      <c r="EH132" s="393">
        <v>0</v>
      </c>
      <c r="EI132" s="393">
        <v>1</v>
      </c>
      <c r="EJ132" s="393">
        <v>1</v>
      </c>
      <c r="EK132" s="393"/>
      <c r="EL132" s="393"/>
      <c r="EM132" s="393"/>
      <c r="EN132" s="393"/>
      <c r="EO132" s="393"/>
      <c r="EP132" s="393"/>
      <c r="EQ132" s="393"/>
      <c r="ER132" s="393"/>
      <c r="ES132" s="393"/>
      <c r="ET132" s="393"/>
      <c r="EU132" s="393"/>
      <c r="EV132" s="393"/>
      <c r="EW132" s="393"/>
      <c r="EX132" s="397">
        <f t="shared" si="28"/>
        <v>5</v>
      </c>
      <c r="EY132" s="396">
        <v>0</v>
      </c>
      <c r="EZ132" s="393">
        <v>0</v>
      </c>
      <c r="FA132" s="393">
        <v>0</v>
      </c>
      <c r="FB132" s="393">
        <v>0</v>
      </c>
      <c r="FC132" s="393">
        <v>0</v>
      </c>
      <c r="FD132" s="393">
        <v>4</v>
      </c>
      <c r="FE132" s="393">
        <v>0</v>
      </c>
      <c r="FF132" s="393"/>
      <c r="FG132" s="393"/>
      <c r="FH132" s="393"/>
      <c r="FI132" s="393"/>
      <c r="FJ132" s="393"/>
      <c r="FK132" s="393"/>
      <c r="FL132" s="393"/>
      <c r="FM132" s="393"/>
      <c r="FN132" s="393"/>
      <c r="FO132" s="393"/>
      <c r="FP132" s="393"/>
      <c r="FQ132" s="393"/>
      <c r="FR132" s="397">
        <f t="shared" si="29"/>
        <v>4</v>
      </c>
      <c r="FS132" s="398">
        <f t="shared" si="30"/>
        <v>0</v>
      </c>
      <c r="FT132" s="399">
        <f t="shared" si="31"/>
        <v>0</v>
      </c>
      <c r="FU132" s="400" t="s">
        <v>378</v>
      </c>
    </row>
    <row r="133" spans="1:177" x14ac:dyDescent="0.25">
      <c r="A133" s="381">
        <v>40417</v>
      </c>
      <c r="B133" s="381" t="s">
        <v>133</v>
      </c>
      <c r="C133" s="381" t="s">
        <v>131</v>
      </c>
      <c r="D133" s="381" t="s">
        <v>513</v>
      </c>
      <c r="E133" s="382"/>
      <c r="F133" s="383">
        <v>2</v>
      </c>
      <c r="G133" s="384" t="s">
        <v>672</v>
      </c>
      <c r="H133" s="385">
        <v>0</v>
      </c>
      <c r="I133" s="385">
        <v>1</v>
      </c>
      <c r="J133" s="386">
        <f>0+2/3</f>
        <v>0.66666666666666663</v>
      </c>
      <c r="K133" s="385">
        <v>2</v>
      </c>
      <c r="L133" s="385">
        <v>3</v>
      </c>
      <c r="M133" s="385">
        <v>2</v>
      </c>
      <c r="N133" s="385">
        <v>3</v>
      </c>
      <c r="O133" s="385">
        <v>2</v>
      </c>
      <c r="P133" s="385">
        <v>0</v>
      </c>
      <c r="Q133" s="385">
        <v>0</v>
      </c>
      <c r="R133" s="385">
        <v>7</v>
      </c>
      <c r="S133" s="385"/>
      <c r="T133" s="385"/>
      <c r="U133" s="385">
        <v>2</v>
      </c>
      <c r="V133" s="387">
        <v>0</v>
      </c>
      <c r="W133" s="388">
        <v>0</v>
      </c>
      <c r="X133" s="385">
        <v>0</v>
      </c>
      <c r="Y133" s="385">
        <v>0</v>
      </c>
      <c r="Z133" s="385">
        <v>0</v>
      </c>
      <c r="AA133" s="385">
        <v>0</v>
      </c>
      <c r="AB133" s="386">
        <f>7+1/3</f>
        <v>7.333333333333333</v>
      </c>
      <c r="AC133" s="385">
        <v>9</v>
      </c>
      <c r="AD133" s="385">
        <v>3</v>
      </c>
      <c r="AE133" s="385">
        <v>2</v>
      </c>
      <c r="AF133" s="385">
        <v>0</v>
      </c>
      <c r="AG133" s="385">
        <v>8</v>
      </c>
      <c r="AH133" s="385">
        <v>0</v>
      </c>
      <c r="AI133" s="385">
        <v>0</v>
      </c>
      <c r="AJ133" s="385">
        <v>31</v>
      </c>
      <c r="AK133" s="385"/>
      <c r="AL133" s="387"/>
      <c r="AM133" s="389" t="s">
        <v>482</v>
      </c>
      <c r="AN133" s="390">
        <v>3</v>
      </c>
      <c r="AO133" s="390">
        <v>0</v>
      </c>
      <c r="AP133" s="390">
        <v>1</v>
      </c>
      <c r="AQ133" s="390">
        <v>0</v>
      </c>
      <c r="AR133" s="390">
        <v>1</v>
      </c>
      <c r="AS133" s="390">
        <v>0</v>
      </c>
      <c r="AT133" s="390">
        <v>0</v>
      </c>
      <c r="AU133" s="390">
        <v>0</v>
      </c>
      <c r="AV133" s="391">
        <v>2</v>
      </c>
      <c r="AW133" s="389" t="s">
        <v>485</v>
      </c>
      <c r="AX133" s="390">
        <v>4</v>
      </c>
      <c r="AY133" s="390">
        <v>0</v>
      </c>
      <c r="AZ133" s="390">
        <v>1</v>
      </c>
      <c r="BA133" s="390">
        <v>0</v>
      </c>
      <c r="BB133" s="390">
        <v>0</v>
      </c>
      <c r="BC133" s="390">
        <v>1</v>
      </c>
      <c r="BD133" s="390">
        <v>0</v>
      </c>
      <c r="BE133" s="390">
        <v>0</v>
      </c>
      <c r="BF133" s="391">
        <v>1</v>
      </c>
      <c r="BG133" s="389" t="s">
        <v>484</v>
      </c>
      <c r="BH133" s="390">
        <v>3</v>
      </c>
      <c r="BI133" s="390">
        <v>0</v>
      </c>
      <c r="BJ133" s="390">
        <v>0</v>
      </c>
      <c r="BK133" s="390">
        <v>0</v>
      </c>
      <c r="BL133" s="390">
        <v>1</v>
      </c>
      <c r="BM133" s="390">
        <v>0</v>
      </c>
      <c r="BN133" s="390">
        <v>0</v>
      </c>
      <c r="BO133" s="390">
        <v>0</v>
      </c>
      <c r="BP133" s="391">
        <v>0</v>
      </c>
      <c r="BQ133" s="389" t="s">
        <v>447</v>
      </c>
      <c r="BR133" s="390">
        <v>3</v>
      </c>
      <c r="BS133" s="390">
        <v>0</v>
      </c>
      <c r="BT133" s="390">
        <v>0</v>
      </c>
      <c r="BU133" s="390">
        <v>0</v>
      </c>
      <c r="BV133" s="390">
        <v>1</v>
      </c>
      <c r="BW133" s="390">
        <v>0</v>
      </c>
      <c r="BX133" s="390">
        <v>0</v>
      </c>
      <c r="BY133" s="390">
        <v>0</v>
      </c>
      <c r="BZ133" s="391">
        <v>0</v>
      </c>
      <c r="CA133" s="389" t="s">
        <v>489</v>
      </c>
      <c r="CB133" s="390">
        <v>4</v>
      </c>
      <c r="CC133" s="390">
        <v>0</v>
      </c>
      <c r="CD133" s="390">
        <v>0</v>
      </c>
      <c r="CE133" s="390">
        <v>0</v>
      </c>
      <c r="CF133" s="390">
        <v>0</v>
      </c>
      <c r="CG133" s="390">
        <v>1</v>
      </c>
      <c r="CH133" s="390">
        <v>0</v>
      </c>
      <c r="CI133" s="390">
        <v>0</v>
      </c>
      <c r="CJ133" s="391">
        <v>0</v>
      </c>
      <c r="CK133" s="389" t="s">
        <v>367</v>
      </c>
      <c r="CL133" s="390">
        <v>4</v>
      </c>
      <c r="CM133" s="390">
        <v>0</v>
      </c>
      <c r="CN133" s="390">
        <v>0</v>
      </c>
      <c r="CO133" s="390">
        <v>0</v>
      </c>
      <c r="CP133" s="390">
        <v>0</v>
      </c>
      <c r="CQ133" s="390">
        <v>2</v>
      </c>
      <c r="CR133" s="390">
        <v>0</v>
      </c>
      <c r="CS133" s="390">
        <v>0</v>
      </c>
      <c r="CT133" s="391">
        <v>0</v>
      </c>
      <c r="CU133" s="389" t="s">
        <v>481</v>
      </c>
      <c r="CV133" s="390">
        <v>3</v>
      </c>
      <c r="CW133" s="390">
        <v>0</v>
      </c>
      <c r="CX133" s="390">
        <v>0</v>
      </c>
      <c r="CY133" s="390">
        <v>0</v>
      </c>
      <c r="CZ133" s="390">
        <v>0</v>
      </c>
      <c r="DA133" s="390">
        <v>0</v>
      </c>
      <c r="DB133" s="390">
        <v>0</v>
      </c>
      <c r="DC133" s="390">
        <v>0</v>
      </c>
      <c r="DD133" s="391">
        <v>0</v>
      </c>
      <c r="DE133" s="389" t="s">
        <v>534</v>
      </c>
      <c r="DF133" s="390">
        <v>3</v>
      </c>
      <c r="DG133" s="390">
        <v>0</v>
      </c>
      <c r="DH133" s="390">
        <v>0</v>
      </c>
      <c r="DI133" s="390">
        <v>0</v>
      </c>
      <c r="DJ133" s="390">
        <v>0</v>
      </c>
      <c r="DK133" s="390">
        <v>0</v>
      </c>
      <c r="DL133" s="390">
        <v>0</v>
      </c>
      <c r="DM133" s="390">
        <v>0</v>
      </c>
      <c r="DN133" s="391">
        <v>0</v>
      </c>
      <c r="DO133" s="389" t="s">
        <v>486</v>
      </c>
      <c r="DP133" s="390">
        <v>3</v>
      </c>
      <c r="DQ133" s="390">
        <v>0</v>
      </c>
      <c r="DR133" s="390">
        <v>1</v>
      </c>
      <c r="DS133" s="390">
        <v>0</v>
      </c>
      <c r="DT133" s="390">
        <v>0</v>
      </c>
      <c r="DU133" s="390">
        <v>0</v>
      </c>
      <c r="DV133" s="390">
        <v>0</v>
      </c>
      <c r="DW133" s="390">
        <v>0</v>
      </c>
      <c r="DX133" s="391">
        <v>1</v>
      </c>
      <c r="DY133" s="392">
        <v>1</v>
      </c>
      <c r="DZ133" s="393">
        <v>0</v>
      </c>
      <c r="EA133" s="393">
        <v>0</v>
      </c>
      <c r="EB133" s="394">
        <v>8</v>
      </c>
      <c r="EC133" s="393">
        <v>1</v>
      </c>
      <c r="ED133" s="395">
        <v>0</v>
      </c>
      <c r="EE133" s="396">
        <v>0</v>
      </c>
      <c r="EF133" s="393">
        <v>0</v>
      </c>
      <c r="EG133" s="393">
        <v>0</v>
      </c>
      <c r="EH133" s="393">
        <v>0</v>
      </c>
      <c r="EI133" s="393">
        <v>0</v>
      </c>
      <c r="EJ133" s="393">
        <v>0</v>
      </c>
      <c r="EK133" s="393">
        <v>0</v>
      </c>
      <c r="EL133" s="393">
        <v>0</v>
      </c>
      <c r="EM133" s="393">
        <v>0</v>
      </c>
      <c r="EN133" s="393"/>
      <c r="EO133" s="393"/>
      <c r="EP133" s="393"/>
      <c r="EQ133" s="393"/>
      <c r="ER133" s="393"/>
      <c r="ES133" s="393"/>
      <c r="ET133" s="393"/>
      <c r="EU133" s="393"/>
      <c r="EV133" s="393"/>
      <c r="EW133" s="393"/>
      <c r="EX133" s="397">
        <f t="shared" si="28"/>
        <v>0</v>
      </c>
      <c r="EY133" s="396">
        <v>3</v>
      </c>
      <c r="EZ133" s="393">
        <v>0</v>
      </c>
      <c r="FA133" s="393">
        <v>0</v>
      </c>
      <c r="FB133" s="393">
        <v>1</v>
      </c>
      <c r="FC133" s="393">
        <v>1</v>
      </c>
      <c r="FD133" s="393">
        <v>0</v>
      </c>
      <c r="FE133" s="393">
        <v>1</v>
      </c>
      <c r="FF133" s="393">
        <v>0</v>
      </c>
      <c r="FG133" s="393"/>
      <c r="FH133" s="393"/>
      <c r="FI133" s="393"/>
      <c r="FJ133" s="393"/>
      <c r="FK133" s="393"/>
      <c r="FL133" s="393"/>
      <c r="FM133" s="393"/>
      <c r="FN133" s="393"/>
      <c r="FO133" s="393"/>
      <c r="FP133" s="393"/>
      <c r="FQ133" s="393"/>
      <c r="FR133" s="397">
        <f t="shared" si="29"/>
        <v>6</v>
      </c>
      <c r="FS133" s="398">
        <f t="shared" si="30"/>
        <v>0</v>
      </c>
      <c r="FT133" s="399">
        <f t="shared" si="31"/>
        <v>0</v>
      </c>
      <c r="FU133" s="400" t="s">
        <v>673</v>
      </c>
    </row>
    <row r="134" spans="1:177" x14ac:dyDescent="0.25">
      <c r="A134" s="381">
        <v>40418</v>
      </c>
      <c r="B134" s="381" t="s">
        <v>133</v>
      </c>
      <c r="C134" s="381" t="s">
        <v>131</v>
      </c>
      <c r="D134" s="381" t="s">
        <v>513</v>
      </c>
      <c r="E134" s="382">
        <v>1810</v>
      </c>
      <c r="F134" s="383">
        <v>3</v>
      </c>
      <c r="G134" s="384" t="s">
        <v>492</v>
      </c>
      <c r="H134" s="385">
        <v>0</v>
      </c>
      <c r="I134" s="385">
        <v>1</v>
      </c>
      <c r="J134" s="386">
        <f>3+1/3</f>
        <v>3.3333333333333335</v>
      </c>
      <c r="K134" s="385">
        <v>8</v>
      </c>
      <c r="L134" s="385">
        <v>7</v>
      </c>
      <c r="M134" s="385">
        <v>6</v>
      </c>
      <c r="N134" s="385">
        <v>0</v>
      </c>
      <c r="O134" s="385">
        <v>4</v>
      </c>
      <c r="P134" s="385">
        <v>0</v>
      </c>
      <c r="Q134" s="385">
        <v>2</v>
      </c>
      <c r="R134" s="385">
        <v>21</v>
      </c>
      <c r="S134" s="385"/>
      <c r="T134" s="385"/>
      <c r="U134" s="385">
        <v>1</v>
      </c>
      <c r="V134" s="387">
        <v>1</v>
      </c>
      <c r="W134" s="388">
        <v>0</v>
      </c>
      <c r="X134" s="385">
        <v>0</v>
      </c>
      <c r="Y134" s="385">
        <v>0</v>
      </c>
      <c r="Z134" s="385">
        <v>0</v>
      </c>
      <c r="AA134" s="385">
        <v>0</v>
      </c>
      <c r="AB134" s="386">
        <f>2+2/3</f>
        <v>2.6666666666666665</v>
      </c>
      <c r="AC134" s="385">
        <v>1</v>
      </c>
      <c r="AD134" s="385">
        <v>3</v>
      </c>
      <c r="AE134" s="385">
        <v>1</v>
      </c>
      <c r="AF134" s="385">
        <v>4</v>
      </c>
      <c r="AG134" s="385">
        <v>4</v>
      </c>
      <c r="AH134" s="385">
        <v>0</v>
      </c>
      <c r="AI134" s="385">
        <v>0</v>
      </c>
      <c r="AJ134" s="385">
        <v>14</v>
      </c>
      <c r="AK134" s="385"/>
      <c r="AL134" s="387"/>
      <c r="AM134" s="389" t="s">
        <v>486</v>
      </c>
      <c r="AN134" s="390">
        <v>2</v>
      </c>
      <c r="AO134" s="390">
        <v>0</v>
      </c>
      <c r="AP134" s="390">
        <v>1</v>
      </c>
      <c r="AQ134" s="390">
        <v>0</v>
      </c>
      <c r="AR134" s="390">
        <v>1</v>
      </c>
      <c r="AS134" s="390">
        <v>0</v>
      </c>
      <c r="AT134" s="390">
        <v>0</v>
      </c>
      <c r="AU134" s="390">
        <v>0</v>
      </c>
      <c r="AV134" s="391">
        <v>1</v>
      </c>
      <c r="AW134" s="389" t="s">
        <v>485</v>
      </c>
      <c r="AX134" s="390">
        <v>2</v>
      </c>
      <c r="AY134" s="390">
        <v>0</v>
      </c>
      <c r="AZ134" s="390">
        <v>0</v>
      </c>
      <c r="BA134" s="390">
        <v>0</v>
      </c>
      <c r="BB134" s="390">
        <v>1</v>
      </c>
      <c r="BC134" s="390">
        <v>0</v>
      </c>
      <c r="BD134" s="390">
        <v>0</v>
      </c>
      <c r="BE134" s="390">
        <v>0</v>
      </c>
      <c r="BF134" s="391">
        <v>0</v>
      </c>
      <c r="BG134" s="389" t="s">
        <v>674</v>
      </c>
      <c r="BH134" s="390">
        <v>3</v>
      </c>
      <c r="BI134" s="390">
        <v>0</v>
      </c>
      <c r="BJ134" s="390">
        <v>0</v>
      </c>
      <c r="BK134" s="390">
        <v>0</v>
      </c>
      <c r="BL134" s="390">
        <v>0</v>
      </c>
      <c r="BM134" s="390">
        <v>1</v>
      </c>
      <c r="BN134" s="390">
        <v>0</v>
      </c>
      <c r="BO134" s="390">
        <v>0</v>
      </c>
      <c r="BP134" s="391">
        <v>0</v>
      </c>
      <c r="BQ134" s="389" t="s">
        <v>367</v>
      </c>
      <c r="BR134" s="390">
        <v>3</v>
      </c>
      <c r="BS134" s="390">
        <v>0</v>
      </c>
      <c r="BT134" s="390">
        <v>0</v>
      </c>
      <c r="BU134" s="390">
        <v>0</v>
      </c>
      <c r="BV134" s="390">
        <v>0</v>
      </c>
      <c r="BW134" s="390">
        <v>2</v>
      </c>
      <c r="BX134" s="390">
        <v>0</v>
      </c>
      <c r="BY134" s="390">
        <v>0</v>
      </c>
      <c r="BZ134" s="391">
        <v>0</v>
      </c>
      <c r="CA134" s="389" t="s">
        <v>484</v>
      </c>
      <c r="CB134" s="390">
        <v>3</v>
      </c>
      <c r="CC134" s="390">
        <v>0</v>
      </c>
      <c r="CD134" s="390">
        <v>2</v>
      </c>
      <c r="CE134" s="390">
        <v>0</v>
      </c>
      <c r="CF134" s="390">
        <v>0</v>
      </c>
      <c r="CG134" s="390">
        <v>0</v>
      </c>
      <c r="CH134" s="390">
        <v>0</v>
      </c>
      <c r="CI134" s="390">
        <v>0</v>
      </c>
      <c r="CJ134" s="391">
        <v>2</v>
      </c>
      <c r="CK134" s="389" t="s">
        <v>489</v>
      </c>
      <c r="CL134" s="390">
        <v>3</v>
      </c>
      <c r="CM134" s="390">
        <v>1</v>
      </c>
      <c r="CN134" s="390">
        <v>0</v>
      </c>
      <c r="CO134" s="390">
        <v>0</v>
      </c>
      <c r="CP134" s="390">
        <v>0</v>
      </c>
      <c r="CQ134" s="390">
        <v>0</v>
      </c>
      <c r="CR134" s="390">
        <v>0</v>
      </c>
      <c r="CS134" s="390">
        <v>0</v>
      </c>
      <c r="CT134" s="391">
        <v>0</v>
      </c>
      <c r="CU134" s="389" t="s">
        <v>480</v>
      </c>
      <c r="CV134" s="390">
        <v>3</v>
      </c>
      <c r="CW134" s="390">
        <v>0</v>
      </c>
      <c r="CX134" s="390">
        <v>2</v>
      </c>
      <c r="CY134" s="390">
        <v>1</v>
      </c>
      <c r="CZ134" s="390">
        <v>0</v>
      </c>
      <c r="DA134" s="390">
        <v>0</v>
      </c>
      <c r="DB134" s="390">
        <v>0</v>
      </c>
      <c r="DC134" s="390">
        <v>0</v>
      </c>
      <c r="DD134" s="391">
        <v>2</v>
      </c>
      <c r="DE134" s="389" t="s">
        <v>479</v>
      </c>
      <c r="DF134" s="390">
        <v>3</v>
      </c>
      <c r="DG134" s="390">
        <v>0</v>
      </c>
      <c r="DH134" s="390">
        <v>0</v>
      </c>
      <c r="DI134" s="390">
        <v>0</v>
      </c>
      <c r="DJ134" s="390">
        <v>0</v>
      </c>
      <c r="DK134" s="390">
        <v>0</v>
      </c>
      <c r="DL134" s="390">
        <v>0</v>
      </c>
      <c r="DM134" s="390">
        <v>0</v>
      </c>
      <c r="DN134" s="391">
        <v>0</v>
      </c>
      <c r="DO134" s="389" t="s">
        <v>519</v>
      </c>
      <c r="DP134" s="390">
        <v>3</v>
      </c>
      <c r="DQ134" s="390">
        <v>0</v>
      </c>
      <c r="DR134" s="390">
        <v>0</v>
      </c>
      <c r="DS134" s="390">
        <v>0</v>
      </c>
      <c r="DT134" s="390">
        <v>0</v>
      </c>
      <c r="DU134" s="390">
        <v>1</v>
      </c>
      <c r="DV134" s="390">
        <v>0</v>
      </c>
      <c r="DW134" s="390">
        <v>0</v>
      </c>
      <c r="DX134" s="391">
        <v>0</v>
      </c>
      <c r="DY134" s="392">
        <f>4+2/3</f>
        <v>4.666666666666667</v>
      </c>
      <c r="DZ134" s="393">
        <v>1</v>
      </c>
      <c r="EA134" s="393">
        <v>0</v>
      </c>
      <c r="EB134" s="394">
        <f>2+1/3</f>
        <v>2.3333333333333335</v>
      </c>
      <c r="EC134" s="393">
        <v>0</v>
      </c>
      <c r="ED134" s="395">
        <v>0</v>
      </c>
      <c r="EE134" s="396">
        <v>0</v>
      </c>
      <c r="EF134" s="393">
        <v>0</v>
      </c>
      <c r="EG134" s="393">
        <v>0</v>
      </c>
      <c r="EH134" s="393">
        <v>0</v>
      </c>
      <c r="EI134" s="393">
        <v>0</v>
      </c>
      <c r="EJ134" s="393">
        <v>0</v>
      </c>
      <c r="EK134" s="393">
        <v>1</v>
      </c>
      <c r="EL134" s="393"/>
      <c r="EM134" s="393"/>
      <c r="EN134" s="393"/>
      <c r="EO134" s="393"/>
      <c r="EP134" s="393"/>
      <c r="EQ134" s="393"/>
      <c r="ER134" s="393"/>
      <c r="ES134" s="393"/>
      <c r="ET134" s="393"/>
      <c r="EU134" s="393"/>
      <c r="EV134" s="393"/>
      <c r="EW134" s="393"/>
      <c r="EX134" s="397">
        <f t="shared" si="28"/>
        <v>1</v>
      </c>
      <c r="EY134" s="396">
        <v>2</v>
      </c>
      <c r="EZ134" s="393">
        <v>1</v>
      </c>
      <c r="FA134" s="393">
        <v>0</v>
      </c>
      <c r="FB134" s="393">
        <v>7</v>
      </c>
      <c r="FC134" s="393">
        <v>0</v>
      </c>
      <c r="FD134" s="393">
        <v>0</v>
      </c>
      <c r="FE134" s="393"/>
      <c r="FF134" s="393"/>
      <c r="FG134" s="393"/>
      <c r="FH134" s="393"/>
      <c r="FI134" s="393"/>
      <c r="FJ134" s="393"/>
      <c r="FK134" s="393"/>
      <c r="FL134" s="393"/>
      <c r="FM134" s="393"/>
      <c r="FN134" s="393"/>
      <c r="FO134" s="393"/>
      <c r="FP134" s="393"/>
      <c r="FQ134" s="393"/>
      <c r="FR134" s="397">
        <f t="shared" si="29"/>
        <v>10</v>
      </c>
      <c r="FS134" s="398">
        <f t="shared" si="30"/>
        <v>0</v>
      </c>
      <c r="FT134" s="399">
        <f t="shared" si="31"/>
        <v>0</v>
      </c>
      <c r="FU134" s="400" t="s">
        <v>675</v>
      </c>
    </row>
    <row r="135" spans="1:177" x14ac:dyDescent="0.25">
      <c r="A135" s="381">
        <v>40420</v>
      </c>
      <c r="B135" s="381" t="s">
        <v>133</v>
      </c>
      <c r="C135" s="381" t="s">
        <v>131</v>
      </c>
      <c r="D135" s="381" t="s">
        <v>513</v>
      </c>
      <c r="E135" s="382">
        <v>982</v>
      </c>
      <c r="F135" s="383">
        <v>4</v>
      </c>
      <c r="G135" s="384" t="s">
        <v>672</v>
      </c>
      <c r="H135" s="385">
        <v>0</v>
      </c>
      <c r="I135" s="385">
        <v>0</v>
      </c>
      <c r="J135" s="386">
        <v>1</v>
      </c>
      <c r="K135" s="385">
        <v>0</v>
      </c>
      <c r="L135" s="385">
        <v>0</v>
      </c>
      <c r="M135" s="385">
        <v>0</v>
      </c>
      <c r="N135" s="385">
        <v>0</v>
      </c>
      <c r="O135" s="385">
        <v>0</v>
      </c>
      <c r="P135" s="385">
        <v>0</v>
      </c>
      <c r="Q135" s="385">
        <v>0</v>
      </c>
      <c r="R135" s="385">
        <v>3</v>
      </c>
      <c r="S135" s="385"/>
      <c r="T135" s="385"/>
      <c r="U135" s="385">
        <v>0</v>
      </c>
      <c r="V135" s="387">
        <v>0</v>
      </c>
      <c r="W135" s="388">
        <v>0</v>
      </c>
      <c r="X135" s="385">
        <v>1</v>
      </c>
      <c r="Y135" s="385">
        <v>0</v>
      </c>
      <c r="Z135" s="385">
        <v>0</v>
      </c>
      <c r="AA135" s="385">
        <v>0</v>
      </c>
      <c r="AB135" s="386">
        <v>7</v>
      </c>
      <c r="AC135" s="385">
        <v>5</v>
      </c>
      <c r="AD135" s="385">
        <v>3</v>
      </c>
      <c r="AE135" s="385">
        <v>2</v>
      </c>
      <c r="AF135" s="385">
        <v>1</v>
      </c>
      <c r="AG135" s="385">
        <v>4</v>
      </c>
      <c r="AH135" s="385">
        <v>0</v>
      </c>
      <c r="AI135" s="385">
        <v>1</v>
      </c>
      <c r="AJ135" s="385">
        <v>29</v>
      </c>
      <c r="AK135" s="385"/>
      <c r="AL135" s="387"/>
      <c r="AM135" s="127" t="s">
        <v>482</v>
      </c>
      <c r="AN135" s="390">
        <v>5</v>
      </c>
      <c r="AO135" s="390">
        <v>1</v>
      </c>
      <c r="AP135" s="390">
        <v>1</v>
      </c>
      <c r="AQ135" s="390">
        <v>0</v>
      </c>
      <c r="AR135" s="390">
        <v>0</v>
      </c>
      <c r="AS135" s="390">
        <v>1</v>
      </c>
      <c r="AT135" s="390">
        <v>0</v>
      </c>
      <c r="AU135" s="390">
        <v>0</v>
      </c>
      <c r="AV135" s="391">
        <v>2</v>
      </c>
      <c r="AW135" s="127" t="s">
        <v>485</v>
      </c>
      <c r="AX135" s="390">
        <v>4</v>
      </c>
      <c r="AY135" s="390">
        <v>0</v>
      </c>
      <c r="AZ135" s="390">
        <v>0</v>
      </c>
      <c r="BA135" s="390">
        <v>0</v>
      </c>
      <c r="BB135" s="390">
        <v>0</v>
      </c>
      <c r="BC135" s="390">
        <v>1</v>
      </c>
      <c r="BD135" s="390">
        <v>0</v>
      </c>
      <c r="BE135" s="390">
        <v>0</v>
      </c>
      <c r="BF135" s="391">
        <v>0</v>
      </c>
      <c r="BG135" s="127" t="s">
        <v>674</v>
      </c>
      <c r="BH135" s="390">
        <v>2</v>
      </c>
      <c r="BI135" s="390">
        <v>0</v>
      </c>
      <c r="BJ135" s="390">
        <v>1</v>
      </c>
      <c r="BK135" s="390">
        <v>0</v>
      </c>
      <c r="BL135" s="390">
        <v>2</v>
      </c>
      <c r="BM135" s="390">
        <v>1</v>
      </c>
      <c r="BN135" s="390">
        <v>0</v>
      </c>
      <c r="BO135" s="390">
        <v>0</v>
      </c>
      <c r="BP135" s="391">
        <v>1</v>
      </c>
      <c r="BQ135" s="127" t="s">
        <v>367</v>
      </c>
      <c r="BR135" s="390">
        <v>4</v>
      </c>
      <c r="BS135" s="390">
        <v>0</v>
      </c>
      <c r="BT135" s="390">
        <v>3</v>
      </c>
      <c r="BU135" s="390">
        <v>1</v>
      </c>
      <c r="BV135" s="390">
        <v>0</v>
      </c>
      <c r="BW135" s="390">
        <v>0</v>
      </c>
      <c r="BX135" s="390">
        <v>0</v>
      </c>
      <c r="BY135" s="390">
        <v>0</v>
      </c>
      <c r="BZ135" s="391">
        <v>3</v>
      </c>
      <c r="CA135" s="127" t="s">
        <v>484</v>
      </c>
      <c r="CB135" s="390">
        <v>3</v>
      </c>
      <c r="CC135" s="390">
        <v>0</v>
      </c>
      <c r="CD135" s="390">
        <v>1</v>
      </c>
      <c r="CE135" s="390">
        <v>0</v>
      </c>
      <c r="CF135" s="390">
        <v>1</v>
      </c>
      <c r="CG135" s="390">
        <v>0</v>
      </c>
      <c r="CH135" s="390">
        <v>0</v>
      </c>
      <c r="CI135" s="390">
        <v>0</v>
      </c>
      <c r="CJ135" s="391">
        <v>1</v>
      </c>
      <c r="CK135" s="127" t="s">
        <v>489</v>
      </c>
      <c r="CL135" s="390">
        <v>4</v>
      </c>
      <c r="CM135" s="390">
        <v>1</v>
      </c>
      <c r="CN135" s="390">
        <v>1</v>
      </c>
      <c r="CO135" s="390">
        <v>0</v>
      </c>
      <c r="CP135" s="390">
        <v>0</v>
      </c>
      <c r="CQ135" s="390">
        <v>0</v>
      </c>
      <c r="CR135" s="390">
        <v>0</v>
      </c>
      <c r="CS135" s="390">
        <v>0</v>
      </c>
      <c r="CT135" s="391">
        <v>2</v>
      </c>
      <c r="CU135" s="127" t="s">
        <v>534</v>
      </c>
      <c r="CV135" s="390">
        <v>4</v>
      </c>
      <c r="CW135" s="390">
        <v>0</v>
      </c>
      <c r="CX135" s="390">
        <v>1</v>
      </c>
      <c r="CY135" s="390">
        <v>1</v>
      </c>
      <c r="CZ135" s="390">
        <v>0</v>
      </c>
      <c r="DA135" s="390">
        <v>2</v>
      </c>
      <c r="DB135" s="390">
        <v>0</v>
      </c>
      <c r="DC135" s="390">
        <v>0</v>
      </c>
      <c r="DD135" s="391">
        <v>2</v>
      </c>
      <c r="DE135" s="127" t="s">
        <v>481</v>
      </c>
      <c r="DF135" s="390">
        <v>4</v>
      </c>
      <c r="DG135" s="390">
        <v>0</v>
      </c>
      <c r="DH135" s="390">
        <v>0</v>
      </c>
      <c r="DI135" s="390">
        <v>0</v>
      </c>
      <c r="DJ135" s="390">
        <v>0</v>
      </c>
      <c r="DK135" s="390">
        <v>0</v>
      </c>
      <c r="DL135" s="390">
        <v>0</v>
      </c>
      <c r="DM135" s="390">
        <v>0</v>
      </c>
      <c r="DN135" s="391">
        <v>0</v>
      </c>
      <c r="DO135" s="127" t="s">
        <v>486</v>
      </c>
      <c r="DP135" s="390">
        <v>4</v>
      </c>
      <c r="DQ135" s="390">
        <v>0</v>
      </c>
      <c r="DR135" s="390">
        <v>2</v>
      </c>
      <c r="DS135" s="390">
        <v>0</v>
      </c>
      <c r="DT135" s="390">
        <v>0</v>
      </c>
      <c r="DU135" s="390">
        <v>0</v>
      </c>
      <c r="DV135" s="390">
        <v>0</v>
      </c>
      <c r="DW135" s="390">
        <v>0</v>
      </c>
      <c r="DX135" s="391">
        <v>2</v>
      </c>
      <c r="DY135" s="392">
        <f>0+2/3</f>
        <v>0.66666666666666663</v>
      </c>
      <c r="DZ135" s="393">
        <v>0</v>
      </c>
      <c r="EA135" s="393">
        <v>0</v>
      </c>
      <c r="EB135" s="394">
        <f>8+1/3</f>
        <v>8.3333333333333339</v>
      </c>
      <c r="EC135" s="393">
        <v>0</v>
      </c>
      <c r="ED135" s="395">
        <v>0</v>
      </c>
      <c r="EE135" s="396">
        <v>0</v>
      </c>
      <c r="EF135" s="393">
        <v>1</v>
      </c>
      <c r="EG135" s="393">
        <v>1</v>
      </c>
      <c r="EH135" s="393">
        <v>0</v>
      </c>
      <c r="EI135" s="393">
        <v>0</v>
      </c>
      <c r="EJ135" s="393">
        <v>0</v>
      </c>
      <c r="EK135" s="393">
        <v>0</v>
      </c>
      <c r="EL135" s="393">
        <v>0</v>
      </c>
      <c r="EM135" s="393">
        <v>0</v>
      </c>
      <c r="EN135" s="393"/>
      <c r="EO135" s="393"/>
      <c r="EP135" s="393"/>
      <c r="EQ135" s="393"/>
      <c r="ER135" s="393"/>
      <c r="ES135" s="393"/>
      <c r="ET135" s="393"/>
      <c r="EU135" s="393"/>
      <c r="EV135" s="393"/>
      <c r="EW135" s="393"/>
      <c r="EX135" s="397">
        <f t="shared" ref="EX135:EX142" si="32">SUM(EE135:EW135)</f>
        <v>2</v>
      </c>
      <c r="EY135" s="396">
        <v>0</v>
      </c>
      <c r="EZ135" s="393">
        <v>0</v>
      </c>
      <c r="FA135" s="393">
        <v>1</v>
      </c>
      <c r="FB135" s="393">
        <v>1</v>
      </c>
      <c r="FC135" s="393">
        <v>0</v>
      </c>
      <c r="FD135" s="393">
        <v>1</v>
      </c>
      <c r="FE135" s="393">
        <v>0</v>
      </c>
      <c r="FF135" s="393">
        <v>0</v>
      </c>
      <c r="FG135" s="393"/>
      <c r="FH135" s="393"/>
      <c r="FI135" s="393"/>
      <c r="FJ135" s="393"/>
      <c r="FK135" s="393"/>
      <c r="FL135" s="393"/>
      <c r="FM135" s="393"/>
      <c r="FN135" s="393"/>
      <c r="FO135" s="393"/>
      <c r="FP135" s="393"/>
      <c r="FQ135" s="393"/>
      <c r="FR135" s="397">
        <f t="shared" ref="FR135:FR142" si="33">SUM(EY135:FQ135)</f>
        <v>3</v>
      </c>
      <c r="FS135" s="398">
        <f t="shared" ref="FS135:FS142" si="34">((L135+AD135)-FR135)</f>
        <v>0</v>
      </c>
      <c r="FT135" s="399">
        <f t="shared" ref="FT135:FT142" si="35">((AO135+AY135+BI135+BS135+CC135+CM135+CW135+DG135+DQ135)-EX135)</f>
        <v>0</v>
      </c>
      <c r="FU135" s="400"/>
    </row>
    <row r="136" spans="1:177" x14ac:dyDescent="0.25">
      <c r="A136" s="121">
        <v>40421</v>
      </c>
      <c r="B136" s="121" t="s">
        <v>133</v>
      </c>
      <c r="C136" s="121" t="s">
        <v>129</v>
      </c>
      <c r="D136" s="121" t="s">
        <v>497</v>
      </c>
      <c r="E136" s="120"/>
      <c r="F136" s="124">
        <v>5</v>
      </c>
      <c r="G136" s="125" t="s">
        <v>493</v>
      </c>
      <c r="H136" s="122">
        <v>1</v>
      </c>
      <c r="I136" s="122">
        <v>0</v>
      </c>
      <c r="J136" s="119">
        <v>6</v>
      </c>
      <c r="K136" s="122">
        <v>4</v>
      </c>
      <c r="L136" s="122">
        <v>2</v>
      </c>
      <c r="M136" s="122">
        <v>0</v>
      </c>
      <c r="N136" s="122">
        <v>0</v>
      </c>
      <c r="O136" s="122">
        <v>11</v>
      </c>
      <c r="P136" s="122">
        <v>0</v>
      </c>
      <c r="Q136" s="122">
        <v>0</v>
      </c>
      <c r="R136" s="122">
        <v>23</v>
      </c>
      <c r="S136" s="122"/>
      <c r="T136" s="122"/>
      <c r="U136" s="122">
        <v>0</v>
      </c>
      <c r="V136" s="126">
        <v>0</v>
      </c>
      <c r="W136" s="139">
        <v>0</v>
      </c>
      <c r="X136" s="122">
        <v>0</v>
      </c>
      <c r="Y136" s="122">
        <v>0</v>
      </c>
      <c r="Z136" s="122">
        <v>1</v>
      </c>
      <c r="AA136" s="122">
        <v>0</v>
      </c>
      <c r="AB136" s="119">
        <v>1</v>
      </c>
      <c r="AC136" s="122">
        <v>1</v>
      </c>
      <c r="AD136" s="122">
        <v>0</v>
      </c>
      <c r="AE136" s="122">
        <v>0</v>
      </c>
      <c r="AF136" s="122">
        <v>0</v>
      </c>
      <c r="AG136" s="122">
        <v>0</v>
      </c>
      <c r="AH136" s="122">
        <v>0</v>
      </c>
      <c r="AI136" s="122">
        <v>0</v>
      </c>
      <c r="AJ136" s="122">
        <v>3</v>
      </c>
      <c r="AK136" s="122"/>
      <c r="AL136" s="126"/>
      <c r="AM136" s="127" t="s">
        <v>482</v>
      </c>
      <c r="AN136" s="128">
        <v>3</v>
      </c>
      <c r="AO136" s="128">
        <v>0</v>
      </c>
      <c r="AP136" s="128">
        <v>1</v>
      </c>
      <c r="AQ136" s="128">
        <v>2</v>
      </c>
      <c r="AR136" s="128">
        <v>1</v>
      </c>
      <c r="AS136" s="128">
        <v>0</v>
      </c>
      <c r="AT136" s="128">
        <v>0</v>
      </c>
      <c r="AU136" s="128">
        <v>0</v>
      </c>
      <c r="AV136" s="129">
        <v>1</v>
      </c>
      <c r="AW136" s="127" t="s">
        <v>485</v>
      </c>
      <c r="AX136" s="128">
        <v>3</v>
      </c>
      <c r="AY136" s="128">
        <v>0</v>
      </c>
      <c r="AZ136" s="128">
        <v>1</v>
      </c>
      <c r="BA136" s="128">
        <v>0</v>
      </c>
      <c r="BB136" s="128">
        <v>0</v>
      </c>
      <c r="BC136" s="128">
        <v>0</v>
      </c>
      <c r="BD136" s="128">
        <v>0</v>
      </c>
      <c r="BE136" s="128">
        <v>0</v>
      </c>
      <c r="BF136" s="129">
        <v>2</v>
      </c>
      <c r="BG136" s="127" t="s">
        <v>484</v>
      </c>
      <c r="BH136" s="128">
        <v>3</v>
      </c>
      <c r="BI136" s="128">
        <v>0</v>
      </c>
      <c r="BJ136" s="128">
        <v>2</v>
      </c>
      <c r="BK136" s="128">
        <v>1</v>
      </c>
      <c r="BL136" s="128">
        <v>0</v>
      </c>
      <c r="BM136" s="128">
        <v>0</v>
      </c>
      <c r="BN136" s="128">
        <v>1</v>
      </c>
      <c r="BO136" s="128">
        <v>0</v>
      </c>
      <c r="BP136" s="129">
        <v>2</v>
      </c>
      <c r="BQ136" s="127" t="s">
        <v>447</v>
      </c>
      <c r="BR136" s="128">
        <v>4</v>
      </c>
      <c r="BS136" s="128">
        <v>0</v>
      </c>
      <c r="BT136" s="128">
        <v>0</v>
      </c>
      <c r="BU136" s="128">
        <v>0</v>
      </c>
      <c r="BV136" s="128">
        <v>0</v>
      </c>
      <c r="BW136" s="128">
        <v>1</v>
      </c>
      <c r="BX136" s="128">
        <v>0</v>
      </c>
      <c r="BY136" s="128">
        <v>0</v>
      </c>
      <c r="BZ136" s="129">
        <v>0</v>
      </c>
      <c r="CA136" s="127" t="s">
        <v>489</v>
      </c>
      <c r="CB136" s="128">
        <v>4</v>
      </c>
      <c r="CC136" s="128">
        <v>1</v>
      </c>
      <c r="CD136" s="128">
        <v>1</v>
      </c>
      <c r="CE136" s="128">
        <v>0</v>
      </c>
      <c r="CF136" s="128">
        <v>0</v>
      </c>
      <c r="CG136" s="128">
        <v>2</v>
      </c>
      <c r="CH136" s="128">
        <v>0</v>
      </c>
      <c r="CI136" s="128">
        <v>0</v>
      </c>
      <c r="CJ136" s="129">
        <v>1</v>
      </c>
      <c r="CK136" s="127" t="s">
        <v>367</v>
      </c>
      <c r="CL136" s="128">
        <v>2</v>
      </c>
      <c r="CM136" s="128">
        <v>1</v>
      </c>
      <c r="CN136" s="128">
        <v>1</v>
      </c>
      <c r="CO136" s="128">
        <v>0</v>
      </c>
      <c r="CP136" s="128">
        <v>1</v>
      </c>
      <c r="CQ136" s="128">
        <v>0</v>
      </c>
      <c r="CR136" s="128">
        <v>1</v>
      </c>
      <c r="CS136" s="128">
        <v>0</v>
      </c>
      <c r="CT136" s="129">
        <v>1</v>
      </c>
      <c r="CU136" s="127" t="s">
        <v>534</v>
      </c>
      <c r="CV136" s="128">
        <v>1</v>
      </c>
      <c r="CW136" s="128">
        <v>0</v>
      </c>
      <c r="CX136" s="128">
        <v>0</v>
      </c>
      <c r="CY136" s="128">
        <v>0</v>
      </c>
      <c r="CZ136" s="128">
        <v>1</v>
      </c>
      <c r="DA136" s="128">
        <v>1</v>
      </c>
      <c r="DB136" s="128">
        <v>0</v>
      </c>
      <c r="DC136" s="128">
        <v>0</v>
      </c>
      <c r="DD136" s="129">
        <v>0</v>
      </c>
      <c r="DE136" s="127" t="s">
        <v>480</v>
      </c>
      <c r="DF136" s="128">
        <v>3</v>
      </c>
      <c r="DG136" s="128">
        <v>0</v>
      </c>
      <c r="DH136" s="128">
        <v>0</v>
      </c>
      <c r="DI136" s="128">
        <v>0</v>
      </c>
      <c r="DJ136" s="128">
        <v>0</v>
      </c>
      <c r="DK136" s="128">
        <v>1</v>
      </c>
      <c r="DL136" s="128">
        <v>0</v>
      </c>
      <c r="DM136" s="128">
        <v>0</v>
      </c>
      <c r="DN136" s="129">
        <v>0</v>
      </c>
      <c r="DO136" s="127" t="s">
        <v>486</v>
      </c>
      <c r="DP136" s="128">
        <v>2</v>
      </c>
      <c r="DQ136" s="128">
        <v>1</v>
      </c>
      <c r="DR136" s="128">
        <v>1</v>
      </c>
      <c r="DS136" s="128">
        <v>0</v>
      </c>
      <c r="DT136" s="128">
        <v>1</v>
      </c>
      <c r="DU136" s="128">
        <v>0</v>
      </c>
      <c r="DV136" s="128">
        <v>0</v>
      </c>
      <c r="DW136" s="128">
        <v>0</v>
      </c>
      <c r="DX136" s="129">
        <v>1</v>
      </c>
      <c r="DY136" s="130">
        <f>2+1/3</f>
        <v>2.3333333333333335</v>
      </c>
      <c r="DZ136" s="131">
        <v>0</v>
      </c>
      <c r="EA136" s="131">
        <v>0</v>
      </c>
      <c r="EB136" s="132">
        <f>4+2/3</f>
        <v>4.666666666666667</v>
      </c>
      <c r="EC136" s="131">
        <v>1</v>
      </c>
      <c r="ED136" s="133">
        <v>0</v>
      </c>
      <c r="EE136" s="134">
        <v>0</v>
      </c>
      <c r="EF136" s="131">
        <v>0</v>
      </c>
      <c r="EG136" s="131">
        <v>1</v>
      </c>
      <c r="EH136" s="131">
        <v>2</v>
      </c>
      <c r="EI136" s="131">
        <v>0</v>
      </c>
      <c r="EJ136" s="131">
        <v>0</v>
      </c>
      <c r="EK136" s="131">
        <v>0</v>
      </c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5">
        <f t="shared" si="32"/>
        <v>3</v>
      </c>
      <c r="EY136" s="134">
        <v>0</v>
      </c>
      <c r="EZ136" s="131">
        <v>2</v>
      </c>
      <c r="FA136" s="131">
        <v>0</v>
      </c>
      <c r="FB136" s="131">
        <v>0</v>
      </c>
      <c r="FC136" s="131">
        <v>0</v>
      </c>
      <c r="FD136" s="131">
        <v>0</v>
      </c>
      <c r="FE136" s="131">
        <v>0</v>
      </c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5">
        <f t="shared" si="33"/>
        <v>2</v>
      </c>
      <c r="FS136" s="141">
        <f t="shared" si="34"/>
        <v>0</v>
      </c>
      <c r="FT136" s="143">
        <f t="shared" si="35"/>
        <v>0</v>
      </c>
      <c r="FU136" s="144" t="s">
        <v>475</v>
      </c>
    </row>
    <row r="137" spans="1:177" x14ac:dyDescent="0.25">
      <c r="A137" s="121">
        <v>40421</v>
      </c>
      <c r="B137" s="121" t="s">
        <v>133</v>
      </c>
      <c r="C137" s="121" t="s">
        <v>129</v>
      </c>
      <c r="D137" s="121" t="s">
        <v>497</v>
      </c>
      <c r="E137" s="120">
        <v>663</v>
      </c>
      <c r="F137" s="124" t="s">
        <v>523</v>
      </c>
      <c r="G137" s="125" t="s">
        <v>556</v>
      </c>
      <c r="H137" s="122">
        <v>1</v>
      </c>
      <c r="I137" s="122">
        <v>0</v>
      </c>
      <c r="J137" s="119">
        <v>5</v>
      </c>
      <c r="K137" s="122">
        <v>1</v>
      </c>
      <c r="L137" s="122">
        <v>0</v>
      </c>
      <c r="M137" s="122">
        <v>0</v>
      </c>
      <c r="N137" s="122">
        <v>2</v>
      </c>
      <c r="O137" s="122">
        <v>3</v>
      </c>
      <c r="P137" s="122">
        <v>0</v>
      </c>
      <c r="Q137" s="122">
        <v>0</v>
      </c>
      <c r="R137" s="122">
        <v>17</v>
      </c>
      <c r="S137" s="122"/>
      <c r="T137" s="122"/>
      <c r="U137" s="122">
        <v>0</v>
      </c>
      <c r="V137" s="126">
        <v>0</v>
      </c>
      <c r="W137" s="139">
        <v>0</v>
      </c>
      <c r="X137" s="122">
        <v>0</v>
      </c>
      <c r="Y137" s="122">
        <v>1</v>
      </c>
      <c r="Z137" s="122">
        <v>1</v>
      </c>
      <c r="AA137" s="122">
        <v>0</v>
      </c>
      <c r="AB137" s="119">
        <v>2</v>
      </c>
      <c r="AC137" s="122">
        <v>2</v>
      </c>
      <c r="AD137" s="122">
        <v>1</v>
      </c>
      <c r="AE137" s="122">
        <v>1</v>
      </c>
      <c r="AF137" s="122">
        <v>1</v>
      </c>
      <c r="AG137" s="122">
        <v>1</v>
      </c>
      <c r="AH137" s="122">
        <v>0</v>
      </c>
      <c r="AI137" s="122">
        <v>0</v>
      </c>
      <c r="AJ137" s="122">
        <v>8</v>
      </c>
      <c r="AK137" s="122"/>
      <c r="AL137" s="126"/>
      <c r="AM137" s="127" t="s">
        <v>519</v>
      </c>
      <c r="AN137" s="128">
        <v>3</v>
      </c>
      <c r="AO137" s="128">
        <v>0</v>
      </c>
      <c r="AP137" s="128">
        <v>0</v>
      </c>
      <c r="AQ137" s="128">
        <v>0</v>
      </c>
      <c r="AR137" s="128">
        <v>1</v>
      </c>
      <c r="AS137" s="128">
        <v>2</v>
      </c>
      <c r="AT137" s="128">
        <v>0</v>
      </c>
      <c r="AU137" s="128">
        <v>0</v>
      </c>
      <c r="AV137" s="129">
        <v>0</v>
      </c>
      <c r="AW137" s="127" t="s">
        <v>485</v>
      </c>
      <c r="AX137" s="128">
        <v>4</v>
      </c>
      <c r="AY137" s="128">
        <v>1</v>
      </c>
      <c r="AZ137" s="128">
        <v>1</v>
      </c>
      <c r="BA137" s="128">
        <v>0</v>
      </c>
      <c r="BB137" s="128">
        <v>0</v>
      </c>
      <c r="BC137" s="128">
        <v>1</v>
      </c>
      <c r="BD137" s="128">
        <v>0</v>
      </c>
      <c r="BE137" s="128">
        <v>0</v>
      </c>
      <c r="BF137" s="129">
        <v>2</v>
      </c>
      <c r="BG137" s="127" t="s">
        <v>481</v>
      </c>
      <c r="BH137" s="128">
        <v>4</v>
      </c>
      <c r="BI137" s="128">
        <v>1</v>
      </c>
      <c r="BJ137" s="128">
        <v>2</v>
      </c>
      <c r="BK137" s="128">
        <v>0</v>
      </c>
      <c r="BL137" s="128">
        <v>0</v>
      </c>
      <c r="BM137" s="128">
        <v>1</v>
      </c>
      <c r="BN137" s="128">
        <v>0</v>
      </c>
      <c r="BO137" s="128">
        <v>0</v>
      </c>
      <c r="BP137" s="129">
        <v>2</v>
      </c>
      <c r="BQ137" s="127" t="s">
        <v>447</v>
      </c>
      <c r="BR137" s="128">
        <v>4</v>
      </c>
      <c r="BS137" s="128">
        <v>0</v>
      </c>
      <c r="BT137" s="128">
        <v>0</v>
      </c>
      <c r="BU137" s="128">
        <v>0</v>
      </c>
      <c r="BV137" s="128">
        <v>0</v>
      </c>
      <c r="BW137" s="128">
        <v>1</v>
      </c>
      <c r="BX137" s="128">
        <v>0</v>
      </c>
      <c r="BY137" s="128">
        <v>0</v>
      </c>
      <c r="BZ137" s="129">
        <v>0</v>
      </c>
      <c r="CA137" s="127" t="s">
        <v>489</v>
      </c>
      <c r="CB137" s="128">
        <v>4</v>
      </c>
      <c r="CC137" s="128">
        <v>1</v>
      </c>
      <c r="CD137" s="128">
        <v>2</v>
      </c>
      <c r="CE137" s="128">
        <v>1</v>
      </c>
      <c r="CF137" s="128">
        <v>0</v>
      </c>
      <c r="CG137" s="128">
        <v>0</v>
      </c>
      <c r="CH137" s="128">
        <v>0</v>
      </c>
      <c r="CI137" s="128">
        <v>0</v>
      </c>
      <c r="CJ137" s="129">
        <v>2</v>
      </c>
      <c r="CK137" s="127" t="s">
        <v>367</v>
      </c>
      <c r="CL137" s="128">
        <v>4</v>
      </c>
      <c r="CM137" s="128">
        <v>0</v>
      </c>
      <c r="CN137" s="128">
        <v>2</v>
      </c>
      <c r="CO137" s="128">
        <v>1</v>
      </c>
      <c r="CP137" s="128">
        <v>0</v>
      </c>
      <c r="CQ137" s="128">
        <v>0</v>
      </c>
      <c r="CR137" s="128">
        <v>0</v>
      </c>
      <c r="CS137" s="128">
        <v>0</v>
      </c>
      <c r="CT137" s="129">
        <v>2</v>
      </c>
      <c r="CU137" s="127" t="s">
        <v>480</v>
      </c>
      <c r="CV137" s="128">
        <v>3</v>
      </c>
      <c r="CW137" s="128">
        <v>0</v>
      </c>
      <c r="CX137" s="128">
        <v>1</v>
      </c>
      <c r="CY137" s="128">
        <v>1</v>
      </c>
      <c r="CZ137" s="128">
        <v>0</v>
      </c>
      <c r="DA137" s="128">
        <v>1</v>
      </c>
      <c r="DB137" s="128">
        <v>0</v>
      </c>
      <c r="DC137" s="128">
        <v>0</v>
      </c>
      <c r="DD137" s="129">
        <v>1</v>
      </c>
      <c r="DE137" s="127" t="s">
        <v>479</v>
      </c>
      <c r="DF137" s="128">
        <v>3</v>
      </c>
      <c r="DG137" s="128">
        <v>0</v>
      </c>
      <c r="DH137" s="128">
        <v>1</v>
      </c>
      <c r="DI137" s="128">
        <v>0</v>
      </c>
      <c r="DJ137" s="128">
        <v>0</v>
      </c>
      <c r="DK137" s="128">
        <v>1</v>
      </c>
      <c r="DL137" s="128">
        <v>0</v>
      </c>
      <c r="DM137" s="128">
        <v>0</v>
      </c>
      <c r="DN137" s="129">
        <v>1</v>
      </c>
      <c r="DO137" s="127" t="s">
        <v>486</v>
      </c>
      <c r="DP137" s="128">
        <v>3</v>
      </c>
      <c r="DQ137" s="128">
        <v>0</v>
      </c>
      <c r="DR137" s="128">
        <v>0</v>
      </c>
      <c r="DS137" s="128">
        <v>0</v>
      </c>
      <c r="DT137" s="128">
        <v>0</v>
      </c>
      <c r="DU137" s="128">
        <v>0</v>
      </c>
      <c r="DV137" s="128">
        <v>0</v>
      </c>
      <c r="DW137" s="128">
        <v>0</v>
      </c>
      <c r="DX137" s="129">
        <v>0</v>
      </c>
      <c r="DY137" s="130">
        <v>0</v>
      </c>
      <c r="DZ137" s="131">
        <v>0</v>
      </c>
      <c r="EA137" s="131">
        <v>0</v>
      </c>
      <c r="EB137" s="132">
        <v>7</v>
      </c>
      <c r="EC137" s="131">
        <v>1</v>
      </c>
      <c r="ED137" s="133">
        <v>0</v>
      </c>
      <c r="EE137" s="134">
        <v>3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31">
        <v>0</v>
      </c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5">
        <f t="shared" si="32"/>
        <v>3</v>
      </c>
      <c r="EY137" s="134">
        <v>0</v>
      </c>
      <c r="EZ137" s="131">
        <v>0</v>
      </c>
      <c r="FA137" s="131">
        <v>0</v>
      </c>
      <c r="FB137" s="131">
        <v>0</v>
      </c>
      <c r="FC137" s="131">
        <v>0</v>
      </c>
      <c r="FD137" s="131">
        <v>0</v>
      </c>
      <c r="FE137" s="131">
        <v>1</v>
      </c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5">
        <f t="shared" si="33"/>
        <v>1</v>
      </c>
      <c r="FS137" s="141">
        <f t="shared" si="34"/>
        <v>0</v>
      </c>
      <c r="FT137" s="143">
        <f t="shared" si="35"/>
        <v>0</v>
      </c>
      <c r="FU137" s="144" t="s">
        <v>378</v>
      </c>
    </row>
    <row r="138" spans="1:177" x14ac:dyDescent="0.25">
      <c r="A138" s="121">
        <v>40422</v>
      </c>
      <c r="B138" s="121" t="s">
        <v>133</v>
      </c>
      <c r="C138" s="121" t="s">
        <v>129</v>
      </c>
      <c r="D138" s="121" t="s">
        <v>497</v>
      </c>
      <c r="E138" s="120">
        <v>854</v>
      </c>
      <c r="F138" s="124">
        <v>1</v>
      </c>
      <c r="G138" s="125" t="s">
        <v>490</v>
      </c>
      <c r="H138" s="122">
        <v>1</v>
      </c>
      <c r="I138" s="122">
        <v>0</v>
      </c>
      <c r="J138" s="119">
        <v>6</v>
      </c>
      <c r="K138" s="122">
        <v>3</v>
      </c>
      <c r="L138" s="122">
        <v>0</v>
      </c>
      <c r="M138" s="122">
        <v>0</v>
      </c>
      <c r="N138" s="122">
        <v>2</v>
      </c>
      <c r="O138" s="122">
        <v>10</v>
      </c>
      <c r="P138" s="122">
        <v>0</v>
      </c>
      <c r="Q138" s="122">
        <v>0</v>
      </c>
      <c r="R138" s="122">
        <v>22</v>
      </c>
      <c r="S138" s="122"/>
      <c r="T138" s="122"/>
      <c r="U138" s="122">
        <v>0</v>
      </c>
      <c r="V138" s="126">
        <v>0</v>
      </c>
      <c r="W138" s="139">
        <v>0</v>
      </c>
      <c r="X138" s="122">
        <v>0</v>
      </c>
      <c r="Y138" s="122">
        <v>0</v>
      </c>
      <c r="Z138" s="122">
        <v>1</v>
      </c>
      <c r="AA138" s="122">
        <v>0</v>
      </c>
      <c r="AB138" s="119">
        <v>3</v>
      </c>
      <c r="AC138" s="122">
        <v>0</v>
      </c>
      <c r="AD138" s="122">
        <v>0</v>
      </c>
      <c r="AE138" s="122">
        <v>0</v>
      </c>
      <c r="AF138" s="122">
        <v>1</v>
      </c>
      <c r="AG138" s="122">
        <v>3</v>
      </c>
      <c r="AH138" s="122">
        <v>0</v>
      </c>
      <c r="AI138" s="122">
        <v>0</v>
      </c>
      <c r="AJ138" s="122">
        <v>10</v>
      </c>
      <c r="AK138" s="122"/>
      <c r="AL138" s="126"/>
      <c r="AM138" s="127" t="s">
        <v>482</v>
      </c>
      <c r="AN138" s="128">
        <v>5</v>
      </c>
      <c r="AO138" s="128">
        <v>1</v>
      </c>
      <c r="AP138" s="128">
        <v>4</v>
      </c>
      <c r="AQ138" s="128">
        <v>1</v>
      </c>
      <c r="AR138" s="128">
        <v>0</v>
      </c>
      <c r="AS138" s="128">
        <v>0</v>
      </c>
      <c r="AT138" s="128">
        <v>0</v>
      </c>
      <c r="AU138" s="128">
        <v>0</v>
      </c>
      <c r="AV138" s="129">
        <v>4</v>
      </c>
      <c r="AW138" s="127" t="s">
        <v>485</v>
      </c>
      <c r="AX138" s="128">
        <v>4</v>
      </c>
      <c r="AY138" s="128">
        <v>0</v>
      </c>
      <c r="AZ138" s="128">
        <v>2</v>
      </c>
      <c r="BA138" s="128">
        <v>1</v>
      </c>
      <c r="BB138" s="128">
        <v>0</v>
      </c>
      <c r="BC138" s="128">
        <v>1</v>
      </c>
      <c r="BD138" s="128">
        <v>0</v>
      </c>
      <c r="BE138" s="128">
        <v>1</v>
      </c>
      <c r="BF138" s="129">
        <v>2</v>
      </c>
      <c r="BG138" s="127" t="s">
        <v>484</v>
      </c>
      <c r="BH138" s="128">
        <v>5</v>
      </c>
      <c r="BI138" s="128">
        <v>1</v>
      </c>
      <c r="BJ138" s="128">
        <v>2</v>
      </c>
      <c r="BK138" s="128">
        <v>0</v>
      </c>
      <c r="BL138" s="128">
        <v>0</v>
      </c>
      <c r="BM138" s="128">
        <v>1</v>
      </c>
      <c r="BN138" s="128">
        <v>0</v>
      </c>
      <c r="BO138" s="128">
        <v>0</v>
      </c>
      <c r="BP138" s="129">
        <v>4</v>
      </c>
      <c r="BQ138" s="127" t="s">
        <v>367</v>
      </c>
      <c r="BR138" s="128">
        <v>5</v>
      </c>
      <c r="BS138" s="128">
        <v>1</v>
      </c>
      <c r="BT138" s="128">
        <v>2</v>
      </c>
      <c r="BU138" s="128">
        <v>0</v>
      </c>
      <c r="BV138" s="128">
        <v>0</v>
      </c>
      <c r="BW138" s="128">
        <v>2</v>
      </c>
      <c r="BX138" s="128">
        <v>0</v>
      </c>
      <c r="BY138" s="128">
        <v>0</v>
      </c>
      <c r="BZ138" s="129">
        <v>2</v>
      </c>
      <c r="CA138" s="127" t="s">
        <v>489</v>
      </c>
      <c r="CB138" s="128">
        <v>4</v>
      </c>
      <c r="CC138" s="128">
        <v>0</v>
      </c>
      <c r="CD138" s="128">
        <v>0</v>
      </c>
      <c r="CE138" s="128">
        <v>0</v>
      </c>
      <c r="CF138" s="128">
        <v>0</v>
      </c>
      <c r="CG138" s="128">
        <v>0</v>
      </c>
      <c r="CH138" s="128">
        <v>1</v>
      </c>
      <c r="CI138" s="128">
        <v>0</v>
      </c>
      <c r="CJ138" s="129">
        <v>0</v>
      </c>
      <c r="CK138" s="127" t="s">
        <v>534</v>
      </c>
      <c r="CL138" s="128">
        <v>4</v>
      </c>
      <c r="CM138" s="128">
        <v>1</v>
      </c>
      <c r="CN138" s="128">
        <v>1</v>
      </c>
      <c r="CO138" s="128">
        <v>1</v>
      </c>
      <c r="CP138" s="128">
        <v>1</v>
      </c>
      <c r="CQ138" s="128">
        <v>1</v>
      </c>
      <c r="CR138" s="128">
        <v>0</v>
      </c>
      <c r="CS138" s="128">
        <v>0</v>
      </c>
      <c r="CT138" s="129">
        <v>2</v>
      </c>
      <c r="CU138" s="127" t="s">
        <v>481</v>
      </c>
      <c r="CV138" s="128">
        <v>5</v>
      </c>
      <c r="CW138" s="128">
        <v>1</v>
      </c>
      <c r="CX138" s="128">
        <v>1</v>
      </c>
      <c r="CY138" s="128">
        <v>2</v>
      </c>
      <c r="CZ138" s="128">
        <v>0</v>
      </c>
      <c r="DA138" s="128">
        <v>0</v>
      </c>
      <c r="DB138" s="128">
        <v>0</v>
      </c>
      <c r="DC138" s="128">
        <v>0</v>
      </c>
      <c r="DD138" s="129">
        <v>1</v>
      </c>
      <c r="DE138" s="127" t="s">
        <v>479</v>
      </c>
      <c r="DF138" s="128">
        <v>4</v>
      </c>
      <c r="DG138" s="128">
        <v>1</v>
      </c>
      <c r="DH138" s="128">
        <v>1</v>
      </c>
      <c r="DI138" s="128">
        <v>0</v>
      </c>
      <c r="DJ138" s="128">
        <v>0</v>
      </c>
      <c r="DK138" s="128">
        <v>0</v>
      </c>
      <c r="DL138" s="128">
        <v>0</v>
      </c>
      <c r="DM138" s="128">
        <v>0</v>
      </c>
      <c r="DN138" s="129">
        <v>1</v>
      </c>
      <c r="DO138" s="127" t="s">
        <v>486</v>
      </c>
      <c r="DP138" s="128">
        <v>4</v>
      </c>
      <c r="DQ138" s="128">
        <v>0</v>
      </c>
      <c r="DR138" s="128">
        <v>1</v>
      </c>
      <c r="DS138" s="128">
        <v>0</v>
      </c>
      <c r="DT138" s="128">
        <v>0</v>
      </c>
      <c r="DU138" s="128">
        <v>1</v>
      </c>
      <c r="DV138" s="128">
        <v>0</v>
      </c>
      <c r="DW138" s="128">
        <v>0</v>
      </c>
      <c r="DX138" s="129">
        <v>1</v>
      </c>
      <c r="DY138" s="130">
        <v>0</v>
      </c>
      <c r="DZ138" s="131">
        <v>0</v>
      </c>
      <c r="EA138" s="131">
        <v>0</v>
      </c>
      <c r="EB138" s="132">
        <v>9</v>
      </c>
      <c r="EC138" s="131">
        <v>1</v>
      </c>
      <c r="ED138" s="133">
        <v>2</v>
      </c>
      <c r="EE138" s="134">
        <v>0</v>
      </c>
      <c r="EF138" s="131">
        <v>0</v>
      </c>
      <c r="EG138" s="131">
        <v>1</v>
      </c>
      <c r="EH138" s="131">
        <v>4</v>
      </c>
      <c r="EI138" s="131">
        <v>0</v>
      </c>
      <c r="EJ138" s="131">
        <v>0</v>
      </c>
      <c r="EK138" s="131">
        <v>0</v>
      </c>
      <c r="EL138" s="131">
        <v>1</v>
      </c>
      <c r="EM138" s="131">
        <v>0</v>
      </c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5">
        <f t="shared" si="32"/>
        <v>6</v>
      </c>
      <c r="EY138" s="134">
        <v>0</v>
      </c>
      <c r="EZ138" s="131">
        <v>0</v>
      </c>
      <c r="FA138" s="131">
        <v>0</v>
      </c>
      <c r="FB138" s="131">
        <v>0</v>
      </c>
      <c r="FC138" s="131">
        <v>0</v>
      </c>
      <c r="FD138" s="131">
        <v>0</v>
      </c>
      <c r="FE138" s="131">
        <v>0</v>
      </c>
      <c r="FF138" s="131">
        <v>0</v>
      </c>
      <c r="FG138" s="131">
        <v>0</v>
      </c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5">
        <f t="shared" si="33"/>
        <v>0</v>
      </c>
      <c r="FS138" s="141">
        <f t="shared" si="34"/>
        <v>0</v>
      </c>
      <c r="FT138" s="143">
        <f t="shared" si="35"/>
        <v>0</v>
      </c>
      <c r="FU138" s="144"/>
    </row>
    <row r="139" spans="1:177" x14ac:dyDescent="0.25">
      <c r="A139" s="121">
        <v>40423</v>
      </c>
      <c r="B139" s="121" t="s">
        <v>133</v>
      </c>
      <c r="C139" s="121" t="s">
        <v>129</v>
      </c>
      <c r="D139" s="121" t="s">
        <v>497</v>
      </c>
      <c r="E139" s="120">
        <v>746</v>
      </c>
      <c r="F139" s="124">
        <v>2</v>
      </c>
      <c r="G139" s="125" t="s">
        <v>487</v>
      </c>
      <c r="H139" s="122">
        <v>0</v>
      </c>
      <c r="I139" s="122">
        <v>0</v>
      </c>
      <c r="J139" s="119">
        <f>6+1/3</f>
        <v>6.333333333333333</v>
      </c>
      <c r="K139" s="122">
        <v>3</v>
      </c>
      <c r="L139" s="122">
        <v>1</v>
      </c>
      <c r="M139" s="122">
        <v>1</v>
      </c>
      <c r="N139" s="122">
        <v>3</v>
      </c>
      <c r="O139" s="122">
        <v>3</v>
      </c>
      <c r="P139" s="122">
        <v>0</v>
      </c>
      <c r="Q139" s="122">
        <v>0</v>
      </c>
      <c r="R139" s="122">
        <v>24</v>
      </c>
      <c r="S139" s="122"/>
      <c r="T139" s="122"/>
      <c r="U139" s="122">
        <v>1</v>
      </c>
      <c r="V139" s="126">
        <v>1</v>
      </c>
      <c r="W139" s="139">
        <v>1</v>
      </c>
      <c r="X139" s="122">
        <v>0</v>
      </c>
      <c r="Y139" s="122">
        <v>0</v>
      </c>
      <c r="Z139" s="122">
        <v>0</v>
      </c>
      <c r="AA139" s="122">
        <v>1</v>
      </c>
      <c r="AB139" s="119">
        <f>5+2/3</f>
        <v>5.666666666666667</v>
      </c>
      <c r="AC139" s="122">
        <v>2</v>
      </c>
      <c r="AD139" s="122">
        <v>0</v>
      </c>
      <c r="AE139" s="122">
        <v>0</v>
      </c>
      <c r="AF139" s="122">
        <v>5</v>
      </c>
      <c r="AG139" s="122">
        <v>7</v>
      </c>
      <c r="AH139" s="122">
        <v>0</v>
      </c>
      <c r="AI139" s="122">
        <v>0</v>
      </c>
      <c r="AJ139" s="122">
        <v>24</v>
      </c>
      <c r="AK139" s="122"/>
      <c r="AL139" s="126"/>
      <c r="AM139" s="127" t="s">
        <v>482</v>
      </c>
      <c r="AN139" s="128">
        <v>4</v>
      </c>
      <c r="AO139" s="128">
        <v>0</v>
      </c>
      <c r="AP139" s="128">
        <v>0</v>
      </c>
      <c r="AQ139" s="128">
        <v>0</v>
      </c>
      <c r="AR139" s="128">
        <v>1</v>
      </c>
      <c r="AS139" s="128">
        <v>1</v>
      </c>
      <c r="AT139" s="128">
        <v>1</v>
      </c>
      <c r="AU139" s="128">
        <v>0</v>
      </c>
      <c r="AV139" s="129">
        <v>0</v>
      </c>
      <c r="AW139" s="127" t="s">
        <v>485</v>
      </c>
      <c r="AX139" s="128">
        <v>5</v>
      </c>
      <c r="AY139" s="128">
        <v>0</v>
      </c>
      <c r="AZ139" s="128">
        <v>1</v>
      </c>
      <c r="BA139" s="128">
        <v>1</v>
      </c>
      <c r="BB139" s="128">
        <v>0</v>
      </c>
      <c r="BC139" s="128">
        <v>0</v>
      </c>
      <c r="BD139" s="128">
        <v>0</v>
      </c>
      <c r="BE139" s="128">
        <v>0</v>
      </c>
      <c r="BF139" s="129">
        <v>1</v>
      </c>
      <c r="BG139" s="127" t="s">
        <v>481</v>
      </c>
      <c r="BH139" s="128">
        <v>6</v>
      </c>
      <c r="BI139" s="128">
        <v>0</v>
      </c>
      <c r="BJ139" s="128">
        <v>0</v>
      </c>
      <c r="BK139" s="128">
        <v>0</v>
      </c>
      <c r="BL139" s="128">
        <v>0</v>
      </c>
      <c r="BM139" s="128">
        <v>2</v>
      </c>
      <c r="BN139" s="128">
        <v>0</v>
      </c>
      <c r="BO139" s="128">
        <v>0</v>
      </c>
      <c r="BP139" s="129">
        <v>0</v>
      </c>
      <c r="BQ139" s="127" t="s">
        <v>367</v>
      </c>
      <c r="BR139" s="128">
        <v>4</v>
      </c>
      <c r="BS139" s="128">
        <v>1</v>
      </c>
      <c r="BT139" s="128">
        <v>0</v>
      </c>
      <c r="BU139" s="128">
        <v>0</v>
      </c>
      <c r="BV139" s="128">
        <v>0</v>
      </c>
      <c r="BW139" s="128">
        <v>0</v>
      </c>
      <c r="BX139" s="128">
        <v>1</v>
      </c>
      <c r="BY139" s="128">
        <v>0</v>
      </c>
      <c r="BZ139" s="129">
        <v>0</v>
      </c>
      <c r="CA139" s="127" t="s">
        <v>489</v>
      </c>
      <c r="CB139" s="128">
        <v>5</v>
      </c>
      <c r="CC139" s="128">
        <v>0</v>
      </c>
      <c r="CD139" s="128">
        <v>1</v>
      </c>
      <c r="CE139" s="128">
        <v>0</v>
      </c>
      <c r="CF139" s="128">
        <v>0</v>
      </c>
      <c r="CG139" s="128">
        <v>2</v>
      </c>
      <c r="CH139" s="128">
        <v>0</v>
      </c>
      <c r="CI139" s="128">
        <v>0</v>
      </c>
      <c r="CJ139" s="129">
        <v>1</v>
      </c>
      <c r="CK139" s="127" t="s">
        <v>486</v>
      </c>
      <c r="CL139" s="128">
        <v>3</v>
      </c>
      <c r="CM139" s="128">
        <v>0</v>
      </c>
      <c r="CN139" s="128">
        <v>1</v>
      </c>
      <c r="CO139" s="128">
        <v>0</v>
      </c>
      <c r="CP139" s="128">
        <v>2</v>
      </c>
      <c r="CQ139" s="128">
        <v>0</v>
      </c>
      <c r="CR139" s="128">
        <v>0</v>
      </c>
      <c r="CS139" s="128">
        <v>0</v>
      </c>
      <c r="CT139" s="129">
        <v>1</v>
      </c>
      <c r="CU139" s="127" t="s">
        <v>480</v>
      </c>
      <c r="CV139" s="128">
        <v>4</v>
      </c>
      <c r="CW139" s="128">
        <v>0</v>
      </c>
      <c r="CX139" s="128">
        <v>1</v>
      </c>
      <c r="CY139" s="128">
        <v>0</v>
      </c>
      <c r="CZ139" s="128">
        <v>1</v>
      </c>
      <c r="DA139" s="128">
        <v>2</v>
      </c>
      <c r="DB139" s="128">
        <v>0</v>
      </c>
      <c r="DC139" s="128">
        <v>0</v>
      </c>
      <c r="DD139" s="129">
        <v>1</v>
      </c>
      <c r="DE139" s="127" t="s">
        <v>534</v>
      </c>
      <c r="DF139" s="128">
        <v>4</v>
      </c>
      <c r="DG139" s="128">
        <v>1</v>
      </c>
      <c r="DH139" s="128">
        <v>1</v>
      </c>
      <c r="DI139" s="128">
        <v>1</v>
      </c>
      <c r="DJ139" s="128">
        <v>0</v>
      </c>
      <c r="DK139" s="128">
        <v>1</v>
      </c>
      <c r="DL139" s="128">
        <v>0</v>
      </c>
      <c r="DM139" s="128">
        <v>1</v>
      </c>
      <c r="DN139" s="129">
        <v>1</v>
      </c>
      <c r="DO139" s="127" t="s">
        <v>519</v>
      </c>
      <c r="DP139" s="128">
        <v>3</v>
      </c>
      <c r="DQ139" s="128">
        <v>0</v>
      </c>
      <c r="DR139" s="128">
        <v>0</v>
      </c>
      <c r="DS139" s="128">
        <v>0</v>
      </c>
      <c r="DT139" s="128">
        <v>1</v>
      </c>
      <c r="DU139" s="128">
        <v>3</v>
      </c>
      <c r="DV139" s="128">
        <v>0</v>
      </c>
      <c r="DW139" s="128">
        <v>0</v>
      </c>
      <c r="DX139" s="129">
        <v>0</v>
      </c>
      <c r="DY139" s="130">
        <v>4</v>
      </c>
      <c r="DZ139" s="131">
        <v>1</v>
      </c>
      <c r="EA139" s="131">
        <v>0</v>
      </c>
      <c r="EB139" s="132">
        <v>8</v>
      </c>
      <c r="EC139" s="131">
        <v>1</v>
      </c>
      <c r="ED139" s="133">
        <v>0</v>
      </c>
      <c r="EE139" s="134">
        <v>0</v>
      </c>
      <c r="EF139" s="131">
        <v>0</v>
      </c>
      <c r="EG139" s="131">
        <v>0</v>
      </c>
      <c r="EH139" s="131">
        <v>1</v>
      </c>
      <c r="EI139" s="131">
        <v>0</v>
      </c>
      <c r="EJ139" s="131">
        <v>0</v>
      </c>
      <c r="EK139" s="131">
        <v>0</v>
      </c>
      <c r="EL139" s="131">
        <v>0</v>
      </c>
      <c r="EM139" s="131">
        <v>0</v>
      </c>
      <c r="EN139" s="131">
        <v>0</v>
      </c>
      <c r="EO139" s="131">
        <v>0</v>
      </c>
      <c r="EP139" s="131">
        <v>1</v>
      </c>
      <c r="EQ139" s="131"/>
      <c r="ER139" s="131"/>
      <c r="ES139" s="131"/>
      <c r="ET139" s="131"/>
      <c r="EU139" s="131"/>
      <c r="EV139" s="131"/>
      <c r="EW139" s="131"/>
      <c r="EX139" s="135">
        <f t="shared" si="32"/>
        <v>2</v>
      </c>
      <c r="EY139" s="134">
        <v>0</v>
      </c>
      <c r="EZ139" s="131">
        <v>0</v>
      </c>
      <c r="FA139" s="131">
        <v>0</v>
      </c>
      <c r="FB139" s="131">
        <v>0</v>
      </c>
      <c r="FC139" s="131">
        <v>0</v>
      </c>
      <c r="FD139" s="131">
        <v>0</v>
      </c>
      <c r="FE139" s="131">
        <v>1</v>
      </c>
      <c r="FF139" s="131">
        <v>0</v>
      </c>
      <c r="FG139" s="131">
        <v>0</v>
      </c>
      <c r="FH139" s="131">
        <v>0</v>
      </c>
      <c r="FI139" s="131">
        <v>0</v>
      </c>
      <c r="FJ139" s="131">
        <v>0</v>
      </c>
      <c r="FK139" s="131"/>
      <c r="FL139" s="131"/>
      <c r="FM139" s="131"/>
      <c r="FN139" s="131"/>
      <c r="FO139" s="131"/>
      <c r="FP139" s="131"/>
      <c r="FQ139" s="131"/>
      <c r="FR139" s="135">
        <f t="shared" si="33"/>
        <v>1</v>
      </c>
      <c r="FS139" s="141">
        <f t="shared" si="34"/>
        <v>0</v>
      </c>
      <c r="FT139" s="143">
        <f t="shared" si="35"/>
        <v>0</v>
      </c>
      <c r="FU139" s="144"/>
    </row>
    <row r="140" spans="1:177" x14ac:dyDescent="0.25">
      <c r="A140" s="121">
        <v>40424</v>
      </c>
      <c r="B140" s="121" t="s">
        <v>19</v>
      </c>
      <c r="C140" s="121" t="s">
        <v>129</v>
      </c>
      <c r="D140" s="121" t="s">
        <v>513</v>
      </c>
      <c r="E140" s="120">
        <v>2642</v>
      </c>
      <c r="F140" s="124">
        <v>3</v>
      </c>
      <c r="G140" s="125" t="s">
        <v>540</v>
      </c>
      <c r="H140" s="122">
        <v>0</v>
      </c>
      <c r="I140" s="122">
        <v>0</v>
      </c>
      <c r="J140" s="119">
        <v>4</v>
      </c>
      <c r="K140" s="122">
        <v>5</v>
      </c>
      <c r="L140" s="122">
        <v>1</v>
      </c>
      <c r="M140" s="122">
        <v>1</v>
      </c>
      <c r="N140" s="122">
        <v>0</v>
      </c>
      <c r="O140" s="122">
        <v>8</v>
      </c>
      <c r="P140" s="122">
        <v>0</v>
      </c>
      <c r="Q140" s="122">
        <v>1</v>
      </c>
      <c r="R140" s="122">
        <v>17</v>
      </c>
      <c r="S140" s="122"/>
      <c r="T140" s="122"/>
      <c r="U140" s="122">
        <v>0</v>
      </c>
      <c r="V140" s="126">
        <v>0</v>
      </c>
      <c r="W140" s="139">
        <v>1</v>
      </c>
      <c r="X140" s="122">
        <v>0</v>
      </c>
      <c r="Y140" s="122">
        <v>1</v>
      </c>
      <c r="Z140" s="122">
        <v>0</v>
      </c>
      <c r="AA140" s="122">
        <v>0</v>
      </c>
      <c r="AB140" s="119">
        <v>5</v>
      </c>
      <c r="AC140" s="122">
        <v>5</v>
      </c>
      <c r="AD140" s="122">
        <v>2</v>
      </c>
      <c r="AE140" s="122">
        <v>2</v>
      </c>
      <c r="AF140" s="122">
        <v>1</v>
      </c>
      <c r="AG140" s="122">
        <v>6</v>
      </c>
      <c r="AH140" s="122">
        <v>1</v>
      </c>
      <c r="AI140" s="122">
        <v>0</v>
      </c>
      <c r="AJ140" s="122">
        <v>20</v>
      </c>
      <c r="AK140" s="122"/>
      <c r="AL140" s="126"/>
      <c r="AM140" s="127" t="s">
        <v>482</v>
      </c>
      <c r="AN140" s="128">
        <v>4</v>
      </c>
      <c r="AO140" s="128">
        <v>0</v>
      </c>
      <c r="AP140" s="128">
        <v>0</v>
      </c>
      <c r="AQ140" s="128">
        <v>0</v>
      </c>
      <c r="AR140" s="128">
        <v>1</v>
      </c>
      <c r="AS140" s="128">
        <v>0</v>
      </c>
      <c r="AT140" s="128">
        <v>0</v>
      </c>
      <c r="AU140" s="128">
        <v>0</v>
      </c>
      <c r="AV140" s="129">
        <v>0</v>
      </c>
      <c r="AW140" s="127" t="s">
        <v>485</v>
      </c>
      <c r="AX140" s="128">
        <v>2</v>
      </c>
      <c r="AY140" s="128">
        <v>2</v>
      </c>
      <c r="AZ140" s="128">
        <v>1</v>
      </c>
      <c r="BA140" s="128">
        <v>0</v>
      </c>
      <c r="BB140" s="128">
        <v>2</v>
      </c>
      <c r="BC140" s="128">
        <v>0</v>
      </c>
      <c r="BD140" s="128">
        <v>0</v>
      </c>
      <c r="BE140" s="128">
        <v>0</v>
      </c>
      <c r="BF140" s="129">
        <v>1</v>
      </c>
      <c r="BG140" s="127" t="s">
        <v>484</v>
      </c>
      <c r="BH140" s="128">
        <v>4</v>
      </c>
      <c r="BI140" s="128">
        <v>2</v>
      </c>
      <c r="BJ140" s="128">
        <v>3</v>
      </c>
      <c r="BK140" s="128">
        <v>3</v>
      </c>
      <c r="BL140" s="128">
        <v>0</v>
      </c>
      <c r="BM140" s="128">
        <v>0</v>
      </c>
      <c r="BN140" s="128">
        <v>0</v>
      </c>
      <c r="BO140" s="128">
        <v>0</v>
      </c>
      <c r="BP140" s="129">
        <v>8</v>
      </c>
      <c r="BQ140" s="127" t="s">
        <v>367</v>
      </c>
      <c r="BR140" s="128">
        <v>3</v>
      </c>
      <c r="BS140" s="128">
        <v>1</v>
      </c>
      <c r="BT140" s="128">
        <v>1</v>
      </c>
      <c r="BU140" s="128">
        <v>0</v>
      </c>
      <c r="BV140" s="128">
        <v>1</v>
      </c>
      <c r="BW140" s="128">
        <v>1</v>
      </c>
      <c r="BX140" s="128">
        <v>0</v>
      </c>
      <c r="BY140" s="128">
        <v>0</v>
      </c>
      <c r="BZ140" s="129">
        <v>1</v>
      </c>
      <c r="CA140" s="127" t="s">
        <v>481</v>
      </c>
      <c r="CB140" s="128">
        <v>4</v>
      </c>
      <c r="CC140" s="128">
        <v>0</v>
      </c>
      <c r="CD140" s="128">
        <v>2</v>
      </c>
      <c r="CE140" s="128">
        <v>1</v>
      </c>
      <c r="CF140" s="128">
        <v>0</v>
      </c>
      <c r="CG140" s="128">
        <v>0</v>
      </c>
      <c r="CH140" s="128">
        <v>0</v>
      </c>
      <c r="CI140" s="128">
        <v>0</v>
      </c>
      <c r="CJ140" s="129">
        <v>2</v>
      </c>
      <c r="CK140" s="127" t="s">
        <v>534</v>
      </c>
      <c r="CL140" s="128">
        <v>4</v>
      </c>
      <c r="CM140" s="128">
        <v>0</v>
      </c>
      <c r="CN140" s="128">
        <v>1</v>
      </c>
      <c r="CO140" s="128">
        <v>1</v>
      </c>
      <c r="CP140" s="128">
        <v>0</v>
      </c>
      <c r="CQ140" s="128">
        <v>1</v>
      </c>
      <c r="CR140" s="128">
        <v>0</v>
      </c>
      <c r="CS140" s="128">
        <v>0</v>
      </c>
      <c r="CT140" s="129">
        <v>1</v>
      </c>
      <c r="CU140" s="127" t="s">
        <v>447</v>
      </c>
      <c r="CV140" s="128">
        <v>3</v>
      </c>
      <c r="CW140" s="128">
        <v>0</v>
      </c>
      <c r="CX140" s="128">
        <v>0</v>
      </c>
      <c r="CY140" s="128">
        <v>0</v>
      </c>
      <c r="CZ140" s="128">
        <v>1</v>
      </c>
      <c r="DA140" s="128">
        <v>1</v>
      </c>
      <c r="DB140" s="128">
        <v>0</v>
      </c>
      <c r="DC140" s="128">
        <v>0</v>
      </c>
      <c r="DD140" s="129">
        <v>0</v>
      </c>
      <c r="DE140" s="127" t="s">
        <v>479</v>
      </c>
      <c r="DF140" s="128">
        <v>4</v>
      </c>
      <c r="DG140" s="128">
        <v>0</v>
      </c>
      <c r="DH140" s="128">
        <v>0</v>
      </c>
      <c r="DI140" s="128">
        <v>0</v>
      </c>
      <c r="DJ140" s="128">
        <v>0</v>
      </c>
      <c r="DK140" s="128">
        <v>1</v>
      </c>
      <c r="DL140" s="128">
        <v>0</v>
      </c>
      <c r="DM140" s="128">
        <v>0</v>
      </c>
      <c r="DN140" s="129">
        <v>0</v>
      </c>
      <c r="DO140" s="127" t="s">
        <v>486</v>
      </c>
      <c r="DP140" s="128">
        <v>3</v>
      </c>
      <c r="DQ140" s="128">
        <v>0</v>
      </c>
      <c r="DR140" s="128">
        <v>0</v>
      </c>
      <c r="DS140" s="128">
        <v>0</v>
      </c>
      <c r="DT140" s="128">
        <v>1</v>
      </c>
      <c r="DU140" s="128">
        <v>1</v>
      </c>
      <c r="DV140" s="128">
        <v>0</v>
      </c>
      <c r="DW140" s="128">
        <v>0</v>
      </c>
      <c r="DX140" s="129">
        <v>0</v>
      </c>
      <c r="DY140" s="130">
        <f>4+1/3</f>
        <v>4.333333333333333</v>
      </c>
      <c r="DZ140" s="131">
        <v>3</v>
      </c>
      <c r="EA140" s="131">
        <v>0</v>
      </c>
      <c r="EB140" s="132">
        <f>3+2/3</f>
        <v>3.6666666666666665</v>
      </c>
      <c r="EC140" s="131">
        <v>1</v>
      </c>
      <c r="ED140" s="133">
        <v>0</v>
      </c>
      <c r="EE140" s="134">
        <v>1</v>
      </c>
      <c r="EF140" s="131">
        <v>0</v>
      </c>
      <c r="EG140" s="131">
        <v>3</v>
      </c>
      <c r="EH140" s="131">
        <v>0</v>
      </c>
      <c r="EI140" s="131">
        <v>0</v>
      </c>
      <c r="EJ140" s="131">
        <v>0</v>
      </c>
      <c r="EK140" s="131">
        <v>1</v>
      </c>
      <c r="EL140" s="131">
        <v>0</v>
      </c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5">
        <f t="shared" si="32"/>
        <v>5</v>
      </c>
      <c r="EY140" s="134">
        <v>1</v>
      </c>
      <c r="EZ140" s="131">
        <v>0</v>
      </c>
      <c r="FA140" s="131">
        <v>0</v>
      </c>
      <c r="FB140" s="131">
        <v>0</v>
      </c>
      <c r="FC140" s="131">
        <v>0</v>
      </c>
      <c r="FD140" s="131">
        <v>0</v>
      </c>
      <c r="FE140" s="131">
        <v>0</v>
      </c>
      <c r="FF140" s="131">
        <v>0</v>
      </c>
      <c r="FG140" s="131">
        <v>2</v>
      </c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5">
        <f t="shared" si="33"/>
        <v>3</v>
      </c>
      <c r="FS140" s="141">
        <f t="shared" si="34"/>
        <v>0</v>
      </c>
      <c r="FT140" s="143">
        <f t="shared" si="35"/>
        <v>0</v>
      </c>
      <c r="FU140" s="144"/>
    </row>
    <row r="141" spans="1:177" x14ac:dyDescent="0.25">
      <c r="A141" s="121">
        <v>40425</v>
      </c>
      <c r="B141" s="121" t="s">
        <v>19</v>
      </c>
      <c r="C141" s="121" t="s">
        <v>131</v>
      </c>
      <c r="D141" s="121" t="s">
        <v>513</v>
      </c>
      <c r="E141" s="120">
        <v>6816</v>
      </c>
      <c r="F141" s="124">
        <v>4</v>
      </c>
      <c r="G141" s="125" t="s">
        <v>666</v>
      </c>
      <c r="H141" s="122">
        <v>0</v>
      </c>
      <c r="I141" s="122">
        <v>0</v>
      </c>
      <c r="J141" s="119">
        <v>4</v>
      </c>
      <c r="K141" s="122">
        <v>3</v>
      </c>
      <c r="L141" s="122">
        <v>1</v>
      </c>
      <c r="M141" s="122">
        <v>1</v>
      </c>
      <c r="N141" s="122">
        <v>2</v>
      </c>
      <c r="O141" s="122">
        <v>3</v>
      </c>
      <c r="P141" s="122">
        <v>0</v>
      </c>
      <c r="Q141" s="122">
        <v>0</v>
      </c>
      <c r="R141" s="122">
        <v>15</v>
      </c>
      <c r="S141" s="122"/>
      <c r="T141" s="122"/>
      <c r="U141" s="122">
        <v>0</v>
      </c>
      <c r="V141" s="126">
        <v>0</v>
      </c>
      <c r="W141" s="139">
        <v>0</v>
      </c>
      <c r="X141" s="122">
        <v>1</v>
      </c>
      <c r="Y141" s="122">
        <v>0</v>
      </c>
      <c r="Z141" s="122">
        <v>0</v>
      </c>
      <c r="AA141" s="122">
        <v>0</v>
      </c>
      <c r="AB141" s="119">
        <v>5</v>
      </c>
      <c r="AC141" s="122">
        <v>5</v>
      </c>
      <c r="AD141" s="122">
        <v>3</v>
      </c>
      <c r="AE141" s="122">
        <v>3</v>
      </c>
      <c r="AF141" s="122">
        <v>6</v>
      </c>
      <c r="AG141" s="122">
        <v>6</v>
      </c>
      <c r="AH141" s="122">
        <v>0</v>
      </c>
      <c r="AI141" s="122">
        <v>1</v>
      </c>
      <c r="AJ141" s="122">
        <v>27</v>
      </c>
      <c r="AK141" s="122"/>
      <c r="AL141" s="126"/>
      <c r="AM141" s="127" t="s">
        <v>482</v>
      </c>
      <c r="AN141" s="128">
        <v>4</v>
      </c>
      <c r="AO141" s="128">
        <v>1</v>
      </c>
      <c r="AP141" s="128">
        <v>0</v>
      </c>
      <c r="AQ141" s="128">
        <v>0</v>
      </c>
      <c r="AR141" s="128">
        <v>1</v>
      </c>
      <c r="AS141" s="128">
        <v>2</v>
      </c>
      <c r="AT141" s="128">
        <v>0</v>
      </c>
      <c r="AU141" s="128">
        <v>0</v>
      </c>
      <c r="AV141" s="129">
        <v>0</v>
      </c>
      <c r="AW141" s="127" t="s">
        <v>534</v>
      </c>
      <c r="AX141" s="128">
        <v>4</v>
      </c>
      <c r="AY141" s="128">
        <v>0</v>
      </c>
      <c r="AZ141" s="128">
        <v>2</v>
      </c>
      <c r="BA141" s="128">
        <v>1</v>
      </c>
      <c r="BB141" s="128">
        <v>0</v>
      </c>
      <c r="BC141" s="128">
        <v>1</v>
      </c>
      <c r="BD141" s="128">
        <v>0</v>
      </c>
      <c r="BE141" s="128">
        <v>0</v>
      </c>
      <c r="BF141" s="129">
        <v>3</v>
      </c>
      <c r="BG141" s="127" t="s">
        <v>484</v>
      </c>
      <c r="BH141" s="128">
        <v>2</v>
      </c>
      <c r="BI141" s="128">
        <v>1</v>
      </c>
      <c r="BJ141" s="128">
        <v>1</v>
      </c>
      <c r="BK141" s="128">
        <v>0</v>
      </c>
      <c r="BL141" s="128">
        <v>1</v>
      </c>
      <c r="BM141" s="128">
        <v>0</v>
      </c>
      <c r="BN141" s="128">
        <v>1</v>
      </c>
      <c r="BO141" s="128">
        <v>0</v>
      </c>
      <c r="BP141" s="129">
        <v>1</v>
      </c>
      <c r="BQ141" s="127" t="s">
        <v>367</v>
      </c>
      <c r="BR141" s="128">
        <v>4</v>
      </c>
      <c r="BS141" s="128">
        <v>0</v>
      </c>
      <c r="BT141" s="128">
        <v>1</v>
      </c>
      <c r="BU141" s="128">
        <v>1</v>
      </c>
      <c r="BV141" s="128">
        <v>0</v>
      </c>
      <c r="BW141" s="128">
        <v>1</v>
      </c>
      <c r="BX141" s="128">
        <v>0</v>
      </c>
      <c r="BY141" s="128">
        <v>0</v>
      </c>
      <c r="BZ141" s="129">
        <v>1</v>
      </c>
      <c r="CA141" s="127" t="s">
        <v>489</v>
      </c>
      <c r="CB141" s="128">
        <v>4</v>
      </c>
      <c r="CC141" s="128">
        <v>0</v>
      </c>
      <c r="CD141" s="128">
        <v>1</v>
      </c>
      <c r="CE141" s="128">
        <v>0</v>
      </c>
      <c r="CF141" s="128">
        <v>0</v>
      </c>
      <c r="CG141" s="128">
        <v>0</v>
      </c>
      <c r="CH141" s="128">
        <v>0</v>
      </c>
      <c r="CI141" s="128">
        <v>0</v>
      </c>
      <c r="CJ141" s="129">
        <v>1</v>
      </c>
      <c r="CK141" s="127" t="s">
        <v>486</v>
      </c>
      <c r="CL141" s="128">
        <v>4</v>
      </c>
      <c r="CM141" s="128">
        <v>0</v>
      </c>
      <c r="CN141" s="128">
        <v>1</v>
      </c>
      <c r="CO141" s="128">
        <v>0</v>
      </c>
      <c r="CP141" s="128">
        <v>0</v>
      </c>
      <c r="CQ141" s="128">
        <v>1</v>
      </c>
      <c r="CR141" s="128">
        <v>0</v>
      </c>
      <c r="CS141" s="128">
        <v>0</v>
      </c>
      <c r="CT141" s="129">
        <v>1</v>
      </c>
      <c r="CU141" s="127" t="s">
        <v>481</v>
      </c>
      <c r="CV141" s="128">
        <v>4</v>
      </c>
      <c r="CW141" s="128">
        <v>0</v>
      </c>
      <c r="CX141" s="128">
        <v>1</v>
      </c>
      <c r="CY141" s="128">
        <v>0</v>
      </c>
      <c r="CZ141" s="128">
        <v>0</v>
      </c>
      <c r="DA141" s="128">
        <v>0</v>
      </c>
      <c r="DB141" s="128">
        <v>0</v>
      </c>
      <c r="DC141" s="128">
        <v>0</v>
      </c>
      <c r="DD141" s="129">
        <v>2</v>
      </c>
      <c r="DE141" s="127" t="s">
        <v>479</v>
      </c>
      <c r="DF141" s="128">
        <v>3</v>
      </c>
      <c r="DG141" s="128">
        <v>0</v>
      </c>
      <c r="DH141" s="128">
        <v>1</v>
      </c>
      <c r="DI141" s="128">
        <v>0</v>
      </c>
      <c r="DJ141" s="128">
        <v>0</v>
      </c>
      <c r="DK141" s="128">
        <v>1</v>
      </c>
      <c r="DL141" s="128">
        <v>0</v>
      </c>
      <c r="DM141" s="128">
        <v>0</v>
      </c>
      <c r="DN141" s="129">
        <v>1</v>
      </c>
      <c r="DO141" s="127" t="s">
        <v>519</v>
      </c>
      <c r="DP141" s="128">
        <v>4</v>
      </c>
      <c r="DQ141" s="128">
        <v>0</v>
      </c>
      <c r="DR141" s="128">
        <v>0</v>
      </c>
      <c r="DS141" s="128">
        <v>0</v>
      </c>
      <c r="DT141" s="128">
        <v>0</v>
      </c>
      <c r="DU141" s="128">
        <v>1</v>
      </c>
      <c r="DV141" s="128">
        <v>0</v>
      </c>
      <c r="DW141" s="128">
        <v>0</v>
      </c>
      <c r="DX141" s="129">
        <v>0</v>
      </c>
      <c r="DY141" s="130">
        <v>0</v>
      </c>
      <c r="DZ141" s="131">
        <v>0</v>
      </c>
      <c r="EA141" s="131">
        <v>0</v>
      </c>
      <c r="EB141" s="132">
        <v>9</v>
      </c>
      <c r="EC141" s="131">
        <v>3</v>
      </c>
      <c r="ED141" s="133">
        <v>0</v>
      </c>
      <c r="EE141" s="134">
        <v>1</v>
      </c>
      <c r="EF141" s="131">
        <v>0</v>
      </c>
      <c r="EG141" s="131">
        <v>1</v>
      </c>
      <c r="EH141" s="131">
        <v>0</v>
      </c>
      <c r="EI141" s="131">
        <v>0</v>
      </c>
      <c r="EJ141" s="131">
        <v>0</v>
      </c>
      <c r="EK141" s="131">
        <v>0</v>
      </c>
      <c r="EL141" s="131">
        <v>0</v>
      </c>
      <c r="EM141" s="131">
        <v>0</v>
      </c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5">
        <f t="shared" si="32"/>
        <v>2</v>
      </c>
      <c r="EY141" s="134">
        <v>0</v>
      </c>
      <c r="EZ141" s="131">
        <v>1</v>
      </c>
      <c r="FA141" s="131">
        <v>0</v>
      </c>
      <c r="FB141" s="131">
        <v>0</v>
      </c>
      <c r="FC141" s="131">
        <v>0</v>
      </c>
      <c r="FD141" s="131">
        <v>2</v>
      </c>
      <c r="FE141" s="131">
        <v>1</v>
      </c>
      <c r="FF141" s="131">
        <v>0</v>
      </c>
      <c r="FG141" s="131">
        <v>0</v>
      </c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5">
        <f t="shared" si="33"/>
        <v>4</v>
      </c>
      <c r="FS141" s="141">
        <f t="shared" si="34"/>
        <v>0</v>
      </c>
      <c r="FT141" s="143">
        <f t="shared" si="35"/>
        <v>0</v>
      </c>
      <c r="FU141" s="144"/>
    </row>
    <row r="142" spans="1:177" x14ac:dyDescent="0.25">
      <c r="A142" s="121">
        <v>40426</v>
      </c>
      <c r="B142" s="121" t="s">
        <v>19</v>
      </c>
      <c r="C142" s="121" t="s">
        <v>129</v>
      </c>
      <c r="D142" s="121" t="s">
        <v>513</v>
      </c>
      <c r="E142" s="120">
        <v>2287</v>
      </c>
      <c r="F142" s="124">
        <v>5</v>
      </c>
      <c r="G142" s="125" t="s">
        <v>556</v>
      </c>
      <c r="H142" s="122">
        <v>1</v>
      </c>
      <c r="I142" s="122">
        <v>0</v>
      </c>
      <c r="J142" s="119">
        <v>6</v>
      </c>
      <c r="K142" s="122">
        <v>1</v>
      </c>
      <c r="L142" s="122">
        <v>0</v>
      </c>
      <c r="M142" s="122">
        <v>0</v>
      </c>
      <c r="N142" s="122">
        <v>0</v>
      </c>
      <c r="O142" s="122">
        <v>3</v>
      </c>
      <c r="P142" s="122">
        <v>0</v>
      </c>
      <c r="Q142" s="122">
        <v>1</v>
      </c>
      <c r="R142" s="122">
        <v>19</v>
      </c>
      <c r="S142" s="122"/>
      <c r="T142" s="122"/>
      <c r="U142" s="122">
        <v>0</v>
      </c>
      <c r="V142" s="126">
        <v>0</v>
      </c>
      <c r="W142" s="139">
        <v>0</v>
      </c>
      <c r="X142" s="122">
        <v>0</v>
      </c>
      <c r="Y142" s="122">
        <v>2</v>
      </c>
      <c r="Z142" s="122">
        <v>1</v>
      </c>
      <c r="AA142" s="122">
        <v>0</v>
      </c>
      <c r="AB142" s="119">
        <v>3</v>
      </c>
      <c r="AC142" s="122">
        <v>4</v>
      </c>
      <c r="AD142" s="122">
        <v>1</v>
      </c>
      <c r="AE142" s="122">
        <v>1</v>
      </c>
      <c r="AF142" s="122">
        <v>2</v>
      </c>
      <c r="AG142" s="122">
        <v>3</v>
      </c>
      <c r="AH142" s="122">
        <v>0</v>
      </c>
      <c r="AI142" s="122">
        <v>0</v>
      </c>
      <c r="AJ142" s="122">
        <v>14</v>
      </c>
      <c r="AK142" s="122"/>
      <c r="AL142" s="126"/>
      <c r="AM142" s="127" t="s">
        <v>482</v>
      </c>
      <c r="AN142" s="128">
        <v>4</v>
      </c>
      <c r="AO142" s="128">
        <v>0</v>
      </c>
      <c r="AP142" s="128">
        <v>1</v>
      </c>
      <c r="AQ142" s="128">
        <v>0</v>
      </c>
      <c r="AR142" s="128">
        <v>1</v>
      </c>
      <c r="AS142" s="128">
        <v>0</v>
      </c>
      <c r="AT142" s="128">
        <v>0</v>
      </c>
      <c r="AU142" s="128">
        <v>0</v>
      </c>
      <c r="AV142" s="129">
        <v>1</v>
      </c>
      <c r="AW142" s="127" t="s">
        <v>485</v>
      </c>
      <c r="AX142" s="128">
        <v>3</v>
      </c>
      <c r="AY142" s="128">
        <v>0</v>
      </c>
      <c r="AZ142" s="128">
        <v>0</v>
      </c>
      <c r="BA142" s="128">
        <v>0</v>
      </c>
      <c r="BB142" s="128">
        <v>2</v>
      </c>
      <c r="BC142" s="128">
        <v>1</v>
      </c>
      <c r="BD142" s="128">
        <v>0</v>
      </c>
      <c r="BE142" s="128">
        <v>0</v>
      </c>
      <c r="BF142" s="129">
        <v>0</v>
      </c>
      <c r="BG142" s="127" t="s">
        <v>484</v>
      </c>
      <c r="BH142" s="128">
        <v>5</v>
      </c>
      <c r="BI142" s="128">
        <v>0</v>
      </c>
      <c r="BJ142" s="128">
        <v>3</v>
      </c>
      <c r="BK142" s="128">
        <v>1</v>
      </c>
      <c r="BL142" s="128">
        <v>0</v>
      </c>
      <c r="BM142" s="128">
        <v>1</v>
      </c>
      <c r="BN142" s="128">
        <v>0</v>
      </c>
      <c r="BO142" s="128">
        <v>0</v>
      </c>
      <c r="BP142" s="129">
        <v>3</v>
      </c>
      <c r="BQ142" s="127" t="s">
        <v>530</v>
      </c>
      <c r="BR142" s="128">
        <v>4</v>
      </c>
      <c r="BS142" s="128">
        <v>0</v>
      </c>
      <c r="BT142" s="128">
        <v>0</v>
      </c>
      <c r="BU142" s="128">
        <v>0</v>
      </c>
      <c r="BV142" s="128">
        <v>1</v>
      </c>
      <c r="BW142" s="128">
        <v>0</v>
      </c>
      <c r="BX142" s="128">
        <v>0</v>
      </c>
      <c r="BY142" s="128">
        <v>0</v>
      </c>
      <c r="BZ142" s="129">
        <v>0</v>
      </c>
      <c r="CA142" s="127" t="s">
        <v>489</v>
      </c>
      <c r="CB142" s="128">
        <v>3</v>
      </c>
      <c r="CC142" s="128">
        <v>1</v>
      </c>
      <c r="CD142" s="128">
        <v>1</v>
      </c>
      <c r="CE142" s="128">
        <v>0</v>
      </c>
      <c r="CF142" s="128">
        <v>1</v>
      </c>
      <c r="CG142" s="128">
        <v>0</v>
      </c>
      <c r="CH142" s="128">
        <v>0</v>
      </c>
      <c r="CI142" s="128">
        <v>0</v>
      </c>
      <c r="CJ142" s="129">
        <v>1</v>
      </c>
      <c r="CK142" s="127" t="s">
        <v>534</v>
      </c>
      <c r="CL142" s="128">
        <v>2</v>
      </c>
      <c r="CM142" s="128">
        <v>0</v>
      </c>
      <c r="CN142" s="128">
        <v>0</v>
      </c>
      <c r="CO142" s="128">
        <v>0</v>
      </c>
      <c r="CP142" s="128">
        <v>2</v>
      </c>
      <c r="CQ142" s="128">
        <v>0</v>
      </c>
      <c r="CR142" s="128">
        <v>0</v>
      </c>
      <c r="CS142" s="128">
        <v>0</v>
      </c>
      <c r="CT142" s="129">
        <v>0</v>
      </c>
      <c r="CU142" s="127" t="s">
        <v>480</v>
      </c>
      <c r="CV142" s="128">
        <v>4</v>
      </c>
      <c r="CW142" s="128">
        <v>0</v>
      </c>
      <c r="CX142" s="128">
        <v>0</v>
      </c>
      <c r="CY142" s="128">
        <v>0</v>
      </c>
      <c r="CZ142" s="128">
        <v>0</v>
      </c>
      <c r="DA142" s="128">
        <v>1</v>
      </c>
      <c r="DB142" s="128">
        <v>0</v>
      </c>
      <c r="DC142" s="128">
        <v>0</v>
      </c>
      <c r="DD142" s="129">
        <v>0</v>
      </c>
      <c r="DE142" s="127" t="s">
        <v>479</v>
      </c>
      <c r="DF142" s="128">
        <v>3</v>
      </c>
      <c r="DG142" s="128">
        <v>1</v>
      </c>
      <c r="DH142" s="128">
        <v>1</v>
      </c>
      <c r="DI142" s="128">
        <v>0</v>
      </c>
      <c r="DJ142" s="128">
        <v>0</v>
      </c>
      <c r="DK142" s="128">
        <v>1</v>
      </c>
      <c r="DL142" s="128">
        <v>1</v>
      </c>
      <c r="DM142" s="128">
        <v>0</v>
      </c>
      <c r="DN142" s="129">
        <v>2</v>
      </c>
      <c r="DO142" s="127" t="s">
        <v>486</v>
      </c>
      <c r="DP142" s="128">
        <v>4</v>
      </c>
      <c r="DQ142" s="128">
        <v>2</v>
      </c>
      <c r="DR142" s="128">
        <v>3</v>
      </c>
      <c r="DS142" s="128">
        <v>2</v>
      </c>
      <c r="DT142" s="128">
        <v>0</v>
      </c>
      <c r="DU142" s="128">
        <v>0</v>
      </c>
      <c r="DV142" s="128">
        <v>0</v>
      </c>
      <c r="DW142" s="128">
        <v>0</v>
      </c>
      <c r="DX142" s="129">
        <v>3</v>
      </c>
      <c r="DY142" s="130">
        <v>1</v>
      </c>
      <c r="DZ142" s="131">
        <v>0</v>
      </c>
      <c r="EA142" s="131">
        <v>0</v>
      </c>
      <c r="EB142" s="132">
        <v>7</v>
      </c>
      <c r="EC142" s="131">
        <v>1</v>
      </c>
      <c r="ED142" s="133">
        <v>1</v>
      </c>
      <c r="EE142" s="134">
        <v>0</v>
      </c>
      <c r="EF142" s="131">
        <v>0</v>
      </c>
      <c r="EG142" s="131">
        <v>1</v>
      </c>
      <c r="EH142" s="131">
        <v>2</v>
      </c>
      <c r="EI142" s="131">
        <v>0</v>
      </c>
      <c r="EJ142" s="131">
        <v>0</v>
      </c>
      <c r="EK142" s="131">
        <v>0</v>
      </c>
      <c r="EL142" s="131">
        <v>1</v>
      </c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5">
        <f t="shared" si="32"/>
        <v>4</v>
      </c>
      <c r="EY142" s="134">
        <v>0</v>
      </c>
      <c r="EZ142" s="131">
        <v>0</v>
      </c>
      <c r="FA142" s="131">
        <v>0</v>
      </c>
      <c r="FB142" s="131">
        <v>0</v>
      </c>
      <c r="FC142" s="131">
        <v>0</v>
      </c>
      <c r="FD142" s="131">
        <v>0</v>
      </c>
      <c r="FE142" s="131">
        <v>0</v>
      </c>
      <c r="FF142" s="131">
        <v>1</v>
      </c>
      <c r="FG142" s="131">
        <v>0</v>
      </c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5">
        <f t="shared" si="33"/>
        <v>1</v>
      </c>
      <c r="FS142" s="141">
        <f t="shared" si="34"/>
        <v>0</v>
      </c>
      <c r="FT142" s="143">
        <f t="shared" si="35"/>
        <v>0</v>
      </c>
      <c r="FU142" s="144" t="s">
        <v>677</v>
      </c>
    </row>
    <row r="143" spans="1:177" x14ac:dyDescent="0.25">
      <c r="A143" s="408">
        <f>SUBTOTAL(103,Table12732[Date])</f>
        <v>139</v>
      </c>
      <c r="B143" s="408"/>
      <c r="C143" s="408"/>
      <c r="D143" s="408"/>
      <c r="E143" s="54">
        <f>SUBTOTAL(109,Table12732[Att])</f>
        <v>246525</v>
      </c>
      <c r="F143" s="54"/>
      <c r="G143" s="409" t="s">
        <v>34</v>
      </c>
      <c r="H143" s="62">
        <f>SUBTOTAL(109,Table12732[S-W])</f>
        <v>51</v>
      </c>
      <c r="I143" s="62">
        <f>SUBTOTAL(109,Table12732[S-L])</f>
        <v>46</v>
      </c>
      <c r="J143" s="63">
        <f>SUBTOTAL(109,Table12732[S-IP])</f>
        <v>759.33333333333337</v>
      </c>
      <c r="K143" s="62">
        <f>SUBTOTAL(109,Table12732[S-H])</f>
        <v>734</v>
      </c>
      <c r="L143" s="62">
        <f>SUBTOTAL(109,Table12732[S-R])</f>
        <v>353</v>
      </c>
      <c r="M143" s="62">
        <f>SUBTOTAL(109,Table12732[S-ER])</f>
        <v>298</v>
      </c>
      <c r="N143" s="62">
        <f>SUBTOTAL(109,Table12732[S-BB])</f>
        <v>237</v>
      </c>
      <c r="O143" s="62">
        <f>SUBTOTAL(109,Table12732[S-SO])</f>
        <v>682</v>
      </c>
      <c r="P143" s="62">
        <f>SUBTOTAL(109,Table12732[S-HR])</f>
        <v>32</v>
      </c>
      <c r="Q143" s="62">
        <f>SUBTOTAL(109,Table12732[S-HBP])</f>
        <v>60</v>
      </c>
      <c r="R143" s="62">
        <f>SUBTOTAL(109,Table12732[S-BF])</f>
        <v>3223</v>
      </c>
      <c r="S143" s="62">
        <f>SUBTOTAL(109,Table12732[S-Pit])</f>
        <v>0</v>
      </c>
      <c r="T143" s="62">
        <f>SUBTOTAL(109,Table12732[S-Str])</f>
        <v>0</v>
      </c>
      <c r="U143" s="62">
        <f>SUBTOTAL(109,Table12732[IRL])</f>
        <v>63</v>
      </c>
      <c r="V143" s="62">
        <f>SUBTOTAL(109,Table12732[IRS])</f>
        <v>20</v>
      </c>
      <c r="W143" s="62">
        <f>SUBTOTAL(109,Table12732[B-W])</f>
        <v>28</v>
      </c>
      <c r="X143" s="62">
        <f>SUBTOTAL(109,Table12732[B-L])</f>
        <v>13</v>
      </c>
      <c r="Y143" s="62">
        <f>SUBTOTAL(109,Table12732[Hld])</f>
        <v>31</v>
      </c>
      <c r="Z143" s="62">
        <f>SUBTOTAL(109,Table12732[Sv])</f>
        <v>49</v>
      </c>
      <c r="AA143" s="62">
        <f>SUBTOTAL(109,Table12732[BS])</f>
        <v>6</v>
      </c>
      <c r="AB143" s="63">
        <f>SUBTOTAL(109,Table12732[B-IP])</f>
        <v>459.33333333333326</v>
      </c>
      <c r="AC143" s="62">
        <f>SUBTOTAL(109,Table12732[B-H])</f>
        <v>355</v>
      </c>
      <c r="AD143" s="62">
        <f>SUBTOTAL(109,Table12732[B-R])</f>
        <v>142</v>
      </c>
      <c r="AE143" s="62">
        <f>SUBTOTAL(109,Table12732[B-ER])</f>
        <v>118</v>
      </c>
      <c r="AF143" s="62">
        <f>SUBTOTAL(109,Table12732[B-BB])</f>
        <v>152</v>
      </c>
      <c r="AG143" s="62">
        <f>SUBTOTAL(109,Table12732[B-SO])</f>
        <v>502</v>
      </c>
      <c r="AH143" s="62">
        <f>SUBTOTAL(109,Table12732[B-HR])</f>
        <v>24</v>
      </c>
      <c r="AI143" s="62">
        <f>SUBTOTAL(109,Table12732[B-HBP])</f>
        <v>16</v>
      </c>
      <c r="AJ143" s="62">
        <f>SUBTOTAL(109,Table12732[B-BF])</f>
        <v>1875</v>
      </c>
      <c r="AK143" s="62">
        <f>SUBTOTAL(109,Table12732[B-Pit])</f>
        <v>0</v>
      </c>
      <c r="AL143" s="62">
        <f>SUBTOTAL(109,Table12732[B-Str])</f>
        <v>0</v>
      </c>
      <c r="AM143" s="409" t="str">
        <f>INDEX(Table12732[Starter1],MODE(MATCH(Table12732[Starter1],Table12732[Starter1],0)))</f>
        <v>Velasquez, I</v>
      </c>
      <c r="AN143" s="54">
        <f>SUBTOTAL(109,Table12732[AB1])</f>
        <v>564</v>
      </c>
      <c r="AO143" s="54">
        <f>SUBTOTAL(109,Table12732[R1])</f>
        <v>76</v>
      </c>
      <c r="AP143" s="54">
        <f>SUBTOTAL(109,Table12732[H1])</f>
        <v>162</v>
      </c>
      <c r="AQ143" s="54">
        <f>SUBTOTAL(109,Table12732[RBI1])</f>
        <v>50</v>
      </c>
      <c r="AR143" s="54">
        <f>SUBTOTAL(109,Table12732[BB1])</f>
        <v>55</v>
      </c>
      <c r="AS143" s="54">
        <f>SUBTOTAL(109,Table12732[SO1])</f>
        <v>96</v>
      </c>
      <c r="AT143" s="54">
        <f>SUBTOTAL(109,Table12732[HBP1])</f>
        <v>8</v>
      </c>
      <c r="AU143" s="54">
        <f>SUBTOTAL(109,Table12732[SF1])</f>
        <v>3</v>
      </c>
      <c r="AV143" s="54">
        <f>SUBTOTAL(109,Table12732[TB1])</f>
        <v>212</v>
      </c>
      <c r="AW143" s="409" t="str">
        <f>INDEX(Table12732[Starter2],MODE(MATCH(Table12732[Starter2],Table12732[Starter2],0)))</f>
        <v>Beckham, T</v>
      </c>
      <c r="AX143" s="54">
        <f>SUBTOTAL(109,Table12732[AB2])</f>
        <v>536</v>
      </c>
      <c r="AY143" s="54">
        <f>SUBTOTAL(109,Table12732[R2])</f>
        <v>74</v>
      </c>
      <c r="AZ143" s="54">
        <f>SUBTOTAL(109,Table12732[H2])</f>
        <v>138</v>
      </c>
      <c r="BA143" s="54">
        <f>SUBTOTAL(109,Table12732[RBI2])</f>
        <v>60</v>
      </c>
      <c r="BB143" s="54">
        <f>SUBTOTAL(109,Table12732[BB2])</f>
        <v>68</v>
      </c>
      <c r="BC143" s="54">
        <f>SUBTOTAL(109,Table12732[SO2])</f>
        <v>135</v>
      </c>
      <c r="BD143" s="54">
        <f>SUBTOTAL(109,Table12732[HBP2])</f>
        <v>4</v>
      </c>
      <c r="BE143" s="54">
        <f>SUBTOTAL(109,Table12732[SF2])</f>
        <v>3</v>
      </c>
      <c r="BF143" s="54">
        <f>SUBTOTAL(109,Table12732[TB2])</f>
        <v>189</v>
      </c>
      <c r="BG143" s="409" t="str">
        <f>INDEX(Table12732[Starter3],MODE(MATCH(Table12732[Starter3],Table12732[Starter3],0)))</f>
        <v>Vogt, S</v>
      </c>
      <c r="BH143" s="54">
        <f>SUBTOTAL(109,Table12732[AB3])</f>
        <v>540</v>
      </c>
      <c r="BI143" s="54">
        <f>SUBTOTAL(109,Table12732[R3])</f>
        <v>59</v>
      </c>
      <c r="BJ143" s="54">
        <f>SUBTOTAL(109,Table12732[H3])</f>
        <v>154</v>
      </c>
      <c r="BK143" s="54">
        <f>SUBTOTAL(109,Table12732[RBI3])</f>
        <v>63</v>
      </c>
      <c r="BL143" s="54">
        <f>SUBTOTAL(109,Table12732[BB3])</f>
        <v>48</v>
      </c>
      <c r="BM143" s="54">
        <f>SUBTOTAL(109,Table12732[SO3])</f>
        <v>87</v>
      </c>
      <c r="BN143" s="54">
        <f>SUBTOTAL(109,Table12732[HBP3])</f>
        <v>8</v>
      </c>
      <c r="BO143" s="54">
        <f>SUBTOTAL(109,Table12732[SF3])</f>
        <v>6</v>
      </c>
      <c r="BP143" s="54">
        <f>SUBTOTAL(109,Table12732[TB3])</f>
        <v>219</v>
      </c>
      <c r="BQ143" s="409" t="str">
        <f>INDEX(Table12732[Starter4],MODE(MATCH(Table12732[Starter4],Table12732[Starter4],0)))</f>
        <v>Wrigley, H</v>
      </c>
      <c r="BR143" s="54">
        <f>SUBTOTAL(109,Table12732[AB4])</f>
        <v>526</v>
      </c>
      <c r="BS143" s="54">
        <f>SUBTOTAL(109,Table12732[R4])</f>
        <v>68</v>
      </c>
      <c r="BT143" s="54">
        <f>SUBTOTAL(109,Table12732[H4])</f>
        <v>141</v>
      </c>
      <c r="BU143" s="54">
        <f>SUBTOTAL(109,Table12732[RBI4])</f>
        <v>73</v>
      </c>
      <c r="BV143" s="54">
        <f>SUBTOTAL(109,Table12732[BB4])</f>
        <v>58</v>
      </c>
      <c r="BW143" s="54">
        <f>SUBTOTAL(109,Table12732[SO4])</f>
        <v>97</v>
      </c>
      <c r="BX143" s="54">
        <f>SUBTOTAL(109,Table12732[HBP4])</f>
        <v>4</v>
      </c>
      <c r="BY143" s="54">
        <f>SUBTOTAL(109,Table12732[SF4])</f>
        <v>6</v>
      </c>
      <c r="BZ143" s="54">
        <f>SUBTOTAL(109,Table12732[TB4])</f>
        <v>213</v>
      </c>
      <c r="CA143" s="409" t="str">
        <f>INDEX(Table12732[Starter5],MODE(MATCH(Table12732[Starter5],Table12732[Starter5],0)))</f>
        <v>Vogt, S</v>
      </c>
      <c r="CB143" s="54">
        <f>SUBTOTAL(109,Table12732[AB5])</f>
        <v>511</v>
      </c>
      <c r="CC143" s="54">
        <f>SUBTOTAL(109,Table12732[R5])</f>
        <v>70</v>
      </c>
      <c r="CD143" s="54">
        <f>SUBTOTAL(109,Table12732[H5])</f>
        <v>132</v>
      </c>
      <c r="CE143" s="54">
        <f>SUBTOTAL(109,Table12732[RBI5])</f>
        <v>61</v>
      </c>
      <c r="CF143" s="54">
        <f>SUBTOTAL(109,Table12732[BB5])</f>
        <v>57</v>
      </c>
      <c r="CG143" s="54">
        <f>SUBTOTAL(109,Table12732[SO5])</f>
        <v>83</v>
      </c>
      <c r="CH143" s="54">
        <f>SUBTOTAL(109,Table12732[HBP5])</f>
        <v>6</v>
      </c>
      <c r="CI143" s="54">
        <f>SUBTOTAL(109,Table12732[SF5])</f>
        <v>7</v>
      </c>
      <c r="CJ143" s="54">
        <f>SUBTOTAL(109,Table12732[TB5])</f>
        <v>204</v>
      </c>
      <c r="CK143" s="409" t="str">
        <f>INDEX(Table12732[Starter6],MODE(MATCH(Table12732[Starter6],Table12732[Starter6],0)))</f>
        <v>Jefferies, J</v>
      </c>
      <c r="CL143" s="54">
        <f>SUBTOTAL(109,Table12732[AB6])</f>
        <v>516</v>
      </c>
      <c r="CM143" s="54">
        <f>SUBTOTAL(109,Table12732[R6])</f>
        <v>54</v>
      </c>
      <c r="CN143" s="54">
        <f>SUBTOTAL(109,Table12732[H6])</f>
        <v>137</v>
      </c>
      <c r="CO143" s="54">
        <f>SUBTOTAL(109,Table12732[RBI6])</f>
        <v>49</v>
      </c>
      <c r="CP143" s="54">
        <f>SUBTOTAL(109,Table12732[BB6])</f>
        <v>41</v>
      </c>
      <c r="CQ143" s="54">
        <f>SUBTOTAL(109,Table12732[SO6])</f>
        <v>87</v>
      </c>
      <c r="CR143" s="54">
        <f>SUBTOTAL(109,Table12732[HBP6])</f>
        <v>7</v>
      </c>
      <c r="CS143" s="54">
        <f>SUBTOTAL(109,Table12732[SF6])</f>
        <v>3</v>
      </c>
      <c r="CT143" s="54">
        <f>SUBTOTAL(109,Table12732[TB6])</f>
        <v>185</v>
      </c>
      <c r="CU143" s="409" t="str">
        <f>INDEX(Table12732[Starter7],MODE(MATCH(Table12732[Starter7],Table12732[Starter7],0)))</f>
        <v>Sheridan, M</v>
      </c>
      <c r="CV143" s="54">
        <f>SUBTOTAL(109,Table12732[AB7])</f>
        <v>487</v>
      </c>
      <c r="CW143" s="54">
        <f>SUBTOTAL(109,Table12732[R7])</f>
        <v>46</v>
      </c>
      <c r="CX143" s="54">
        <f>SUBTOTAL(109,Table12732[H7])</f>
        <v>122</v>
      </c>
      <c r="CY143" s="54">
        <f>SUBTOTAL(109,Table12732[RBI7])</f>
        <v>59</v>
      </c>
      <c r="CZ143" s="54">
        <f>SUBTOTAL(109,Table12732[BB7])</f>
        <v>46</v>
      </c>
      <c r="DA143" s="54">
        <f>SUBTOTAL(109,Table12732[SO7])</f>
        <v>76</v>
      </c>
      <c r="DB143" s="54">
        <f>SUBTOTAL(109,Table12732[HBP7])</f>
        <v>8</v>
      </c>
      <c r="DC143" s="54">
        <f>SUBTOTAL(109,Table12732[SF7])</f>
        <v>5</v>
      </c>
      <c r="DD143" s="54">
        <f>SUBTOTAL(109,Table12732[TB7])</f>
        <v>156</v>
      </c>
      <c r="DE143" s="409" t="str">
        <f>INDEX(Table12732[Starter8],MODE(MATCH(Table12732[Starter8],Table12732[Starter8],0)))</f>
        <v>Fronk, R</v>
      </c>
      <c r="DF143" s="54">
        <f>SUBTOTAL(109,Table12732[AB8])</f>
        <v>458</v>
      </c>
      <c r="DG143" s="54">
        <f>SUBTOTAL(109,Table12732[R8])</f>
        <v>54</v>
      </c>
      <c r="DH143" s="54">
        <f>SUBTOTAL(109,Table12732[H8])</f>
        <v>110</v>
      </c>
      <c r="DI143" s="54">
        <f>SUBTOTAL(109,Table12732[RBI8])</f>
        <v>50</v>
      </c>
      <c r="DJ143" s="54">
        <f>SUBTOTAL(109,Table12732[BB8])</f>
        <v>61</v>
      </c>
      <c r="DK143" s="54">
        <f>SUBTOTAL(109,Table12732[SO8])</f>
        <v>102</v>
      </c>
      <c r="DL143" s="54">
        <f>SUBTOTAL(109,Table12732[HBP8])</f>
        <v>6</v>
      </c>
      <c r="DM143" s="54">
        <f>SUBTOTAL(109,Table12732[SF8])</f>
        <v>6</v>
      </c>
      <c r="DN143" s="54">
        <f>SUBTOTAL(109,Table12732[TB8])</f>
        <v>171</v>
      </c>
      <c r="DO143" s="409" t="str">
        <f>INDEX(Table12732[Starter9],MODE(MATCH(Table12732[Starter9],Table12732[Starter9],0)))</f>
        <v>Hall, M</v>
      </c>
      <c r="DP143" s="54">
        <f>SUBTOTAL(109,Table12732[AB9])</f>
        <v>466</v>
      </c>
      <c r="DQ143" s="54">
        <f>SUBTOTAL(109,Table12732[R9])</f>
        <v>57</v>
      </c>
      <c r="DR143" s="54">
        <f>SUBTOTAL(109,Table12732[H9])</f>
        <v>93</v>
      </c>
      <c r="DS143" s="54">
        <f>SUBTOTAL(109,Table12732[RBI9])</f>
        <v>37</v>
      </c>
      <c r="DT143" s="54">
        <f>SUBTOTAL(109,Table12732[BB9])</f>
        <v>32</v>
      </c>
      <c r="DU143" s="54">
        <f>SUBTOTAL(109,Table12732[SO9])</f>
        <v>109</v>
      </c>
      <c r="DV143" s="54">
        <f>SUBTOTAL(109,Table12732[HBP9])</f>
        <v>7</v>
      </c>
      <c r="DW143" s="54">
        <f>SUBTOTAL(109,Table12732[SF9])</f>
        <v>1</v>
      </c>
      <c r="DX143" s="54">
        <f>SUBTOTAL(109,Table12732[TB9])</f>
        <v>130</v>
      </c>
      <c r="DY143" s="63">
        <f>SUBTOTAL(109,Table12732[IVL])</f>
        <v>267.99999999999994</v>
      </c>
      <c r="DZ143" s="62">
        <f>SUBTOTAL(109,Table12732[SVL])</f>
        <v>37</v>
      </c>
      <c r="EA143" s="62">
        <f>SUBTOTAL(109,Table12732[CVL])</f>
        <v>11</v>
      </c>
      <c r="EB143" s="63">
        <f>SUBTOTAL(109,Table12732[IVR])</f>
        <v>944</v>
      </c>
      <c r="EC143" s="62">
        <f>SUBTOTAL(109,Table12732[SVR])</f>
        <v>80</v>
      </c>
      <c r="ED143" s="62">
        <f>SUBTOTAL(109,Table12732[CVR])</f>
        <v>37</v>
      </c>
      <c r="EE143" s="62">
        <f>SUBTOTAL(109,Table12732[RI1])</f>
        <v>56</v>
      </c>
      <c r="EF143" s="62">
        <f>SUBTOTAL(109,Table12732[RI2])</f>
        <v>64</v>
      </c>
      <c r="EG143" s="62">
        <f>SUBTOTAL(109,Table12732[RI3])</f>
        <v>58</v>
      </c>
      <c r="EH143" s="62">
        <f>SUBTOTAL(109,Table12732[RI4])</f>
        <v>74</v>
      </c>
      <c r="EI143" s="62">
        <f>SUBTOTAL(109,Table12732[RI5])</f>
        <v>70</v>
      </c>
      <c r="EJ143" s="62">
        <f>SUBTOTAL(109,Table12732[RI6])</f>
        <v>58</v>
      </c>
      <c r="EK143" s="62">
        <f>SUBTOTAL(109,Table12732[RI7])</f>
        <v>51</v>
      </c>
      <c r="EL143" s="62">
        <f>SUBTOTAL(109,Table12732[RI8])</f>
        <v>73</v>
      </c>
      <c r="EM143" s="62">
        <f>SUBTOTAL(109,Table12732[RI9])</f>
        <v>42</v>
      </c>
      <c r="EN143" s="62">
        <f>SUBTOTAL(109,Table12732[RI10])</f>
        <v>6</v>
      </c>
      <c r="EO143" s="62">
        <f>SUBTOTAL(109,Table12732[RI11])</f>
        <v>1</v>
      </c>
      <c r="EP143" s="62">
        <f>SUBTOTAL(109,Table12732[RI12])</f>
        <v>4</v>
      </c>
      <c r="EQ143" s="62">
        <f>SUBTOTAL(109,Table12732[RI13])</f>
        <v>0</v>
      </c>
      <c r="ER143" s="62">
        <f>SUBTOTAL(109,Table12732[RI14])</f>
        <v>0</v>
      </c>
      <c r="ES143" s="62">
        <f>SUBTOTAL(109,Table12732[RI15])</f>
        <v>1</v>
      </c>
      <c r="ET143" s="62">
        <f>SUBTOTAL(109,Table12732[RI16])</f>
        <v>0</v>
      </c>
      <c r="EU143" s="62">
        <f>SUBTOTAL(109,Table12732[RI17])</f>
        <v>0</v>
      </c>
      <c r="EV143" s="62">
        <f>SUBTOTAL(109,Table12732[RI18])</f>
        <v>0</v>
      </c>
      <c r="EW143" s="62">
        <f>SUBTOTAL(109,Table12732[RI19])</f>
        <v>0</v>
      </c>
      <c r="EX143" s="62">
        <f>SUBTOTAL(109,Table12732[RT])</f>
        <v>558</v>
      </c>
      <c r="EY143" s="62">
        <f>SUBTOTAL(109,Table12732[OI1])</f>
        <v>63</v>
      </c>
      <c r="EZ143" s="62">
        <f>SUBTOTAL(109,Table12732[OI2])</f>
        <v>56</v>
      </c>
      <c r="FA143" s="62">
        <f>SUBTOTAL(109,Table12732[OI3])</f>
        <v>54</v>
      </c>
      <c r="FB143" s="62">
        <f>SUBTOTAL(109,Table12732[OI4])</f>
        <v>84</v>
      </c>
      <c r="FC143" s="62">
        <f>SUBTOTAL(109,Table12732[OI5])</f>
        <v>57</v>
      </c>
      <c r="FD143" s="62">
        <f>SUBTOTAL(109,Table12732[OI6])</f>
        <v>50</v>
      </c>
      <c r="FE143" s="62">
        <f>SUBTOTAL(109,Table12732[OI7])</f>
        <v>63</v>
      </c>
      <c r="FF143" s="62">
        <f>SUBTOTAL(109,Table12732[OI8])</f>
        <v>40</v>
      </c>
      <c r="FG143" s="62">
        <f>SUBTOTAL(109,Table12732[OI9])</f>
        <v>18</v>
      </c>
      <c r="FH143" s="62">
        <f>SUBTOTAL(109,Table12732[OI10])</f>
        <v>4</v>
      </c>
      <c r="FI143" s="62">
        <f>SUBTOTAL(109,Table12732[OI11])</f>
        <v>2</v>
      </c>
      <c r="FJ143" s="62">
        <f>SUBTOTAL(109,Table12732[OI12])</f>
        <v>1</v>
      </c>
      <c r="FK143" s="62">
        <f>SUBTOTAL(109,Table12732[OI13])</f>
        <v>2</v>
      </c>
      <c r="FL143" s="62">
        <f>SUBTOTAL(109,Table12732[OI14])</f>
        <v>0</v>
      </c>
      <c r="FM143" s="62">
        <f>SUBTOTAL(109,Table12732[OI15])</f>
        <v>0</v>
      </c>
      <c r="FN143" s="62">
        <f>SUBTOTAL(109,Table12732[OI16])</f>
        <v>0</v>
      </c>
      <c r="FO143" s="62">
        <f>SUBTOTAL(109,Table12732[OI17])</f>
        <v>0</v>
      </c>
      <c r="FP143" s="62">
        <f>SUBTOTAL(109,Table12732[OI18])</f>
        <v>0</v>
      </c>
      <c r="FQ143" s="62">
        <f>SUBTOTAL(109,Table12732[OI19])</f>
        <v>1</v>
      </c>
      <c r="FR143" s="62">
        <f>SUBTOTAL(109,Table12732[OT])</f>
        <v>495</v>
      </c>
      <c r="FS143" s="136"/>
      <c r="FT143" s="136"/>
    </row>
    <row r="144" spans="1:177" x14ac:dyDescent="0.25">
      <c r="A144" s="81" t="s">
        <v>227</v>
      </c>
      <c r="B144" s="53"/>
      <c r="C144" s="53"/>
      <c r="D144" s="53"/>
      <c r="E144" s="4">
        <f>MAX(Table12732[Att])</f>
        <v>7492</v>
      </c>
      <c r="F144" s="54"/>
      <c r="G144" s="117"/>
      <c r="H144" s="117"/>
      <c r="I144" s="117"/>
      <c r="J144" s="5">
        <f>MAX(Table12732[S-IP])</f>
        <v>8.3333333333333339</v>
      </c>
      <c r="K144" s="6">
        <f>MAX(Table12732[S-H])</f>
        <v>12</v>
      </c>
      <c r="L144" s="6">
        <f>MAX(Table12732[S-R])</f>
        <v>9</v>
      </c>
      <c r="M144" s="6">
        <f>MAX(Table12732[S-ER])</f>
        <v>8</v>
      </c>
      <c r="N144" s="6">
        <f>MAX(Table12732[S-BB])</f>
        <v>6</v>
      </c>
      <c r="O144" s="6">
        <f>MAX(Table12732[S-SO])</f>
        <v>13</v>
      </c>
      <c r="P144" s="6">
        <f>MAX(Table12732[S-HR])</f>
        <v>3</v>
      </c>
      <c r="Q144" s="6">
        <f>MAX(Table12732[S-HBP])</f>
        <v>3</v>
      </c>
      <c r="R144" s="6">
        <f>MAX(Table12732[S-BF])</f>
        <v>34</v>
      </c>
      <c r="S144" s="6"/>
      <c r="T144" s="6"/>
      <c r="U144" s="6">
        <f>MAX(Table12732[IRL])</f>
        <v>3</v>
      </c>
      <c r="V144" s="6">
        <f>MAX(Table12732[IRS])</f>
        <v>2</v>
      </c>
      <c r="W144" s="117"/>
      <c r="X144" s="117"/>
      <c r="Y144" s="117"/>
      <c r="Z144" s="117"/>
      <c r="AA144" s="117"/>
      <c r="AB144" s="5">
        <f>MAX(Table12732[B-IP])</f>
        <v>12</v>
      </c>
      <c r="AC144" s="6">
        <f>MAX(Table12732[B-H])</f>
        <v>10</v>
      </c>
      <c r="AD144" s="6">
        <f>MAX(Table12732[B-R])</f>
        <v>7</v>
      </c>
      <c r="AE144" s="6">
        <f>MAX(Table12732[B-ER])</f>
        <v>5</v>
      </c>
      <c r="AF144" s="6">
        <f>MAX(Table12732[B-BB])</f>
        <v>6</v>
      </c>
      <c r="AG144" s="6">
        <f>MAX(Table12732[B-SO])</f>
        <v>12</v>
      </c>
      <c r="AH144" s="6">
        <f>MAX(Table12732[B-HR])</f>
        <v>5</v>
      </c>
      <c r="AI144" s="6">
        <f>MAX(Table12732[B-HBP])</f>
        <v>2</v>
      </c>
      <c r="AJ144" s="6">
        <f>MAX(Table12732[B-BF])</f>
        <v>41</v>
      </c>
      <c r="AK144" s="6"/>
      <c r="AL144" s="6"/>
      <c r="AM144" s="117"/>
      <c r="AN144" s="6">
        <f>MAX(Table12732[AB1])</f>
        <v>9</v>
      </c>
      <c r="AO144" s="6">
        <f>MAX(Table12732[R1])</f>
        <v>3</v>
      </c>
      <c r="AP144" s="6">
        <f>MAX(Table12732[H1])</f>
        <v>4</v>
      </c>
      <c r="AQ144" s="6">
        <f>MAX(Table12732[RBI1])</f>
        <v>2</v>
      </c>
      <c r="AR144" s="6">
        <f>MAX(Table12732[BB1])</f>
        <v>3</v>
      </c>
      <c r="AS144" s="6">
        <f>MAX(Table12732[SO1])</f>
        <v>3</v>
      </c>
      <c r="AT144" s="6">
        <f>MAX(Table12732[HBP1])</f>
        <v>1</v>
      </c>
      <c r="AU144" s="6">
        <f>MAX(Table12732[SF1])</f>
        <v>1</v>
      </c>
      <c r="AV144" s="6">
        <f>MAX(Table12732[TB1])</f>
        <v>9</v>
      </c>
      <c r="AW144" s="117"/>
      <c r="AX144" s="6">
        <f>MAX(Table12732[AB2])</f>
        <v>6</v>
      </c>
      <c r="AY144" s="6">
        <f>MAX(Table12732[R2])</f>
        <v>3</v>
      </c>
      <c r="AZ144" s="6">
        <f>MAX(Table12732[H2])</f>
        <v>4</v>
      </c>
      <c r="BA144" s="6">
        <f>MAX(Table12732[RBI2])</f>
        <v>5</v>
      </c>
      <c r="BB144" s="6">
        <f>MAX(Table12732[BB2])</f>
        <v>4</v>
      </c>
      <c r="BC144" s="6">
        <f>MAX(Table12732[SO2])</f>
        <v>3</v>
      </c>
      <c r="BD144" s="6">
        <f>MAX(Table12732[HBP2])</f>
        <v>1</v>
      </c>
      <c r="BE144" s="6">
        <f>MAX(Table12732[SF2])</f>
        <v>1</v>
      </c>
      <c r="BF144" s="6">
        <f>MAX(Table12732[TB2])</f>
        <v>7</v>
      </c>
      <c r="BG144" s="117"/>
      <c r="BH144" s="6">
        <f>MAX(Table12732[AB3])</f>
        <v>8</v>
      </c>
      <c r="BI144" s="6">
        <f>MAX(Table12732[R3])</f>
        <v>2</v>
      </c>
      <c r="BJ144" s="6">
        <f>MAX(Table12732[H3])</f>
        <v>3</v>
      </c>
      <c r="BK144" s="6">
        <f>MAX(Table12732[RBI3])</f>
        <v>5</v>
      </c>
      <c r="BL144" s="6">
        <f>MAX(Table12732[BB3])</f>
        <v>3</v>
      </c>
      <c r="BM144" s="6">
        <f>MAX(Table12732[SO3])</f>
        <v>3</v>
      </c>
      <c r="BN144" s="6">
        <f>MAX(Table12732[HBP3])</f>
        <v>1</v>
      </c>
      <c r="BO144" s="6">
        <f>MAX(Table12732[SF3])</f>
        <v>1</v>
      </c>
      <c r="BP144" s="6">
        <f>MAX(Table12732[TB3])</f>
        <v>8</v>
      </c>
      <c r="BQ144" s="117"/>
      <c r="BR144" s="6">
        <f>MAX(Table12732[AB4])</f>
        <v>7</v>
      </c>
      <c r="BS144" s="6">
        <f>MAX(Table12732[R4])</f>
        <v>4</v>
      </c>
      <c r="BT144" s="6">
        <f>MAX(Table12732[H4])</f>
        <v>5</v>
      </c>
      <c r="BU144" s="6">
        <f>MAX(Table12732[RBI4])</f>
        <v>5</v>
      </c>
      <c r="BV144" s="6">
        <f>MAX(Table12732[BB4])</f>
        <v>3</v>
      </c>
      <c r="BW144" s="6">
        <f>MAX(Table12732[SO4])</f>
        <v>4</v>
      </c>
      <c r="BX144" s="6">
        <f>MAX(Table12732[HBP4])</f>
        <v>1</v>
      </c>
      <c r="BY144" s="6">
        <f>MAX(Table12732[SF4])</f>
        <v>1</v>
      </c>
      <c r="BZ144" s="6">
        <f>MAX(Table12732[TB4])</f>
        <v>10</v>
      </c>
      <c r="CA144" s="117"/>
      <c r="CB144" s="6">
        <f>MAX(Table12732[AB5])</f>
        <v>8</v>
      </c>
      <c r="CC144" s="6">
        <f>MAX(Table12732[R5])</f>
        <v>3</v>
      </c>
      <c r="CD144" s="6">
        <f>MAX(Table12732[H5])</f>
        <v>3</v>
      </c>
      <c r="CE144" s="6">
        <f>MAX(Table12732[RBI5])</f>
        <v>4</v>
      </c>
      <c r="CF144" s="6">
        <f>MAX(Table12732[BB5])</f>
        <v>3</v>
      </c>
      <c r="CG144" s="6">
        <f>MAX(Table12732[SO5])</f>
        <v>3</v>
      </c>
      <c r="CH144" s="6">
        <f>MAX(Table12732[HBP5])</f>
        <v>1</v>
      </c>
      <c r="CI144" s="6">
        <f>MAX(Table12732[SF5])</f>
        <v>1</v>
      </c>
      <c r="CJ144" s="6">
        <f>MAX(Table12732[TB5])</f>
        <v>8</v>
      </c>
      <c r="CK144" s="117"/>
      <c r="CL144" s="6">
        <f>MAX(Table12732[AB6])</f>
        <v>9</v>
      </c>
      <c r="CM144" s="6">
        <f>MAX(Table12732[R6])</f>
        <v>3</v>
      </c>
      <c r="CN144" s="6">
        <f>MAX(Table12732[H6])</f>
        <v>5</v>
      </c>
      <c r="CO144" s="6">
        <f>MAX(Table12732[RBI6])</f>
        <v>4</v>
      </c>
      <c r="CP144" s="6">
        <f>MAX(Table12732[BB6])</f>
        <v>3</v>
      </c>
      <c r="CQ144" s="6">
        <f>MAX(Table12732[SO6])</f>
        <v>4</v>
      </c>
      <c r="CR144" s="6">
        <f>MAX(Table12732[HBP6])</f>
        <v>1</v>
      </c>
      <c r="CS144" s="6">
        <f>MAX(Table12732[SF6])</f>
        <v>1</v>
      </c>
      <c r="CT144" s="6">
        <f>MAX(Table12732[TB6])</f>
        <v>6</v>
      </c>
      <c r="CU144" s="117"/>
      <c r="CV144" s="6">
        <f>MAX(Table12732[AB7])</f>
        <v>8</v>
      </c>
      <c r="CW144" s="6">
        <f>MAX(Table12732[R7])</f>
        <v>2</v>
      </c>
      <c r="CX144" s="6">
        <f>MAX(Table12732[H7])</f>
        <v>3</v>
      </c>
      <c r="CY144" s="6">
        <f>MAX(Table12732[RBI7])</f>
        <v>4</v>
      </c>
      <c r="CZ144" s="6">
        <f>MAX(Table12732[BB7])</f>
        <v>3</v>
      </c>
      <c r="DA144" s="6">
        <f>MAX(Table12732[SO7])</f>
        <v>3</v>
      </c>
      <c r="DB144" s="6">
        <f>MAX(Table12732[HBP7])</f>
        <v>1</v>
      </c>
      <c r="DC144" s="6">
        <f>MAX(Table12732[SF7])</f>
        <v>1</v>
      </c>
      <c r="DD144" s="6">
        <f>MAX(Table12732[TB7])</f>
        <v>7</v>
      </c>
      <c r="DE144" s="117"/>
      <c r="DF144" s="6">
        <f>MAX(Table12732[AB8])</f>
        <v>8</v>
      </c>
      <c r="DG144" s="6">
        <f>MAX(Table12732[R8])</f>
        <v>3</v>
      </c>
      <c r="DH144" s="6">
        <f>MAX(Table12732[H8])</f>
        <v>3</v>
      </c>
      <c r="DI144" s="6">
        <f>MAX(Table12732[RBI8])</f>
        <v>4</v>
      </c>
      <c r="DJ144" s="6">
        <f>MAX(Table12732[BB8])</f>
        <v>4</v>
      </c>
      <c r="DK144" s="6">
        <f>MAX(Table12732[SO8])</f>
        <v>3</v>
      </c>
      <c r="DL144" s="6">
        <f>MAX(Table12732[HBP8])</f>
        <v>1</v>
      </c>
      <c r="DM144" s="6">
        <f>MAX(Table12732[SF8])</f>
        <v>1</v>
      </c>
      <c r="DN144" s="6">
        <f>MAX(Table12732[TB8])</f>
        <v>6</v>
      </c>
      <c r="DO144" s="117"/>
      <c r="DP144" s="6">
        <f>MAX(Table12732[AB9])</f>
        <v>7</v>
      </c>
      <c r="DQ144" s="6">
        <f>MAX(Table12732[R9])</f>
        <v>2</v>
      </c>
      <c r="DR144" s="6">
        <f>MAX(Table12732[H9])</f>
        <v>3</v>
      </c>
      <c r="DS144" s="6">
        <f>MAX(Table12732[RBI9])</f>
        <v>3</v>
      </c>
      <c r="DT144" s="6">
        <f>MAX(Table12732[BB9])</f>
        <v>2</v>
      </c>
      <c r="DU144" s="6">
        <f>MAX(Table12732[SO9])</f>
        <v>4</v>
      </c>
      <c r="DV144" s="6">
        <f>MAX(Table12732[HBP9])</f>
        <v>1</v>
      </c>
      <c r="DW144" s="6">
        <f>MAX(Table12732[SF9])</f>
        <v>1</v>
      </c>
      <c r="DX144" s="6">
        <f>MAX(Table12732[TB9])</f>
        <v>6</v>
      </c>
      <c r="DY144" s="5">
        <f>MAX(Table12732[IVL])</f>
        <v>14.333333333333334</v>
      </c>
      <c r="DZ144" s="6">
        <f>MAX(Table12732[SVL])</f>
        <v>4</v>
      </c>
      <c r="EA144" s="6">
        <f>MAX(Table12732[CVL])</f>
        <v>2</v>
      </c>
      <c r="EB144" s="5">
        <f>MAX(Table12732[IVR])</f>
        <v>13</v>
      </c>
      <c r="EC144" s="6">
        <f>MAX(Table12732[SVR])</f>
        <v>4</v>
      </c>
      <c r="ED144" s="6">
        <f>MAX(Table12732[CVR])</f>
        <v>2</v>
      </c>
      <c r="EE144" s="6">
        <f>MAX(Table12732[RI1])</f>
        <v>4</v>
      </c>
      <c r="EF144" s="6">
        <f>MAX(Table12732[RI2])</f>
        <v>6</v>
      </c>
      <c r="EG144" s="6">
        <f>MAX(Table12732[RI3])</f>
        <v>4</v>
      </c>
      <c r="EH144" s="6">
        <f>MAX(Table12732[RI4])</f>
        <v>4</v>
      </c>
      <c r="EI144" s="6">
        <f>MAX(Table12732[RI5])</f>
        <v>5</v>
      </c>
      <c r="EJ144" s="6">
        <f>MAX(Table12732[RI6])</f>
        <v>4</v>
      </c>
      <c r="EK144" s="6">
        <f>MAX(Table12732[RI7])</f>
        <v>5</v>
      </c>
      <c r="EL144" s="6">
        <f>MAX(Table12732[RI8])</f>
        <v>5</v>
      </c>
      <c r="EM144" s="6">
        <f>MAX(Table12732[RI9])</f>
        <v>3</v>
      </c>
      <c r="EN144" s="6">
        <f>MAX(Table12732[RI10])</f>
        <v>3</v>
      </c>
      <c r="EO144" s="6">
        <f>MAX(Table12732[RI11])</f>
        <v>1</v>
      </c>
      <c r="EP144" s="6">
        <f>MAX(Table12732[RI12])</f>
        <v>2</v>
      </c>
      <c r="EQ144" s="6">
        <f>MAX(Table12732[RI13])</f>
        <v>0</v>
      </c>
      <c r="ER144" s="6">
        <f>MAX(Table12732[RI14])</f>
        <v>0</v>
      </c>
      <c r="ES144" s="6">
        <f>MAX(Table12732[RI15])</f>
        <v>1</v>
      </c>
      <c r="ET144" s="6"/>
      <c r="EU144" s="6"/>
      <c r="EV144" s="6"/>
      <c r="EW144" s="6"/>
      <c r="EX144" s="6">
        <f>MAX(Table12732[RT])</f>
        <v>12</v>
      </c>
      <c r="EY144" s="6">
        <f>MAX(Table12732[OI1])</f>
        <v>5</v>
      </c>
      <c r="EZ144" s="6">
        <f>MAX(Table12732[OI2])</f>
        <v>5</v>
      </c>
      <c r="FA144" s="6">
        <f>MAX(Table12732[OI3])</f>
        <v>5</v>
      </c>
      <c r="FB144" s="6">
        <f>MAX(Table12732[OI4])</f>
        <v>7</v>
      </c>
      <c r="FC144" s="6">
        <f>MAX(Table12732[OI5])</f>
        <v>5</v>
      </c>
      <c r="FD144" s="6">
        <f>MAX(Table12732[OI6])</f>
        <v>5</v>
      </c>
      <c r="FE144" s="6">
        <f>MAX(Table12732[OI7])</f>
        <v>6</v>
      </c>
      <c r="FF144" s="6">
        <f>MAX(Table12732[OI8])</f>
        <v>4</v>
      </c>
      <c r="FG144" s="6">
        <f>MAX(Table12732[OI9])</f>
        <v>5</v>
      </c>
      <c r="FH144" s="6">
        <f>MAX(Table12732[OI10])</f>
        <v>1</v>
      </c>
      <c r="FI144" s="6">
        <f>MAX(Table12732[OI11])</f>
        <v>1</v>
      </c>
      <c r="FJ144" s="6">
        <f>MAX(Table12732[OI12])</f>
        <v>1</v>
      </c>
      <c r="FK144" s="6">
        <f>MAX(Table12732[OI13])</f>
        <v>2</v>
      </c>
      <c r="FL144" s="6">
        <f>MAX(Table12732[OI14])</f>
        <v>0</v>
      </c>
      <c r="FM144" s="6">
        <f>MAX(Table12732[OI15])</f>
        <v>0</v>
      </c>
      <c r="FN144" s="6"/>
      <c r="FO144" s="6"/>
      <c r="FP144" s="6"/>
      <c r="FQ144" s="6"/>
      <c r="FR144" s="6">
        <f>MAX(Table12732[OT])</f>
        <v>15</v>
      </c>
      <c r="FU144" s="55" t="s">
        <v>227</v>
      </c>
    </row>
    <row r="145" spans="1:177" x14ac:dyDescent="0.25">
      <c r="A145" s="81" t="s">
        <v>228</v>
      </c>
      <c r="B145" s="53"/>
      <c r="C145" s="53"/>
      <c r="D145" s="53"/>
      <c r="E145" s="4">
        <f>QUARTILE(Table12732[Att],3)</f>
        <v>2138</v>
      </c>
      <c r="F145" s="54"/>
      <c r="G145" s="117"/>
      <c r="H145" s="117"/>
      <c r="I145" s="117"/>
      <c r="J145" s="5">
        <f>QUARTILE(Table12732[S-IP],3)</f>
        <v>6</v>
      </c>
      <c r="K145" s="6">
        <f>QUARTILE(Table12732[S-H],3)</f>
        <v>7</v>
      </c>
      <c r="L145" s="6">
        <f>QUARTILE(Table12732[S-R],3)</f>
        <v>4</v>
      </c>
      <c r="M145" s="6">
        <f>QUARTILE(Table12732[S-ER],3)</f>
        <v>3</v>
      </c>
      <c r="N145" s="6">
        <f>QUARTILE(Table12732[S-BB],3)</f>
        <v>2.5</v>
      </c>
      <c r="O145" s="6">
        <f>QUARTILE(Table12732[S-SO],3)</f>
        <v>7</v>
      </c>
      <c r="P145" s="6">
        <f>QUARTILE(Table12732[S-HR],3)</f>
        <v>0</v>
      </c>
      <c r="Q145" s="6">
        <f>QUARTILE(Table12732[S-HBP],3)</f>
        <v>1</v>
      </c>
      <c r="R145" s="6">
        <f>QUARTILE(Table12732[S-BF],3)</f>
        <v>26</v>
      </c>
      <c r="S145" s="6"/>
      <c r="T145" s="6"/>
      <c r="U145" s="6">
        <f>QUARTILE(Table12732[IRL],3)</f>
        <v>1</v>
      </c>
      <c r="V145" s="6">
        <f>QUARTILE(Table12732[IRS],3)</f>
        <v>0</v>
      </c>
      <c r="W145" s="117"/>
      <c r="X145" s="117"/>
      <c r="Y145" s="117"/>
      <c r="Z145" s="117"/>
      <c r="AA145" s="117"/>
      <c r="AB145" s="5">
        <f>QUARTILE(Table12732[B-IP],3)</f>
        <v>4</v>
      </c>
      <c r="AC145" s="6">
        <f>QUARTILE(Table12732[B-H],3)</f>
        <v>4</v>
      </c>
      <c r="AD145" s="6">
        <f>QUARTILE(Table12732[B-R],3)</f>
        <v>2</v>
      </c>
      <c r="AE145" s="6">
        <f>QUARTILE(Table12732[B-ER],3)</f>
        <v>1</v>
      </c>
      <c r="AF145" s="6">
        <f>QUARTILE(Table12732[B-BB],3)</f>
        <v>2</v>
      </c>
      <c r="AG145" s="6">
        <f>QUARTILE(Table12732[B-SO],3)</f>
        <v>5</v>
      </c>
      <c r="AH145" s="6">
        <f>QUARTILE(Table12732[B-HR],3)</f>
        <v>0</v>
      </c>
      <c r="AI145" s="6">
        <f>QUARTILE(Table12732[B-HBP],3)</f>
        <v>0</v>
      </c>
      <c r="AJ145" s="6">
        <f>QUARTILE(Table12732[B-BF],3)</f>
        <v>17</v>
      </c>
      <c r="AK145" s="6"/>
      <c r="AL145" s="6"/>
      <c r="AM145" s="117"/>
      <c r="AN145" s="6">
        <f>QUARTILE(Table12732[AB1],3)</f>
        <v>5</v>
      </c>
      <c r="AO145" s="6">
        <f>QUARTILE(Table12732[R1],3)</f>
        <v>1</v>
      </c>
      <c r="AP145" s="6">
        <f>QUARTILE(Table12732[H1],3)</f>
        <v>2</v>
      </c>
      <c r="AQ145" s="6">
        <f>QUARTILE(Table12732[RBI1],3)</f>
        <v>1</v>
      </c>
      <c r="AR145" s="6">
        <f>QUARTILE(Table12732[BB1],3)</f>
        <v>1</v>
      </c>
      <c r="AS145" s="6">
        <f>QUARTILE(Table12732[SO1],3)</f>
        <v>1</v>
      </c>
      <c r="AT145" s="6">
        <f>QUARTILE(Table12732[HBP1],3)</f>
        <v>0</v>
      </c>
      <c r="AU145" s="6">
        <f>QUARTILE(Table12732[SF1],3)</f>
        <v>0</v>
      </c>
      <c r="AV145" s="6">
        <f>QUARTILE(Table12732[TB1],3)</f>
        <v>2</v>
      </c>
      <c r="AW145" s="117"/>
      <c r="AX145" s="6">
        <f>QUARTILE(Table12732[AB2],3)</f>
        <v>4</v>
      </c>
      <c r="AY145" s="6">
        <f>QUARTILE(Table12732[R2],3)</f>
        <v>1</v>
      </c>
      <c r="AZ145" s="6">
        <f>QUARTILE(Table12732[H2],3)</f>
        <v>1</v>
      </c>
      <c r="BA145" s="6">
        <f>QUARTILE(Table12732[RBI2],3)</f>
        <v>1</v>
      </c>
      <c r="BB145" s="6">
        <f>QUARTILE(Table12732[BB2],3)</f>
        <v>1</v>
      </c>
      <c r="BC145" s="6">
        <f>QUARTILE(Table12732[SO2],3)</f>
        <v>1</v>
      </c>
      <c r="BD145" s="6">
        <f>QUARTILE(Table12732[HBP2],3)</f>
        <v>0</v>
      </c>
      <c r="BE145" s="6">
        <f>QUARTILE(Table12732[SF2],3)</f>
        <v>0</v>
      </c>
      <c r="BF145" s="6">
        <f>QUARTILE(Table12732[TB2],3)</f>
        <v>2</v>
      </c>
      <c r="BG145" s="117"/>
      <c r="BH145" s="6">
        <f>QUARTILE(Table12732[AB3],3)</f>
        <v>4</v>
      </c>
      <c r="BI145" s="6">
        <f>QUARTILE(Table12732[R3],3)</f>
        <v>1</v>
      </c>
      <c r="BJ145" s="6">
        <f>QUARTILE(Table12732[H3],3)</f>
        <v>2</v>
      </c>
      <c r="BK145" s="6">
        <f>QUARTILE(Table12732[RBI3],3)</f>
        <v>1</v>
      </c>
      <c r="BL145" s="6">
        <f>QUARTILE(Table12732[BB3],3)</f>
        <v>1</v>
      </c>
      <c r="BM145" s="6">
        <f>QUARTILE(Table12732[SO3],3)</f>
        <v>1</v>
      </c>
      <c r="BN145" s="6">
        <f>QUARTILE(Table12732[HBP3],3)</f>
        <v>0</v>
      </c>
      <c r="BO145" s="6">
        <f>QUARTILE(Table12732[SF3],3)</f>
        <v>0</v>
      </c>
      <c r="BP145" s="6">
        <f>QUARTILE(Table12732[TB3],3)</f>
        <v>2.5</v>
      </c>
      <c r="BQ145" s="117"/>
      <c r="BR145" s="6">
        <f>QUARTILE(Table12732[AB4],3)</f>
        <v>4</v>
      </c>
      <c r="BS145" s="6">
        <f>QUARTILE(Table12732[R4],3)</f>
        <v>1</v>
      </c>
      <c r="BT145" s="6">
        <f>QUARTILE(Table12732[H4],3)</f>
        <v>1.5</v>
      </c>
      <c r="BU145" s="6">
        <f>QUARTILE(Table12732[RBI4],3)</f>
        <v>1</v>
      </c>
      <c r="BV145" s="6">
        <f>QUARTILE(Table12732[BB4],3)</f>
        <v>1</v>
      </c>
      <c r="BW145" s="6">
        <f>QUARTILE(Table12732[SO4],3)</f>
        <v>1</v>
      </c>
      <c r="BX145" s="6">
        <f>QUARTILE(Table12732[HBP4],3)</f>
        <v>0</v>
      </c>
      <c r="BY145" s="6">
        <f>QUARTILE(Table12732[SF4],3)</f>
        <v>0</v>
      </c>
      <c r="BZ145" s="6">
        <f>QUARTILE(Table12732[TB4],3)</f>
        <v>2</v>
      </c>
      <c r="CA145" s="117"/>
      <c r="CB145" s="6">
        <f>QUARTILE(Table12732[AB5],3)</f>
        <v>4</v>
      </c>
      <c r="CC145" s="6">
        <f>QUARTILE(Table12732[R5],3)</f>
        <v>1</v>
      </c>
      <c r="CD145" s="6">
        <f>QUARTILE(Table12732[H5],3)</f>
        <v>1</v>
      </c>
      <c r="CE145" s="6">
        <f>QUARTILE(Table12732[RBI5],3)</f>
        <v>1</v>
      </c>
      <c r="CF145" s="6">
        <f>QUARTILE(Table12732[BB5],3)</f>
        <v>1</v>
      </c>
      <c r="CG145" s="6">
        <f>QUARTILE(Table12732[SO5],3)</f>
        <v>1</v>
      </c>
      <c r="CH145" s="6">
        <f>QUARTILE(Table12732[HBP5],3)</f>
        <v>0</v>
      </c>
      <c r="CI145" s="6">
        <f>QUARTILE(Table12732[SF5],3)</f>
        <v>0</v>
      </c>
      <c r="CJ145" s="6">
        <f>QUARTILE(Table12732[TB5],3)</f>
        <v>2</v>
      </c>
      <c r="CK145" s="117"/>
      <c r="CL145" s="6">
        <f>QUARTILE(Table12732[AB6],3)</f>
        <v>4</v>
      </c>
      <c r="CM145" s="6">
        <f>QUARTILE(Table12732[R6],3)</f>
        <v>1</v>
      </c>
      <c r="CN145" s="6">
        <f>QUARTILE(Table12732[H6],3)</f>
        <v>1</v>
      </c>
      <c r="CO145" s="6">
        <f>QUARTILE(Table12732[RBI6],3)</f>
        <v>0.5</v>
      </c>
      <c r="CP145" s="6">
        <f>QUARTILE(Table12732[BB6],3)</f>
        <v>0</v>
      </c>
      <c r="CQ145" s="6">
        <f>QUARTILE(Table12732[SO6],3)</f>
        <v>1</v>
      </c>
      <c r="CR145" s="6">
        <f>QUARTILE(Table12732[HBP6],3)</f>
        <v>0</v>
      </c>
      <c r="CS145" s="6">
        <f>QUARTILE(Table12732[SF6],3)</f>
        <v>0</v>
      </c>
      <c r="CT145" s="6">
        <f>QUARTILE(Table12732[TB6],3)</f>
        <v>2</v>
      </c>
      <c r="CU145" s="117"/>
      <c r="CV145" s="6">
        <f>QUARTILE(Table12732[AB7],3)</f>
        <v>4</v>
      </c>
      <c r="CW145" s="6">
        <f>QUARTILE(Table12732[R7],3)</f>
        <v>1</v>
      </c>
      <c r="CX145" s="6">
        <f>QUARTILE(Table12732[H7],3)</f>
        <v>1</v>
      </c>
      <c r="CY145" s="6">
        <f>QUARTILE(Table12732[RBI7],3)</f>
        <v>1</v>
      </c>
      <c r="CZ145" s="6">
        <f>QUARTILE(Table12732[BB7],3)</f>
        <v>1</v>
      </c>
      <c r="DA145" s="6">
        <f>QUARTILE(Table12732[SO7],3)</f>
        <v>1</v>
      </c>
      <c r="DB145" s="6">
        <f>QUARTILE(Table12732[HBP7],3)</f>
        <v>0</v>
      </c>
      <c r="DC145" s="6">
        <f>QUARTILE(Table12732[SF7],3)</f>
        <v>0</v>
      </c>
      <c r="DD145" s="6">
        <f>QUARTILE(Table12732[TB7],3)</f>
        <v>2</v>
      </c>
      <c r="DE145" s="117"/>
      <c r="DF145" s="6">
        <f>QUARTILE(Table12732[AB8],3)</f>
        <v>4</v>
      </c>
      <c r="DG145" s="6">
        <f>QUARTILE(Table12732[R8],3)</f>
        <v>1</v>
      </c>
      <c r="DH145" s="6">
        <f>QUARTILE(Table12732[H8],3)</f>
        <v>1</v>
      </c>
      <c r="DI145" s="6">
        <f>QUARTILE(Table12732[RBI8],3)</f>
        <v>0.5</v>
      </c>
      <c r="DJ145" s="6">
        <f>QUARTILE(Table12732[BB8],3)</f>
        <v>1</v>
      </c>
      <c r="DK145" s="6">
        <f>QUARTILE(Table12732[SO8],3)</f>
        <v>1</v>
      </c>
      <c r="DL145" s="6">
        <f>QUARTILE(Table12732[HBP8],3)</f>
        <v>0</v>
      </c>
      <c r="DM145" s="6">
        <f>QUARTILE(Table12732[SF8],3)</f>
        <v>0</v>
      </c>
      <c r="DN145" s="6">
        <f>QUARTILE(Table12732[TB8],3)</f>
        <v>2</v>
      </c>
      <c r="DO145" s="117"/>
      <c r="DP145" s="6">
        <f>QUARTILE(Table12732[AB9],3)</f>
        <v>4</v>
      </c>
      <c r="DQ145" s="6">
        <f>QUARTILE(Table12732[R9],3)</f>
        <v>1</v>
      </c>
      <c r="DR145" s="6">
        <f>QUARTILE(Table12732[H9],3)</f>
        <v>1</v>
      </c>
      <c r="DS145" s="6">
        <f>QUARTILE(Table12732[RBI9],3)</f>
        <v>0</v>
      </c>
      <c r="DT145" s="6">
        <f>QUARTILE(Table12732[BB9],3)</f>
        <v>0</v>
      </c>
      <c r="DU145" s="6">
        <f>QUARTILE(Table12732[SO9],3)</f>
        <v>1</v>
      </c>
      <c r="DV145" s="6">
        <f>QUARTILE(Table12732[HBP9],3)</f>
        <v>0</v>
      </c>
      <c r="DW145" s="6">
        <f>QUARTILE(Table12732[SF9],3)</f>
        <v>0</v>
      </c>
      <c r="DX145" s="6">
        <f>QUARTILE(Table12732[TB9],3)</f>
        <v>1</v>
      </c>
      <c r="DY145" s="5">
        <f>QUARTILE(Table12732[IVL],3)</f>
        <v>3</v>
      </c>
      <c r="DZ145" s="6">
        <f>QUARTILE(Table12732[SVL],3)</f>
        <v>0</v>
      </c>
      <c r="EA145" s="6">
        <f>QUARTILE(Table12732[CVL],3)</f>
        <v>0</v>
      </c>
      <c r="EB145" s="5">
        <f>QUARTILE(Table12732[IVR],3)</f>
        <v>9</v>
      </c>
      <c r="EC145" s="6">
        <f>QUARTILE(Table12732[SVR],3)</f>
        <v>1</v>
      </c>
      <c r="ED145" s="6">
        <f>QUARTILE(Table12732[CVR],3)</f>
        <v>0</v>
      </c>
      <c r="EE145" s="6">
        <f>QUARTILE(Table12732[RI1],3)</f>
        <v>0</v>
      </c>
      <c r="EF145" s="6">
        <f>QUARTILE(Table12732[RI2],3)</f>
        <v>0</v>
      </c>
      <c r="EG145" s="6">
        <f>QUARTILE(Table12732[RI3],3)</f>
        <v>1</v>
      </c>
      <c r="EH145" s="6">
        <f>QUARTILE(Table12732[RI4],3)</f>
        <v>1</v>
      </c>
      <c r="EI145" s="6">
        <f>QUARTILE(Table12732[RI5],3)</f>
        <v>1</v>
      </c>
      <c r="EJ145" s="6">
        <f>QUARTILE(Table12732[RI6],3)</f>
        <v>0</v>
      </c>
      <c r="EK145" s="6">
        <f>QUARTILE(Table12732[RI7],3)</f>
        <v>1</v>
      </c>
      <c r="EL145" s="6">
        <f>QUARTILE(Table12732[RI8],3)</f>
        <v>1</v>
      </c>
      <c r="EM145" s="6">
        <f>QUARTILE(Table12732[RI9],3)</f>
        <v>1</v>
      </c>
      <c r="EN145" s="6">
        <f>QUARTILE(Table12732[RI10],3)</f>
        <v>0.75</v>
      </c>
      <c r="EO145" s="6">
        <f>QUARTILE(Table12732[RI11],3)</f>
        <v>0</v>
      </c>
      <c r="EP145" s="6">
        <f>QUARTILE(Table12732[RI12],3)</f>
        <v>1</v>
      </c>
      <c r="EQ145" s="6">
        <f>QUARTILE(Table12732[RI13],3)</f>
        <v>0</v>
      </c>
      <c r="ER145" s="6">
        <f>QUARTILE(Table12732[RI14],3)</f>
        <v>0</v>
      </c>
      <c r="ES145" s="6">
        <f>QUARTILE(Table12732[RI15],3)</f>
        <v>0.75</v>
      </c>
      <c r="ET145" s="6"/>
      <c r="EU145" s="6"/>
      <c r="EV145" s="6"/>
      <c r="EW145" s="6"/>
      <c r="EX145" s="6">
        <f>QUARTILE(Table12732[RT],3)</f>
        <v>6</v>
      </c>
      <c r="EY145" s="6">
        <f>QUARTILE(Table12732[OI1],3)</f>
        <v>0</v>
      </c>
      <c r="EZ145" s="6">
        <f>QUARTILE(Table12732[OI2],3)</f>
        <v>0.5</v>
      </c>
      <c r="FA145" s="6">
        <f>QUARTILE(Table12732[OI3],3)</f>
        <v>0</v>
      </c>
      <c r="FB145" s="6">
        <f>QUARTILE(Table12732[OI4],3)</f>
        <v>1</v>
      </c>
      <c r="FC145" s="6">
        <f>QUARTILE(Table12732[OI5],3)</f>
        <v>0</v>
      </c>
      <c r="FD145" s="6">
        <f>QUARTILE(Table12732[OI6],3)</f>
        <v>0</v>
      </c>
      <c r="FE145" s="6">
        <f>QUARTILE(Table12732[OI7],3)</f>
        <v>0</v>
      </c>
      <c r="FF145" s="6">
        <f>QUARTILE(Table12732[OI8],3)</f>
        <v>0</v>
      </c>
      <c r="FG145" s="6">
        <f>QUARTILE(Table12732[OI9],3)</f>
        <v>0</v>
      </c>
      <c r="FH145" s="6">
        <f>QUARTILE(Table12732[OI10],3)</f>
        <v>0.75</v>
      </c>
      <c r="FI145" s="6">
        <f>QUARTILE(Table12732[OI11],3)</f>
        <v>0</v>
      </c>
      <c r="FJ145" s="6">
        <f>QUARTILE(Table12732[OI12],3)</f>
        <v>0</v>
      </c>
      <c r="FK145" s="6">
        <f>QUARTILE(Table12732[OI13],3)</f>
        <v>1</v>
      </c>
      <c r="FL145" s="6">
        <f>QUARTILE(Table12732[OI14],3)</f>
        <v>0</v>
      </c>
      <c r="FM145" s="6">
        <f>QUARTILE(Table12732[OI15],3)</f>
        <v>0</v>
      </c>
      <c r="FN145" s="6"/>
      <c r="FO145" s="6"/>
      <c r="FP145" s="6"/>
      <c r="FQ145" s="6"/>
      <c r="FR145" s="6">
        <f>QUARTILE(Table12732[OT],3)</f>
        <v>5</v>
      </c>
      <c r="FU145" s="55" t="s">
        <v>228</v>
      </c>
    </row>
    <row r="146" spans="1:177" x14ac:dyDescent="0.25">
      <c r="A146" s="81" t="s">
        <v>229</v>
      </c>
      <c r="B146" s="53"/>
      <c r="C146" s="53"/>
      <c r="D146" s="53"/>
      <c r="E146" s="4">
        <f>MEDIAN(Table12732[Att])</f>
        <v>1526</v>
      </c>
      <c r="F146" s="54"/>
      <c r="G146" s="117"/>
      <c r="H146" s="117"/>
      <c r="I146" s="117"/>
      <c r="J146" s="5">
        <f>MEDIAN(Table12732[S-IP])</f>
        <v>5.666666666666667</v>
      </c>
      <c r="K146" s="6">
        <f>MEDIAN(Table12732[S-H])</f>
        <v>5</v>
      </c>
      <c r="L146" s="6">
        <f>MEDIAN(Table12732[S-R])</f>
        <v>2</v>
      </c>
      <c r="M146" s="6">
        <f>MEDIAN(Table12732[S-ER])</f>
        <v>2</v>
      </c>
      <c r="N146" s="6">
        <f>MEDIAN(Table12732[S-BB])</f>
        <v>2</v>
      </c>
      <c r="O146" s="6">
        <f>MEDIAN(Table12732[S-SO])</f>
        <v>4</v>
      </c>
      <c r="P146" s="6">
        <f>MEDIAN(Table12732[S-HR])</f>
        <v>0</v>
      </c>
      <c r="Q146" s="6">
        <f>MEDIAN(Table12732[S-HBP])</f>
        <v>0</v>
      </c>
      <c r="R146" s="6">
        <f>MEDIAN(Table12732[S-BF])</f>
        <v>24</v>
      </c>
      <c r="S146" s="6"/>
      <c r="T146" s="6"/>
      <c r="U146" s="6">
        <f>MEDIAN(Table12732[IRL])</f>
        <v>0</v>
      </c>
      <c r="V146" s="6">
        <f>MEDIAN(Table12732[IRS])</f>
        <v>0</v>
      </c>
      <c r="W146" s="117"/>
      <c r="X146" s="117"/>
      <c r="Y146" s="117"/>
      <c r="Z146" s="117"/>
      <c r="AA146" s="117"/>
      <c r="AB146" s="5">
        <f>MEDIAN(Table12732[B-IP])</f>
        <v>3</v>
      </c>
      <c r="AC146" s="6">
        <f>MEDIAN(Table12732[B-H])</f>
        <v>2</v>
      </c>
      <c r="AD146" s="6">
        <f>MEDIAN(Table12732[B-R])</f>
        <v>1</v>
      </c>
      <c r="AE146" s="6">
        <f>MEDIAN(Table12732[B-ER])</f>
        <v>0</v>
      </c>
      <c r="AF146" s="6">
        <f>MEDIAN(Table12732[B-BB])</f>
        <v>1</v>
      </c>
      <c r="AG146" s="6">
        <f>MEDIAN(Table12732[B-SO])</f>
        <v>3</v>
      </c>
      <c r="AH146" s="6">
        <f>MEDIAN(Table12732[B-HR])</f>
        <v>0</v>
      </c>
      <c r="AI146" s="6">
        <f>MEDIAN(Table12732[B-HBP])</f>
        <v>0</v>
      </c>
      <c r="AJ146" s="6">
        <f>MEDIAN(Table12732[B-BF])</f>
        <v>13</v>
      </c>
      <c r="AK146" s="6"/>
      <c r="AL146" s="6"/>
      <c r="AM146" s="117"/>
      <c r="AN146" s="6">
        <f>MEDIAN(Table12732[AB1])</f>
        <v>4</v>
      </c>
      <c r="AO146" s="6">
        <f>MEDIAN(Table12732[R1])</f>
        <v>0</v>
      </c>
      <c r="AP146" s="6">
        <f>MEDIAN(Table12732[H1])</f>
        <v>1</v>
      </c>
      <c r="AQ146" s="6">
        <f>MEDIAN(Table12732[RBI1])</f>
        <v>0</v>
      </c>
      <c r="AR146" s="6">
        <f>MEDIAN(Table12732[BB1])</f>
        <v>0</v>
      </c>
      <c r="AS146" s="6">
        <f>MEDIAN(Table12732[SO1])</f>
        <v>1</v>
      </c>
      <c r="AT146" s="6">
        <f>MEDIAN(Table12732[HBP1])</f>
        <v>0</v>
      </c>
      <c r="AU146" s="6">
        <f>MEDIAN(Table12732[SF1])</f>
        <v>0</v>
      </c>
      <c r="AV146" s="6">
        <f>MEDIAN(Table12732[TB1])</f>
        <v>1</v>
      </c>
      <c r="AW146" s="117"/>
      <c r="AX146" s="6">
        <f>MEDIAN(Table12732[AB2])</f>
        <v>4</v>
      </c>
      <c r="AY146" s="6">
        <f>MEDIAN(Table12732[R2])</f>
        <v>0</v>
      </c>
      <c r="AZ146" s="6">
        <f>MEDIAN(Table12732[H2])</f>
        <v>1</v>
      </c>
      <c r="BA146" s="6">
        <f>MEDIAN(Table12732[RBI2])</f>
        <v>0</v>
      </c>
      <c r="BB146" s="6">
        <f>MEDIAN(Table12732[BB2])</f>
        <v>0</v>
      </c>
      <c r="BC146" s="6">
        <f>MEDIAN(Table12732[SO2])</f>
        <v>1</v>
      </c>
      <c r="BD146" s="6">
        <f>MEDIAN(Table12732[HBP2])</f>
        <v>0</v>
      </c>
      <c r="BE146" s="6">
        <f>MEDIAN(Table12732[SF2])</f>
        <v>0</v>
      </c>
      <c r="BF146" s="6">
        <f>MEDIAN(Table12732[TB2])</f>
        <v>1</v>
      </c>
      <c r="BG146" s="117"/>
      <c r="BH146" s="6">
        <f>MEDIAN(Table12732[AB3])</f>
        <v>4</v>
      </c>
      <c r="BI146" s="6">
        <f>MEDIAN(Table12732[R3])</f>
        <v>0</v>
      </c>
      <c r="BJ146" s="6">
        <f>MEDIAN(Table12732[H3])</f>
        <v>1</v>
      </c>
      <c r="BK146" s="6">
        <f>MEDIAN(Table12732[RBI3])</f>
        <v>0</v>
      </c>
      <c r="BL146" s="6">
        <f>MEDIAN(Table12732[BB3])</f>
        <v>0</v>
      </c>
      <c r="BM146" s="6">
        <f>MEDIAN(Table12732[SO3])</f>
        <v>0</v>
      </c>
      <c r="BN146" s="6">
        <f>MEDIAN(Table12732[HBP3])</f>
        <v>0</v>
      </c>
      <c r="BO146" s="6">
        <f>MEDIAN(Table12732[SF3])</f>
        <v>0</v>
      </c>
      <c r="BP146" s="6">
        <f>MEDIAN(Table12732[TB3])</f>
        <v>1</v>
      </c>
      <c r="BQ146" s="117"/>
      <c r="BR146" s="6">
        <f>MEDIAN(Table12732[AB4])</f>
        <v>4</v>
      </c>
      <c r="BS146" s="6">
        <f>MEDIAN(Table12732[R4])</f>
        <v>0</v>
      </c>
      <c r="BT146" s="6">
        <f>MEDIAN(Table12732[H4])</f>
        <v>1</v>
      </c>
      <c r="BU146" s="6">
        <f>MEDIAN(Table12732[RBI4])</f>
        <v>0</v>
      </c>
      <c r="BV146" s="6">
        <f>MEDIAN(Table12732[BB4])</f>
        <v>0</v>
      </c>
      <c r="BW146" s="6">
        <f>MEDIAN(Table12732[SO4])</f>
        <v>1</v>
      </c>
      <c r="BX146" s="6">
        <f>MEDIAN(Table12732[HBP4])</f>
        <v>0</v>
      </c>
      <c r="BY146" s="6">
        <f>MEDIAN(Table12732[SF4])</f>
        <v>0</v>
      </c>
      <c r="BZ146" s="6">
        <f>MEDIAN(Table12732[TB4])</f>
        <v>1</v>
      </c>
      <c r="CA146" s="117"/>
      <c r="CB146" s="6">
        <f>MEDIAN(Table12732[AB5])</f>
        <v>4</v>
      </c>
      <c r="CC146" s="6">
        <f>MEDIAN(Table12732[R5])</f>
        <v>0</v>
      </c>
      <c r="CD146" s="6">
        <f>MEDIAN(Table12732[H5])</f>
        <v>1</v>
      </c>
      <c r="CE146" s="6">
        <f>MEDIAN(Table12732[RBI5])</f>
        <v>0</v>
      </c>
      <c r="CF146" s="6">
        <f>MEDIAN(Table12732[BB5])</f>
        <v>0</v>
      </c>
      <c r="CG146" s="6">
        <f>MEDIAN(Table12732[SO5])</f>
        <v>0</v>
      </c>
      <c r="CH146" s="6">
        <f>MEDIAN(Table12732[HBP5])</f>
        <v>0</v>
      </c>
      <c r="CI146" s="6">
        <f>MEDIAN(Table12732[SF5])</f>
        <v>0</v>
      </c>
      <c r="CJ146" s="6">
        <f>MEDIAN(Table12732[TB5])</f>
        <v>1</v>
      </c>
      <c r="CK146" s="117"/>
      <c r="CL146" s="6">
        <f>MEDIAN(Table12732[AB6])</f>
        <v>4</v>
      </c>
      <c r="CM146" s="6">
        <f>MEDIAN(Table12732[R6])</f>
        <v>0</v>
      </c>
      <c r="CN146" s="6">
        <f>MEDIAN(Table12732[H6])</f>
        <v>1</v>
      </c>
      <c r="CO146" s="6">
        <f>MEDIAN(Table12732[RBI6])</f>
        <v>0</v>
      </c>
      <c r="CP146" s="6">
        <f>MEDIAN(Table12732[BB6])</f>
        <v>0</v>
      </c>
      <c r="CQ146" s="6">
        <f>MEDIAN(Table12732[SO6])</f>
        <v>0</v>
      </c>
      <c r="CR146" s="6">
        <f>MEDIAN(Table12732[HBP6])</f>
        <v>0</v>
      </c>
      <c r="CS146" s="6">
        <f>MEDIAN(Table12732[SF6])</f>
        <v>0</v>
      </c>
      <c r="CT146" s="6">
        <f>MEDIAN(Table12732[TB6])</f>
        <v>1</v>
      </c>
      <c r="CU146" s="117"/>
      <c r="CV146" s="6">
        <f>MEDIAN(Table12732[AB7])</f>
        <v>4</v>
      </c>
      <c r="CW146" s="6">
        <f>MEDIAN(Table12732[R7])</f>
        <v>0</v>
      </c>
      <c r="CX146" s="6">
        <f>MEDIAN(Table12732[H7])</f>
        <v>1</v>
      </c>
      <c r="CY146" s="6">
        <f>MEDIAN(Table12732[RBI7])</f>
        <v>0</v>
      </c>
      <c r="CZ146" s="6">
        <f>MEDIAN(Table12732[BB7])</f>
        <v>0</v>
      </c>
      <c r="DA146" s="6">
        <f>MEDIAN(Table12732[SO7])</f>
        <v>0</v>
      </c>
      <c r="DB146" s="6">
        <f>MEDIAN(Table12732[HBP7])</f>
        <v>0</v>
      </c>
      <c r="DC146" s="6">
        <f>MEDIAN(Table12732[SF7])</f>
        <v>0</v>
      </c>
      <c r="DD146" s="6">
        <f>MEDIAN(Table12732[TB7])</f>
        <v>1</v>
      </c>
      <c r="DE146" s="117"/>
      <c r="DF146" s="6">
        <f>MEDIAN(Table12732[AB8])</f>
        <v>3</v>
      </c>
      <c r="DG146" s="6">
        <f>MEDIAN(Table12732[R8])</f>
        <v>0</v>
      </c>
      <c r="DH146" s="6">
        <f>MEDIAN(Table12732[H8])</f>
        <v>1</v>
      </c>
      <c r="DI146" s="6">
        <f>MEDIAN(Table12732[RBI8])</f>
        <v>0</v>
      </c>
      <c r="DJ146" s="6">
        <f>MEDIAN(Table12732[BB8])</f>
        <v>0</v>
      </c>
      <c r="DK146" s="6">
        <f>MEDIAN(Table12732[SO8])</f>
        <v>1</v>
      </c>
      <c r="DL146" s="6">
        <f>MEDIAN(Table12732[HBP8])</f>
        <v>0</v>
      </c>
      <c r="DM146" s="6">
        <f>MEDIAN(Table12732[SF8])</f>
        <v>0</v>
      </c>
      <c r="DN146" s="6">
        <f>MEDIAN(Table12732[TB8])</f>
        <v>1</v>
      </c>
      <c r="DO146" s="117"/>
      <c r="DP146" s="6">
        <f>MEDIAN(Table12732[AB9])</f>
        <v>3</v>
      </c>
      <c r="DQ146" s="6">
        <f>MEDIAN(Table12732[R9])</f>
        <v>0</v>
      </c>
      <c r="DR146" s="6">
        <f>MEDIAN(Table12732[H9])</f>
        <v>1</v>
      </c>
      <c r="DS146" s="6">
        <f>MEDIAN(Table12732[RBI9])</f>
        <v>0</v>
      </c>
      <c r="DT146" s="6">
        <f>MEDIAN(Table12732[BB9])</f>
        <v>0</v>
      </c>
      <c r="DU146" s="6">
        <f>MEDIAN(Table12732[SO9])</f>
        <v>1</v>
      </c>
      <c r="DV146" s="6">
        <f>MEDIAN(Table12732[HBP9])</f>
        <v>0</v>
      </c>
      <c r="DW146" s="6">
        <f>MEDIAN(Table12732[SF9])</f>
        <v>0</v>
      </c>
      <c r="DX146" s="6">
        <f>MEDIAN(Table12732[TB9])</f>
        <v>1</v>
      </c>
      <c r="DY146" s="5">
        <f>MEDIAN(Table12732[IVL])</f>
        <v>1</v>
      </c>
      <c r="DZ146" s="6">
        <f>MEDIAN(Table12732[SVL])</f>
        <v>0</v>
      </c>
      <c r="EA146" s="6">
        <f>MEDIAN(Table12732[CVL])</f>
        <v>0</v>
      </c>
      <c r="EB146" s="5">
        <f>MEDIAN(Table12732[IVR])</f>
        <v>7.666666666666667</v>
      </c>
      <c r="EC146" s="6">
        <f>MEDIAN(Table12732[SVR])</f>
        <v>0</v>
      </c>
      <c r="ED146" s="6">
        <f>MEDIAN(Table12732[CVR])</f>
        <v>0</v>
      </c>
      <c r="EE146" s="6">
        <f>MEDIAN(Table12732[RI1])</f>
        <v>0</v>
      </c>
      <c r="EF146" s="6">
        <f>MEDIAN(Table12732[RI2])</f>
        <v>0</v>
      </c>
      <c r="EG146" s="6">
        <f>MEDIAN(Table12732[RI3])</f>
        <v>0</v>
      </c>
      <c r="EH146" s="6">
        <f>MEDIAN(Table12732[RI4])</f>
        <v>0</v>
      </c>
      <c r="EI146" s="6">
        <f>MEDIAN(Table12732[RI5])</f>
        <v>0</v>
      </c>
      <c r="EJ146" s="6">
        <f>MEDIAN(Table12732[RI6])</f>
        <v>0</v>
      </c>
      <c r="EK146" s="6">
        <f>MEDIAN(Table12732[RI7])</f>
        <v>0</v>
      </c>
      <c r="EL146" s="6">
        <f>MEDIAN(Table12732[RI8])</f>
        <v>0</v>
      </c>
      <c r="EM146" s="6">
        <f>MEDIAN(Table12732[RI9])</f>
        <v>0</v>
      </c>
      <c r="EN146" s="6">
        <f>MEDIAN(Table12732[RI10])</f>
        <v>0</v>
      </c>
      <c r="EO146" s="6">
        <f>MEDIAN(Table12732[RI11])</f>
        <v>0</v>
      </c>
      <c r="EP146" s="6">
        <f>MEDIAN(Table12732[RI12])</f>
        <v>0.5</v>
      </c>
      <c r="EQ146" s="6">
        <f>MEDIAN(Table12732[RI13])</f>
        <v>0</v>
      </c>
      <c r="ER146" s="6">
        <f>MEDIAN(Table12732[RI14])</f>
        <v>0</v>
      </c>
      <c r="ES146" s="6">
        <f>MEDIAN(Table12732[RI15])</f>
        <v>0.5</v>
      </c>
      <c r="ET146" s="6"/>
      <c r="EU146" s="6"/>
      <c r="EV146" s="6"/>
      <c r="EW146" s="6"/>
      <c r="EX146" s="6">
        <f>MEDIAN(Table12732[RT])</f>
        <v>4</v>
      </c>
      <c r="EY146" s="6">
        <f>MEDIAN(Table12732[OI1])</f>
        <v>0</v>
      </c>
      <c r="EZ146" s="6">
        <f>MEDIAN(Table12732[OI2])</f>
        <v>0</v>
      </c>
      <c r="FA146" s="6">
        <f>MEDIAN(Table12732[OI3])</f>
        <v>0</v>
      </c>
      <c r="FB146" s="6">
        <f>MEDIAN(Table12732[OI4])</f>
        <v>0</v>
      </c>
      <c r="FC146" s="6">
        <f>MEDIAN(Table12732[OI5])</f>
        <v>0</v>
      </c>
      <c r="FD146" s="6">
        <f>MEDIAN(Table12732[OI6])</f>
        <v>0</v>
      </c>
      <c r="FE146" s="6">
        <f>MEDIAN(Table12732[OI7])</f>
        <v>0</v>
      </c>
      <c r="FF146" s="6">
        <f>MEDIAN(Table12732[OI8])</f>
        <v>0</v>
      </c>
      <c r="FG146" s="6">
        <f>MEDIAN(Table12732[OI9])</f>
        <v>0</v>
      </c>
      <c r="FH146" s="6">
        <f>MEDIAN(Table12732[OI10])</f>
        <v>0</v>
      </c>
      <c r="FI146" s="6">
        <f>MEDIAN(Table12732[OI11])</f>
        <v>0</v>
      </c>
      <c r="FJ146" s="6">
        <f>MEDIAN(Table12732[OI12])</f>
        <v>0</v>
      </c>
      <c r="FK146" s="6">
        <f>MEDIAN(Table12732[OI13])</f>
        <v>0</v>
      </c>
      <c r="FL146" s="6">
        <f>MEDIAN(Table12732[OI14])</f>
        <v>0</v>
      </c>
      <c r="FM146" s="6">
        <f>MEDIAN(Table12732[OI15])</f>
        <v>0</v>
      </c>
      <c r="FN146" s="6"/>
      <c r="FO146" s="6"/>
      <c r="FP146" s="6"/>
      <c r="FQ146" s="6"/>
      <c r="FR146" s="6">
        <f>MEDIAN(Table12732[OT])</f>
        <v>3</v>
      </c>
      <c r="FU146" s="55" t="s">
        <v>229</v>
      </c>
    </row>
    <row r="147" spans="1:177" x14ac:dyDescent="0.25">
      <c r="A147" s="81" t="s">
        <v>230</v>
      </c>
      <c r="B147" s="53"/>
      <c r="C147" s="53"/>
      <c r="D147" s="53"/>
      <c r="E147" s="4">
        <f>QUARTILE(Table12732[Att],1)</f>
        <v>910</v>
      </c>
      <c r="F147" s="54"/>
      <c r="G147" s="117"/>
      <c r="H147" s="117"/>
      <c r="I147" s="117"/>
      <c r="J147" s="5">
        <f>QUARTILE(Table12732[S-IP],1)</f>
        <v>5</v>
      </c>
      <c r="K147" s="6">
        <f>QUARTILE(Table12732[S-H],1)</f>
        <v>3</v>
      </c>
      <c r="L147" s="6">
        <f>QUARTILE(Table12732[S-R],1)</f>
        <v>1</v>
      </c>
      <c r="M147" s="6">
        <f>QUARTILE(Table12732[S-ER],1)</f>
        <v>1</v>
      </c>
      <c r="N147" s="6">
        <f>QUARTILE(Table12732[S-BB],1)</f>
        <v>1</v>
      </c>
      <c r="O147" s="6">
        <f>QUARTILE(Table12732[S-SO],1)</f>
        <v>3</v>
      </c>
      <c r="P147" s="6">
        <f>QUARTILE(Table12732[S-HR],1)</f>
        <v>0</v>
      </c>
      <c r="Q147" s="6">
        <f>QUARTILE(Table12732[S-HBP],1)</f>
        <v>0</v>
      </c>
      <c r="R147" s="6">
        <f>QUARTILE(Table12732[S-BF],1)</f>
        <v>21</v>
      </c>
      <c r="S147" s="6"/>
      <c r="T147" s="6"/>
      <c r="U147" s="6">
        <f>QUARTILE(Table12732[IRL],1)</f>
        <v>0</v>
      </c>
      <c r="V147" s="6">
        <f>QUARTILE(Table12732[IRS],1)</f>
        <v>0</v>
      </c>
      <c r="W147" s="117"/>
      <c r="X147" s="117"/>
      <c r="Y147" s="117"/>
      <c r="Z147" s="117"/>
      <c r="AA147" s="117"/>
      <c r="AB147" s="5">
        <f>QUARTILE(Table12732[B-IP],1)</f>
        <v>2</v>
      </c>
      <c r="AC147" s="6">
        <f>QUARTILE(Table12732[B-H],1)</f>
        <v>1</v>
      </c>
      <c r="AD147" s="6">
        <f>QUARTILE(Table12732[B-R],1)</f>
        <v>0</v>
      </c>
      <c r="AE147" s="6">
        <f>QUARTILE(Table12732[B-ER],1)</f>
        <v>0</v>
      </c>
      <c r="AF147" s="6">
        <f>QUARTILE(Table12732[B-BB],1)</f>
        <v>0</v>
      </c>
      <c r="AG147" s="6">
        <f>QUARTILE(Table12732[B-SO],1)</f>
        <v>2</v>
      </c>
      <c r="AH147" s="6">
        <f>QUARTILE(Table12732[B-HR],1)</f>
        <v>0</v>
      </c>
      <c r="AI147" s="6">
        <f>QUARTILE(Table12732[B-HBP],1)</f>
        <v>0</v>
      </c>
      <c r="AJ147" s="6">
        <f>QUARTILE(Table12732[B-BF],1)</f>
        <v>9</v>
      </c>
      <c r="AK147" s="6"/>
      <c r="AL147" s="6"/>
      <c r="AM147" s="117"/>
      <c r="AN147" s="6">
        <f>QUARTILE(Table12732[AB1],1)</f>
        <v>4</v>
      </c>
      <c r="AO147" s="6">
        <f>QUARTILE(Table12732[R1],1)</f>
        <v>0</v>
      </c>
      <c r="AP147" s="6">
        <f>QUARTILE(Table12732[H1],1)</f>
        <v>0</v>
      </c>
      <c r="AQ147" s="6">
        <f>QUARTILE(Table12732[RBI1],1)</f>
        <v>0</v>
      </c>
      <c r="AR147" s="6">
        <f>QUARTILE(Table12732[BB1],1)</f>
        <v>0</v>
      </c>
      <c r="AS147" s="6">
        <f>QUARTILE(Table12732[SO1],1)</f>
        <v>0</v>
      </c>
      <c r="AT147" s="6">
        <f>QUARTILE(Table12732[HBP1],1)</f>
        <v>0</v>
      </c>
      <c r="AU147" s="6">
        <f>QUARTILE(Table12732[SF1],1)</f>
        <v>0</v>
      </c>
      <c r="AV147" s="6">
        <f>QUARTILE(Table12732[TB1],1)</f>
        <v>0</v>
      </c>
      <c r="AW147" s="117"/>
      <c r="AX147" s="6">
        <f>QUARTILE(Table12732[AB2],1)</f>
        <v>3</v>
      </c>
      <c r="AY147" s="6">
        <f>QUARTILE(Table12732[R2],1)</f>
        <v>0</v>
      </c>
      <c r="AZ147" s="6">
        <f>QUARTILE(Table12732[H2],1)</f>
        <v>0</v>
      </c>
      <c r="BA147" s="6">
        <f>QUARTILE(Table12732[RBI2],1)</f>
        <v>0</v>
      </c>
      <c r="BB147" s="6">
        <f>QUARTILE(Table12732[BB2],1)</f>
        <v>0</v>
      </c>
      <c r="BC147" s="6">
        <f>QUARTILE(Table12732[SO2],1)</f>
        <v>0</v>
      </c>
      <c r="BD147" s="6">
        <f>QUARTILE(Table12732[HBP2],1)</f>
        <v>0</v>
      </c>
      <c r="BE147" s="6">
        <f>QUARTILE(Table12732[SF2],1)</f>
        <v>0</v>
      </c>
      <c r="BF147" s="6">
        <f>QUARTILE(Table12732[TB2],1)</f>
        <v>0</v>
      </c>
      <c r="BG147" s="117"/>
      <c r="BH147" s="6">
        <f>QUARTILE(Table12732[AB3],1)</f>
        <v>3</v>
      </c>
      <c r="BI147" s="6">
        <f>QUARTILE(Table12732[R3],1)</f>
        <v>0</v>
      </c>
      <c r="BJ147" s="6">
        <f>QUARTILE(Table12732[H3],1)</f>
        <v>0</v>
      </c>
      <c r="BK147" s="6">
        <f>QUARTILE(Table12732[RBI3],1)</f>
        <v>0</v>
      </c>
      <c r="BL147" s="6">
        <f>QUARTILE(Table12732[BB3],1)</f>
        <v>0</v>
      </c>
      <c r="BM147" s="6">
        <f>QUARTILE(Table12732[SO3],1)</f>
        <v>0</v>
      </c>
      <c r="BN147" s="6">
        <f>QUARTILE(Table12732[HBP3],1)</f>
        <v>0</v>
      </c>
      <c r="BO147" s="6">
        <f>QUARTILE(Table12732[SF3],1)</f>
        <v>0</v>
      </c>
      <c r="BP147" s="6">
        <f>QUARTILE(Table12732[TB3],1)</f>
        <v>0</v>
      </c>
      <c r="BQ147" s="117"/>
      <c r="BR147" s="6">
        <f>QUARTILE(Table12732[AB4],1)</f>
        <v>3</v>
      </c>
      <c r="BS147" s="6">
        <f>QUARTILE(Table12732[R4],1)</f>
        <v>0</v>
      </c>
      <c r="BT147" s="6">
        <f>QUARTILE(Table12732[H4],1)</f>
        <v>0</v>
      </c>
      <c r="BU147" s="6">
        <f>QUARTILE(Table12732[RBI4],1)</f>
        <v>0</v>
      </c>
      <c r="BV147" s="6">
        <f>QUARTILE(Table12732[BB4],1)</f>
        <v>0</v>
      </c>
      <c r="BW147" s="6">
        <f>QUARTILE(Table12732[SO4],1)</f>
        <v>0</v>
      </c>
      <c r="BX147" s="6">
        <f>QUARTILE(Table12732[HBP4],1)</f>
        <v>0</v>
      </c>
      <c r="BY147" s="6">
        <f>QUARTILE(Table12732[SF4],1)</f>
        <v>0</v>
      </c>
      <c r="BZ147" s="6">
        <f>QUARTILE(Table12732[TB4],1)</f>
        <v>0</v>
      </c>
      <c r="CA147" s="117"/>
      <c r="CB147" s="6">
        <f>QUARTILE(Table12732[AB5],1)</f>
        <v>3</v>
      </c>
      <c r="CC147" s="6">
        <f>QUARTILE(Table12732[R5],1)</f>
        <v>0</v>
      </c>
      <c r="CD147" s="6">
        <f>QUARTILE(Table12732[H5],1)</f>
        <v>0</v>
      </c>
      <c r="CE147" s="6">
        <f>QUARTILE(Table12732[RBI5],1)</f>
        <v>0</v>
      </c>
      <c r="CF147" s="6">
        <f>QUARTILE(Table12732[BB5],1)</f>
        <v>0</v>
      </c>
      <c r="CG147" s="6">
        <f>QUARTILE(Table12732[SO5],1)</f>
        <v>0</v>
      </c>
      <c r="CH147" s="6">
        <f>QUARTILE(Table12732[HBP5],1)</f>
        <v>0</v>
      </c>
      <c r="CI147" s="6">
        <f>QUARTILE(Table12732[SF5],1)</f>
        <v>0</v>
      </c>
      <c r="CJ147" s="6">
        <f>QUARTILE(Table12732[TB5],1)</f>
        <v>0</v>
      </c>
      <c r="CK147" s="117"/>
      <c r="CL147" s="6">
        <f>QUARTILE(Table12732[AB6],1)</f>
        <v>3</v>
      </c>
      <c r="CM147" s="6">
        <f>QUARTILE(Table12732[R6],1)</f>
        <v>0</v>
      </c>
      <c r="CN147" s="6">
        <f>QUARTILE(Table12732[H6],1)</f>
        <v>0</v>
      </c>
      <c r="CO147" s="6">
        <f>QUARTILE(Table12732[RBI6],1)</f>
        <v>0</v>
      </c>
      <c r="CP147" s="6">
        <f>QUARTILE(Table12732[BB6],1)</f>
        <v>0</v>
      </c>
      <c r="CQ147" s="6">
        <f>QUARTILE(Table12732[SO6],1)</f>
        <v>0</v>
      </c>
      <c r="CR147" s="6">
        <f>QUARTILE(Table12732[HBP6],1)</f>
        <v>0</v>
      </c>
      <c r="CS147" s="6">
        <f>QUARTILE(Table12732[SF6],1)</f>
        <v>0</v>
      </c>
      <c r="CT147" s="6">
        <f>QUARTILE(Table12732[TB6],1)</f>
        <v>0</v>
      </c>
      <c r="CU147" s="117"/>
      <c r="CV147" s="6">
        <f>QUARTILE(Table12732[AB7],1)</f>
        <v>3</v>
      </c>
      <c r="CW147" s="6">
        <f>QUARTILE(Table12732[R7],1)</f>
        <v>0</v>
      </c>
      <c r="CX147" s="6">
        <f>QUARTILE(Table12732[H7],1)</f>
        <v>0</v>
      </c>
      <c r="CY147" s="6">
        <f>QUARTILE(Table12732[RBI7],1)</f>
        <v>0</v>
      </c>
      <c r="CZ147" s="6">
        <f>QUARTILE(Table12732[BB7],1)</f>
        <v>0</v>
      </c>
      <c r="DA147" s="6">
        <f>QUARTILE(Table12732[SO7],1)</f>
        <v>0</v>
      </c>
      <c r="DB147" s="6">
        <f>QUARTILE(Table12732[HBP7],1)</f>
        <v>0</v>
      </c>
      <c r="DC147" s="6">
        <f>QUARTILE(Table12732[SF7],1)</f>
        <v>0</v>
      </c>
      <c r="DD147" s="6">
        <f>QUARTILE(Table12732[TB7],1)</f>
        <v>0</v>
      </c>
      <c r="DE147" s="117"/>
      <c r="DF147" s="6">
        <f>QUARTILE(Table12732[AB8],1)</f>
        <v>3</v>
      </c>
      <c r="DG147" s="6">
        <f>QUARTILE(Table12732[R8],1)</f>
        <v>0</v>
      </c>
      <c r="DH147" s="6">
        <f>QUARTILE(Table12732[H8],1)</f>
        <v>0</v>
      </c>
      <c r="DI147" s="6">
        <f>QUARTILE(Table12732[RBI8],1)</f>
        <v>0</v>
      </c>
      <c r="DJ147" s="6">
        <f>QUARTILE(Table12732[BB8],1)</f>
        <v>0</v>
      </c>
      <c r="DK147" s="6">
        <f>QUARTILE(Table12732[SO8],1)</f>
        <v>0</v>
      </c>
      <c r="DL147" s="6">
        <f>QUARTILE(Table12732[HBP8],1)</f>
        <v>0</v>
      </c>
      <c r="DM147" s="6">
        <f>QUARTILE(Table12732[SF8],1)</f>
        <v>0</v>
      </c>
      <c r="DN147" s="6">
        <f>QUARTILE(Table12732[TB8],1)</f>
        <v>0</v>
      </c>
      <c r="DO147" s="117"/>
      <c r="DP147" s="6">
        <f>QUARTILE(Table12732[AB9],1)</f>
        <v>3</v>
      </c>
      <c r="DQ147" s="6">
        <f>QUARTILE(Table12732[R9],1)</f>
        <v>0</v>
      </c>
      <c r="DR147" s="6">
        <f>QUARTILE(Table12732[H9],1)</f>
        <v>0</v>
      </c>
      <c r="DS147" s="6">
        <f>QUARTILE(Table12732[RBI9],1)</f>
        <v>0</v>
      </c>
      <c r="DT147" s="6">
        <f>QUARTILE(Table12732[BB9],1)</f>
        <v>0</v>
      </c>
      <c r="DU147" s="6">
        <f>QUARTILE(Table12732[SO9],1)</f>
        <v>0</v>
      </c>
      <c r="DV147" s="6">
        <f>QUARTILE(Table12732[HBP9],1)</f>
        <v>0</v>
      </c>
      <c r="DW147" s="6">
        <f>QUARTILE(Table12732[SF9],1)</f>
        <v>0</v>
      </c>
      <c r="DX147" s="6">
        <f>QUARTILE(Table12732[TB9],1)</f>
        <v>0</v>
      </c>
      <c r="DY147" s="5">
        <f>QUARTILE(Table12732[IVL],1)</f>
        <v>0</v>
      </c>
      <c r="DZ147" s="6">
        <f>QUARTILE(Table12732[SVL],1)</f>
        <v>0</v>
      </c>
      <c r="EA147" s="6">
        <f>QUARTILE(Table12732[CVL],1)</f>
        <v>0</v>
      </c>
      <c r="EB147" s="5">
        <f>QUARTILE(Table12732[IVR],1)</f>
        <v>6</v>
      </c>
      <c r="EC147" s="6">
        <f>QUARTILE(Table12732[SVR],1)</f>
        <v>0</v>
      </c>
      <c r="ED147" s="6">
        <f>QUARTILE(Table12732[CVR],1)</f>
        <v>0</v>
      </c>
      <c r="EE147" s="6">
        <f>QUARTILE(Table12732[RI1],1)</f>
        <v>0</v>
      </c>
      <c r="EF147" s="6">
        <f>QUARTILE(Table12732[RI2],1)</f>
        <v>0</v>
      </c>
      <c r="EG147" s="6">
        <f>QUARTILE(Table12732[RI3],1)</f>
        <v>0</v>
      </c>
      <c r="EH147" s="6">
        <f>QUARTILE(Table12732[RI4],1)</f>
        <v>0</v>
      </c>
      <c r="EI147" s="6">
        <f>QUARTILE(Table12732[RI5],1)</f>
        <v>0</v>
      </c>
      <c r="EJ147" s="6">
        <f>QUARTILE(Table12732[RI6],1)</f>
        <v>0</v>
      </c>
      <c r="EK147" s="6">
        <f>QUARTILE(Table12732[RI7],1)</f>
        <v>0</v>
      </c>
      <c r="EL147" s="6">
        <f>QUARTILE(Table12732[RI8],1)</f>
        <v>0</v>
      </c>
      <c r="EM147" s="6">
        <f>QUARTILE(Table12732[RI9],1)</f>
        <v>0</v>
      </c>
      <c r="EN147" s="6">
        <f>QUARTILE(Table12732[RI10],1)</f>
        <v>0</v>
      </c>
      <c r="EO147" s="6">
        <f>QUARTILE(Table12732[RI11],1)</f>
        <v>0</v>
      </c>
      <c r="EP147" s="6">
        <f>QUARTILE(Table12732[RI12],1)</f>
        <v>0</v>
      </c>
      <c r="EQ147" s="6">
        <f>QUARTILE(Table12732[RI13],1)</f>
        <v>0</v>
      </c>
      <c r="ER147" s="6">
        <f>QUARTILE(Table12732[RI14],1)</f>
        <v>0</v>
      </c>
      <c r="ES147" s="6">
        <f>QUARTILE(Table12732[RI15],1)</f>
        <v>0.25</v>
      </c>
      <c r="ET147" s="6"/>
      <c r="EU147" s="6"/>
      <c r="EV147" s="6"/>
      <c r="EW147" s="6"/>
      <c r="EX147" s="6">
        <f>QUARTILE(Table12732[RT],1)</f>
        <v>2</v>
      </c>
      <c r="EY147" s="6">
        <f>QUARTILE(Table12732[OI1],1)</f>
        <v>0</v>
      </c>
      <c r="EZ147" s="6">
        <f>QUARTILE(Table12732[OI2],1)</f>
        <v>0</v>
      </c>
      <c r="FA147" s="6">
        <f>QUARTILE(Table12732[OI3],1)</f>
        <v>0</v>
      </c>
      <c r="FB147" s="6">
        <f>QUARTILE(Table12732[OI4],1)</f>
        <v>0</v>
      </c>
      <c r="FC147" s="6">
        <f>QUARTILE(Table12732[OI5],1)</f>
        <v>0</v>
      </c>
      <c r="FD147" s="6">
        <f>QUARTILE(Table12732[OI6],1)</f>
        <v>0</v>
      </c>
      <c r="FE147" s="6">
        <f>QUARTILE(Table12732[OI7],1)</f>
        <v>0</v>
      </c>
      <c r="FF147" s="6">
        <f>QUARTILE(Table12732[OI8],1)</f>
        <v>0</v>
      </c>
      <c r="FG147" s="6">
        <f>QUARTILE(Table12732[OI9],1)</f>
        <v>0</v>
      </c>
      <c r="FH147" s="6">
        <f>QUARTILE(Table12732[OI10],1)</f>
        <v>0</v>
      </c>
      <c r="FI147" s="6">
        <f>QUARTILE(Table12732[OI11],1)</f>
        <v>0</v>
      </c>
      <c r="FJ147" s="6">
        <f>QUARTILE(Table12732[OI12],1)</f>
        <v>0</v>
      </c>
      <c r="FK147" s="6">
        <f>QUARTILE(Table12732[OI13],1)</f>
        <v>0</v>
      </c>
      <c r="FL147" s="6">
        <f>QUARTILE(Table12732[OI14],1)</f>
        <v>0</v>
      </c>
      <c r="FM147" s="6">
        <f>QUARTILE(Table12732[OI15],1)</f>
        <v>0</v>
      </c>
      <c r="FN147" s="6"/>
      <c r="FO147" s="6"/>
      <c r="FP147" s="6"/>
      <c r="FQ147" s="6"/>
      <c r="FR147" s="6">
        <f>QUARTILE(Table12732[OT],1)</f>
        <v>1</v>
      </c>
      <c r="FU147" s="55" t="s">
        <v>230</v>
      </c>
    </row>
    <row r="148" spans="1:177" x14ac:dyDescent="0.25">
      <c r="A148" s="81" t="s">
        <v>231</v>
      </c>
      <c r="B148" s="53"/>
      <c r="C148" s="53"/>
      <c r="D148" s="53"/>
      <c r="E148" s="4">
        <f>MIN(Table12732[Att])</f>
        <v>374</v>
      </c>
      <c r="F148" s="54"/>
      <c r="G148" s="117"/>
      <c r="H148" s="117"/>
      <c r="I148" s="117"/>
      <c r="J148" s="5">
        <f>MIN(Table12732[S-IP])</f>
        <v>0.66666666666666663</v>
      </c>
      <c r="K148" s="6">
        <f>MIN(Table12732[S-H])</f>
        <v>0</v>
      </c>
      <c r="L148" s="6">
        <f>MIN(Table12732[S-R])</f>
        <v>0</v>
      </c>
      <c r="M148" s="6">
        <f>MIN(Table12732[S-ER])</f>
        <v>0</v>
      </c>
      <c r="N148" s="6">
        <f>MIN(Table12732[S-BB])</f>
        <v>0</v>
      </c>
      <c r="O148" s="6">
        <f>MIN(Table12732[S-SO])</f>
        <v>0</v>
      </c>
      <c r="P148" s="6">
        <f>MIN(Table12732[S-HR])</f>
        <v>0</v>
      </c>
      <c r="Q148" s="6">
        <f>MIN(Table12732[S-HBP])</f>
        <v>0</v>
      </c>
      <c r="R148" s="6">
        <f>MIN(Table12732[S-BF])</f>
        <v>3</v>
      </c>
      <c r="S148" s="6"/>
      <c r="T148" s="6"/>
      <c r="U148" s="6">
        <f>MIN(Table12732[IRL])</f>
        <v>0</v>
      </c>
      <c r="V148" s="6">
        <f>MIN(Table12732[IRS])</f>
        <v>0</v>
      </c>
      <c r="W148" s="117"/>
      <c r="X148" s="117"/>
      <c r="Y148" s="117"/>
      <c r="Z148" s="117"/>
      <c r="AA148" s="117"/>
      <c r="AB148" s="5">
        <f>MIN(Table12732[B-IP])</f>
        <v>0</v>
      </c>
      <c r="AC148" s="6">
        <f>MIN(Table12732[B-H])</f>
        <v>0</v>
      </c>
      <c r="AD148" s="6">
        <f>MIN(Table12732[B-R])</f>
        <v>0</v>
      </c>
      <c r="AE148" s="6">
        <f>MIN(Table12732[B-ER])</f>
        <v>0</v>
      </c>
      <c r="AF148" s="6">
        <f>MIN(Table12732[B-BB])</f>
        <v>0</v>
      </c>
      <c r="AG148" s="6">
        <f>MIN(Table12732[B-SO])</f>
        <v>0</v>
      </c>
      <c r="AH148" s="6">
        <f>MIN(Table12732[B-HR])</f>
        <v>0</v>
      </c>
      <c r="AI148" s="6">
        <f>MIN(Table12732[B-HBP])</f>
        <v>0</v>
      </c>
      <c r="AJ148" s="6">
        <f>MIN(Table12732[B-BF])</f>
        <v>0</v>
      </c>
      <c r="AK148" s="6"/>
      <c r="AL148" s="6"/>
      <c r="AM148" s="117"/>
      <c r="AN148" s="6">
        <f>MIN(Table12732[AB1])</f>
        <v>2</v>
      </c>
      <c r="AO148" s="6">
        <f>MIN(Table12732[R1])</f>
        <v>0</v>
      </c>
      <c r="AP148" s="6">
        <f>MIN(Table12732[H1])</f>
        <v>0</v>
      </c>
      <c r="AQ148" s="6">
        <f>MIN(Table12732[RBI1])</f>
        <v>0</v>
      </c>
      <c r="AR148" s="6">
        <f>MIN(Table12732[BB1])</f>
        <v>0</v>
      </c>
      <c r="AS148" s="6">
        <f>MIN(Table12732[SO1])</f>
        <v>0</v>
      </c>
      <c r="AT148" s="6">
        <f>MIN(Table12732[HBP1])</f>
        <v>0</v>
      </c>
      <c r="AU148" s="6">
        <f>MIN(Table12732[SF1])</f>
        <v>0</v>
      </c>
      <c r="AV148" s="6">
        <f>MIN(Table12732[TB1])</f>
        <v>0</v>
      </c>
      <c r="AW148" s="117"/>
      <c r="AX148" s="6">
        <f>MIN(Table12732[AB2])</f>
        <v>2</v>
      </c>
      <c r="AY148" s="6">
        <f>MIN(Table12732[R2])</f>
        <v>0</v>
      </c>
      <c r="AZ148" s="6">
        <f>MIN(Table12732[H2])</f>
        <v>0</v>
      </c>
      <c r="BA148" s="6">
        <f>MIN(Table12732[RBI2])</f>
        <v>0</v>
      </c>
      <c r="BB148" s="6">
        <f>MIN(Table12732[BB2])</f>
        <v>0</v>
      </c>
      <c r="BC148" s="6">
        <f>MIN(Table12732[SO2])</f>
        <v>0</v>
      </c>
      <c r="BD148" s="6">
        <f>MIN(Table12732[HBP2])</f>
        <v>0</v>
      </c>
      <c r="BE148" s="6">
        <f>MIN(Table12732[SF2])</f>
        <v>0</v>
      </c>
      <c r="BF148" s="6">
        <f>MIN(Table12732[TB2])</f>
        <v>0</v>
      </c>
      <c r="BG148" s="117"/>
      <c r="BH148" s="6">
        <f>MIN(Table12732[AB3])</f>
        <v>1</v>
      </c>
      <c r="BI148" s="6">
        <f>MIN(Table12732[R3])</f>
        <v>0</v>
      </c>
      <c r="BJ148" s="6">
        <f>MIN(Table12732[H3])</f>
        <v>0</v>
      </c>
      <c r="BK148" s="6">
        <f>MIN(Table12732[RBI3])</f>
        <v>0</v>
      </c>
      <c r="BL148" s="6">
        <f>MIN(Table12732[BB3])</f>
        <v>0</v>
      </c>
      <c r="BM148" s="6">
        <f>MIN(Table12732[SO3])</f>
        <v>0</v>
      </c>
      <c r="BN148" s="6">
        <f>MIN(Table12732[HBP3])</f>
        <v>0</v>
      </c>
      <c r="BO148" s="6">
        <f>MIN(Table12732[SF3])</f>
        <v>0</v>
      </c>
      <c r="BP148" s="6">
        <f>MIN(Table12732[TB3])</f>
        <v>0</v>
      </c>
      <c r="BQ148" s="117"/>
      <c r="BR148" s="6">
        <f>MIN(Table12732[AB4])</f>
        <v>2</v>
      </c>
      <c r="BS148" s="6">
        <f>MIN(Table12732[R4])</f>
        <v>0</v>
      </c>
      <c r="BT148" s="6">
        <f>MIN(Table12732[H4])</f>
        <v>0</v>
      </c>
      <c r="BU148" s="6">
        <f>MIN(Table12732[RBI4])</f>
        <v>0</v>
      </c>
      <c r="BV148" s="6">
        <f>MIN(Table12732[BB4])</f>
        <v>0</v>
      </c>
      <c r="BW148" s="6">
        <f>MIN(Table12732[SO4])</f>
        <v>0</v>
      </c>
      <c r="BX148" s="6">
        <f>MIN(Table12732[HBP4])</f>
        <v>0</v>
      </c>
      <c r="BY148" s="6">
        <f>MIN(Table12732[SF4])</f>
        <v>0</v>
      </c>
      <c r="BZ148" s="6">
        <f>MIN(Table12732[TB4])</f>
        <v>0</v>
      </c>
      <c r="CA148" s="117"/>
      <c r="CB148" s="6">
        <f>MIN(Table12732[AB5])</f>
        <v>1</v>
      </c>
      <c r="CC148" s="6">
        <f>MIN(Table12732[R5])</f>
        <v>0</v>
      </c>
      <c r="CD148" s="6">
        <f>MIN(Table12732[H5])</f>
        <v>0</v>
      </c>
      <c r="CE148" s="6">
        <f>MIN(Table12732[RBI5])</f>
        <v>0</v>
      </c>
      <c r="CF148" s="6">
        <f>MIN(Table12732[BB5])</f>
        <v>0</v>
      </c>
      <c r="CG148" s="6">
        <f>MIN(Table12732[SO5])</f>
        <v>0</v>
      </c>
      <c r="CH148" s="6">
        <f>MIN(Table12732[HBP5])</f>
        <v>0</v>
      </c>
      <c r="CI148" s="6">
        <f>MIN(Table12732[SF5])</f>
        <v>0</v>
      </c>
      <c r="CJ148" s="6">
        <f>MIN(Table12732[TB5])</f>
        <v>0</v>
      </c>
      <c r="CK148" s="117"/>
      <c r="CL148" s="6">
        <f>MIN(Table12732[AB6])</f>
        <v>2</v>
      </c>
      <c r="CM148" s="6">
        <f>MIN(Table12732[R6])</f>
        <v>0</v>
      </c>
      <c r="CN148" s="6">
        <f>MIN(Table12732[H6])</f>
        <v>0</v>
      </c>
      <c r="CO148" s="6">
        <f>MIN(Table12732[RBI6])</f>
        <v>0</v>
      </c>
      <c r="CP148" s="6">
        <f>MIN(Table12732[BB6])</f>
        <v>0</v>
      </c>
      <c r="CQ148" s="6">
        <f>MIN(Table12732[SO6])</f>
        <v>0</v>
      </c>
      <c r="CR148" s="6">
        <f>MIN(Table12732[HBP6])</f>
        <v>0</v>
      </c>
      <c r="CS148" s="6">
        <f>MIN(Table12732[SF6])</f>
        <v>0</v>
      </c>
      <c r="CT148" s="6">
        <f>MIN(Table12732[TB6])</f>
        <v>0</v>
      </c>
      <c r="CU148" s="117"/>
      <c r="CV148" s="6">
        <f>MIN(Table12732[AB7])</f>
        <v>1</v>
      </c>
      <c r="CW148" s="6">
        <f>MIN(Table12732[R7])</f>
        <v>0</v>
      </c>
      <c r="CX148" s="6">
        <f>MIN(Table12732[H7])</f>
        <v>0</v>
      </c>
      <c r="CY148" s="6">
        <f>MIN(Table12732[RBI7])</f>
        <v>0</v>
      </c>
      <c r="CZ148" s="6">
        <f>MIN(Table12732[BB7])</f>
        <v>0</v>
      </c>
      <c r="DA148" s="6">
        <f>MIN(Table12732[SO7])</f>
        <v>0</v>
      </c>
      <c r="DB148" s="6">
        <f>MIN(Table12732[HBP7])</f>
        <v>0</v>
      </c>
      <c r="DC148" s="6">
        <f>MIN(Table12732[SF7])</f>
        <v>0</v>
      </c>
      <c r="DD148" s="6">
        <f>MIN(Table12732[TB7])</f>
        <v>0</v>
      </c>
      <c r="DE148" s="117"/>
      <c r="DF148" s="6">
        <f>MIN(Table12732[AB8])</f>
        <v>1</v>
      </c>
      <c r="DG148" s="6">
        <f>MIN(Table12732[R8])</f>
        <v>0</v>
      </c>
      <c r="DH148" s="6">
        <f>MIN(Table12732[H8])</f>
        <v>0</v>
      </c>
      <c r="DI148" s="6">
        <f>MIN(Table12732[RBI8])</f>
        <v>0</v>
      </c>
      <c r="DJ148" s="6">
        <f>MIN(Table12732[BB8])</f>
        <v>0</v>
      </c>
      <c r="DK148" s="6">
        <f>MIN(Table12732[SO8])</f>
        <v>0</v>
      </c>
      <c r="DL148" s="6">
        <f>MIN(Table12732[HBP8])</f>
        <v>0</v>
      </c>
      <c r="DM148" s="6">
        <f>MIN(Table12732[SF8])</f>
        <v>0</v>
      </c>
      <c r="DN148" s="6">
        <f>MIN(Table12732[TB8])</f>
        <v>0</v>
      </c>
      <c r="DO148" s="117"/>
      <c r="DP148" s="6">
        <f>MIN(Table12732[AB9])</f>
        <v>0</v>
      </c>
      <c r="DQ148" s="6">
        <f>MIN(Table12732[R9])</f>
        <v>0</v>
      </c>
      <c r="DR148" s="6">
        <f>MIN(Table12732[H9])</f>
        <v>0</v>
      </c>
      <c r="DS148" s="6">
        <f>MIN(Table12732[RBI9])</f>
        <v>0</v>
      </c>
      <c r="DT148" s="6">
        <f>MIN(Table12732[BB9])</f>
        <v>0</v>
      </c>
      <c r="DU148" s="6">
        <f>MIN(Table12732[SO9])</f>
        <v>0</v>
      </c>
      <c r="DV148" s="6">
        <f>MIN(Table12732[HBP9])</f>
        <v>0</v>
      </c>
      <c r="DW148" s="6">
        <f>MIN(Table12732[SF9])</f>
        <v>0</v>
      </c>
      <c r="DX148" s="6">
        <f>MIN(Table12732[TB9])</f>
        <v>0</v>
      </c>
      <c r="DY148" s="5">
        <f>MIN(Table12732[IVL])</f>
        <v>0</v>
      </c>
      <c r="DZ148" s="6">
        <f>MIN(Table12732[SVL])</f>
        <v>0</v>
      </c>
      <c r="EA148" s="6">
        <f>MIN(Table12732[CVL])</f>
        <v>0</v>
      </c>
      <c r="EB148" s="5">
        <f>MIN(Table12732[IVR])</f>
        <v>0</v>
      </c>
      <c r="EC148" s="6">
        <f>MIN(Table12732[SVR])</f>
        <v>0</v>
      </c>
      <c r="ED148" s="6">
        <f>MIN(Table12732[CVR])</f>
        <v>0</v>
      </c>
      <c r="EE148" s="6">
        <f>MIN(Table12732[RI1])</f>
        <v>0</v>
      </c>
      <c r="EF148" s="6">
        <f>MIN(Table12732[RI2])</f>
        <v>0</v>
      </c>
      <c r="EG148" s="6">
        <f>MIN(Table12732[RI3])</f>
        <v>0</v>
      </c>
      <c r="EH148" s="6">
        <f>MIN(Table12732[RI4])</f>
        <v>0</v>
      </c>
      <c r="EI148" s="6">
        <f>MIN(Table12732[RI5])</f>
        <v>0</v>
      </c>
      <c r="EJ148" s="6">
        <f>MIN(Table12732[RI6])</f>
        <v>0</v>
      </c>
      <c r="EK148" s="6">
        <f>MIN(Table12732[RI7])</f>
        <v>0</v>
      </c>
      <c r="EL148" s="6">
        <f>MIN(Table12732[RI8])</f>
        <v>0</v>
      </c>
      <c r="EM148" s="6">
        <f>MIN(Table12732[RI9])</f>
        <v>0</v>
      </c>
      <c r="EN148" s="6">
        <f>MIN(Table12732[RI10])</f>
        <v>0</v>
      </c>
      <c r="EO148" s="6">
        <f>MIN(Table12732[RI11])</f>
        <v>0</v>
      </c>
      <c r="EP148" s="6">
        <f>MIN(Table12732[RI12])</f>
        <v>0</v>
      </c>
      <c r="EQ148" s="6">
        <f>MIN(Table12732[RI13])</f>
        <v>0</v>
      </c>
      <c r="ER148" s="6">
        <f>MIN(Table12732[RI14])</f>
        <v>0</v>
      </c>
      <c r="ES148" s="6">
        <f>MIN(Table12732[RI15])</f>
        <v>0</v>
      </c>
      <c r="ET148" s="6"/>
      <c r="EU148" s="6"/>
      <c r="EV148" s="6"/>
      <c r="EW148" s="6"/>
      <c r="EX148" s="6">
        <f>MIN(Table12732[RT])</f>
        <v>0</v>
      </c>
      <c r="EY148" s="6">
        <f>MIN(Table12732[OI1])</f>
        <v>0</v>
      </c>
      <c r="EZ148" s="6">
        <f>MIN(Table12732[OI2])</f>
        <v>0</v>
      </c>
      <c r="FA148" s="6">
        <f>MIN(Table12732[OI3])</f>
        <v>0</v>
      </c>
      <c r="FB148" s="6">
        <f>MIN(Table12732[OI4])</f>
        <v>0</v>
      </c>
      <c r="FC148" s="6">
        <f>MIN(Table12732[OI5])</f>
        <v>0</v>
      </c>
      <c r="FD148" s="6">
        <f>MIN(Table12732[OI6])</f>
        <v>0</v>
      </c>
      <c r="FE148" s="6">
        <f>MIN(Table12732[OI7])</f>
        <v>0</v>
      </c>
      <c r="FF148" s="6">
        <f>MIN(Table12732[OI8])</f>
        <v>0</v>
      </c>
      <c r="FG148" s="6">
        <f>MIN(Table12732[OI9])</f>
        <v>0</v>
      </c>
      <c r="FH148" s="6">
        <f>MIN(Table12732[OI10])</f>
        <v>0</v>
      </c>
      <c r="FI148" s="6">
        <f>MIN(Table12732[OI11])</f>
        <v>0</v>
      </c>
      <c r="FJ148" s="6">
        <f>MIN(Table12732[OI12])</f>
        <v>0</v>
      </c>
      <c r="FK148" s="6">
        <f>MIN(Table12732[OI13])</f>
        <v>0</v>
      </c>
      <c r="FL148" s="6">
        <f>MIN(Table12732[OI14])</f>
        <v>0</v>
      </c>
      <c r="FM148" s="6">
        <f>MIN(Table12732[OI15])</f>
        <v>0</v>
      </c>
      <c r="FN148" s="6"/>
      <c r="FO148" s="6"/>
      <c r="FP148" s="6"/>
      <c r="FQ148" s="6"/>
      <c r="FR148" s="6">
        <f>MIN(Table12732[OT])</f>
        <v>0</v>
      </c>
      <c r="FU148" s="55" t="s">
        <v>231</v>
      </c>
    </row>
    <row r="149" spans="1:177" x14ac:dyDescent="0.25">
      <c r="A149" s="82" t="s">
        <v>232</v>
      </c>
      <c r="B149" s="90"/>
      <c r="C149" s="90"/>
      <c r="D149" s="90"/>
      <c r="E149" s="39">
        <f>STDEV(Table12732[Att])</f>
        <v>1483.6322818743758</v>
      </c>
      <c r="F149" s="84"/>
      <c r="G149" s="84"/>
      <c r="H149" s="84"/>
      <c r="I149" s="84"/>
      <c r="J149" s="39">
        <f>STDEV(Table12732[S-IP])</f>
        <v>1.3462602769450087</v>
      </c>
      <c r="K149" s="39">
        <f>STDEV(Table12732[S-H])</f>
        <v>2.5708194627068104</v>
      </c>
      <c r="L149" s="39">
        <f>STDEV(Table12732[S-R])</f>
        <v>2.1911091329767007</v>
      </c>
      <c r="M149" s="39">
        <f>STDEV(Table12732[S-ER])</f>
        <v>1.8826482699626303</v>
      </c>
      <c r="N149" s="39">
        <f>STDEV(Table12732[S-BB])</f>
        <v>1.3376013433639931</v>
      </c>
      <c r="O149" s="39">
        <f>STDEV(Table12732[S-SO])</f>
        <v>2.9485739277987779</v>
      </c>
      <c r="P149" s="39">
        <f>STDEV(Table12732[S-HR])</f>
        <v>0.51522538704709131</v>
      </c>
      <c r="Q149" s="39">
        <f>STDEV(Table12732[S-HBP])</f>
        <v>0.7425998172522309</v>
      </c>
      <c r="R149" s="39">
        <f>STDEV(Table12732[S-BF])</f>
        <v>4.8102673180768862</v>
      </c>
      <c r="S149" s="39"/>
      <c r="T149" s="39"/>
      <c r="U149" s="39">
        <f>STDEV(Table12732[IRL])</f>
        <v>0.78225817287205623</v>
      </c>
      <c r="V149" s="39">
        <f>STDEV(Table12732[IRS])</f>
        <v>0.39122903850199875</v>
      </c>
      <c r="W149" s="84"/>
      <c r="X149" s="84"/>
      <c r="Y149" s="84"/>
      <c r="Z149" s="84"/>
      <c r="AA149" s="84"/>
      <c r="AB149" s="39">
        <f>STDEV(Table12732[B-IP])</f>
        <v>1.7894313162030542</v>
      </c>
      <c r="AC149" s="39">
        <f>STDEV(Table12732[B-H])</f>
        <v>2.2007003558172693</v>
      </c>
      <c r="AD149" s="39">
        <f>STDEV(Table12732[B-R])</f>
        <v>1.3855759326745556</v>
      </c>
      <c r="AE149" s="39">
        <f>STDEV(Table12732[B-ER])</f>
        <v>1.1351669038027423</v>
      </c>
      <c r="AF149" s="39">
        <f>STDEV(Table12732[B-BB])</f>
        <v>1.2388171446342036</v>
      </c>
      <c r="AG149" s="39">
        <f>STDEV(Table12732[B-SO])</f>
        <v>2.4774659545677156</v>
      </c>
      <c r="AH149" s="39">
        <f>STDEV(Table12732[B-HR])</f>
        <v>0.57644660566940653</v>
      </c>
      <c r="AI149" s="39">
        <f>STDEV(Table12732[B-HBP])</f>
        <v>0.34218260847917986</v>
      </c>
      <c r="AJ149" s="39">
        <f>STDEV(Table12732[B-BF])</f>
        <v>7.4018866636010108</v>
      </c>
      <c r="AK149" s="39"/>
      <c r="AL149" s="39"/>
      <c r="AM149" s="84"/>
      <c r="AN149" s="39">
        <f>STDEV(Table12732[AB1])</f>
        <v>0.99833037554420401</v>
      </c>
      <c r="AO149" s="39">
        <f>STDEV(Table12732[R1])</f>
        <v>0.75395595902914814</v>
      </c>
      <c r="AP149" s="39">
        <f>STDEV(Table12732[H1])</f>
        <v>0.95247292404864292</v>
      </c>
      <c r="AQ149" s="39">
        <f>STDEV(Table12732[RBI1])</f>
        <v>0.60201586772631288</v>
      </c>
      <c r="AR149" s="39">
        <f>STDEV(Table12732[BB1])</f>
        <v>0.60933207713977033</v>
      </c>
      <c r="AS149" s="39">
        <f>STDEV(Table12732[SO1])</f>
        <v>0.76942403513606394</v>
      </c>
      <c r="AT149" s="39">
        <f>STDEV(Table12732[HBP1])</f>
        <v>0.23374035429720652</v>
      </c>
      <c r="AU149" s="39">
        <f>STDEV(Table12732[SF1])</f>
        <v>0.14584217692177975</v>
      </c>
      <c r="AV149" s="39">
        <f>STDEV(Table12732[TB1])</f>
        <v>1.4562754519853212</v>
      </c>
      <c r="AW149" s="84"/>
      <c r="AX149" s="39">
        <f>STDEV(Table12732[AB2])</f>
        <v>0.81259247927776901</v>
      </c>
      <c r="AY149" s="39">
        <f>STDEV(Table12732[R2])</f>
        <v>0.70507639912262621</v>
      </c>
      <c r="AZ149" s="39">
        <f>STDEV(Table12732[H2])</f>
        <v>0.92858317256583567</v>
      </c>
      <c r="BA149" s="39">
        <f>STDEV(Table12732[RBI2])</f>
        <v>0.80802460602717141</v>
      </c>
      <c r="BB149" s="39">
        <f>STDEV(Table12732[BB2])</f>
        <v>0.75533759104566522</v>
      </c>
      <c r="BC149" s="39">
        <f>STDEV(Table12732[SO2])</f>
        <v>0.84220592031865305</v>
      </c>
      <c r="BD149" s="39">
        <f>STDEV(Table12732[HBP2])</f>
        <v>0.16778376539443354</v>
      </c>
      <c r="BE149" s="39">
        <f>STDEV(Table12732[SF2])</f>
        <v>0.14584217692177975</v>
      </c>
      <c r="BF149" s="39">
        <f>STDEV(Table12732[TB2])</f>
        <v>1.469532086845887</v>
      </c>
      <c r="BG149" s="84"/>
      <c r="BH149" s="39">
        <f>STDEV(Table12732[AB3])</f>
        <v>0.98598245487114533</v>
      </c>
      <c r="BI149" s="39">
        <f>STDEV(Table12732[R3])</f>
        <v>0.61359498120440381</v>
      </c>
      <c r="BJ149" s="39">
        <f>STDEV(Table12732[H3])</f>
        <v>0.99046649441105938</v>
      </c>
      <c r="BK149" s="39">
        <f>STDEV(Table12732[RBI3])</f>
        <v>0.84461655464917729</v>
      </c>
      <c r="BL149" s="39">
        <f>STDEV(Table12732[BB3])</f>
        <v>0.59845489721239453</v>
      </c>
      <c r="BM149" s="39">
        <f>STDEV(Table12732[SO3])</f>
        <v>0.73497886487372732</v>
      </c>
      <c r="BN149" s="39">
        <f>STDEV(Table12732[HBP3])</f>
        <v>0.23374035429720652</v>
      </c>
      <c r="BO149" s="39">
        <f>STDEV(Table12732[SF3])</f>
        <v>0.20396446113862482</v>
      </c>
      <c r="BP149" s="39">
        <f>STDEV(Table12732[TB3])</f>
        <v>1.6150488719943576</v>
      </c>
      <c r="BQ149" s="84"/>
      <c r="BR149" s="39">
        <f>STDEV(Table12732[AB4])</f>
        <v>0.86613074228171316</v>
      </c>
      <c r="BS149" s="39">
        <f>STDEV(Table12732[R4])</f>
        <v>0.67423500907410727</v>
      </c>
      <c r="BT149" s="39">
        <f>STDEV(Table12732[H4])</f>
        <v>0.94013267265071809</v>
      </c>
      <c r="BU149" s="39">
        <f>STDEV(Table12732[RBI4])</f>
        <v>0.88735835980832356</v>
      </c>
      <c r="BV149" s="39">
        <f>STDEV(Table12732[BB4])</f>
        <v>0.66919030216752706</v>
      </c>
      <c r="BW149" s="39">
        <f>STDEV(Table12732[SO4])</f>
        <v>0.78624659865620183</v>
      </c>
      <c r="BX149" s="39">
        <f>STDEV(Table12732[HBP4])</f>
        <v>0.16778376539443354</v>
      </c>
      <c r="BY149" s="39">
        <f>STDEV(Table12732[SF4])</f>
        <v>0.20396446113862482</v>
      </c>
      <c r="BZ149" s="39">
        <f>STDEV(Table12732[TB4])</f>
        <v>1.8466662413280313</v>
      </c>
      <c r="CA149" s="84"/>
      <c r="CB149" s="39">
        <f>STDEV(Table12732[AB5])</f>
        <v>0.94956761585173133</v>
      </c>
      <c r="CC149" s="39">
        <f>STDEV(Table12732[R5])</f>
        <v>0.68497435389867356</v>
      </c>
      <c r="CD149" s="39">
        <f>STDEV(Table12732[H5])</f>
        <v>0.79238898556964465</v>
      </c>
      <c r="CE149" s="39">
        <f>STDEV(Table12732[RBI5])</f>
        <v>0.79959326538758113</v>
      </c>
      <c r="CF149" s="39">
        <f>STDEV(Table12732[BB5])</f>
        <v>0.63489072025887827</v>
      </c>
      <c r="CG149" s="39">
        <f>STDEV(Table12732[SO5])</f>
        <v>0.79599927591212838</v>
      </c>
      <c r="CH149" s="39">
        <f>STDEV(Table12732[HBP5])</f>
        <v>0.20396446113862482</v>
      </c>
      <c r="CI149" s="39">
        <f>STDEV(Table12732[SF5])</f>
        <v>0.21947701365872982</v>
      </c>
      <c r="CJ149" s="39">
        <f>STDEV(Table12732[TB5])</f>
        <v>1.5571348562291538</v>
      </c>
      <c r="CK149" s="84"/>
      <c r="CL149" s="39">
        <f>STDEV(Table12732[AB6])</f>
        <v>1.0161350782948384</v>
      </c>
      <c r="CM149" s="39">
        <f>STDEV(Table12732[R6])</f>
        <v>0.60804737809905673</v>
      </c>
      <c r="CN149" s="39">
        <f>STDEV(Table12732[H6])</f>
        <v>0.86799461955514823</v>
      </c>
      <c r="CO149" s="39">
        <f>STDEV(Table12732[RBI6])</f>
        <v>0.70055163928996333</v>
      </c>
      <c r="CP149" s="39">
        <f>STDEV(Table12732[BB6])</f>
        <v>0.5704465249496482</v>
      </c>
      <c r="CQ149" s="39">
        <f>STDEV(Table12732[SO6])</f>
        <v>0.79192831339093017</v>
      </c>
      <c r="CR149" s="39">
        <f>STDEV(Table12732[HBP6])</f>
        <v>0.21947701365872982</v>
      </c>
      <c r="CS149" s="39">
        <f>STDEV(Table12732[SF6])</f>
        <v>0.14584217692177975</v>
      </c>
      <c r="CT149" s="39">
        <f>STDEV(Table12732[TB6])</f>
        <v>1.2987646817941432</v>
      </c>
      <c r="CU149" s="84"/>
      <c r="CV149" s="39">
        <f>STDEV(Table12732[AB7])</f>
        <v>0.94312232534882146</v>
      </c>
      <c r="CW149" s="39">
        <f>STDEV(Table12732[R7])</f>
        <v>0.55675677317204086</v>
      </c>
      <c r="CX149" s="39">
        <f>STDEV(Table12732[H7])</f>
        <v>0.88022091804303615</v>
      </c>
      <c r="CY149" s="39">
        <f>STDEV(Table12732[RBI7])</f>
        <v>0.75160135581349363</v>
      </c>
      <c r="CZ149" s="39">
        <f>STDEV(Table12732[BB7])</f>
        <v>0.54358564260818643</v>
      </c>
      <c r="DA149" s="39">
        <f>STDEV(Table12732[SO7])</f>
        <v>0.72454905098688605</v>
      </c>
      <c r="DB149" s="39">
        <f>STDEV(Table12732[HBP7])</f>
        <v>0.23374035429720652</v>
      </c>
      <c r="DC149" s="39">
        <f>STDEV(Table12732[SF7])</f>
        <v>0.1868918908782016</v>
      </c>
      <c r="DD149" s="39">
        <f>STDEV(Table12732[TB7])</f>
        <v>1.2709715082193829</v>
      </c>
      <c r="DE149" s="84"/>
      <c r="DF149" s="39">
        <f>STDEV(Table12732[AB8])</f>
        <v>1.038764856082899</v>
      </c>
      <c r="DG149" s="39">
        <f>STDEV(Table12732[R8])</f>
        <v>0.61985027840303963</v>
      </c>
      <c r="DH149" s="39">
        <f>STDEV(Table12732[H8])</f>
        <v>0.69652158683408227</v>
      </c>
      <c r="DI149" s="39">
        <f>STDEV(Table12732[RBI8])</f>
        <v>0.71228550541629698</v>
      </c>
      <c r="DJ149" s="39">
        <f>STDEV(Table12732[BB8])</f>
        <v>0.73341674012177827</v>
      </c>
      <c r="DK149" s="39">
        <f>STDEV(Table12732[SO8])</f>
        <v>0.76684502873263849</v>
      </c>
      <c r="DL149" s="39">
        <f>STDEV(Table12732[HBP8])</f>
        <v>0.20396446113862482</v>
      </c>
      <c r="DM149" s="39">
        <f>STDEV(Table12732[SF8])</f>
        <v>0.20396446113862482</v>
      </c>
      <c r="DN149" s="39">
        <f>STDEV(Table12732[TB8])</f>
        <v>1.353024238793294</v>
      </c>
      <c r="DO149" s="84"/>
      <c r="DP149" s="39">
        <f>STDEV(Table12732[AB9])</f>
        <v>0.96956070549022089</v>
      </c>
      <c r="DQ149" s="39">
        <f>STDEV(Table12732[R9])</f>
        <v>0.63489072025887827</v>
      </c>
      <c r="DR149" s="39">
        <f>STDEV(Table12732[H9])</f>
        <v>0.75554461793486072</v>
      </c>
      <c r="DS149" s="39">
        <f>STDEV(Table12732[RBI9])</f>
        <v>0.59679748669121147</v>
      </c>
      <c r="DT149" s="39">
        <f>STDEV(Table12732[BB9])</f>
        <v>0.47114640886698883</v>
      </c>
      <c r="DU149" s="39">
        <f>STDEV(Table12732[SO9])</f>
        <v>0.86613074228171338</v>
      </c>
      <c r="DV149" s="39">
        <f>STDEV(Table12732[HBP9])</f>
        <v>0.21947701365872982</v>
      </c>
      <c r="DW149" s="39">
        <f>STDEV(Table12732[SF9])</f>
        <v>8.4818892967997092E-2</v>
      </c>
      <c r="DX149" s="39">
        <f>STDEV(Table12732[TB9])</f>
        <v>1.2051137001714587</v>
      </c>
      <c r="DY149" s="39">
        <f>STDEV(Table12732[IVL])</f>
        <v>2.6924366511873781</v>
      </c>
      <c r="DZ149" s="39">
        <f>STDEV(Table12732[SVL])</f>
        <v>0.71804423956746499</v>
      </c>
      <c r="EA149" s="39">
        <f>STDEV(Table12732[CVL])</f>
        <v>0.31998071050192484</v>
      </c>
      <c r="EB149" s="39">
        <f>STDEV(Table12732[IVR])</f>
        <v>2.6354676672180237</v>
      </c>
      <c r="EC149" s="39">
        <f>STDEV(Table12732[SVR])</f>
        <v>0.9166607425330604</v>
      </c>
      <c r="ED149" s="39">
        <f>STDEV(Table12732[CVR])</f>
        <v>0.4901277498116583</v>
      </c>
      <c r="EE149" s="39">
        <f>STDEV(Table12732[RI1])</f>
        <v>0.85735880622697958</v>
      </c>
      <c r="EF149" s="39">
        <f>STDEV(Table12732[RI2])</f>
        <v>1.0374591806208515</v>
      </c>
      <c r="EG149" s="39">
        <f>STDEV(Table12732[RI3])</f>
        <v>0.80666858823168763</v>
      </c>
      <c r="EH149" s="39">
        <f>STDEV(Table12732[RI4])</f>
        <v>0.96535762145195758</v>
      </c>
      <c r="EI149" s="39">
        <f>STDEV(Table12732[RI5])</f>
        <v>1.0382126553229922</v>
      </c>
      <c r="EJ149" s="39">
        <f>STDEV(Table12732[RI6])</f>
        <v>0.8945218043382035</v>
      </c>
      <c r="EK149" s="39">
        <f>STDEV(Table12732[RI7])</f>
        <v>0.78323386034505837</v>
      </c>
      <c r="EL149" s="39">
        <f>STDEV(Table12732[RI8])</f>
        <v>1.2220380566175826</v>
      </c>
      <c r="EM149" s="39">
        <f>STDEV(Table12732[RI9])</f>
        <v>0.79605770216017591</v>
      </c>
      <c r="EN149" s="39">
        <f>STDEV(Table12732[RI10])</f>
        <v>0.85163062725264016</v>
      </c>
      <c r="EO149" s="39">
        <f>STDEV(Table12732[RI11])</f>
        <v>0.33333333333333331</v>
      </c>
      <c r="EP149" s="39">
        <f>STDEV(Table12732[RI12])</f>
        <v>0.81649658092772603</v>
      </c>
      <c r="EQ149" s="39">
        <f>STDEV(Table12732[RI13])</f>
        <v>0</v>
      </c>
      <c r="ER149" s="39">
        <f>STDEV(Table12732[RI14])</f>
        <v>0</v>
      </c>
      <c r="ES149" s="39">
        <f>STDEV(Table12732[RI15])</f>
        <v>0.70710678118654757</v>
      </c>
      <c r="ET149" s="39"/>
      <c r="EU149" s="39"/>
      <c r="EV149" s="39"/>
      <c r="EW149" s="39"/>
      <c r="EX149" s="39">
        <f>STDEV(Table12732[RT])</f>
        <v>2.8078193393068189</v>
      </c>
      <c r="EY149" s="39">
        <f>STDEV(Table12732[OI1])</f>
        <v>1.0016147946447349</v>
      </c>
      <c r="EZ149" s="39">
        <f>STDEV(Table12732[OI2])</f>
        <v>0.840284841805786</v>
      </c>
      <c r="FA149" s="39">
        <f>STDEV(Table12732[OI3])</f>
        <v>0.86402153226411893</v>
      </c>
      <c r="FB149" s="39">
        <f>STDEV(Table12732[OI4])</f>
        <v>1.1648145030897747</v>
      </c>
      <c r="FC149" s="39">
        <f>STDEV(Table12732[OI5])</f>
        <v>0.93880088210229895</v>
      </c>
      <c r="FD149" s="39">
        <f>STDEV(Table12732[OI6])</f>
        <v>0.90369904060633299</v>
      </c>
      <c r="FE149" s="39">
        <f>STDEV(Table12732[OI7])</f>
        <v>1.0059524335213184</v>
      </c>
      <c r="FF149" s="39">
        <f>STDEV(Table12732[OI8])</f>
        <v>0.77325320829716582</v>
      </c>
      <c r="FG149" s="39">
        <f>STDEV(Table12732[OI9])</f>
        <v>0.64703444764369977</v>
      </c>
      <c r="FH149" s="39">
        <f>STDEV(Table12732[OI10])</f>
        <v>0.46880723093849541</v>
      </c>
      <c r="FI149" s="39">
        <f>STDEV(Table12732[OI11])</f>
        <v>0.44095855184409843</v>
      </c>
      <c r="FJ149" s="39">
        <f>STDEV(Table12732[OI12])</f>
        <v>0.40824829046386302</v>
      </c>
      <c r="FK149" s="39">
        <f>STDEV(Table12732[OI13])</f>
        <v>1.1547005383792517</v>
      </c>
      <c r="FL149" s="39">
        <f>STDEV(Table12732[OI14])</f>
        <v>0</v>
      </c>
      <c r="FM149" s="39">
        <f>STDEV(Table12732[OI15])</f>
        <v>0</v>
      </c>
      <c r="FN149" s="39"/>
      <c r="FO149" s="39"/>
      <c r="FP149" s="39"/>
      <c r="FQ149" s="39"/>
      <c r="FR149" s="39">
        <f>STDEV(Table12732[OT])</f>
        <v>2.7507972702358914</v>
      </c>
      <c r="FU149" s="86" t="s">
        <v>232</v>
      </c>
    </row>
    <row r="150" spans="1:177" x14ac:dyDescent="0.25">
      <c r="A150" s="87" t="s">
        <v>281</v>
      </c>
      <c r="B150" s="53"/>
      <c r="C150" s="53"/>
      <c r="D150" s="53"/>
      <c r="E150" s="84">
        <f>(E153+(3*E149))</f>
        <v>6361.9433572510352</v>
      </c>
      <c r="F150" s="84"/>
      <c r="G150" s="84"/>
      <c r="H150" s="84"/>
      <c r="I150" s="84"/>
      <c r="J150" s="84">
        <f t="shared" ref="J150:V150" si="36">(J153+(3*J149))</f>
        <v>9.5016105670460576</v>
      </c>
      <c r="K150" s="84">
        <f t="shared" si="36"/>
        <v>12.993033927688778</v>
      </c>
      <c r="L150" s="84">
        <f t="shared" si="36"/>
        <v>9.1128957442538443</v>
      </c>
      <c r="M150" s="84">
        <f t="shared" si="36"/>
        <v>7.7918297019742218</v>
      </c>
      <c r="N150" s="84">
        <f t="shared" si="36"/>
        <v>5.7178400013150013</v>
      </c>
      <c r="O150" s="84">
        <f t="shared" si="36"/>
        <v>13.752196603540218</v>
      </c>
      <c r="P150" s="84">
        <f t="shared" si="36"/>
        <v>1.7758919884794033</v>
      </c>
      <c r="Q150" s="84">
        <f t="shared" si="36"/>
        <v>2.6594541280156854</v>
      </c>
      <c r="R150" s="84">
        <f t="shared" si="36"/>
        <v>37.61785231394289</v>
      </c>
      <c r="S150" s="84"/>
      <c r="T150" s="84"/>
      <c r="U150" s="84">
        <f t="shared" si="36"/>
        <v>2.8000119286881109</v>
      </c>
      <c r="V150" s="84">
        <f t="shared" si="36"/>
        <v>1.3175720075923272</v>
      </c>
      <c r="W150" s="84"/>
      <c r="X150" s="84"/>
      <c r="Y150" s="84"/>
      <c r="Z150" s="84"/>
      <c r="AA150" s="84"/>
      <c r="AB150" s="84">
        <f t="shared" ref="AB150:AJ150" si="37">(AB153+(3*AB149))</f>
        <v>8.6728503035252285</v>
      </c>
      <c r="AC150" s="84">
        <f t="shared" si="37"/>
        <v>9.1560579019841821</v>
      </c>
      <c r="AD150" s="84">
        <f t="shared" si="37"/>
        <v>5.1783105318366163</v>
      </c>
      <c r="AE150" s="84">
        <f t="shared" si="37"/>
        <v>4.2544215747175791</v>
      </c>
      <c r="AF150" s="84">
        <f t="shared" si="37"/>
        <v>4.8099766137587263</v>
      </c>
      <c r="AG150" s="84">
        <f t="shared" si="37"/>
        <v>11.043908655070053</v>
      </c>
      <c r="AH150" s="84">
        <f t="shared" si="37"/>
        <v>1.9020016875118169</v>
      </c>
      <c r="AI150" s="84">
        <f t="shared" si="37"/>
        <v>1.1416557391066042</v>
      </c>
      <c r="AJ150" s="84">
        <f t="shared" si="37"/>
        <v>35.694868623896554</v>
      </c>
      <c r="AK150" s="84"/>
      <c r="AL150" s="84"/>
      <c r="AM150" s="84"/>
      <c r="AN150" s="84">
        <f t="shared" ref="AN150:AV150" si="38">(AN153+(3*AN149))</f>
        <v>7.0525450834671446</v>
      </c>
      <c r="AO150" s="84">
        <f t="shared" si="38"/>
        <v>2.8086304670155022</v>
      </c>
      <c r="AP150" s="84">
        <f t="shared" si="38"/>
        <v>4.022886398045209</v>
      </c>
      <c r="AQ150" s="84">
        <f t="shared" si="38"/>
        <v>2.1657598333947661</v>
      </c>
      <c r="AR150" s="84">
        <f t="shared" si="38"/>
        <v>2.2236796846567213</v>
      </c>
      <c r="AS150" s="84">
        <f t="shared" si="38"/>
        <v>2.9989195874225807</v>
      </c>
      <c r="AT150" s="84">
        <f t="shared" si="38"/>
        <v>0.75877501972615191</v>
      </c>
      <c r="AU150" s="84">
        <f t="shared" si="38"/>
        <v>0.45910926457828888</v>
      </c>
      <c r="AV150" s="84">
        <f t="shared" si="38"/>
        <v>5.8940062120710719</v>
      </c>
      <c r="AW150" s="84"/>
      <c r="AX150" s="84">
        <f t="shared" ref="AX150:BF150" si="39">(AX153+(3*AX149))</f>
        <v>6.2938925457469761</v>
      </c>
      <c r="AY150" s="84">
        <f t="shared" si="39"/>
        <v>2.6476032980873034</v>
      </c>
      <c r="AZ150" s="84">
        <f t="shared" si="39"/>
        <v>3.7785552730931906</v>
      </c>
      <c r="BA150" s="84">
        <f t="shared" si="39"/>
        <v>2.8557284943405072</v>
      </c>
      <c r="BB150" s="84">
        <f t="shared" si="39"/>
        <v>2.7552214062305209</v>
      </c>
      <c r="BC150" s="84">
        <f t="shared" si="39"/>
        <v>3.4978407825386926</v>
      </c>
      <c r="BD150" s="84">
        <f t="shared" si="39"/>
        <v>0.53212827460056689</v>
      </c>
      <c r="BE150" s="84">
        <f t="shared" si="39"/>
        <v>0.45910926457828888</v>
      </c>
      <c r="BF150" s="84">
        <f t="shared" si="39"/>
        <v>5.7683084907534887</v>
      </c>
      <c r="BG150" s="84"/>
      <c r="BH150" s="84">
        <f t="shared" ref="BH150:BP150" si="40">(BH153+(3*BH149))</f>
        <v>6.8428394509443713</v>
      </c>
      <c r="BI150" s="84">
        <f t="shared" si="40"/>
        <v>2.2652453752678876</v>
      </c>
      <c r="BJ150" s="84">
        <f t="shared" si="40"/>
        <v>4.0793131522979262</v>
      </c>
      <c r="BK150" s="84">
        <f t="shared" si="40"/>
        <v>2.9870870740194739</v>
      </c>
      <c r="BL150" s="84">
        <f t="shared" si="40"/>
        <v>2.140688432644378</v>
      </c>
      <c r="BM150" s="84">
        <f t="shared" si="40"/>
        <v>2.8308358751967218</v>
      </c>
      <c r="BN150" s="84">
        <f t="shared" si="40"/>
        <v>0.75877501972615191</v>
      </c>
      <c r="BO150" s="84">
        <f t="shared" si="40"/>
        <v>0.65505885104177364</v>
      </c>
      <c r="BP150" s="84">
        <f t="shared" si="40"/>
        <v>6.4206861843283969</v>
      </c>
      <c r="BQ150" s="84"/>
      <c r="BR150" s="84">
        <f t="shared" ref="BR150:BZ150" si="41">(BR153+(3*BR149))</f>
        <v>6.3825648887156436</v>
      </c>
      <c r="BS150" s="84">
        <f t="shared" si="41"/>
        <v>2.5119136603158472</v>
      </c>
      <c r="BT150" s="84">
        <f t="shared" si="41"/>
        <v>3.8347865071607874</v>
      </c>
      <c r="BU150" s="84">
        <f t="shared" si="41"/>
        <v>3.1872549355400785</v>
      </c>
      <c r="BV150" s="84">
        <f t="shared" si="41"/>
        <v>2.4248370935529411</v>
      </c>
      <c r="BW150" s="84">
        <f t="shared" si="41"/>
        <v>3.0565815225873108</v>
      </c>
      <c r="BX150" s="84">
        <f t="shared" si="41"/>
        <v>0.53212827460056689</v>
      </c>
      <c r="BY150" s="84">
        <f t="shared" si="41"/>
        <v>0.65505885104177364</v>
      </c>
      <c r="BZ150" s="84">
        <f t="shared" si="41"/>
        <v>7.0723728247035185</v>
      </c>
      <c r="CA150" s="84"/>
      <c r="CB150" s="84">
        <f t="shared" ref="CB150:CJ150" si="42">(CB153+(3*CB149))</f>
        <v>6.5249618403609491</v>
      </c>
      <c r="CC150" s="84">
        <f t="shared" si="42"/>
        <v>2.558520183998179</v>
      </c>
      <c r="CD150" s="84">
        <f t="shared" si="42"/>
        <v>3.3268072444787182</v>
      </c>
      <c r="CE150" s="84">
        <f t="shared" si="42"/>
        <v>2.8376287170260528</v>
      </c>
      <c r="CF150" s="84">
        <f t="shared" si="42"/>
        <v>2.3147441032226781</v>
      </c>
      <c r="CG150" s="84">
        <f t="shared" si="42"/>
        <v>2.9851201298946584</v>
      </c>
      <c r="CH150" s="84">
        <f t="shared" si="42"/>
        <v>0.65505885104177364</v>
      </c>
      <c r="CI150" s="84">
        <f t="shared" si="42"/>
        <v>0.70879075320640528</v>
      </c>
      <c r="CJ150" s="84">
        <f t="shared" si="42"/>
        <v>6.1390304679680368</v>
      </c>
      <c r="CK150" s="84"/>
      <c r="CL150" s="84">
        <f t="shared" ref="CL150:CT150" si="43">(CL153+(3*CL149))</f>
        <v>6.7606354507118533</v>
      </c>
      <c r="CM150" s="84">
        <f t="shared" si="43"/>
        <v>2.2126313429302638</v>
      </c>
      <c r="CN150" s="84">
        <f t="shared" si="43"/>
        <v>3.5895953694568119</v>
      </c>
      <c r="CO150" s="84">
        <f t="shared" si="43"/>
        <v>2.454172903481401</v>
      </c>
      <c r="CP150" s="84">
        <f t="shared" si="43"/>
        <v>2.006303603625923</v>
      </c>
      <c r="CQ150" s="84">
        <f t="shared" si="43"/>
        <v>3.0016842207483303</v>
      </c>
      <c r="CR150" s="84">
        <f t="shared" si="43"/>
        <v>0.70879075320640528</v>
      </c>
      <c r="CS150" s="84">
        <f t="shared" si="43"/>
        <v>0.45910926457828888</v>
      </c>
      <c r="CT150" s="84">
        <f t="shared" si="43"/>
        <v>5.2272292971809904</v>
      </c>
      <c r="CU150" s="84"/>
      <c r="CV150" s="84">
        <f t="shared" ref="CV150:DD150" si="44">(CV153+(3*CV149))</f>
        <v>6.3329640983486222</v>
      </c>
      <c r="CW150" s="84">
        <f t="shared" si="44"/>
        <v>2.0012055713146837</v>
      </c>
      <c r="CX150" s="84">
        <f t="shared" si="44"/>
        <v>3.5183605958557269</v>
      </c>
      <c r="CY150" s="84">
        <f t="shared" si="44"/>
        <v>2.6792644990951571</v>
      </c>
      <c r="CZ150" s="84">
        <f t="shared" si="44"/>
        <v>1.9616921796231204</v>
      </c>
      <c r="DA150" s="84">
        <f t="shared" si="44"/>
        <v>2.720409742888716</v>
      </c>
      <c r="DB150" s="84">
        <f t="shared" si="44"/>
        <v>0.75877501972615191</v>
      </c>
      <c r="DC150" s="84">
        <f t="shared" si="44"/>
        <v>0.59664689565618756</v>
      </c>
      <c r="DD150" s="84">
        <f t="shared" si="44"/>
        <v>4.9352166829315296</v>
      </c>
      <c r="DE150" s="84"/>
      <c r="DF150" s="84">
        <f t="shared" ref="DF150:DN150" si="45">(DF153+(3*DF149))</f>
        <v>6.4112585970256752</v>
      </c>
      <c r="DG150" s="84">
        <f t="shared" si="45"/>
        <v>2.2480400438422121</v>
      </c>
      <c r="DH150" s="84">
        <f t="shared" si="45"/>
        <v>2.8809316669770668</v>
      </c>
      <c r="DI150" s="84">
        <f t="shared" si="45"/>
        <v>2.4965687464647184</v>
      </c>
      <c r="DJ150" s="84">
        <f t="shared" si="45"/>
        <v>2.6390991412286442</v>
      </c>
      <c r="DK150" s="84">
        <f t="shared" si="45"/>
        <v>3.0343480358382031</v>
      </c>
      <c r="DL150" s="84">
        <f t="shared" si="45"/>
        <v>0.65505885104177364</v>
      </c>
      <c r="DM150" s="84">
        <f t="shared" si="45"/>
        <v>0.65505885104177364</v>
      </c>
      <c r="DN150" s="84">
        <f t="shared" si="45"/>
        <v>5.2892885437180119</v>
      </c>
      <c r="DO150" s="84"/>
      <c r="DP150" s="84">
        <f t="shared" ref="DP150:FR150" si="46">(DP153+(3*DP149))</f>
        <v>6.2612001020821735</v>
      </c>
      <c r="DQ150" s="84">
        <f t="shared" si="46"/>
        <v>2.3147441032226781</v>
      </c>
      <c r="DR150" s="84">
        <f t="shared" si="46"/>
        <v>2.935698602006021</v>
      </c>
      <c r="DS150" s="84">
        <f t="shared" si="46"/>
        <v>2.0565795104333469</v>
      </c>
      <c r="DT150" s="84">
        <f t="shared" si="46"/>
        <v>1.6436550539390962</v>
      </c>
      <c r="DU150" s="84">
        <f t="shared" si="46"/>
        <v>3.3825648887156436</v>
      </c>
      <c r="DV150" s="84">
        <f t="shared" si="46"/>
        <v>0.70879075320640528</v>
      </c>
      <c r="DW150" s="84">
        <f t="shared" si="46"/>
        <v>0.26165092350830782</v>
      </c>
      <c r="DX150" s="84">
        <f t="shared" si="46"/>
        <v>4.5505928990755269</v>
      </c>
      <c r="DY150" s="84">
        <f t="shared" si="46"/>
        <v>10.005367507518969</v>
      </c>
      <c r="DZ150" s="84">
        <f t="shared" si="46"/>
        <v>2.4203197690621074</v>
      </c>
      <c r="EA150" s="84">
        <f t="shared" si="46"/>
        <v>1.0390788221532565</v>
      </c>
      <c r="EB150" s="84">
        <f t="shared" si="46"/>
        <v>14.697769908128892</v>
      </c>
      <c r="EC150" s="84">
        <f t="shared" si="46"/>
        <v>3.3255217959445051</v>
      </c>
      <c r="ED150" s="84">
        <f t="shared" si="46"/>
        <v>1.7365702997946872</v>
      </c>
      <c r="EE150" s="84">
        <f t="shared" si="46"/>
        <v>2.9749541165226656</v>
      </c>
      <c r="EF150" s="84">
        <f t="shared" si="46"/>
        <v>3.5728091965388131</v>
      </c>
      <c r="EG150" s="84">
        <f t="shared" si="46"/>
        <v>2.8372719517454228</v>
      </c>
      <c r="EH150" s="84">
        <f t="shared" si="46"/>
        <v>3.4284469650752971</v>
      </c>
      <c r="EI150" s="84">
        <f t="shared" si="46"/>
        <v>3.6182350882711352</v>
      </c>
      <c r="EJ150" s="84">
        <f t="shared" si="46"/>
        <v>3.1038552680870746</v>
      </c>
      <c r="EK150" s="84">
        <f t="shared" si="46"/>
        <v>2.7302985959605484</v>
      </c>
      <c r="EL150" s="84">
        <f t="shared" si="46"/>
        <v>4.2795595480040083</v>
      </c>
      <c r="EM150" s="84">
        <f t="shared" si="46"/>
        <v>2.8548397731471944</v>
      </c>
      <c r="EN150" s="84">
        <f t="shared" si="46"/>
        <v>2.9834633103293489</v>
      </c>
      <c r="EO150" s="84">
        <f t="shared" si="46"/>
        <v>1.1111111111111112</v>
      </c>
      <c r="EP150" s="84">
        <f t="shared" si="46"/>
        <v>3.1161564094498444</v>
      </c>
      <c r="EQ150" s="84">
        <f t="shared" si="46"/>
        <v>0</v>
      </c>
      <c r="ER150" s="84">
        <f t="shared" ref="ER150:ES150" si="47">(ER153+(3*ER149))</f>
        <v>0</v>
      </c>
      <c r="ES150" s="84">
        <f t="shared" si="47"/>
        <v>2.6213203435596428</v>
      </c>
      <c r="ET150" s="84"/>
      <c r="EU150" s="84"/>
      <c r="EV150" s="84"/>
      <c r="EW150" s="84"/>
      <c r="EX150" s="84">
        <f t="shared" si="46"/>
        <v>12.437846507129089</v>
      </c>
      <c r="EY150" s="84">
        <f t="shared" si="46"/>
        <v>3.458081794006147</v>
      </c>
      <c r="EZ150" s="84">
        <f t="shared" si="46"/>
        <v>2.9237322232590848</v>
      </c>
      <c r="FA150" s="84">
        <f t="shared" si="46"/>
        <v>2.9805538054254503</v>
      </c>
      <c r="FB150" s="84">
        <f t="shared" si="46"/>
        <v>4.0987600560319137</v>
      </c>
      <c r="FC150" s="84">
        <f t="shared" si="46"/>
        <v>3.2264745887529402</v>
      </c>
      <c r="FD150" s="84">
        <f t="shared" si="46"/>
        <v>3.073415962398709</v>
      </c>
      <c r="FE150" s="84">
        <f t="shared" si="46"/>
        <v>3.4845239672306221</v>
      </c>
      <c r="FF150" s="84">
        <f t="shared" si="46"/>
        <v>2.6558940786730103</v>
      </c>
      <c r="FG150" s="84">
        <f t="shared" si="46"/>
        <v>2.1346517300278736</v>
      </c>
      <c r="FH150" s="84">
        <f t="shared" si="46"/>
        <v>1.6921359785297718</v>
      </c>
      <c r="FI150" s="84">
        <f t="shared" si="46"/>
        <v>1.5450978777545177</v>
      </c>
      <c r="FJ150" s="84">
        <f t="shared" si="46"/>
        <v>1.3914115380582557</v>
      </c>
      <c r="FK150" s="84">
        <f t="shared" si="46"/>
        <v>4.1307682818044222</v>
      </c>
      <c r="FL150" s="84">
        <f t="shared" ref="FL150:FM150" si="48">(FL153+(3*FL149))</f>
        <v>0</v>
      </c>
      <c r="FM150" s="84">
        <f t="shared" si="48"/>
        <v>0</v>
      </c>
      <c r="FN150" s="84"/>
      <c r="FO150" s="84"/>
      <c r="FP150" s="84"/>
      <c r="FQ150" s="84"/>
      <c r="FR150" s="84">
        <f t="shared" si="46"/>
        <v>11.813542889844365</v>
      </c>
      <c r="FU150" s="88" t="s">
        <v>281</v>
      </c>
    </row>
    <row r="151" spans="1:177" x14ac:dyDescent="0.25">
      <c r="A151" s="87" t="s">
        <v>280</v>
      </c>
      <c r="B151" s="53"/>
      <c r="C151" s="53"/>
      <c r="D151" s="53"/>
      <c r="E151" s="84">
        <f>(E153+(2*E149))</f>
        <v>4878.3110753766587</v>
      </c>
      <c r="F151" s="84"/>
      <c r="G151" s="84"/>
      <c r="H151" s="84"/>
      <c r="I151" s="84"/>
      <c r="J151" s="84">
        <f t="shared" ref="J151:V151" si="49">(J153+(2*J149))</f>
        <v>8.1553502901010493</v>
      </c>
      <c r="K151" s="84">
        <f t="shared" si="49"/>
        <v>10.422214464981966</v>
      </c>
      <c r="L151" s="84">
        <f t="shared" si="49"/>
        <v>6.9217866112771427</v>
      </c>
      <c r="M151" s="84">
        <f t="shared" si="49"/>
        <v>5.9091814320115912</v>
      </c>
      <c r="N151" s="84">
        <f t="shared" si="49"/>
        <v>4.3802386579510078</v>
      </c>
      <c r="O151" s="84">
        <f t="shared" si="49"/>
        <v>10.80362267574144</v>
      </c>
      <c r="P151" s="84">
        <f t="shared" si="49"/>
        <v>1.260666601432312</v>
      </c>
      <c r="Q151" s="84">
        <f t="shared" si="49"/>
        <v>1.9168543107634546</v>
      </c>
      <c r="R151" s="84">
        <f t="shared" si="49"/>
        <v>32.807584995866002</v>
      </c>
      <c r="S151" s="84"/>
      <c r="T151" s="84"/>
      <c r="U151" s="84">
        <f t="shared" si="49"/>
        <v>2.017753755816055</v>
      </c>
      <c r="V151" s="84">
        <f t="shared" si="49"/>
        <v>0.92634296909032843</v>
      </c>
      <c r="W151" s="84"/>
      <c r="X151" s="84"/>
      <c r="Y151" s="84"/>
      <c r="Z151" s="84"/>
      <c r="AA151" s="84"/>
      <c r="AB151" s="84">
        <f t="shared" ref="AB151:AJ151" si="50">(AB153+(2*AB149))</f>
        <v>6.8834189873221749</v>
      </c>
      <c r="AC151" s="84">
        <f t="shared" si="50"/>
        <v>6.9553575461669128</v>
      </c>
      <c r="AD151" s="84">
        <f t="shared" si="50"/>
        <v>3.7927345991620607</v>
      </c>
      <c r="AE151" s="84">
        <f t="shared" si="50"/>
        <v>3.1192546709148372</v>
      </c>
      <c r="AF151" s="84">
        <f t="shared" si="50"/>
        <v>3.5711594691245221</v>
      </c>
      <c r="AG151" s="84">
        <f t="shared" si="50"/>
        <v>8.5664427005023374</v>
      </c>
      <c r="AH151" s="84">
        <f t="shared" si="50"/>
        <v>1.3255550818424102</v>
      </c>
      <c r="AI151" s="84">
        <f t="shared" si="50"/>
        <v>0.79947313062742453</v>
      </c>
      <c r="AJ151" s="84">
        <f t="shared" si="50"/>
        <v>28.292981960295549</v>
      </c>
      <c r="AK151" s="84"/>
      <c r="AL151" s="84"/>
      <c r="AM151" s="84"/>
      <c r="AN151" s="84">
        <f t="shared" ref="AN151:AV151" si="51">(AN153+(2*AN149))</f>
        <v>6.0542147079229398</v>
      </c>
      <c r="AO151" s="84">
        <f t="shared" si="51"/>
        <v>2.0546745079863538</v>
      </c>
      <c r="AP151" s="84">
        <f t="shared" si="51"/>
        <v>3.0704134739965667</v>
      </c>
      <c r="AQ151" s="84">
        <f t="shared" si="51"/>
        <v>1.5637439656684531</v>
      </c>
      <c r="AR151" s="84">
        <f t="shared" si="51"/>
        <v>1.6143476075169507</v>
      </c>
      <c r="AS151" s="84">
        <f t="shared" si="51"/>
        <v>2.2294955522865165</v>
      </c>
      <c r="AT151" s="84">
        <f t="shared" si="51"/>
        <v>0.52503466542894539</v>
      </c>
      <c r="AU151" s="84">
        <f t="shared" si="51"/>
        <v>0.31326708765650912</v>
      </c>
      <c r="AV151" s="84">
        <f t="shared" si="51"/>
        <v>4.4377307600857501</v>
      </c>
      <c r="AW151" s="84"/>
      <c r="AX151" s="84">
        <f t="shared" ref="AX151:BF151" si="52">(AX153+(2*AX149))</f>
        <v>5.4813000664692071</v>
      </c>
      <c r="AY151" s="84">
        <f t="shared" si="52"/>
        <v>1.9425268989646769</v>
      </c>
      <c r="AZ151" s="84">
        <f t="shared" si="52"/>
        <v>2.8499721005273546</v>
      </c>
      <c r="BA151" s="84">
        <f t="shared" si="52"/>
        <v>2.0477038883133356</v>
      </c>
      <c r="BB151" s="84">
        <f t="shared" si="52"/>
        <v>1.9998838151848557</v>
      </c>
      <c r="BC151" s="84">
        <f t="shared" si="52"/>
        <v>2.6556348622200399</v>
      </c>
      <c r="BD151" s="84">
        <f t="shared" si="52"/>
        <v>0.36434450920613326</v>
      </c>
      <c r="BE151" s="84">
        <f t="shared" si="52"/>
        <v>0.31326708765650912</v>
      </c>
      <c r="BF151" s="84">
        <f t="shared" si="52"/>
        <v>4.2987764039076009</v>
      </c>
      <c r="BG151" s="84"/>
      <c r="BH151" s="84">
        <f t="shared" ref="BH151:BP151" si="53">(BH153+(2*BH149))</f>
        <v>5.8568569960732262</v>
      </c>
      <c r="BI151" s="84">
        <f t="shared" si="53"/>
        <v>1.6516503940634839</v>
      </c>
      <c r="BJ151" s="84">
        <f t="shared" si="53"/>
        <v>3.088846657886867</v>
      </c>
      <c r="BK151" s="84">
        <f t="shared" si="53"/>
        <v>2.1424705193702969</v>
      </c>
      <c r="BL151" s="84">
        <f t="shared" si="53"/>
        <v>1.5422335354319834</v>
      </c>
      <c r="BM151" s="84">
        <f t="shared" si="53"/>
        <v>2.0958570103229941</v>
      </c>
      <c r="BN151" s="84">
        <f t="shared" si="53"/>
        <v>0.52503466542894539</v>
      </c>
      <c r="BO151" s="84">
        <f t="shared" si="53"/>
        <v>0.45109438990314893</v>
      </c>
      <c r="BP151" s="84">
        <f t="shared" si="53"/>
        <v>4.8056373123340386</v>
      </c>
      <c r="BQ151" s="84"/>
      <c r="BR151" s="84">
        <f t="shared" ref="BR151:BZ151" si="54">(BR153+(2*BR149))</f>
        <v>5.5164341464339302</v>
      </c>
      <c r="BS151" s="84">
        <f t="shared" si="54"/>
        <v>1.8376786512417398</v>
      </c>
      <c r="BT151" s="84">
        <f t="shared" si="54"/>
        <v>2.894653834510069</v>
      </c>
      <c r="BU151" s="84">
        <f t="shared" si="54"/>
        <v>2.2998965757317551</v>
      </c>
      <c r="BV151" s="84">
        <f t="shared" si="54"/>
        <v>1.7556467913854139</v>
      </c>
      <c r="BW151" s="84">
        <f t="shared" si="54"/>
        <v>2.2703349239311086</v>
      </c>
      <c r="BX151" s="84">
        <f t="shared" si="54"/>
        <v>0.36434450920613326</v>
      </c>
      <c r="BY151" s="84">
        <f t="shared" si="54"/>
        <v>0.45109438990314893</v>
      </c>
      <c r="BZ151" s="84">
        <f t="shared" si="54"/>
        <v>5.2257065833754872</v>
      </c>
      <c r="CA151" s="84"/>
      <c r="CB151" s="84">
        <f t="shared" ref="CB151:CJ151" si="55">(CB153+(2*CB149))</f>
        <v>5.5753942245092176</v>
      </c>
      <c r="CC151" s="84">
        <f t="shared" si="55"/>
        <v>1.8735458300995054</v>
      </c>
      <c r="CD151" s="84">
        <f t="shared" si="55"/>
        <v>2.5344182589090734</v>
      </c>
      <c r="CE151" s="84">
        <f t="shared" si="55"/>
        <v>2.0380354516384718</v>
      </c>
      <c r="CF151" s="84">
        <f t="shared" si="55"/>
        <v>1.6798533829637998</v>
      </c>
      <c r="CG151" s="84">
        <f t="shared" si="55"/>
        <v>2.18912085398253</v>
      </c>
      <c r="CH151" s="84">
        <f t="shared" si="55"/>
        <v>0.45109438990314893</v>
      </c>
      <c r="CI151" s="84">
        <f t="shared" si="55"/>
        <v>0.48931373954767549</v>
      </c>
      <c r="CJ151" s="84">
        <f t="shared" si="55"/>
        <v>4.5818956117388829</v>
      </c>
      <c r="CK151" s="84"/>
      <c r="CL151" s="84">
        <f t="shared" ref="CL151:CT151" si="56">(CL153+(2*CL149))</f>
        <v>5.7445003724170149</v>
      </c>
      <c r="CM151" s="84">
        <f t="shared" si="56"/>
        <v>1.604583964831207</v>
      </c>
      <c r="CN151" s="84">
        <f t="shared" si="56"/>
        <v>2.7216007499016635</v>
      </c>
      <c r="CO151" s="84">
        <f t="shared" si="56"/>
        <v>1.7536212641914375</v>
      </c>
      <c r="CP151" s="84">
        <f t="shared" si="56"/>
        <v>1.4358570786762748</v>
      </c>
      <c r="CQ151" s="84">
        <f t="shared" si="56"/>
        <v>2.2097559073573998</v>
      </c>
      <c r="CR151" s="84">
        <f t="shared" si="56"/>
        <v>0.48931373954767549</v>
      </c>
      <c r="CS151" s="84">
        <f t="shared" si="56"/>
        <v>0.31326708765650912</v>
      </c>
      <c r="CT151" s="84">
        <f t="shared" si="56"/>
        <v>3.9284646153868472</v>
      </c>
      <c r="CU151" s="84"/>
      <c r="CV151" s="84">
        <f t="shared" ref="CV151:DD151" si="57">(CV153+(2*CV149))</f>
        <v>5.3898417729998016</v>
      </c>
      <c r="CW151" s="84">
        <f t="shared" si="57"/>
        <v>1.4444487981426428</v>
      </c>
      <c r="CX151" s="84">
        <f t="shared" si="57"/>
        <v>2.6381396778126911</v>
      </c>
      <c r="CY151" s="84">
        <f t="shared" si="57"/>
        <v>1.9276631432816635</v>
      </c>
      <c r="CZ151" s="84">
        <f t="shared" si="57"/>
        <v>1.4181065370149339</v>
      </c>
      <c r="DA151" s="84">
        <f t="shared" si="57"/>
        <v>1.9958606919018296</v>
      </c>
      <c r="DB151" s="84">
        <f t="shared" si="57"/>
        <v>0.52503466542894539</v>
      </c>
      <c r="DC151" s="84">
        <f t="shared" si="57"/>
        <v>0.40975500477798593</v>
      </c>
      <c r="DD151" s="84">
        <f t="shared" si="57"/>
        <v>3.6642451747121472</v>
      </c>
      <c r="DE151" s="84"/>
      <c r="DF151" s="84">
        <f t="shared" ref="DF151:DN151" si="58">(DF153+(2*DF149))</f>
        <v>5.372493740942776</v>
      </c>
      <c r="DG151" s="84">
        <f t="shared" si="58"/>
        <v>1.6281897654391728</v>
      </c>
      <c r="DH151" s="84">
        <f t="shared" si="58"/>
        <v>2.1844100801429844</v>
      </c>
      <c r="DI151" s="84">
        <f t="shared" si="58"/>
        <v>1.7842832410484213</v>
      </c>
      <c r="DJ151" s="84">
        <f t="shared" si="58"/>
        <v>1.9056824011068658</v>
      </c>
      <c r="DK151" s="84">
        <f t="shared" si="58"/>
        <v>2.2675030071055646</v>
      </c>
      <c r="DL151" s="84">
        <f t="shared" si="58"/>
        <v>0.45109438990314893</v>
      </c>
      <c r="DM151" s="84">
        <f t="shared" si="58"/>
        <v>0.45109438990314893</v>
      </c>
      <c r="DN151" s="84">
        <f t="shared" si="58"/>
        <v>3.9362643049247175</v>
      </c>
      <c r="DO151" s="84"/>
      <c r="DP151" s="84">
        <f t="shared" ref="DP151:FR151" si="59">(DP153+(2*DP149))</f>
        <v>5.2916393965919521</v>
      </c>
      <c r="DQ151" s="84">
        <f t="shared" si="59"/>
        <v>1.6798533829637998</v>
      </c>
      <c r="DR151" s="84">
        <f t="shared" si="59"/>
        <v>2.1801539840711603</v>
      </c>
      <c r="DS151" s="84">
        <f t="shared" si="59"/>
        <v>1.4597820237421351</v>
      </c>
      <c r="DT151" s="84">
        <f t="shared" si="59"/>
        <v>1.1725086450721072</v>
      </c>
      <c r="DU151" s="84">
        <f t="shared" si="59"/>
        <v>2.5164341464339302</v>
      </c>
      <c r="DV151" s="84">
        <f t="shared" si="59"/>
        <v>0.48931373954767549</v>
      </c>
      <c r="DW151" s="84">
        <f t="shared" si="59"/>
        <v>0.17683203054031074</v>
      </c>
      <c r="DX151" s="84">
        <f t="shared" si="59"/>
        <v>3.3454791989040684</v>
      </c>
      <c r="DY151" s="84">
        <f t="shared" si="59"/>
        <v>7.3129308563315902</v>
      </c>
      <c r="DZ151" s="84">
        <f t="shared" si="59"/>
        <v>1.7022755294946421</v>
      </c>
      <c r="EA151" s="84">
        <f t="shared" si="59"/>
        <v>0.71909811165133164</v>
      </c>
      <c r="EB151" s="84">
        <f t="shared" si="59"/>
        <v>12.062302240910867</v>
      </c>
      <c r="EC151" s="84">
        <f t="shared" si="59"/>
        <v>2.4088610534114445</v>
      </c>
      <c r="ED151" s="84">
        <f t="shared" si="59"/>
        <v>1.2464425499830289</v>
      </c>
      <c r="EE151" s="84">
        <f t="shared" si="59"/>
        <v>2.1175953102956857</v>
      </c>
      <c r="EF151" s="84">
        <f t="shared" si="59"/>
        <v>2.5353500159179623</v>
      </c>
      <c r="EG151" s="84">
        <f t="shared" si="59"/>
        <v>2.0306033635137348</v>
      </c>
      <c r="EH151" s="84">
        <f t="shared" si="59"/>
        <v>2.4630893436233396</v>
      </c>
      <c r="EI151" s="84">
        <f t="shared" si="59"/>
        <v>2.5800224329481427</v>
      </c>
      <c r="EJ151" s="84">
        <f t="shared" si="59"/>
        <v>2.2093334637488709</v>
      </c>
      <c r="EK151" s="84">
        <f t="shared" si="59"/>
        <v>1.94706473561549</v>
      </c>
      <c r="EL151" s="84">
        <f t="shared" si="59"/>
        <v>3.0575214913864257</v>
      </c>
      <c r="EM151" s="84">
        <f t="shared" si="59"/>
        <v>2.0587820709870184</v>
      </c>
      <c r="EN151" s="84">
        <f t="shared" si="59"/>
        <v>2.1318326830767087</v>
      </c>
      <c r="EO151" s="84">
        <f t="shared" si="59"/>
        <v>0.77777777777777768</v>
      </c>
      <c r="EP151" s="84">
        <f t="shared" si="59"/>
        <v>2.2996598285221186</v>
      </c>
      <c r="EQ151" s="84">
        <f t="shared" si="59"/>
        <v>0</v>
      </c>
      <c r="ER151" s="84">
        <f t="shared" ref="ER151:ES151" si="60">(ER153+(2*ER149))</f>
        <v>0</v>
      </c>
      <c r="ES151" s="84">
        <f t="shared" si="60"/>
        <v>1.9142135623730951</v>
      </c>
      <c r="ET151" s="84"/>
      <c r="EU151" s="84"/>
      <c r="EV151" s="84"/>
      <c r="EW151" s="84"/>
      <c r="EX151" s="84">
        <f t="shared" si="59"/>
        <v>9.63002716782227</v>
      </c>
      <c r="EY151" s="84">
        <f t="shared" si="59"/>
        <v>2.4564669993614121</v>
      </c>
      <c r="EZ151" s="84">
        <f t="shared" si="59"/>
        <v>2.0834473814532988</v>
      </c>
      <c r="FA151" s="84">
        <f t="shared" si="59"/>
        <v>2.1165322731613312</v>
      </c>
      <c r="FB151" s="84">
        <f t="shared" si="59"/>
        <v>2.9339455529421397</v>
      </c>
      <c r="FC151" s="84">
        <f t="shared" si="59"/>
        <v>2.287673706650641</v>
      </c>
      <c r="FD151" s="84">
        <f t="shared" si="59"/>
        <v>2.169716921792376</v>
      </c>
      <c r="FE151" s="84">
        <f t="shared" si="59"/>
        <v>2.4785715337093035</v>
      </c>
      <c r="FF151" s="84">
        <f t="shared" si="59"/>
        <v>1.8826408703758442</v>
      </c>
      <c r="FG151" s="84">
        <f t="shared" si="59"/>
        <v>1.4876172823841738</v>
      </c>
      <c r="FH151" s="84">
        <f t="shared" si="59"/>
        <v>1.2233287475912764</v>
      </c>
      <c r="FI151" s="84">
        <f t="shared" si="59"/>
        <v>1.1041393259104191</v>
      </c>
      <c r="FJ151" s="84">
        <f t="shared" si="59"/>
        <v>0.98316324759439266</v>
      </c>
      <c r="FK151" s="84">
        <f t="shared" si="59"/>
        <v>2.9760677434251699</v>
      </c>
      <c r="FL151" s="84">
        <f t="shared" ref="FL151:FM151" si="61">(FL153+(2*FL149))</f>
        <v>0</v>
      </c>
      <c r="FM151" s="84">
        <f t="shared" si="61"/>
        <v>0</v>
      </c>
      <c r="FN151" s="84"/>
      <c r="FO151" s="84"/>
      <c r="FP151" s="84"/>
      <c r="FQ151" s="84"/>
      <c r="FR151" s="84">
        <f t="shared" si="59"/>
        <v>9.0627456196084744</v>
      </c>
      <c r="FU151" s="88" t="s">
        <v>280</v>
      </c>
    </row>
    <row r="152" spans="1:177" x14ac:dyDescent="0.25">
      <c r="A152" s="87" t="s">
        <v>279</v>
      </c>
      <c r="B152" s="53"/>
      <c r="C152" s="53"/>
      <c r="D152" s="53"/>
      <c r="E152" s="84">
        <f>(E153+E149)</f>
        <v>3394.678793502283</v>
      </c>
      <c r="F152" s="84"/>
      <c r="G152" s="84"/>
      <c r="H152" s="84"/>
      <c r="I152" s="84"/>
      <c r="J152" s="84">
        <f t="shared" ref="J152:V152" si="62">(J153+J149)</f>
        <v>6.809090013156041</v>
      </c>
      <c r="K152" s="84">
        <f t="shared" si="62"/>
        <v>7.8513950022751562</v>
      </c>
      <c r="L152" s="84">
        <f t="shared" si="62"/>
        <v>4.7306774783004419</v>
      </c>
      <c r="M152" s="84">
        <f t="shared" si="62"/>
        <v>4.0265331620489615</v>
      </c>
      <c r="N152" s="84">
        <f t="shared" si="62"/>
        <v>3.0426373145870147</v>
      </c>
      <c r="O152" s="84">
        <f t="shared" si="62"/>
        <v>7.8550487479426625</v>
      </c>
      <c r="P152" s="84">
        <f t="shared" si="62"/>
        <v>0.74544121438522082</v>
      </c>
      <c r="Q152" s="84">
        <f t="shared" si="62"/>
        <v>1.1742544935112238</v>
      </c>
      <c r="R152" s="84">
        <f t="shared" si="62"/>
        <v>27.997317677789116</v>
      </c>
      <c r="S152" s="84"/>
      <c r="T152" s="84"/>
      <c r="U152" s="84">
        <f t="shared" si="62"/>
        <v>1.2354955829439986</v>
      </c>
      <c r="V152" s="84">
        <f t="shared" si="62"/>
        <v>0.53511393058832968</v>
      </c>
      <c r="W152" s="84"/>
      <c r="X152" s="84"/>
      <c r="Y152" s="84"/>
      <c r="Z152" s="84"/>
      <c r="AA152" s="84"/>
      <c r="AB152" s="84">
        <f t="shared" ref="AB152:AJ152" si="63">(AB153+AB149)</f>
        <v>5.0939876711191205</v>
      </c>
      <c r="AC152" s="84">
        <f t="shared" si="63"/>
        <v>4.7546571903496435</v>
      </c>
      <c r="AD152" s="84">
        <f t="shared" si="63"/>
        <v>2.4071586664875051</v>
      </c>
      <c r="AE152" s="84">
        <f t="shared" si="63"/>
        <v>1.9840877671120949</v>
      </c>
      <c r="AF152" s="84">
        <f t="shared" si="63"/>
        <v>2.3323423244903188</v>
      </c>
      <c r="AG152" s="84">
        <f t="shared" si="63"/>
        <v>6.0889767459346222</v>
      </c>
      <c r="AH152" s="84">
        <f t="shared" si="63"/>
        <v>0.74910847617300369</v>
      </c>
      <c r="AI152" s="84">
        <f t="shared" si="63"/>
        <v>0.45729052214824462</v>
      </c>
      <c r="AJ152" s="84">
        <f t="shared" si="63"/>
        <v>20.891095296694537</v>
      </c>
      <c r="AK152" s="84"/>
      <c r="AL152" s="84"/>
      <c r="AM152" s="84"/>
      <c r="AN152" s="84">
        <f t="shared" ref="AN152:AV152" si="64">(AN153+AN149)</f>
        <v>5.0558843323787359</v>
      </c>
      <c r="AO152" s="84">
        <f t="shared" si="64"/>
        <v>1.3007185489572057</v>
      </c>
      <c r="AP152" s="84">
        <f t="shared" si="64"/>
        <v>2.1179405499479236</v>
      </c>
      <c r="AQ152" s="84">
        <f t="shared" si="64"/>
        <v>0.9617280979421402</v>
      </c>
      <c r="AR152" s="84">
        <f t="shared" si="64"/>
        <v>1.0050155303771804</v>
      </c>
      <c r="AS152" s="84">
        <f t="shared" si="64"/>
        <v>1.4600715171504524</v>
      </c>
      <c r="AT152" s="84">
        <f t="shared" si="64"/>
        <v>0.29129431113173887</v>
      </c>
      <c r="AU152" s="84">
        <f t="shared" si="64"/>
        <v>0.1674249107347294</v>
      </c>
      <c r="AV152" s="84">
        <f t="shared" si="64"/>
        <v>2.9814553081004291</v>
      </c>
      <c r="AW152" s="84"/>
      <c r="AX152" s="84">
        <f t="shared" ref="AX152:BF152" si="65">(AX153+AX149)</f>
        <v>4.6687075871914381</v>
      </c>
      <c r="AY152" s="84">
        <f t="shared" si="65"/>
        <v>1.2374504998420508</v>
      </c>
      <c r="AZ152" s="84">
        <f t="shared" si="65"/>
        <v>1.9213889279615191</v>
      </c>
      <c r="BA152" s="84">
        <f t="shared" si="65"/>
        <v>1.2396792822861642</v>
      </c>
      <c r="BB152" s="84">
        <f t="shared" si="65"/>
        <v>1.2445462241391905</v>
      </c>
      <c r="BC152" s="84">
        <f t="shared" si="65"/>
        <v>1.8134289419013867</v>
      </c>
      <c r="BD152" s="84">
        <f t="shared" si="65"/>
        <v>0.19656074381169975</v>
      </c>
      <c r="BE152" s="84">
        <f t="shared" si="65"/>
        <v>0.1674249107347294</v>
      </c>
      <c r="BF152" s="84">
        <f t="shared" si="65"/>
        <v>2.8292443170617143</v>
      </c>
      <c r="BG152" s="84"/>
      <c r="BH152" s="84">
        <f t="shared" ref="BH152:BP152" si="66">(BH153+BH149)</f>
        <v>4.8708745412020802</v>
      </c>
      <c r="BI152" s="84">
        <f t="shared" si="66"/>
        <v>1.0380554128590802</v>
      </c>
      <c r="BJ152" s="84">
        <f t="shared" si="66"/>
        <v>2.0983801634758077</v>
      </c>
      <c r="BK152" s="84">
        <f t="shared" si="66"/>
        <v>1.2978539647211198</v>
      </c>
      <c r="BL152" s="84">
        <f t="shared" si="66"/>
        <v>0.94377863821958874</v>
      </c>
      <c r="BM152" s="84">
        <f t="shared" si="66"/>
        <v>1.3608781454492669</v>
      </c>
      <c r="BN152" s="84">
        <f t="shared" si="66"/>
        <v>0.29129431113173887</v>
      </c>
      <c r="BO152" s="84">
        <f t="shared" si="66"/>
        <v>0.24712992876452411</v>
      </c>
      <c r="BP152" s="84">
        <f t="shared" si="66"/>
        <v>3.1905884403396811</v>
      </c>
      <c r="BQ152" s="84"/>
      <c r="BR152" s="84">
        <f t="shared" ref="BR152:BZ152" si="67">(BR153+BR149)</f>
        <v>4.6503034041522167</v>
      </c>
      <c r="BS152" s="84">
        <f t="shared" si="67"/>
        <v>1.1634436421676324</v>
      </c>
      <c r="BT152" s="84">
        <f t="shared" si="67"/>
        <v>1.954521161859351</v>
      </c>
      <c r="BU152" s="84">
        <f t="shared" si="67"/>
        <v>1.4125382159234314</v>
      </c>
      <c r="BV152" s="84">
        <f t="shared" si="67"/>
        <v>1.0864564892178867</v>
      </c>
      <c r="BW152" s="84">
        <f t="shared" si="67"/>
        <v>1.4840883252749069</v>
      </c>
      <c r="BX152" s="84">
        <f t="shared" si="67"/>
        <v>0.19656074381169975</v>
      </c>
      <c r="BY152" s="84">
        <f t="shared" si="67"/>
        <v>0.24712992876452411</v>
      </c>
      <c r="BZ152" s="84">
        <f t="shared" si="67"/>
        <v>3.379040342047456</v>
      </c>
      <c r="CA152" s="84"/>
      <c r="CB152" s="84">
        <f t="shared" ref="CB152:CJ152" si="68">(CB153+CB149)</f>
        <v>4.6258266086574862</v>
      </c>
      <c r="CC152" s="84">
        <f t="shared" si="68"/>
        <v>1.1885714762008317</v>
      </c>
      <c r="CD152" s="84">
        <f t="shared" si="68"/>
        <v>1.7420292733394289</v>
      </c>
      <c r="CE152" s="84">
        <f t="shared" si="68"/>
        <v>1.2384421862508905</v>
      </c>
      <c r="CF152" s="84">
        <f t="shared" si="68"/>
        <v>1.0449626627049216</v>
      </c>
      <c r="CG152" s="84">
        <f t="shared" si="68"/>
        <v>1.3931215780704016</v>
      </c>
      <c r="CH152" s="84">
        <f t="shared" si="68"/>
        <v>0.24712992876452411</v>
      </c>
      <c r="CI152" s="84">
        <f t="shared" si="68"/>
        <v>0.26983672588894564</v>
      </c>
      <c r="CJ152" s="84">
        <f t="shared" si="68"/>
        <v>3.0247607555097291</v>
      </c>
      <c r="CK152" s="84"/>
      <c r="CL152" s="84">
        <f t="shared" ref="CL152:CT152" si="69">(CL153+CL149)</f>
        <v>4.7283652941221765</v>
      </c>
      <c r="CM152" s="84">
        <f t="shared" si="69"/>
        <v>0.99653658673215029</v>
      </c>
      <c r="CN152" s="84">
        <f t="shared" si="69"/>
        <v>1.853606130346515</v>
      </c>
      <c r="CO152" s="84">
        <f t="shared" si="69"/>
        <v>1.0530696249014742</v>
      </c>
      <c r="CP152" s="84">
        <f t="shared" si="69"/>
        <v>0.86541055372662656</v>
      </c>
      <c r="CQ152" s="84">
        <f t="shared" si="69"/>
        <v>1.4178275939664697</v>
      </c>
      <c r="CR152" s="84">
        <f t="shared" si="69"/>
        <v>0.26983672588894564</v>
      </c>
      <c r="CS152" s="84">
        <f t="shared" si="69"/>
        <v>0.1674249107347294</v>
      </c>
      <c r="CT152" s="84">
        <f t="shared" si="69"/>
        <v>2.629699933592704</v>
      </c>
      <c r="CU152" s="84"/>
      <c r="CV152" s="84">
        <f t="shared" ref="CV152:DD152" si="70">(CV153+CV149)</f>
        <v>4.4467194476509793</v>
      </c>
      <c r="CW152" s="84">
        <f t="shared" si="70"/>
        <v>0.88769202497060196</v>
      </c>
      <c r="CX152" s="84">
        <f t="shared" si="70"/>
        <v>1.7579187597696548</v>
      </c>
      <c r="CY152" s="84">
        <f t="shared" si="70"/>
        <v>1.17606178746817</v>
      </c>
      <c r="CZ152" s="84">
        <f t="shared" si="70"/>
        <v>0.87452089440674752</v>
      </c>
      <c r="DA152" s="84">
        <f t="shared" si="70"/>
        <v>1.2713116409149436</v>
      </c>
      <c r="DB152" s="84">
        <f t="shared" si="70"/>
        <v>0.29129431113173887</v>
      </c>
      <c r="DC152" s="84">
        <f t="shared" si="70"/>
        <v>0.22286311389978433</v>
      </c>
      <c r="DD152" s="84">
        <f t="shared" si="70"/>
        <v>2.3932736664927639</v>
      </c>
      <c r="DE152" s="84"/>
      <c r="DF152" s="84">
        <f t="shared" ref="DF152:DN152" si="71">(DF153+DF149)</f>
        <v>4.3337288848598776</v>
      </c>
      <c r="DG152" s="84">
        <f t="shared" si="71"/>
        <v>1.0083394870361331</v>
      </c>
      <c r="DH152" s="84">
        <f t="shared" si="71"/>
        <v>1.4878884933089025</v>
      </c>
      <c r="DI152" s="84">
        <f t="shared" si="71"/>
        <v>1.0719977356321242</v>
      </c>
      <c r="DJ152" s="84">
        <f t="shared" si="71"/>
        <v>1.1722656609850877</v>
      </c>
      <c r="DK152" s="84">
        <f t="shared" si="71"/>
        <v>1.5006579783729261</v>
      </c>
      <c r="DL152" s="84">
        <f t="shared" si="71"/>
        <v>0.24712992876452411</v>
      </c>
      <c r="DM152" s="84">
        <f t="shared" si="71"/>
        <v>0.24712992876452411</v>
      </c>
      <c r="DN152" s="84">
        <f t="shared" si="71"/>
        <v>2.5832400661314234</v>
      </c>
      <c r="DO152" s="84"/>
      <c r="DP152" s="84">
        <f t="shared" ref="DP152:FR152" si="72">(DP153+DP149)</f>
        <v>4.3220786911017317</v>
      </c>
      <c r="DQ152" s="84">
        <f t="shared" si="72"/>
        <v>1.0449626627049216</v>
      </c>
      <c r="DR152" s="84">
        <f t="shared" si="72"/>
        <v>1.4246093661362995</v>
      </c>
      <c r="DS152" s="84">
        <f t="shared" si="72"/>
        <v>0.86298453705092371</v>
      </c>
      <c r="DT152" s="84">
        <f t="shared" si="72"/>
        <v>0.70136223620511839</v>
      </c>
      <c r="DU152" s="84">
        <f t="shared" si="72"/>
        <v>1.6503034041522171</v>
      </c>
      <c r="DV152" s="84">
        <f t="shared" si="72"/>
        <v>0.26983672588894564</v>
      </c>
      <c r="DW152" s="84">
        <f t="shared" si="72"/>
        <v>9.2013137572313636E-2</v>
      </c>
      <c r="DX152" s="84">
        <f t="shared" si="72"/>
        <v>2.14036549873261</v>
      </c>
      <c r="DY152" s="84">
        <f t="shared" si="72"/>
        <v>4.6204942051442117</v>
      </c>
      <c r="DZ152" s="84">
        <f t="shared" si="72"/>
        <v>0.98423128992717723</v>
      </c>
      <c r="EA152" s="84">
        <f t="shared" si="72"/>
        <v>0.39911740114940686</v>
      </c>
      <c r="EB152" s="84">
        <f t="shared" si="72"/>
        <v>9.4268345736928438</v>
      </c>
      <c r="EC152" s="84">
        <f t="shared" si="72"/>
        <v>1.4922003108783841</v>
      </c>
      <c r="ED152" s="84">
        <f t="shared" si="72"/>
        <v>0.75631480017137054</v>
      </c>
      <c r="EE152" s="84">
        <f t="shared" si="72"/>
        <v>1.2602365040687062</v>
      </c>
      <c r="EF152" s="84">
        <f t="shared" si="72"/>
        <v>1.4978908352971105</v>
      </c>
      <c r="EG152" s="84">
        <f t="shared" si="72"/>
        <v>1.2239347752820473</v>
      </c>
      <c r="EH152" s="84">
        <f t="shared" si="72"/>
        <v>1.4977317221713822</v>
      </c>
      <c r="EI152" s="84">
        <f t="shared" si="72"/>
        <v>1.5418097776251505</v>
      </c>
      <c r="EJ152" s="84">
        <f t="shared" si="72"/>
        <v>1.3148116594106671</v>
      </c>
      <c r="EK152" s="84">
        <f t="shared" si="72"/>
        <v>1.1638308752704316</v>
      </c>
      <c r="EL152" s="84">
        <f t="shared" si="72"/>
        <v>1.8354834347688431</v>
      </c>
      <c r="EM152" s="84">
        <f t="shared" si="72"/>
        <v>1.2627243688268426</v>
      </c>
      <c r="EN152" s="84">
        <f t="shared" si="72"/>
        <v>1.2802020558240688</v>
      </c>
      <c r="EO152" s="84">
        <f t="shared" si="72"/>
        <v>0.44444444444444442</v>
      </c>
      <c r="EP152" s="84">
        <f t="shared" si="72"/>
        <v>1.4831632475943928</v>
      </c>
      <c r="EQ152" s="84">
        <f t="shared" si="72"/>
        <v>0</v>
      </c>
      <c r="ER152" s="84">
        <f t="shared" ref="ER152:ES152" si="73">(ER153+ER149)</f>
        <v>0</v>
      </c>
      <c r="ES152" s="84">
        <f t="shared" si="73"/>
        <v>1.2071067811865475</v>
      </c>
      <c r="ET152" s="84"/>
      <c r="EU152" s="84"/>
      <c r="EV152" s="84"/>
      <c r="EW152" s="84"/>
      <c r="EX152" s="84">
        <f t="shared" si="72"/>
        <v>6.8222078285154524</v>
      </c>
      <c r="EY152" s="84">
        <f t="shared" si="72"/>
        <v>1.4548522047166774</v>
      </c>
      <c r="EZ152" s="84">
        <f t="shared" si="72"/>
        <v>1.2431625396475126</v>
      </c>
      <c r="FA152" s="84">
        <f t="shared" si="72"/>
        <v>1.2525107408972125</v>
      </c>
      <c r="FB152" s="84">
        <f t="shared" si="72"/>
        <v>1.7691310498523647</v>
      </c>
      <c r="FC152" s="84">
        <f t="shared" si="72"/>
        <v>1.3488728245483421</v>
      </c>
      <c r="FD152" s="84">
        <f t="shared" si="72"/>
        <v>1.2660178811860432</v>
      </c>
      <c r="FE152" s="84">
        <f t="shared" si="72"/>
        <v>1.4726191001879849</v>
      </c>
      <c r="FF152" s="84">
        <f t="shared" si="72"/>
        <v>1.1093876620786784</v>
      </c>
      <c r="FG152" s="84">
        <f t="shared" si="72"/>
        <v>0.84058283474047402</v>
      </c>
      <c r="FH152" s="84">
        <f t="shared" si="72"/>
        <v>0.75452151665278111</v>
      </c>
      <c r="FI152" s="84">
        <f t="shared" si="72"/>
        <v>0.6631807740663207</v>
      </c>
      <c r="FJ152" s="84">
        <f t="shared" si="72"/>
        <v>0.57491495713052965</v>
      </c>
      <c r="FK152" s="84">
        <f t="shared" si="72"/>
        <v>1.8213672050459184</v>
      </c>
      <c r="FL152" s="84">
        <f t="shared" ref="FL152:FM152" si="74">(FL153+FL149)</f>
        <v>0</v>
      </c>
      <c r="FM152" s="84">
        <f t="shared" si="74"/>
        <v>0</v>
      </c>
      <c r="FN152" s="84"/>
      <c r="FO152" s="84"/>
      <c r="FP152" s="84"/>
      <c r="FQ152" s="84"/>
      <c r="FR152" s="84">
        <f t="shared" si="72"/>
        <v>6.3119483493725816</v>
      </c>
      <c r="FU152" s="88" t="s">
        <v>279</v>
      </c>
    </row>
    <row r="153" spans="1:177" x14ac:dyDescent="0.25">
      <c r="A153" s="82" t="s">
        <v>233</v>
      </c>
      <c r="B153" s="90"/>
      <c r="C153" s="90"/>
      <c r="D153" s="90"/>
      <c r="E153" s="39">
        <f>AVERAGE(Table12732[Att])</f>
        <v>1911.046511627907</v>
      </c>
      <c r="F153" s="84"/>
      <c r="G153" s="84"/>
      <c r="H153" s="84"/>
      <c r="I153" s="84"/>
      <c r="J153" s="39">
        <f>AVERAGE(Table12732[S-IP])</f>
        <v>5.4628297362110319</v>
      </c>
      <c r="K153" s="39">
        <f>AVERAGE(Table12732[S-H])</f>
        <v>5.2805755395683454</v>
      </c>
      <c r="L153" s="39">
        <f>AVERAGE(Table12732[S-R])</f>
        <v>2.5395683453237412</v>
      </c>
      <c r="M153" s="39">
        <f>AVERAGE(Table12732[S-ER])</f>
        <v>2.1438848920863309</v>
      </c>
      <c r="N153" s="39">
        <f>AVERAGE(Table12732[S-BB])</f>
        <v>1.7050359712230216</v>
      </c>
      <c r="O153" s="39">
        <f>AVERAGE(Table12732[S-SO])</f>
        <v>4.9064748201438846</v>
      </c>
      <c r="P153" s="39">
        <f>AVERAGE(Table12732[S-HR])</f>
        <v>0.23021582733812951</v>
      </c>
      <c r="Q153" s="39">
        <f>AVERAGE(Table12732[S-HBP])</f>
        <v>0.43165467625899279</v>
      </c>
      <c r="R153" s="39">
        <f>AVERAGE(Table12732[S-BF])</f>
        <v>23.187050359712231</v>
      </c>
      <c r="S153" s="39"/>
      <c r="T153" s="39"/>
      <c r="U153" s="39">
        <f>AVERAGE(Table12732[IRL])</f>
        <v>0.45323741007194246</v>
      </c>
      <c r="V153" s="39">
        <f>AVERAGE(Table12732[IRS])</f>
        <v>0.14388489208633093</v>
      </c>
      <c r="W153" s="84"/>
      <c r="X153" s="84"/>
      <c r="Y153" s="84"/>
      <c r="Z153" s="84"/>
      <c r="AA153" s="84"/>
      <c r="AB153" s="39">
        <f>AVERAGE(Table12732[B-IP])</f>
        <v>3.3045563549160666</v>
      </c>
      <c r="AC153" s="39">
        <f>AVERAGE(Table12732[B-H])</f>
        <v>2.5539568345323742</v>
      </c>
      <c r="AD153" s="39">
        <f>AVERAGE(Table12732[B-R])</f>
        <v>1.0215827338129497</v>
      </c>
      <c r="AE153" s="39">
        <f>AVERAGE(Table12732[B-ER])</f>
        <v>0.84892086330935257</v>
      </c>
      <c r="AF153" s="39">
        <f>AVERAGE(Table12732[B-BB])</f>
        <v>1.0935251798561152</v>
      </c>
      <c r="AG153" s="39">
        <f>AVERAGE(Table12732[B-SO])</f>
        <v>3.6115107913669067</v>
      </c>
      <c r="AH153" s="39">
        <f>AVERAGE(Table12732[B-HR])</f>
        <v>0.17266187050359713</v>
      </c>
      <c r="AI153" s="39">
        <f>AVERAGE(Table12732[B-HBP])</f>
        <v>0.11510791366906475</v>
      </c>
      <c r="AJ153" s="39">
        <f>AVERAGE(Table12732[B-BF])</f>
        <v>13.489208633093526</v>
      </c>
      <c r="AK153" s="39"/>
      <c r="AL153" s="39"/>
      <c r="AM153" s="84"/>
      <c r="AN153" s="39">
        <f>AVERAGE(Table12732[AB1])</f>
        <v>4.057553956834532</v>
      </c>
      <c r="AO153" s="39">
        <f>AVERAGE(Table12732[R1])</f>
        <v>0.5467625899280576</v>
      </c>
      <c r="AP153" s="39">
        <f>AVERAGE(Table12732[H1])</f>
        <v>1.1654676258992807</v>
      </c>
      <c r="AQ153" s="39">
        <f>AVERAGE(Table12732[RBI1])</f>
        <v>0.35971223021582732</v>
      </c>
      <c r="AR153" s="39">
        <f>AVERAGE(Table12732[BB1])</f>
        <v>0.39568345323741005</v>
      </c>
      <c r="AS153" s="39">
        <f>AVERAGE(Table12732[SO1])</f>
        <v>0.69064748201438853</v>
      </c>
      <c r="AT153" s="39">
        <f>AVERAGE(Table12732[HBP1])</f>
        <v>5.7553956834532377E-2</v>
      </c>
      <c r="AU153" s="39">
        <f>AVERAGE(Table12732[SF1])</f>
        <v>2.1582733812949641E-2</v>
      </c>
      <c r="AV153" s="39">
        <f>AVERAGE(Table12732[TB1])</f>
        <v>1.525179856115108</v>
      </c>
      <c r="AW153" s="84"/>
      <c r="AX153" s="39">
        <f>AVERAGE(Table12732[AB2])</f>
        <v>3.8561151079136691</v>
      </c>
      <c r="AY153" s="39">
        <f>AVERAGE(Table12732[R2])</f>
        <v>0.53237410071942448</v>
      </c>
      <c r="AZ153" s="39">
        <f>AVERAGE(Table12732[H2])</f>
        <v>0.9928057553956835</v>
      </c>
      <c r="BA153" s="39">
        <f>AVERAGE(Table12732[RBI2])</f>
        <v>0.43165467625899279</v>
      </c>
      <c r="BB153" s="39">
        <f>AVERAGE(Table12732[BB2])</f>
        <v>0.48920863309352519</v>
      </c>
      <c r="BC153" s="39">
        <f>AVERAGE(Table12732[SO2])</f>
        <v>0.97122302158273377</v>
      </c>
      <c r="BD153" s="39">
        <f>AVERAGE(Table12732[HBP2])</f>
        <v>2.8776978417266189E-2</v>
      </c>
      <c r="BE153" s="39">
        <f>AVERAGE(Table12732[SF2])</f>
        <v>2.1582733812949641E-2</v>
      </c>
      <c r="BF153" s="39">
        <f>AVERAGE(Table12732[TB2])</f>
        <v>1.3597122302158273</v>
      </c>
      <c r="BG153" s="84"/>
      <c r="BH153" s="39">
        <f>AVERAGE(Table12732[AB3])</f>
        <v>3.8848920863309351</v>
      </c>
      <c r="BI153" s="39">
        <f>AVERAGE(Table12732[R3])</f>
        <v>0.42446043165467628</v>
      </c>
      <c r="BJ153" s="39">
        <f>AVERAGE(Table12732[H3])</f>
        <v>1.1079136690647482</v>
      </c>
      <c r="BK153" s="39">
        <f>AVERAGE(Table12732[RBI3])</f>
        <v>0.45323741007194246</v>
      </c>
      <c r="BL153" s="39">
        <f>AVERAGE(Table12732[BB3])</f>
        <v>0.34532374100719426</v>
      </c>
      <c r="BM153" s="39">
        <f>AVERAGE(Table12732[SO3])</f>
        <v>0.62589928057553956</v>
      </c>
      <c r="BN153" s="39">
        <f>AVERAGE(Table12732[HBP3])</f>
        <v>5.7553956834532377E-2</v>
      </c>
      <c r="BO153" s="39">
        <f>AVERAGE(Table12732[SF3])</f>
        <v>4.3165467625899283E-2</v>
      </c>
      <c r="BP153" s="39">
        <f>AVERAGE(Table12732[TB3])</f>
        <v>1.5755395683453237</v>
      </c>
      <c r="BQ153" s="84"/>
      <c r="BR153" s="39">
        <f>AVERAGE(Table12732[AB4])</f>
        <v>3.7841726618705036</v>
      </c>
      <c r="BS153" s="39">
        <f>AVERAGE(Table12732[R4])</f>
        <v>0.48920863309352519</v>
      </c>
      <c r="BT153" s="39">
        <f>AVERAGE(Table12732[H4])</f>
        <v>1.014388489208633</v>
      </c>
      <c r="BU153" s="39">
        <f>AVERAGE(Table12732[RBI4])</f>
        <v>0.52517985611510787</v>
      </c>
      <c r="BV153" s="39">
        <f>AVERAGE(Table12732[BB4])</f>
        <v>0.41726618705035973</v>
      </c>
      <c r="BW153" s="39">
        <f>AVERAGE(Table12732[SO4])</f>
        <v>0.69784172661870503</v>
      </c>
      <c r="BX153" s="39">
        <f>AVERAGE(Table12732[HBP4])</f>
        <v>2.8776978417266189E-2</v>
      </c>
      <c r="BY153" s="39">
        <f>AVERAGE(Table12732[SF4])</f>
        <v>4.3165467625899283E-2</v>
      </c>
      <c r="BZ153" s="39">
        <f>AVERAGE(Table12732[TB4])</f>
        <v>1.5323741007194245</v>
      </c>
      <c r="CA153" s="84"/>
      <c r="CB153" s="39">
        <f>AVERAGE(Table12732[AB5])</f>
        <v>3.6762589928057552</v>
      </c>
      <c r="CC153" s="39">
        <f>AVERAGE(Table12732[R5])</f>
        <v>0.50359712230215825</v>
      </c>
      <c r="CD153" s="39">
        <f>AVERAGE(Table12732[H5])</f>
        <v>0.94964028776978415</v>
      </c>
      <c r="CE153" s="39">
        <f>AVERAGE(Table12732[RBI5])</f>
        <v>0.43884892086330934</v>
      </c>
      <c r="CF153" s="39">
        <f>AVERAGE(Table12732[BB5])</f>
        <v>0.41007194244604317</v>
      </c>
      <c r="CG153" s="39">
        <f>AVERAGE(Table12732[SO5])</f>
        <v>0.59712230215827333</v>
      </c>
      <c r="CH153" s="39">
        <f>AVERAGE(Table12732[HBP5])</f>
        <v>4.3165467625899283E-2</v>
      </c>
      <c r="CI153" s="39">
        <f>AVERAGE(Table12732[SF5])</f>
        <v>5.0359712230215826E-2</v>
      </c>
      <c r="CJ153" s="39">
        <f>AVERAGE(Table12732[TB5])</f>
        <v>1.4676258992805755</v>
      </c>
      <c r="CK153" s="84"/>
      <c r="CL153" s="39">
        <f>AVERAGE(Table12732[AB6])</f>
        <v>3.7122302158273381</v>
      </c>
      <c r="CM153" s="39">
        <f>AVERAGE(Table12732[R6])</f>
        <v>0.38848920863309355</v>
      </c>
      <c r="CN153" s="39">
        <f>AVERAGE(Table12732[H6])</f>
        <v>0.98561151079136688</v>
      </c>
      <c r="CO153" s="39">
        <f>AVERAGE(Table12732[RBI6])</f>
        <v>0.35251798561151076</v>
      </c>
      <c r="CP153" s="39">
        <f>AVERAGE(Table12732[BB6])</f>
        <v>0.29496402877697842</v>
      </c>
      <c r="CQ153" s="39">
        <f>AVERAGE(Table12732[SO6])</f>
        <v>0.62589928057553956</v>
      </c>
      <c r="CR153" s="39">
        <f>AVERAGE(Table12732[HBP6])</f>
        <v>5.0359712230215826E-2</v>
      </c>
      <c r="CS153" s="39">
        <f>AVERAGE(Table12732[SF6])</f>
        <v>2.1582733812949641E-2</v>
      </c>
      <c r="CT153" s="39">
        <f>AVERAGE(Table12732[TB6])</f>
        <v>1.3309352517985611</v>
      </c>
      <c r="CU153" s="84"/>
      <c r="CV153" s="39">
        <f>AVERAGE(Table12732[AB7])</f>
        <v>3.5035971223021583</v>
      </c>
      <c r="CW153" s="39">
        <f>AVERAGE(Table12732[R7])</f>
        <v>0.33093525179856115</v>
      </c>
      <c r="CX153" s="39">
        <f>AVERAGE(Table12732[H7])</f>
        <v>0.87769784172661869</v>
      </c>
      <c r="CY153" s="39">
        <f>AVERAGE(Table12732[RBI7])</f>
        <v>0.42446043165467628</v>
      </c>
      <c r="CZ153" s="39">
        <f>AVERAGE(Table12732[BB7])</f>
        <v>0.33093525179856115</v>
      </c>
      <c r="DA153" s="39">
        <f>AVERAGE(Table12732[SO7])</f>
        <v>0.5467625899280576</v>
      </c>
      <c r="DB153" s="39">
        <f>AVERAGE(Table12732[HBP7])</f>
        <v>5.7553956834532377E-2</v>
      </c>
      <c r="DC153" s="39">
        <f>AVERAGE(Table12732[SF7])</f>
        <v>3.5971223021582732E-2</v>
      </c>
      <c r="DD153" s="39">
        <f>AVERAGE(Table12732[TB7])</f>
        <v>1.1223021582733812</v>
      </c>
      <c r="DE153" s="84"/>
      <c r="DF153" s="39">
        <f>AVERAGE(Table12732[AB8])</f>
        <v>3.2949640287769784</v>
      </c>
      <c r="DG153" s="39">
        <f>AVERAGE(Table12732[R8])</f>
        <v>0.38848920863309355</v>
      </c>
      <c r="DH153" s="39">
        <f>AVERAGE(Table12732[H8])</f>
        <v>0.79136690647482011</v>
      </c>
      <c r="DI153" s="39">
        <f>AVERAGE(Table12732[RBI8])</f>
        <v>0.35971223021582732</v>
      </c>
      <c r="DJ153" s="39">
        <f>AVERAGE(Table12732[BB8])</f>
        <v>0.43884892086330934</v>
      </c>
      <c r="DK153" s="39">
        <f>AVERAGE(Table12732[SO8])</f>
        <v>0.73381294964028776</v>
      </c>
      <c r="DL153" s="39">
        <f>AVERAGE(Table12732[HBP8])</f>
        <v>4.3165467625899283E-2</v>
      </c>
      <c r="DM153" s="39">
        <f>AVERAGE(Table12732[SF8])</f>
        <v>4.3165467625899283E-2</v>
      </c>
      <c r="DN153" s="39">
        <f>AVERAGE(Table12732[TB8])</f>
        <v>1.2302158273381294</v>
      </c>
      <c r="DO153" s="84"/>
      <c r="DP153" s="39">
        <f>AVERAGE(Table12732[AB9])</f>
        <v>3.3525179856115108</v>
      </c>
      <c r="DQ153" s="39">
        <f>AVERAGE(Table12732[R9])</f>
        <v>0.41007194244604317</v>
      </c>
      <c r="DR153" s="39">
        <f>AVERAGE(Table12732[H9])</f>
        <v>0.6690647482014388</v>
      </c>
      <c r="DS153" s="39">
        <f>AVERAGE(Table12732[RBI9])</f>
        <v>0.26618705035971224</v>
      </c>
      <c r="DT153" s="39">
        <f>AVERAGE(Table12732[BB9])</f>
        <v>0.23021582733812951</v>
      </c>
      <c r="DU153" s="39">
        <f>AVERAGE(Table12732[SO9])</f>
        <v>0.78417266187050361</v>
      </c>
      <c r="DV153" s="39">
        <f>AVERAGE(Table12732[HBP9])</f>
        <v>5.0359712230215826E-2</v>
      </c>
      <c r="DW153" s="39">
        <f>AVERAGE(Table12732[SF9])</f>
        <v>7.1942446043165471E-3</v>
      </c>
      <c r="DX153" s="39">
        <f>AVERAGE(Table12732[TB9])</f>
        <v>0.93525179856115104</v>
      </c>
      <c r="DY153" s="39">
        <f>AVERAGE(Table12732[IVL])</f>
        <v>1.9280575539568341</v>
      </c>
      <c r="DZ153" s="39">
        <f>AVERAGE(Table12732[SVL])</f>
        <v>0.26618705035971224</v>
      </c>
      <c r="EA153" s="39">
        <f>AVERAGE(Table12732[CVL])</f>
        <v>7.9136690647482008E-2</v>
      </c>
      <c r="EB153" s="39">
        <f>AVERAGE(Table12732[IVR])</f>
        <v>6.7913669064748206</v>
      </c>
      <c r="EC153" s="39">
        <f>AVERAGE(Table12732[SVR])</f>
        <v>0.57553956834532372</v>
      </c>
      <c r="ED153" s="39">
        <f>AVERAGE(Table12732[CVR])</f>
        <v>0.26618705035971224</v>
      </c>
      <c r="EE153" s="39">
        <f>AVERAGE(Table12732[RI1])</f>
        <v>0.40287769784172661</v>
      </c>
      <c r="EF153" s="39">
        <f>AVERAGE(Table12732[RI2])</f>
        <v>0.46043165467625902</v>
      </c>
      <c r="EG153" s="39">
        <f>AVERAGE(Table12732[RI3])</f>
        <v>0.41726618705035973</v>
      </c>
      <c r="EH153" s="39">
        <f>AVERAGE(Table12732[RI4])</f>
        <v>0.53237410071942448</v>
      </c>
      <c r="EI153" s="39">
        <f>AVERAGE(Table12732[RI5])</f>
        <v>0.50359712230215825</v>
      </c>
      <c r="EJ153" s="39">
        <f>AVERAGE(Table12732[RI6])</f>
        <v>0.42028985507246375</v>
      </c>
      <c r="EK153" s="39">
        <f>AVERAGE(Table12732[RI7])</f>
        <v>0.38059701492537312</v>
      </c>
      <c r="EL153" s="39">
        <f>AVERAGE(Table12732[RI8])</f>
        <v>0.61344537815126055</v>
      </c>
      <c r="EM153" s="39">
        <f>AVERAGE(Table12732[RI9])</f>
        <v>0.46666666666666667</v>
      </c>
      <c r="EN153" s="39">
        <f>AVERAGE(Table12732[RI10])</f>
        <v>0.42857142857142855</v>
      </c>
      <c r="EO153" s="39">
        <f>AVERAGE(Table12732[RI11])</f>
        <v>0.1111111111111111</v>
      </c>
      <c r="EP153" s="39">
        <f>AVERAGE(Table12732[RI12])</f>
        <v>0.66666666666666663</v>
      </c>
      <c r="EQ153" s="39">
        <f>AVERAGE(Table12732[RI13])</f>
        <v>0</v>
      </c>
      <c r="ER153" s="39">
        <f>AVERAGE(Table12732[RI14])</f>
        <v>0</v>
      </c>
      <c r="ES153" s="39">
        <f>AVERAGE(Table12732[RI15])</f>
        <v>0.5</v>
      </c>
      <c r="ET153" s="39"/>
      <c r="EU153" s="39"/>
      <c r="EV153" s="39"/>
      <c r="EW153" s="39"/>
      <c r="EX153" s="39">
        <f>AVERAGE(Table12732[RT])</f>
        <v>4.014388489208633</v>
      </c>
      <c r="EY153" s="39">
        <f>AVERAGE(Table12732[OI1])</f>
        <v>0.45323741007194246</v>
      </c>
      <c r="EZ153" s="39">
        <f>AVERAGE(Table12732[OI2])</f>
        <v>0.40287769784172661</v>
      </c>
      <c r="FA153" s="39">
        <f>AVERAGE(Table12732[OI3])</f>
        <v>0.38848920863309355</v>
      </c>
      <c r="FB153" s="39">
        <f>AVERAGE(Table12732[OI4])</f>
        <v>0.60431654676258995</v>
      </c>
      <c r="FC153" s="39">
        <f>AVERAGE(Table12732[OI5])</f>
        <v>0.41007194244604317</v>
      </c>
      <c r="FD153" s="39">
        <f>AVERAGE(Table12732[OI6])</f>
        <v>0.36231884057971014</v>
      </c>
      <c r="FE153" s="39">
        <f>AVERAGE(Table12732[OI7])</f>
        <v>0.46666666666666667</v>
      </c>
      <c r="FF153" s="39">
        <f>AVERAGE(Table12732[OI8])</f>
        <v>0.33613445378151263</v>
      </c>
      <c r="FG153" s="39">
        <f>AVERAGE(Table12732[OI9])</f>
        <v>0.19354838709677419</v>
      </c>
      <c r="FH153" s="39">
        <f>AVERAGE(Table12732[OI10])</f>
        <v>0.2857142857142857</v>
      </c>
      <c r="FI153" s="39">
        <f>AVERAGE(Table12732[OI11])</f>
        <v>0.22222222222222221</v>
      </c>
      <c r="FJ153" s="39">
        <f>AVERAGE(Table12732[OI12])</f>
        <v>0.16666666666666666</v>
      </c>
      <c r="FK153" s="39">
        <f>AVERAGE(Table12732[OI13])</f>
        <v>0.66666666666666663</v>
      </c>
      <c r="FL153" s="39">
        <f>AVERAGE(Table12732[OI14])</f>
        <v>0</v>
      </c>
      <c r="FM153" s="39">
        <f>AVERAGE(Table12732[OI15])</f>
        <v>0</v>
      </c>
      <c r="FN153" s="39"/>
      <c r="FO153" s="39"/>
      <c r="FP153" s="39"/>
      <c r="FQ153" s="39"/>
      <c r="FR153" s="39">
        <f>AVERAGE(Table12732[OT])</f>
        <v>3.5611510791366907</v>
      </c>
      <c r="FU153" s="86" t="s">
        <v>233</v>
      </c>
    </row>
    <row r="154" spans="1:177" x14ac:dyDescent="0.25">
      <c r="A154" s="87" t="s">
        <v>278</v>
      </c>
      <c r="B154" s="53"/>
      <c r="C154" s="53"/>
      <c r="D154" s="53"/>
      <c r="E154" s="84">
        <f>(E153-E149)</f>
        <v>427.41422975353112</v>
      </c>
      <c r="F154" s="84"/>
      <c r="G154" s="84"/>
      <c r="H154" s="84"/>
      <c r="I154" s="84"/>
      <c r="J154" s="84">
        <f t="shared" ref="J154:V154" si="75">(J153-J149)</f>
        <v>4.1165694592660227</v>
      </c>
      <c r="K154" s="84">
        <f t="shared" si="75"/>
        <v>2.709756076861535</v>
      </c>
      <c r="L154" s="84">
        <f t="shared" si="75"/>
        <v>0.34845921234704047</v>
      </c>
      <c r="M154" s="84">
        <f t="shared" si="75"/>
        <v>0.26123662212370058</v>
      </c>
      <c r="N154" s="84">
        <f t="shared" si="75"/>
        <v>0.36743462785902858</v>
      </c>
      <c r="O154" s="84">
        <f t="shared" si="75"/>
        <v>1.9579008923451067</v>
      </c>
      <c r="P154" s="84">
        <f t="shared" si="75"/>
        <v>-0.2850095597089618</v>
      </c>
      <c r="Q154" s="84">
        <f t="shared" si="75"/>
        <v>-0.31094514099323811</v>
      </c>
      <c r="R154" s="84">
        <f t="shared" si="75"/>
        <v>18.376783041635345</v>
      </c>
      <c r="S154" s="84"/>
      <c r="T154" s="84"/>
      <c r="U154" s="84">
        <f t="shared" si="75"/>
        <v>-0.32902076280011378</v>
      </c>
      <c r="V154" s="84">
        <f t="shared" si="75"/>
        <v>-0.24734414641566782</v>
      </c>
      <c r="W154" s="84"/>
      <c r="X154" s="84"/>
      <c r="Y154" s="84"/>
      <c r="Z154" s="84"/>
      <c r="AA154" s="84"/>
      <c r="AB154" s="84">
        <f t="shared" ref="AB154:AJ154" si="76">(AB153-AB149)</f>
        <v>1.5151250387130124</v>
      </c>
      <c r="AC154" s="84">
        <f t="shared" si="76"/>
        <v>0.3532564787151049</v>
      </c>
      <c r="AD154" s="84">
        <f t="shared" si="76"/>
        <v>-0.36399319886160586</v>
      </c>
      <c r="AE154" s="84">
        <f t="shared" si="76"/>
        <v>-0.28624604049338975</v>
      </c>
      <c r="AF154" s="84">
        <f t="shared" si="76"/>
        <v>-0.14529196477808837</v>
      </c>
      <c r="AG154" s="84">
        <f t="shared" si="76"/>
        <v>1.1340448367991911</v>
      </c>
      <c r="AH154" s="84">
        <f t="shared" si="76"/>
        <v>-0.40378473516580937</v>
      </c>
      <c r="AI154" s="84">
        <f t="shared" si="76"/>
        <v>-0.22707469481011511</v>
      </c>
      <c r="AJ154" s="84">
        <f t="shared" si="76"/>
        <v>6.0873219694925149</v>
      </c>
      <c r="AK154" s="84"/>
      <c r="AL154" s="84"/>
      <c r="AM154" s="84"/>
      <c r="AN154" s="84">
        <f t="shared" ref="AN154:AV154" si="77">(AN153-AN149)</f>
        <v>3.0592235812903281</v>
      </c>
      <c r="AO154" s="84">
        <f t="shared" si="77"/>
        <v>-0.20719336910109054</v>
      </c>
      <c r="AP154" s="84">
        <f t="shared" si="77"/>
        <v>0.21299470185063774</v>
      </c>
      <c r="AQ154" s="84">
        <f t="shared" si="77"/>
        <v>-0.24230363751048556</v>
      </c>
      <c r="AR154" s="84">
        <f t="shared" si="77"/>
        <v>-0.21364862390236028</v>
      </c>
      <c r="AS154" s="84">
        <f t="shared" si="77"/>
        <v>-7.8776553121675419E-2</v>
      </c>
      <c r="AT154" s="84">
        <f t="shared" si="77"/>
        <v>-0.17618639746267414</v>
      </c>
      <c r="AU154" s="84">
        <f t="shared" si="77"/>
        <v>-0.12425944310883011</v>
      </c>
      <c r="AV154" s="84">
        <f t="shared" si="77"/>
        <v>6.8904404129786823E-2</v>
      </c>
      <c r="AW154" s="84"/>
      <c r="AX154" s="84">
        <f t="shared" ref="AX154:BF154" si="78">(AX153-AX149)</f>
        <v>3.0435226286359001</v>
      </c>
      <c r="AY154" s="84">
        <f t="shared" si="78"/>
        <v>-0.17270229840320173</v>
      </c>
      <c r="AZ154" s="84">
        <f t="shared" si="78"/>
        <v>6.422258282984783E-2</v>
      </c>
      <c r="BA154" s="84">
        <f t="shared" si="78"/>
        <v>-0.37636992976817862</v>
      </c>
      <c r="BB154" s="84">
        <f t="shared" si="78"/>
        <v>-0.26612895795214003</v>
      </c>
      <c r="BC154" s="84">
        <f t="shared" si="78"/>
        <v>0.12901710126408072</v>
      </c>
      <c r="BD154" s="84">
        <f t="shared" si="78"/>
        <v>-0.13900678697716734</v>
      </c>
      <c r="BE154" s="84">
        <f t="shared" si="78"/>
        <v>-0.12425944310883011</v>
      </c>
      <c r="BF154" s="84">
        <f t="shared" si="78"/>
        <v>-0.10981985663005966</v>
      </c>
      <c r="BG154" s="84"/>
      <c r="BH154" s="84">
        <f t="shared" ref="BH154:BP154" si="79">(BH153-BH149)</f>
        <v>2.89890963145979</v>
      </c>
      <c r="BI154" s="84">
        <f t="shared" si="79"/>
        <v>-0.18913454954972753</v>
      </c>
      <c r="BJ154" s="84">
        <f t="shared" si="79"/>
        <v>0.11744717465368881</v>
      </c>
      <c r="BK154" s="84">
        <f t="shared" si="79"/>
        <v>-0.39137914457723483</v>
      </c>
      <c r="BL154" s="84">
        <f t="shared" si="79"/>
        <v>-0.25313115620520027</v>
      </c>
      <c r="BM154" s="84">
        <f t="shared" si="79"/>
        <v>-0.10907958429818776</v>
      </c>
      <c r="BN154" s="84">
        <f t="shared" si="79"/>
        <v>-0.17618639746267414</v>
      </c>
      <c r="BO154" s="84">
        <f t="shared" si="79"/>
        <v>-0.16079899351272553</v>
      </c>
      <c r="BP154" s="84">
        <f t="shared" si="79"/>
        <v>-3.9509303649033933E-2</v>
      </c>
      <c r="BQ154" s="84"/>
      <c r="BR154" s="84">
        <f t="shared" ref="BR154:BZ154" si="80">(BR153-BR149)</f>
        <v>2.9180419195887906</v>
      </c>
      <c r="BS154" s="84">
        <f t="shared" si="80"/>
        <v>-0.18502637598058208</v>
      </c>
      <c r="BT154" s="84">
        <f t="shared" si="80"/>
        <v>7.4255816557914911E-2</v>
      </c>
      <c r="BU154" s="84">
        <f t="shared" si="80"/>
        <v>-0.36217850369321569</v>
      </c>
      <c r="BV154" s="84">
        <f t="shared" si="80"/>
        <v>-0.25192411511716734</v>
      </c>
      <c r="BW154" s="84">
        <f t="shared" si="80"/>
        <v>-8.8404872037496807E-2</v>
      </c>
      <c r="BX154" s="84">
        <f t="shared" si="80"/>
        <v>-0.13900678697716734</v>
      </c>
      <c r="BY154" s="84">
        <f t="shared" si="80"/>
        <v>-0.16079899351272553</v>
      </c>
      <c r="BZ154" s="84">
        <f t="shared" si="80"/>
        <v>-0.31429214060860677</v>
      </c>
      <c r="CA154" s="84"/>
      <c r="CB154" s="84">
        <f t="shared" ref="CB154:CJ154" si="81">(CB153-CB149)</f>
        <v>2.7266913769540237</v>
      </c>
      <c r="CC154" s="84">
        <f t="shared" si="81"/>
        <v>-0.18137723159651531</v>
      </c>
      <c r="CD154" s="84">
        <f t="shared" si="81"/>
        <v>0.1572513022001395</v>
      </c>
      <c r="CE154" s="84">
        <f t="shared" si="81"/>
        <v>-0.36074434452427179</v>
      </c>
      <c r="CF154" s="84">
        <f t="shared" si="81"/>
        <v>-0.2248187778128351</v>
      </c>
      <c r="CG154" s="84">
        <f t="shared" si="81"/>
        <v>-0.19887697375385505</v>
      </c>
      <c r="CH154" s="84">
        <f t="shared" si="81"/>
        <v>-0.16079899351272553</v>
      </c>
      <c r="CI154" s="84">
        <f t="shared" si="81"/>
        <v>-0.169117301428514</v>
      </c>
      <c r="CJ154" s="84">
        <f t="shared" si="81"/>
        <v>-8.95089569485783E-2</v>
      </c>
      <c r="CK154" s="84"/>
      <c r="CL154" s="84">
        <f t="shared" ref="CL154:CT154" si="82">(CL153-CL149)</f>
        <v>2.6960951375324997</v>
      </c>
      <c r="CM154" s="84">
        <f t="shared" si="82"/>
        <v>-0.21955816946596318</v>
      </c>
      <c r="CN154" s="84">
        <f t="shared" si="82"/>
        <v>0.11761689123621866</v>
      </c>
      <c r="CO154" s="84">
        <f t="shared" si="82"/>
        <v>-0.34803365367845257</v>
      </c>
      <c r="CP154" s="84">
        <f t="shared" si="82"/>
        <v>-0.27548249617266979</v>
      </c>
      <c r="CQ154" s="84">
        <f t="shared" si="82"/>
        <v>-0.16602903281539061</v>
      </c>
      <c r="CR154" s="84">
        <f t="shared" si="82"/>
        <v>-0.169117301428514</v>
      </c>
      <c r="CS154" s="84">
        <f t="shared" si="82"/>
        <v>-0.12425944310883011</v>
      </c>
      <c r="CT154" s="84">
        <f t="shared" si="82"/>
        <v>3.217057000441792E-2</v>
      </c>
      <c r="CU154" s="84"/>
      <c r="CV154" s="84">
        <f t="shared" ref="CV154:DD154" si="83">(CV153-CV149)</f>
        <v>2.5604747969533368</v>
      </c>
      <c r="CW154" s="84">
        <f t="shared" si="83"/>
        <v>-0.22582152137347972</v>
      </c>
      <c r="CX154" s="84">
        <f t="shared" si="83"/>
        <v>-2.5230763164174608E-3</v>
      </c>
      <c r="CY154" s="84">
        <f t="shared" si="83"/>
        <v>-0.32714092415881735</v>
      </c>
      <c r="CZ154" s="84">
        <f t="shared" si="83"/>
        <v>-0.21265039080962528</v>
      </c>
      <c r="DA154" s="84">
        <f t="shared" si="83"/>
        <v>-0.17778646105882845</v>
      </c>
      <c r="DB154" s="84">
        <f t="shared" si="83"/>
        <v>-0.17618639746267414</v>
      </c>
      <c r="DC154" s="84">
        <f t="shared" si="83"/>
        <v>-0.15092066785661887</v>
      </c>
      <c r="DD154" s="84">
        <f t="shared" si="83"/>
        <v>-0.14866934994600167</v>
      </c>
      <c r="DE154" s="84"/>
      <c r="DF154" s="84">
        <f t="shared" ref="DF154:DN154" si="84">(DF153-DF149)</f>
        <v>2.2561991726940791</v>
      </c>
      <c r="DG154" s="84">
        <f t="shared" si="84"/>
        <v>-0.23136106976994608</v>
      </c>
      <c r="DH154" s="84">
        <f t="shared" si="84"/>
        <v>9.4845319640737835E-2</v>
      </c>
      <c r="DI154" s="84">
        <f t="shared" si="84"/>
        <v>-0.35257327520046966</v>
      </c>
      <c r="DJ154" s="84">
        <f t="shared" si="84"/>
        <v>-0.29456781925846892</v>
      </c>
      <c r="DK154" s="84">
        <f t="shared" si="84"/>
        <v>-3.303207909235073E-2</v>
      </c>
      <c r="DL154" s="84">
        <f t="shared" si="84"/>
        <v>-0.16079899351272553</v>
      </c>
      <c r="DM154" s="84">
        <f t="shared" si="84"/>
        <v>-0.16079899351272553</v>
      </c>
      <c r="DN154" s="84">
        <f t="shared" si="84"/>
        <v>-0.12280841145516463</v>
      </c>
      <c r="DO154" s="84"/>
      <c r="DP154" s="84">
        <f t="shared" ref="DP154:FR154" si="85">(DP153-DP149)</f>
        <v>2.3829572801212899</v>
      </c>
      <c r="DQ154" s="84">
        <f t="shared" si="85"/>
        <v>-0.2248187778128351</v>
      </c>
      <c r="DR154" s="84">
        <f t="shared" si="85"/>
        <v>-8.6479869733421921E-2</v>
      </c>
      <c r="DS154" s="84">
        <f t="shared" si="85"/>
        <v>-0.33061043633149922</v>
      </c>
      <c r="DT154" s="84">
        <f t="shared" si="85"/>
        <v>-0.24093058152885932</v>
      </c>
      <c r="DU154" s="84">
        <f t="shared" si="85"/>
        <v>-8.1958080411209777E-2</v>
      </c>
      <c r="DV154" s="84">
        <f t="shared" si="85"/>
        <v>-0.169117301428514</v>
      </c>
      <c r="DW154" s="84">
        <f t="shared" si="85"/>
        <v>-7.7624648363680548E-2</v>
      </c>
      <c r="DX154" s="84">
        <f t="shared" si="85"/>
        <v>-0.26986190161030765</v>
      </c>
      <c r="DY154" s="84">
        <f t="shared" si="85"/>
        <v>-0.76437909723054398</v>
      </c>
      <c r="DZ154" s="84">
        <f t="shared" si="85"/>
        <v>-0.45185718920775275</v>
      </c>
      <c r="EA154" s="84">
        <f t="shared" si="85"/>
        <v>-0.24084401985444281</v>
      </c>
      <c r="EB154" s="84">
        <f t="shared" si="85"/>
        <v>4.1558992392567973</v>
      </c>
      <c r="EC154" s="84">
        <f t="shared" si="85"/>
        <v>-0.34112117418773669</v>
      </c>
      <c r="ED154" s="84">
        <f t="shared" si="85"/>
        <v>-0.22394069945194606</v>
      </c>
      <c r="EE154" s="84">
        <f t="shared" si="85"/>
        <v>-0.45448110838525296</v>
      </c>
      <c r="EF154" s="84">
        <f t="shared" si="85"/>
        <v>-0.5770275259445925</v>
      </c>
      <c r="EG154" s="84">
        <f t="shared" si="85"/>
        <v>-0.38940240118132791</v>
      </c>
      <c r="EH154" s="84">
        <f t="shared" si="85"/>
        <v>-0.4329835207325331</v>
      </c>
      <c r="EI154" s="84">
        <f t="shared" si="85"/>
        <v>-0.53461553302083398</v>
      </c>
      <c r="EJ154" s="84">
        <f t="shared" si="85"/>
        <v>-0.47423194926573975</v>
      </c>
      <c r="EK154" s="84">
        <f t="shared" si="85"/>
        <v>-0.40263684541968525</v>
      </c>
      <c r="EL154" s="84">
        <f t="shared" si="85"/>
        <v>-0.60859267846632203</v>
      </c>
      <c r="EM154" s="84">
        <f t="shared" si="85"/>
        <v>-0.32939103549350923</v>
      </c>
      <c r="EN154" s="84">
        <f t="shared" si="85"/>
        <v>-0.42305919868121161</v>
      </c>
      <c r="EO154" s="84">
        <f t="shared" si="85"/>
        <v>-0.22222222222222221</v>
      </c>
      <c r="EP154" s="84">
        <f t="shared" si="85"/>
        <v>-0.1498299142610594</v>
      </c>
      <c r="EQ154" s="84">
        <f t="shared" si="85"/>
        <v>0</v>
      </c>
      <c r="ER154" s="84">
        <f t="shared" ref="ER154:ES154" si="86">(ER153-ER149)</f>
        <v>0</v>
      </c>
      <c r="ES154" s="84">
        <f t="shared" si="86"/>
        <v>-0.20710678118654757</v>
      </c>
      <c r="ET154" s="84"/>
      <c r="EU154" s="84"/>
      <c r="EV154" s="84"/>
      <c r="EW154" s="84"/>
      <c r="EX154" s="84">
        <f t="shared" si="85"/>
        <v>1.2065691499018141</v>
      </c>
      <c r="EY154" s="84">
        <f t="shared" si="85"/>
        <v>-0.54837738457279239</v>
      </c>
      <c r="EZ154" s="84">
        <f t="shared" si="85"/>
        <v>-0.43740714396405939</v>
      </c>
      <c r="FA154" s="84">
        <f t="shared" si="85"/>
        <v>-0.47553232363102538</v>
      </c>
      <c r="FB154" s="84">
        <f t="shared" si="85"/>
        <v>-0.5604979563271848</v>
      </c>
      <c r="FC154" s="84">
        <f t="shared" si="85"/>
        <v>-0.52872893965625578</v>
      </c>
      <c r="FD154" s="84">
        <f t="shared" si="85"/>
        <v>-0.54138020002662279</v>
      </c>
      <c r="FE154" s="84">
        <f t="shared" si="85"/>
        <v>-0.53928576685465168</v>
      </c>
      <c r="FF154" s="84">
        <f t="shared" si="85"/>
        <v>-0.43711875451565319</v>
      </c>
      <c r="FG154" s="84">
        <f t="shared" si="85"/>
        <v>-0.45348606054692558</v>
      </c>
      <c r="FH154" s="84">
        <f t="shared" si="85"/>
        <v>-0.18309294522420971</v>
      </c>
      <c r="FI154" s="84">
        <f t="shared" si="85"/>
        <v>-0.21873632962187622</v>
      </c>
      <c r="FJ154" s="84">
        <f t="shared" si="85"/>
        <v>-0.24158162379719636</v>
      </c>
      <c r="FK154" s="84">
        <f t="shared" si="85"/>
        <v>-0.48803387171258505</v>
      </c>
      <c r="FL154" s="84">
        <f t="shared" ref="FL154:FM154" si="87">(FL153-FL149)</f>
        <v>0</v>
      </c>
      <c r="FM154" s="84">
        <f t="shared" si="87"/>
        <v>0</v>
      </c>
      <c r="FN154" s="84"/>
      <c r="FO154" s="84"/>
      <c r="FP154" s="84"/>
      <c r="FQ154" s="84"/>
      <c r="FR154" s="84">
        <f t="shared" si="85"/>
        <v>0.81035380890079933</v>
      </c>
      <c r="FU154" s="88" t="s">
        <v>278</v>
      </c>
    </row>
    <row r="155" spans="1:177" x14ac:dyDescent="0.25">
      <c r="A155" s="87" t="s">
        <v>277</v>
      </c>
      <c r="B155" s="53"/>
      <c r="C155" s="53"/>
      <c r="D155" s="53"/>
      <c r="E155" s="84">
        <f>(E153-(2*E149))</f>
        <v>-1056.2180521208447</v>
      </c>
      <c r="F155" s="84"/>
      <c r="G155" s="84"/>
      <c r="H155" s="84"/>
      <c r="I155" s="84"/>
      <c r="J155" s="84">
        <f t="shared" ref="J155:V155" si="88">(J153-(2*J149))</f>
        <v>2.7703091823210144</v>
      </c>
      <c r="K155" s="84">
        <f t="shared" si="88"/>
        <v>0.13893661415472458</v>
      </c>
      <c r="L155" s="84">
        <f t="shared" si="88"/>
        <v>-1.8426499206296603</v>
      </c>
      <c r="M155" s="84">
        <f t="shared" si="88"/>
        <v>-1.6214116478389298</v>
      </c>
      <c r="N155" s="84">
        <f t="shared" si="88"/>
        <v>-0.97016671550496447</v>
      </c>
      <c r="O155" s="84">
        <f t="shared" si="88"/>
        <v>-0.99067303545367125</v>
      </c>
      <c r="P155" s="84">
        <f t="shared" si="88"/>
        <v>-0.80023494675605311</v>
      </c>
      <c r="Q155" s="84">
        <f t="shared" si="88"/>
        <v>-1.053544958245469</v>
      </c>
      <c r="R155" s="84">
        <f t="shared" si="88"/>
        <v>13.566515723558458</v>
      </c>
      <c r="S155" s="84"/>
      <c r="T155" s="84"/>
      <c r="U155" s="84">
        <f t="shared" si="88"/>
        <v>-1.11127893567217</v>
      </c>
      <c r="V155" s="84">
        <f t="shared" si="88"/>
        <v>-0.63857318491766657</v>
      </c>
      <c r="W155" s="84"/>
      <c r="X155" s="84"/>
      <c r="Y155" s="84"/>
      <c r="Z155" s="84"/>
      <c r="AA155" s="84"/>
      <c r="AB155" s="84">
        <f t="shared" ref="AB155:AJ155" si="89">(AB153-(2*AB149))</f>
        <v>-0.27430627749004177</v>
      </c>
      <c r="AC155" s="84">
        <f t="shared" si="89"/>
        <v>-1.8474438771021644</v>
      </c>
      <c r="AD155" s="84">
        <f t="shared" si="89"/>
        <v>-1.7495691315361614</v>
      </c>
      <c r="AE155" s="84">
        <f t="shared" si="89"/>
        <v>-1.4214129442961321</v>
      </c>
      <c r="AF155" s="84">
        <f t="shared" si="89"/>
        <v>-1.3841091094122919</v>
      </c>
      <c r="AG155" s="84">
        <f t="shared" si="89"/>
        <v>-1.3434211177685245</v>
      </c>
      <c r="AH155" s="84">
        <f t="shared" si="89"/>
        <v>-0.9802313408352159</v>
      </c>
      <c r="AI155" s="84">
        <f t="shared" si="89"/>
        <v>-0.56925730328929491</v>
      </c>
      <c r="AJ155" s="84">
        <f t="shared" si="89"/>
        <v>-1.3145646941084959</v>
      </c>
      <c r="AK155" s="84"/>
      <c r="AL155" s="84"/>
      <c r="AM155" s="84"/>
      <c r="AN155" s="84">
        <f t="shared" ref="AN155:AV155" si="90">(AN153-(2*AN149))</f>
        <v>2.0608932057461242</v>
      </c>
      <c r="AO155" s="84">
        <f t="shared" si="90"/>
        <v>-0.96114932813023868</v>
      </c>
      <c r="AP155" s="84">
        <f t="shared" si="90"/>
        <v>-0.73947822219800519</v>
      </c>
      <c r="AQ155" s="84">
        <f t="shared" si="90"/>
        <v>-0.84431950523679844</v>
      </c>
      <c r="AR155" s="84">
        <f t="shared" si="90"/>
        <v>-0.82298070104213061</v>
      </c>
      <c r="AS155" s="84">
        <f t="shared" si="90"/>
        <v>-0.84820058825773936</v>
      </c>
      <c r="AT155" s="84">
        <f t="shared" si="90"/>
        <v>-0.40992675175988069</v>
      </c>
      <c r="AU155" s="84">
        <f t="shared" si="90"/>
        <v>-0.27010162003060989</v>
      </c>
      <c r="AV155" s="84">
        <f t="shared" si="90"/>
        <v>-1.3873710478555343</v>
      </c>
      <c r="AW155" s="84"/>
      <c r="AX155" s="84">
        <f t="shared" ref="AX155:BF155" si="91">(AX153-(2*AX149))</f>
        <v>2.2309301493581311</v>
      </c>
      <c r="AY155" s="84">
        <f t="shared" si="91"/>
        <v>-0.87777869752582793</v>
      </c>
      <c r="AZ155" s="84">
        <f t="shared" si="91"/>
        <v>-0.86436058973598784</v>
      </c>
      <c r="BA155" s="84">
        <f t="shared" si="91"/>
        <v>-1.18439453579535</v>
      </c>
      <c r="BB155" s="84">
        <f t="shared" si="91"/>
        <v>-1.0214665489978052</v>
      </c>
      <c r="BC155" s="84">
        <f t="shared" si="91"/>
        <v>-0.71318881905457232</v>
      </c>
      <c r="BD155" s="84">
        <f t="shared" si="91"/>
        <v>-0.30679055237160091</v>
      </c>
      <c r="BE155" s="84">
        <f t="shared" si="91"/>
        <v>-0.27010162003060989</v>
      </c>
      <c r="BF155" s="84">
        <f t="shared" si="91"/>
        <v>-1.5793519434759467</v>
      </c>
      <c r="BG155" s="84"/>
      <c r="BH155" s="84">
        <f t="shared" ref="BH155:BP155" si="92">(BH153-(2*BH149))</f>
        <v>1.9129271765886444</v>
      </c>
      <c r="BI155" s="84">
        <f t="shared" si="92"/>
        <v>-0.80272953075413134</v>
      </c>
      <c r="BJ155" s="84">
        <f t="shared" si="92"/>
        <v>-0.87301931975737057</v>
      </c>
      <c r="BK155" s="84">
        <f t="shared" si="92"/>
        <v>-1.2359956992264121</v>
      </c>
      <c r="BL155" s="84">
        <f t="shared" si="92"/>
        <v>-0.85158605341759475</v>
      </c>
      <c r="BM155" s="84">
        <f t="shared" si="92"/>
        <v>-0.84405844917191508</v>
      </c>
      <c r="BN155" s="84">
        <f t="shared" si="92"/>
        <v>-0.40992675175988069</v>
      </c>
      <c r="BO155" s="84">
        <f t="shared" si="92"/>
        <v>-0.36476345465135035</v>
      </c>
      <c r="BP155" s="84">
        <f t="shared" si="92"/>
        <v>-1.6545581756433916</v>
      </c>
      <c r="BQ155" s="84"/>
      <c r="BR155" s="84">
        <f t="shared" ref="BR155:BZ155" si="93">(BR153-(2*BR149))</f>
        <v>2.0519111773070771</v>
      </c>
      <c r="BS155" s="84">
        <f t="shared" si="93"/>
        <v>-0.8592613850546893</v>
      </c>
      <c r="BT155" s="84">
        <f t="shared" si="93"/>
        <v>-0.86587685609280318</v>
      </c>
      <c r="BU155" s="84">
        <f t="shared" si="93"/>
        <v>-1.2495368635015391</v>
      </c>
      <c r="BV155" s="84">
        <f t="shared" si="93"/>
        <v>-0.92111441728469434</v>
      </c>
      <c r="BW155" s="84">
        <f t="shared" si="93"/>
        <v>-0.87465147069369864</v>
      </c>
      <c r="BX155" s="84">
        <f t="shared" si="93"/>
        <v>-0.30679055237160091</v>
      </c>
      <c r="BY155" s="84">
        <f t="shared" si="93"/>
        <v>-0.36476345465135035</v>
      </c>
      <c r="BZ155" s="84">
        <f t="shared" si="93"/>
        <v>-2.1609583819366378</v>
      </c>
      <c r="CA155" s="84"/>
      <c r="CB155" s="84">
        <f t="shared" ref="CB155:CJ155" si="94">(CB153-(2*CB149))</f>
        <v>1.7771237611022925</v>
      </c>
      <c r="CC155" s="84">
        <f t="shared" si="94"/>
        <v>-0.86635158549518887</v>
      </c>
      <c r="CD155" s="84">
        <f t="shared" si="94"/>
        <v>-0.63513768336950516</v>
      </c>
      <c r="CE155" s="84">
        <f t="shared" si="94"/>
        <v>-1.160337609911853</v>
      </c>
      <c r="CF155" s="84">
        <f t="shared" si="94"/>
        <v>-0.85970949807171337</v>
      </c>
      <c r="CG155" s="84">
        <f t="shared" si="94"/>
        <v>-0.99487624966598343</v>
      </c>
      <c r="CH155" s="84">
        <f t="shared" si="94"/>
        <v>-0.36476345465135035</v>
      </c>
      <c r="CI155" s="84">
        <f t="shared" si="94"/>
        <v>-0.38859431508724379</v>
      </c>
      <c r="CJ155" s="84">
        <f t="shared" si="94"/>
        <v>-1.6466438131777321</v>
      </c>
      <c r="CK155" s="84"/>
      <c r="CL155" s="84">
        <f t="shared" ref="CL155:CT155" si="95">(CL153-(2*CL149))</f>
        <v>1.6799600592376613</v>
      </c>
      <c r="CM155" s="84">
        <f t="shared" si="95"/>
        <v>-0.82760554756501992</v>
      </c>
      <c r="CN155" s="84">
        <f t="shared" si="95"/>
        <v>-0.75037772831892957</v>
      </c>
      <c r="CO155" s="84">
        <f t="shared" si="95"/>
        <v>-1.0485852929684158</v>
      </c>
      <c r="CP155" s="84">
        <f t="shared" si="95"/>
        <v>-0.84592902112231805</v>
      </c>
      <c r="CQ155" s="84">
        <f t="shared" si="95"/>
        <v>-0.95795734620632078</v>
      </c>
      <c r="CR155" s="84">
        <f t="shared" si="95"/>
        <v>-0.38859431508724379</v>
      </c>
      <c r="CS155" s="84">
        <f t="shared" si="95"/>
        <v>-0.27010162003060989</v>
      </c>
      <c r="CT155" s="84">
        <f t="shared" si="95"/>
        <v>-1.2665941117897253</v>
      </c>
      <c r="CU155" s="84"/>
      <c r="CV155" s="84">
        <f t="shared" ref="CV155:DD155" si="96">(CV153-(2*CV149))</f>
        <v>1.6173524716045153</v>
      </c>
      <c r="CW155" s="84">
        <f t="shared" si="96"/>
        <v>-0.78257829454552064</v>
      </c>
      <c r="CX155" s="84">
        <f t="shared" si="96"/>
        <v>-0.88274399435945361</v>
      </c>
      <c r="CY155" s="84">
        <f t="shared" si="96"/>
        <v>-1.078742279972311</v>
      </c>
      <c r="CZ155" s="84">
        <f t="shared" si="96"/>
        <v>-0.75623603341781176</v>
      </c>
      <c r="DA155" s="84">
        <f t="shared" si="96"/>
        <v>-0.90233551204571449</v>
      </c>
      <c r="DB155" s="84">
        <f t="shared" si="96"/>
        <v>-0.40992675175988069</v>
      </c>
      <c r="DC155" s="84">
        <f t="shared" si="96"/>
        <v>-0.33781255873482047</v>
      </c>
      <c r="DD155" s="84">
        <f t="shared" si="96"/>
        <v>-1.4196408581653845</v>
      </c>
      <c r="DE155" s="84"/>
      <c r="DF155" s="84">
        <f t="shared" ref="DF155:DN155" si="97">(DF153-(2*DF149))</f>
        <v>1.2174343166111803</v>
      </c>
      <c r="DG155" s="84">
        <f t="shared" si="97"/>
        <v>-0.85121134817298572</v>
      </c>
      <c r="DH155" s="84">
        <f t="shared" si="97"/>
        <v>-0.60167626719334444</v>
      </c>
      <c r="DI155" s="84">
        <f t="shared" si="97"/>
        <v>-1.0648587806167666</v>
      </c>
      <c r="DJ155" s="84">
        <f t="shared" si="97"/>
        <v>-1.0279845593802472</v>
      </c>
      <c r="DK155" s="84">
        <f t="shared" si="97"/>
        <v>-0.79987710782498922</v>
      </c>
      <c r="DL155" s="84">
        <f t="shared" si="97"/>
        <v>-0.36476345465135035</v>
      </c>
      <c r="DM155" s="84">
        <f t="shared" si="97"/>
        <v>-0.36476345465135035</v>
      </c>
      <c r="DN155" s="84">
        <f t="shared" si="97"/>
        <v>-1.4758326502484587</v>
      </c>
      <c r="DO155" s="84"/>
      <c r="DP155" s="84">
        <f t="shared" ref="DP155:FR155" si="98">(DP153-(2*DP149))</f>
        <v>1.413396574631069</v>
      </c>
      <c r="DQ155" s="84">
        <f t="shared" si="98"/>
        <v>-0.85970949807171337</v>
      </c>
      <c r="DR155" s="84">
        <f t="shared" si="98"/>
        <v>-0.84202448766828264</v>
      </c>
      <c r="DS155" s="84">
        <f t="shared" si="98"/>
        <v>-0.92740792302271069</v>
      </c>
      <c r="DT155" s="84">
        <f t="shared" si="98"/>
        <v>-0.71207699039584815</v>
      </c>
      <c r="DU155" s="84">
        <f t="shared" si="98"/>
        <v>-0.94808882269292316</v>
      </c>
      <c r="DV155" s="84">
        <f t="shared" si="98"/>
        <v>-0.38859431508724379</v>
      </c>
      <c r="DW155" s="84">
        <f t="shared" si="98"/>
        <v>-0.16244354133167763</v>
      </c>
      <c r="DX155" s="84">
        <f t="shared" si="98"/>
        <v>-1.4749756017817663</v>
      </c>
      <c r="DY155" s="84">
        <f t="shared" si="98"/>
        <v>-3.4568157484179221</v>
      </c>
      <c r="DZ155" s="84">
        <f t="shared" si="98"/>
        <v>-1.1699014287752179</v>
      </c>
      <c r="EA155" s="84">
        <f t="shared" si="98"/>
        <v>-0.56082473035636771</v>
      </c>
      <c r="EB155" s="84">
        <f t="shared" si="98"/>
        <v>1.5204315720387731</v>
      </c>
      <c r="EC155" s="84">
        <f t="shared" si="98"/>
        <v>-1.2577819167207971</v>
      </c>
      <c r="ED155" s="84">
        <f t="shared" si="98"/>
        <v>-0.71406844926360435</v>
      </c>
      <c r="EE155" s="84">
        <f t="shared" si="98"/>
        <v>-1.3118399146122326</v>
      </c>
      <c r="EF155" s="84">
        <f t="shared" si="98"/>
        <v>-1.614486706565444</v>
      </c>
      <c r="EG155" s="84">
        <f t="shared" si="98"/>
        <v>-1.1960709894130155</v>
      </c>
      <c r="EH155" s="84">
        <f t="shared" si="98"/>
        <v>-1.3983411421844907</v>
      </c>
      <c r="EI155" s="84">
        <f t="shared" si="98"/>
        <v>-1.5728281883438262</v>
      </c>
      <c r="EJ155" s="84">
        <f t="shared" si="98"/>
        <v>-1.3687537536039431</v>
      </c>
      <c r="EK155" s="84">
        <f t="shared" si="98"/>
        <v>-1.1858707057647435</v>
      </c>
      <c r="EL155" s="84">
        <f t="shared" si="98"/>
        <v>-1.8306307350839046</v>
      </c>
      <c r="EM155" s="84">
        <f t="shared" si="98"/>
        <v>-1.1254487376536852</v>
      </c>
      <c r="EN155" s="84">
        <f t="shared" si="98"/>
        <v>-1.2746898259338517</v>
      </c>
      <c r="EO155" s="84">
        <f t="shared" si="98"/>
        <v>-0.55555555555555558</v>
      </c>
      <c r="EP155" s="84">
        <f t="shared" si="98"/>
        <v>-0.96632649518878544</v>
      </c>
      <c r="EQ155" s="84">
        <f t="shared" si="98"/>
        <v>0</v>
      </c>
      <c r="ER155" s="84">
        <f t="shared" ref="ER155:ES155" si="99">(ER153-(2*ER149))</f>
        <v>0</v>
      </c>
      <c r="ES155" s="84">
        <f t="shared" si="99"/>
        <v>-0.91421356237309515</v>
      </c>
      <c r="ET155" s="84"/>
      <c r="EU155" s="84"/>
      <c r="EV155" s="84"/>
      <c r="EW155" s="84"/>
      <c r="EX155" s="84">
        <f t="shared" si="98"/>
        <v>-1.6012501894050049</v>
      </c>
      <c r="EY155" s="84">
        <f t="shared" si="98"/>
        <v>-1.5499921792175273</v>
      </c>
      <c r="EZ155" s="84">
        <f t="shared" si="98"/>
        <v>-1.2776919857698454</v>
      </c>
      <c r="FA155" s="84">
        <f t="shared" si="98"/>
        <v>-1.3395538558951443</v>
      </c>
      <c r="FB155" s="84">
        <f t="shared" si="98"/>
        <v>-1.7253124594169595</v>
      </c>
      <c r="FC155" s="84">
        <f t="shared" si="98"/>
        <v>-1.4675298217585548</v>
      </c>
      <c r="FD155" s="84">
        <f t="shared" si="98"/>
        <v>-1.4450792406329558</v>
      </c>
      <c r="FE155" s="84">
        <f t="shared" si="98"/>
        <v>-1.5452382003759699</v>
      </c>
      <c r="FF155" s="84">
        <f t="shared" si="98"/>
        <v>-1.2103719628128191</v>
      </c>
      <c r="FG155" s="84">
        <f t="shared" si="98"/>
        <v>-1.1005205081906253</v>
      </c>
      <c r="FH155" s="84">
        <f t="shared" si="98"/>
        <v>-0.65190017616270513</v>
      </c>
      <c r="FI155" s="84">
        <f t="shared" si="98"/>
        <v>-0.65969488146597466</v>
      </c>
      <c r="FJ155" s="84">
        <f t="shared" si="98"/>
        <v>-0.6498299142610594</v>
      </c>
      <c r="FK155" s="84">
        <f t="shared" si="98"/>
        <v>-1.6427344100918368</v>
      </c>
      <c r="FL155" s="84">
        <f t="shared" ref="FL155:FM155" si="100">(FL153-(2*FL149))</f>
        <v>0</v>
      </c>
      <c r="FM155" s="84">
        <f t="shared" si="100"/>
        <v>0</v>
      </c>
      <c r="FN155" s="84"/>
      <c r="FO155" s="84"/>
      <c r="FP155" s="84"/>
      <c r="FQ155" s="84"/>
      <c r="FR155" s="84">
        <f t="shared" si="98"/>
        <v>-1.940443461335092</v>
      </c>
      <c r="FU155" s="88" t="s">
        <v>277</v>
      </c>
    </row>
    <row r="156" spans="1:177" x14ac:dyDescent="0.25">
      <c r="A156" s="87" t="s">
        <v>276</v>
      </c>
      <c r="B156" s="53"/>
      <c r="C156" s="53"/>
      <c r="D156" s="53"/>
      <c r="E156" s="84">
        <f>(E153-(3*E149))</f>
        <v>-2539.8503339952208</v>
      </c>
      <c r="F156" s="84"/>
      <c r="G156" s="84"/>
      <c r="H156" s="84"/>
      <c r="I156" s="84"/>
      <c r="J156" s="84">
        <f t="shared" ref="J156:V156" si="101">(J153-(3*J149))</f>
        <v>1.4240489053760053</v>
      </c>
      <c r="K156" s="84">
        <f t="shared" si="101"/>
        <v>-2.4318828485520863</v>
      </c>
      <c r="L156" s="84">
        <f t="shared" si="101"/>
        <v>-4.033759053606361</v>
      </c>
      <c r="M156" s="84">
        <f t="shared" si="101"/>
        <v>-3.5040599178015599</v>
      </c>
      <c r="N156" s="84">
        <f t="shared" si="101"/>
        <v>-2.307768058868958</v>
      </c>
      <c r="O156" s="84">
        <f t="shared" si="101"/>
        <v>-3.9392469632524492</v>
      </c>
      <c r="P156" s="84">
        <f t="shared" si="101"/>
        <v>-1.3154603338031445</v>
      </c>
      <c r="Q156" s="84">
        <f t="shared" si="101"/>
        <v>-1.7961447754976998</v>
      </c>
      <c r="R156" s="84">
        <f t="shared" si="101"/>
        <v>8.7562484054815712</v>
      </c>
      <c r="S156" s="84"/>
      <c r="T156" s="84"/>
      <c r="U156" s="84">
        <f t="shared" si="101"/>
        <v>-1.8935371085442261</v>
      </c>
      <c r="V156" s="84">
        <f t="shared" si="101"/>
        <v>-1.0298022234196653</v>
      </c>
      <c r="W156" s="84"/>
      <c r="X156" s="84"/>
      <c r="Y156" s="84"/>
      <c r="Z156" s="84"/>
      <c r="AA156" s="84"/>
      <c r="AB156" s="84">
        <f t="shared" ref="AB156:AJ156" si="102">(AB153-(3*AB149))</f>
        <v>-2.0637375936930957</v>
      </c>
      <c r="AC156" s="84">
        <f t="shared" si="102"/>
        <v>-4.0481442329194337</v>
      </c>
      <c r="AD156" s="84">
        <f t="shared" si="102"/>
        <v>-3.1351450642107173</v>
      </c>
      <c r="AE156" s="84">
        <f t="shared" si="102"/>
        <v>-2.5565798480988744</v>
      </c>
      <c r="AF156" s="84">
        <f t="shared" si="102"/>
        <v>-2.6229262540464955</v>
      </c>
      <c r="AG156" s="84">
        <f t="shared" si="102"/>
        <v>-3.8208870723362396</v>
      </c>
      <c r="AH156" s="84">
        <f t="shared" si="102"/>
        <v>-1.5566779465046225</v>
      </c>
      <c r="AI156" s="84">
        <f t="shared" si="102"/>
        <v>-0.91143991176847483</v>
      </c>
      <c r="AJ156" s="84">
        <f t="shared" si="102"/>
        <v>-8.7164513577095057</v>
      </c>
      <c r="AK156" s="84"/>
      <c r="AL156" s="84"/>
      <c r="AM156" s="84"/>
      <c r="AN156" s="84">
        <f t="shared" ref="AN156:AV156" si="103">(AN153-(3*AN149))</f>
        <v>1.0625628302019199</v>
      </c>
      <c r="AO156" s="84">
        <f t="shared" si="103"/>
        <v>-1.7151052871593868</v>
      </c>
      <c r="AP156" s="84">
        <f t="shared" si="103"/>
        <v>-1.6919511462466479</v>
      </c>
      <c r="AQ156" s="84">
        <f t="shared" si="103"/>
        <v>-1.4463353729631114</v>
      </c>
      <c r="AR156" s="84">
        <f t="shared" si="103"/>
        <v>-1.4323127781819009</v>
      </c>
      <c r="AS156" s="84">
        <f t="shared" si="103"/>
        <v>-1.6176246233938034</v>
      </c>
      <c r="AT156" s="84">
        <f t="shared" si="103"/>
        <v>-0.64366710605708721</v>
      </c>
      <c r="AU156" s="84">
        <f t="shared" si="103"/>
        <v>-0.41594379695238964</v>
      </c>
      <c r="AV156" s="84">
        <f t="shared" si="103"/>
        <v>-2.8436464998408555</v>
      </c>
      <c r="AW156" s="84"/>
      <c r="AX156" s="84">
        <f t="shared" ref="AX156:BF156" si="104">(AX153-(3*AX149))</f>
        <v>1.418337670080362</v>
      </c>
      <c r="AY156" s="84">
        <f t="shared" si="104"/>
        <v>-1.5828550966484543</v>
      </c>
      <c r="AZ156" s="84">
        <f t="shared" si="104"/>
        <v>-1.7929437623018236</v>
      </c>
      <c r="BA156" s="84">
        <f t="shared" si="104"/>
        <v>-1.9924191418225217</v>
      </c>
      <c r="BB156" s="84">
        <f t="shared" si="104"/>
        <v>-1.7768041400434704</v>
      </c>
      <c r="BC156" s="84">
        <f t="shared" si="104"/>
        <v>-1.5553947393732253</v>
      </c>
      <c r="BD156" s="84">
        <f t="shared" si="104"/>
        <v>-0.47457431776603448</v>
      </c>
      <c r="BE156" s="84">
        <f t="shared" si="104"/>
        <v>-0.41594379695238964</v>
      </c>
      <c r="BF156" s="84">
        <f t="shared" si="104"/>
        <v>-3.0488840303218336</v>
      </c>
      <c r="BG156" s="84"/>
      <c r="BH156" s="84">
        <f t="shared" ref="BH156:BP156" si="105">(BH153-(3*BH149))</f>
        <v>0.92694472171749887</v>
      </c>
      <c r="BI156" s="84">
        <f t="shared" si="105"/>
        <v>-1.416324511958535</v>
      </c>
      <c r="BJ156" s="84">
        <f t="shared" si="105"/>
        <v>-1.8634858141684301</v>
      </c>
      <c r="BK156" s="84">
        <f t="shared" si="105"/>
        <v>-2.0806122538755893</v>
      </c>
      <c r="BL156" s="84">
        <f t="shared" si="105"/>
        <v>-1.4500409506299894</v>
      </c>
      <c r="BM156" s="84">
        <f t="shared" si="105"/>
        <v>-1.5790373140456424</v>
      </c>
      <c r="BN156" s="84">
        <f t="shared" si="105"/>
        <v>-0.64366710605708721</v>
      </c>
      <c r="BO156" s="84">
        <f t="shared" si="105"/>
        <v>-0.56872791578997517</v>
      </c>
      <c r="BP156" s="84">
        <f t="shared" si="105"/>
        <v>-3.2696070476377495</v>
      </c>
      <c r="BQ156" s="84"/>
      <c r="BR156" s="84">
        <f t="shared" ref="BR156:BZ156" si="106">(BR153-(3*BR149))</f>
        <v>1.185780435025364</v>
      </c>
      <c r="BS156" s="84">
        <f t="shared" si="106"/>
        <v>-1.5334963941287967</v>
      </c>
      <c r="BT156" s="84">
        <f t="shared" si="106"/>
        <v>-1.8060095287435214</v>
      </c>
      <c r="BU156" s="84">
        <f t="shared" si="106"/>
        <v>-2.136895223309863</v>
      </c>
      <c r="BV156" s="84">
        <f t="shared" si="106"/>
        <v>-1.5903047194522215</v>
      </c>
      <c r="BW156" s="84">
        <f t="shared" si="106"/>
        <v>-1.6608980693499005</v>
      </c>
      <c r="BX156" s="84">
        <f t="shared" si="106"/>
        <v>-0.47457431776603448</v>
      </c>
      <c r="BY156" s="84">
        <f t="shared" si="106"/>
        <v>-0.56872791578997517</v>
      </c>
      <c r="BZ156" s="84">
        <f t="shared" si="106"/>
        <v>-4.0076246232646691</v>
      </c>
      <c r="CA156" s="84"/>
      <c r="CB156" s="84">
        <f t="shared" ref="CB156:CJ156" si="107">(CB153-(3*CB149))</f>
        <v>0.82755614525056131</v>
      </c>
      <c r="CC156" s="84">
        <f t="shared" si="107"/>
        <v>-1.5513259393938625</v>
      </c>
      <c r="CD156" s="84">
        <f t="shared" si="107"/>
        <v>-1.4275266689391501</v>
      </c>
      <c r="CE156" s="84">
        <f t="shared" si="107"/>
        <v>-1.9599308752994342</v>
      </c>
      <c r="CF156" s="84">
        <f t="shared" si="107"/>
        <v>-1.4946002183305915</v>
      </c>
      <c r="CG156" s="84">
        <f t="shared" si="107"/>
        <v>-1.7908755255781119</v>
      </c>
      <c r="CH156" s="84">
        <f t="shared" si="107"/>
        <v>-0.56872791578997517</v>
      </c>
      <c r="CI156" s="84">
        <f t="shared" si="107"/>
        <v>-0.60807132874597358</v>
      </c>
      <c r="CJ156" s="84">
        <f t="shared" si="107"/>
        <v>-3.2037786694068862</v>
      </c>
      <c r="CK156" s="84"/>
      <c r="CL156" s="84">
        <f t="shared" ref="CL156:CT156" si="108">(CL153-(3*CL149))</f>
        <v>0.66382498094282294</v>
      </c>
      <c r="CM156" s="84">
        <f t="shared" si="108"/>
        <v>-1.4356529256640767</v>
      </c>
      <c r="CN156" s="84">
        <f t="shared" si="108"/>
        <v>-1.6183723478740779</v>
      </c>
      <c r="CO156" s="84">
        <f t="shared" si="108"/>
        <v>-1.7491369322583794</v>
      </c>
      <c r="CP156" s="84">
        <f t="shared" si="108"/>
        <v>-1.4163755460719663</v>
      </c>
      <c r="CQ156" s="84">
        <f t="shared" si="108"/>
        <v>-1.749885659597251</v>
      </c>
      <c r="CR156" s="84">
        <f t="shared" si="108"/>
        <v>-0.60807132874597358</v>
      </c>
      <c r="CS156" s="84">
        <f t="shared" si="108"/>
        <v>-0.41594379695238964</v>
      </c>
      <c r="CT156" s="84">
        <f t="shared" si="108"/>
        <v>-2.5653587935838686</v>
      </c>
      <c r="CU156" s="84"/>
      <c r="CV156" s="84">
        <f t="shared" ref="CV156:DD156" si="109">(CV153-(3*CV149))</f>
        <v>0.67423014625569389</v>
      </c>
      <c r="CW156" s="84">
        <f t="shared" si="109"/>
        <v>-1.3393350677175615</v>
      </c>
      <c r="CX156" s="84">
        <f t="shared" si="109"/>
        <v>-1.7629649124024898</v>
      </c>
      <c r="CY156" s="84">
        <f t="shared" si="109"/>
        <v>-1.8303436357858045</v>
      </c>
      <c r="CZ156" s="84">
        <f t="shared" si="109"/>
        <v>-1.2998216760259982</v>
      </c>
      <c r="DA156" s="84">
        <f t="shared" si="109"/>
        <v>-1.6268845630326005</v>
      </c>
      <c r="DB156" s="84">
        <f t="shared" si="109"/>
        <v>-0.64366710605708721</v>
      </c>
      <c r="DC156" s="84">
        <f t="shared" si="109"/>
        <v>-0.52470444961302209</v>
      </c>
      <c r="DD156" s="84">
        <f t="shared" si="109"/>
        <v>-2.6906123663847676</v>
      </c>
      <c r="DE156" s="84"/>
      <c r="DF156" s="84">
        <f t="shared" ref="DF156:DN156" si="110">(DF153-(3*DF149))</f>
        <v>0.17866946052828148</v>
      </c>
      <c r="DG156" s="84">
        <f t="shared" si="110"/>
        <v>-1.4710616265760252</v>
      </c>
      <c r="DH156" s="84">
        <f t="shared" si="110"/>
        <v>-1.2981978540274266</v>
      </c>
      <c r="DI156" s="84">
        <f t="shared" si="110"/>
        <v>-1.7771442860330637</v>
      </c>
      <c r="DJ156" s="84">
        <f t="shared" si="110"/>
        <v>-1.7614012995020256</v>
      </c>
      <c r="DK156" s="84">
        <f t="shared" si="110"/>
        <v>-1.5667221365576278</v>
      </c>
      <c r="DL156" s="84">
        <f t="shared" si="110"/>
        <v>-0.56872791578997517</v>
      </c>
      <c r="DM156" s="84">
        <f t="shared" si="110"/>
        <v>-0.56872791578997517</v>
      </c>
      <c r="DN156" s="84">
        <f t="shared" si="110"/>
        <v>-2.8288568890417527</v>
      </c>
      <c r="DO156" s="84"/>
      <c r="DP156" s="84">
        <f t="shared" ref="DP156:FR156" si="111">(DP153-(3*DP149))</f>
        <v>0.44383586914084816</v>
      </c>
      <c r="DQ156" s="84">
        <f t="shared" si="111"/>
        <v>-1.4946002183305915</v>
      </c>
      <c r="DR156" s="84">
        <f t="shared" si="111"/>
        <v>-1.5975691056031436</v>
      </c>
      <c r="DS156" s="84">
        <f t="shared" si="111"/>
        <v>-1.5242054097139222</v>
      </c>
      <c r="DT156" s="84">
        <f t="shared" si="111"/>
        <v>-1.1832233992628369</v>
      </c>
      <c r="DU156" s="84">
        <f t="shared" si="111"/>
        <v>-1.8142195649746364</v>
      </c>
      <c r="DV156" s="84">
        <f t="shared" si="111"/>
        <v>-0.60807132874597358</v>
      </c>
      <c r="DW156" s="84">
        <f t="shared" si="111"/>
        <v>-0.2472624342996747</v>
      </c>
      <c r="DX156" s="84">
        <f t="shared" si="111"/>
        <v>-2.6800893019532253</v>
      </c>
      <c r="DY156" s="84">
        <f t="shared" si="111"/>
        <v>-6.1492523996052997</v>
      </c>
      <c r="DZ156" s="84">
        <f t="shared" si="111"/>
        <v>-1.8879456683426827</v>
      </c>
      <c r="EA156" s="84">
        <f t="shared" si="111"/>
        <v>-0.8808054408582926</v>
      </c>
      <c r="EB156" s="84">
        <f t="shared" si="111"/>
        <v>-1.1150360951792511</v>
      </c>
      <c r="EC156" s="84">
        <f t="shared" si="111"/>
        <v>-2.1744426592538577</v>
      </c>
      <c r="ED156" s="84">
        <f t="shared" si="111"/>
        <v>-1.2041961990752625</v>
      </c>
      <c r="EE156" s="84">
        <f t="shared" si="111"/>
        <v>-2.1691987208392121</v>
      </c>
      <c r="EF156" s="84">
        <f t="shared" si="111"/>
        <v>-2.6519458871862955</v>
      </c>
      <c r="EG156" s="84">
        <f t="shared" si="111"/>
        <v>-2.0027395776447032</v>
      </c>
      <c r="EH156" s="84">
        <f t="shared" si="111"/>
        <v>-2.3636987636364486</v>
      </c>
      <c r="EI156" s="84">
        <f t="shared" si="111"/>
        <v>-2.6110408436668187</v>
      </c>
      <c r="EJ156" s="84">
        <f t="shared" si="111"/>
        <v>-2.2632755579421469</v>
      </c>
      <c r="EK156" s="84">
        <f t="shared" si="111"/>
        <v>-1.9691045661098019</v>
      </c>
      <c r="EL156" s="84">
        <f t="shared" si="111"/>
        <v>-3.0526687917014872</v>
      </c>
      <c r="EM156" s="84">
        <f t="shared" si="111"/>
        <v>-1.9215064398138608</v>
      </c>
      <c r="EN156" s="84">
        <f t="shared" si="111"/>
        <v>-2.1263204531864921</v>
      </c>
      <c r="EO156" s="84">
        <f t="shared" si="111"/>
        <v>-0.88888888888888884</v>
      </c>
      <c r="EP156" s="84">
        <f t="shared" si="111"/>
        <v>-1.7828230761165114</v>
      </c>
      <c r="EQ156" s="84">
        <f t="shared" si="111"/>
        <v>0</v>
      </c>
      <c r="ER156" s="84">
        <f t="shared" ref="ER156:ES156" si="112">(ER153-(3*ER149))</f>
        <v>0</v>
      </c>
      <c r="ES156" s="84">
        <f t="shared" si="112"/>
        <v>-1.6213203435596428</v>
      </c>
      <c r="ET156" s="84"/>
      <c r="EU156" s="84"/>
      <c r="EV156" s="84"/>
      <c r="EW156" s="84"/>
      <c r="EX156" s="84">
        <f t="shared" si="111"/>
        <v>-4.4090695287118233</v>
      </c>
      <c r="EY156" s="84">
        <f t="shared" si="111"/>
        <v>-2.5516069738622624</v>
      </c>
      <c r="EZ156" s="84">
        <f t="shared" si="111"/>
        <v>-2.1179768275756312</v>
      </c>
      <c r="FA156" s="84">
        <f t="shared" si="111"/>
        <v>-2.2035753881592628</v>
      </c>
      <c r="FB156" s="84">
        <f t="shared" si="111"/>
        <v>-2.8901269625067343</v>
      </c>
      <c r="FC156" s="84">
        <f t="shared" si="111"/>
        <v>-2.4063307038608537</v>
      </c>
      <c r="FD156" s="84">
        <f t="shared" si="111"/>
        <v>-2.348778281239289</v>
      </c>
      <c r="FE156" s="84">
        <f t="shared" si="111"/>
        <v>-2.5511906338972885</v>
      </c>
      <c r="FF156" s="84">
        <f t="shared" si="111"/>
        <v>-1.9836251711099848</v>
      </c>
      <c r="FG156" s="84">
        <f t="shared" si="111"/>
        <v>-1.7475549558343251</v>
      </c>
      <c r="FH156" s="84">
        <f t="shared" si="111"/>
        <v>-1.1207074071012006</v>
      </c>
      <c r="FI156" s="84">
        <f t="shared" si="111"/>
        <v>-1.100653433310073</v>
      </c>
      <c r="FJ156" s="84">
        <f t="shared" si="111"/>
        <v>-1.0580782047249222</v>
      </c>
      <c r="FK156" s="84">
        <f t="shared" si="111"/>
        <v>-2.7974349484710888</v>
      </c>
      <c r="FL156" s="84">
        <f t="shared" ref="FL156:FM156" si="113">(FL153-(3*FL149))</f>
        <v>0</v>
      </c>
      <c r="FM156" s="84">
        <f t="shared" si="113"/>
        <v>0</v>
      </c>
      <c r="FN156" s="84"/>
      <c r="FO156" s="84"/>
      <c r="FP156" s="84"/>
      <c r="FQ156" s="84"/>
      <c r="FR156" s="84">
        <f t="shared" si="111"/>
        <v>-4.6912407315709839</v>
      </c>
      <c r="FU156" s="88" t="s">
        <v>276</v>
      </c>
    </row>
  </sheetData>
  <mergeCells count="19">
    <mergeCell ref="AM1:DX1"/>
    <mergeCell ref="DY1:ED2"/>
    <mergeCell ref="EE1:FR1"/>
    <mergeCell ref="FS1:FT2"/>
    <mergeCell ref="F2:T2"/>
    <mergeCell ref="U2:V2"/>
    <mergeCell ref="W2:AL2"/>
    <mergeCell ref="AM2:AV2"/>
    <mergeCell ref="AW2:BF2"/>
    <mergeCell ref="DO2:DX2"/>
    <mergeCell ref="EE2:EX2"/>
    <mergeCell ref="EY2:FR2"/>
    <mergeCell ref="BG2:BP2"/>
    <mergeCell ref="BQ2:BZ2"/>
    <mergeCell ref="CA2:CJ2"/>
    <mergeCell ref="CK2:CT2"/>
    <mergeCell ref="CU2:DD2"/>
    <mergeCell ref="DE2:DN2"/>
    <mergeCell ref="F1:AL1"/>
  </mergeCells>
  <conditionalFormatting sqref="FS4:FT143">
    <cfRule type="cellIs" dxfId="200" priority="1" operator="notEqual">
      <formula>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156"/>
  <sheetViews>
    <sheetView workbookViewId="0">
      <pane xSplit="1" ySplit="3" topLeftCell="B119" activePane="bottomRight" state="frozen"/>
      <selection pane="topRight" activeCell="B1" sqref="B1"/>
      <selection pane="bottomLeft" activeCell="A3" sqref="A3"/>
      <selection pane="bottomRight" activeCell="A142" sqref="A142"/>
    </sheetView>
  </sheetViews>
  <sheetFormatPr defaultColWidth="9.85546875" defaultRowHeight="15" x14ac:dyDescent="0.25"/>
  <cols>
    <col min="1" max="1" width="9.7109375" style="48" bestFit="1" customWidth="1"/>
    <col min="2" max="2" width="6.140625" style="48" bestFit="1" customWidth="1"/>
    <col min="3" max="3" width="6.42578125" style="48" bestFit="1" customWidth="1"/>
    <col min="4" max="4" width="14.140625" style="48" bestFit="1" customWidth="1"/>
    <col min="5" max="5" width="9.85546875" style="49" bestFit="1" customWidth="1"/>
    <col min="6" max="6" width="5.42578125" style="49" bestFit="1" customWidth="1"/>
    <col min="7" max="7" width="15.140625" style="52" bestFit="1" customWidth="1"/>
    <col min="8" max="8" width="7" style="52" bestFit="1" customWidth="1"/>
    <col min="9" max="9" width="5.85546875" style="52" bestFit="1" customWidth="1"/>
    <col min="10" max="10" width="6.7109375" style="173" bestFit="1" customWidth="1"/>
    <col min="11" max="11" width="6.28515625" style="52" bestFit="1" customWidth="1"/>
    <col min="12" max="12" width="6.140625" style="52" bestFit="1" customWidth="1"/>
    <col min="13" max="13" width="7.140625" style="52" bestFit="1" customWidth="1"/>
    <col min="14" max="14" width="7.28515625" style="52" bestFit="1" customWidth="1"/>
    <col min="15" max="16" width="7.42578125" style="52" bestFit="1" customWidth="1"/>
    <col min="17" max="17" width="8.5703125" style="52" bestFit="1" customWidth="1"/>
    <col min="18" max="18" width="7.140625" style="52" bestFit="1" customWidth="1"/>
    <col min="19" max="20" width="7.42578125" style="52" bestFit="1" customWidth="1"/>
    <col min="21" max="22" width="6" style="52" bestFit="1" customWidth="1"/>
    <col min="23" max="23" width="7.140625" style="52" bestFit="1" customWidth="1"/>
    <col min="24" max="24" width="6" style="52" bestFit="1" customWidth="1"/>
    <col min="25" max="25" width="6.28515625" style="52" bestFit="1" customWidth="1"/>
    <col min="26" max="26" width="5.28515625" style="52" bestFit="1" customWidth="1"/>
    <col min="27" max="27" width="5.42578125" style="52" bestFit="1" customWidth="1"/>
    <col min="28" max="28" width="6.85546875" style="173" bestFit="1" customWidth="1"/>
    <col min="29" max="29" width="6.42578125" style="52" bestFit="1" customWidth="1"/>
    <col min="30" max="30" width="6.28515625" style="52" bestFit="1" customWidth="1"/>
    <col min="31" max="31" width="7.28515625" style="52" bestFit="1" customWidth="1"/>
    <col min="32" max="32" width="7.42578125" style="52" bestFit="1" customWidth="1"/>
    <col min="33" max="34" width="7.5703125" style="52" bestFit="1" customWidth="1"/>
    <col min="35" max="35" width="8.7109375" style="52" bestFit="1" customWidth="1"/>
    <col min="36" max="36" width="7.28515625" style="52" bestFit="1" customWidth="1"/>
    <col min="37" max="38" width="7.5703125" style="52" bestFit="1" customWidth="1"/>
    <col min="39" max="39" width="14.7109375" style="52" bestFit="1" customWidth="1"/>
    <col min="40" max="40" width="6.7109375" style="52" bestFit="1" customWidth="1"/>
    <col min="41" max="42" width="6" style="52" bestFit="1" customWidth="1"/>
    <col min="43" max="43" width="7.140625" style="52" bestFit="1" customWidth="1"/>
    <col min="44" max="44" width="6.5703125" style="52" bestFit="1" customWidth="1"/>
    <col min="45" max="45" width="6.7109375" style="52" bestFit="1" customWidth="1"/>
    <col min="46" max="46" width="7.85546875" style="52" bestFit="1" customWidth="1"/>
    <col min="47" max="47" width="6.28515625" style="52" bestFit="1" customWidth="1"/>
    <col min="48" max="48" width="6.42578125" style="52" bestFit="1" customWidth="1"/>
    <col min="49" max="49" width="14.7109375" style="52" bestFit="1" customWidth="1"/>
    <col min="50" max="50" width="6.7109375" style="52" bestFit="1" customWidth="1"/>
    <col min="51" max="52" width="6" style="52" bestFit="1" customWidth="1"/>
    <col min="53" max="53" width="7.140625" style="52" bestFit="1" customWidth="1"/>
    <col min="54" max="54" width="6.5703125" style="52" bestFit="1" customWidth="1"/>
    <col min="55" max="55" width="6.7109375" style="52" bestFit="1" customWidth="1"/>
    <col min="56" max="56" width="7.85546875" style="52" bestFit="1" customWidth="1"/>
    <col min="57" max="57" width="6.28515625" style="52" bestFit="1" customWidth="1"/>
    <col min="58" max="58" width="6.42578125" style="52" bestFit="1" customWidth="1"/>
    <col min="59" max="59" width="14.7109375" style="52" bestFit="1" customWidth="1"/>
    <col min="60" max="60" width="6.7109375" style="52" bestFit="1" customWidth="1"/>
    <col min="61" max="62" width="6" style="52" bestFit="1" customWidth="1"/>
    <col min="63" max="63" width="7.140625" style="52" bestFit="1" customWidth="1"/>
    <col min="64" max="64" width="6.5703125" style="52" bestFit="1" customWidth="1"/>
    <col min="65" max="65" width="6.7109375" style="52" bestFit="1" customWidth="1"/>
    <col min="66" max="66" width="7.85546875" style="52" bestFit="1" customWidth="1"/>
    <col min="67" max="67" width="6.28515625" style="52" bestFit="1" customWidth="1"/>
    <col min="68" max="68" width="6.42578125" style="52" bestFit="1" customWidth="1"/>
    <col min="69" max="69" width="14.7109375" style="52" bestFit="1" customWidth="1"/>
    <col min="70" max="70" width="6.7109375" style="52" bestFit="1" customWidth="1"/>
    <col min="71" max="72" width="6" style="52" bestFit="1" customWidth="1"/>
    <col min="73" max="73" width="7.140625" style="52" bestFit="1" customWidth="1"/>
    <col min="74" max="74" width="6.5703125" style="52" bestFit="1" customWidth="1"/>
    <col min="75" max="75" width="6.7109375" style="52" bestFit="1" customWidth="1"/>
    <col min="76" max="76" width="7.85546875" style="52" bestFit="1" customWidth="1"/>
    <col min="77" max="77" width="6.28515625" style="52" bestFit="1" customWidth="1"/>
    <col min="78" max="78" width="6.42578125" style="52" bestFit="1" customWidth="1"/>
    <col min="79" max="79" width="14.7109375" style="52" bestFit="1" customWidth="1"/>
    <col min="80" max="80" width="6.7109375" style="52" bestFit="1" customWidth="1"/>
    <col min="81" max="82" width="6" style="52" bestFit="1" customWidth="1"/>
    <col min="83" max="83" width="7.140625" style="52" bestFit="1" customWidth="1"/>
    <col min="84" max="84" width="6.5703125" style="52" bestFit="1" customWidth="1"/>
    <col min="85" max="85" width="6.7109375" style="52" bestFit="1" customWidth="1"/>
    <col min="86" max="86" width="7.85546875" style="52" bestFit="1" customWidth="1"/>
    <col min="87" max="87" width="6.28515625" style="52" bestFit="1" customWidth="1"/>
    <col min="88" max="88" width="6.42578125" style="52" bestFit="1" customWidth="1"/>
    <col min="89" max="89" width="14.7109375" style="52" bestFit="1" customWidth="1"/>
    <col min="90" max="90" width="6.7109375" style="52" bestFit="1" customWidth="1"/>
    <col min="91" max="92" width="6" style="52" bestFit="1" customWidth="1"/>
    <col min="93" max="93" width="7.140625" style="52" bestFit="1" customWidth="1"/>
    <col min="94" max="94" width="6.5703125" style="52" bestFit="1" customWidth="1"/>
    <col min="95" max="95" width="6.7109375" style="52" bestFit="1" customWidth="1"/>
    <col min="96" max="96" width="7.85546875" style="52" bestFit="1" customWidth="1"/>
    <col min="97" max="97" width="6.28515625" style="52" bestFit="1" customWidth="1"/>
    <col min="98" max="98" width="6.42578125" style="52" bestFit="1" customWidth="1"/>
    <col min="99" max="99" width="14.7109375" style="52" bestFit="1" customWidth="1"/>
    <col min="100" max="100" width="6.7109375" style="52" bestFit="1" customWidth="1"/>
    <col min="101" max="102" width="6" style="52" bestFit="1" customWidth="1"/>
    <col min="103" max="103" width="7.140625" style="52" bestFit="1" customWidth="1"/>
    <col min="104" max="104" width="6.5703125" style="52" bestFit="1" customWidth="1"/>
    <col min="105" max="105" width="6.7109375" style="52" bestFit="1" customWidth="1"/>
    <col min="106" max="106" width="7.85546875" style="52" bestFit="1" customWidth="1"/>
    <col min="107" max="107" width="6.28515625" style="52" bestFit="1" customWidth="1"/>
    <col min="108" max="108" width="6.42578125" style="52" bestFit="1" customWidth="1"/>
    <col min="109" max="109" width="11.28515625" style="52" bestFit="1" customWidth="1"/>
    <col min="110" max="110" width="6.7109375" style="52" bestFit="1" customWidth="1"/>
    <col min="111" max="112" width="6" style="52" bestFit="1" customWidth="1"/>
    <col min="113" max="113" width="7.140625" style="52" bestFit="1" customWidth="1"/>
    <col min="114" max="114" width="6.5703125" style="52" bestFit="1" customWidth="1"/>
    <col min="115" max="115" width="6.7109375" style="52" bestFit="1" customWidth="1"/>
    <col min="116" max="116" width="7.85546875" style="52" bestFit="1" customWidth="1"/>
    <col min="117" max="117" width="6.28515625" style="52" bestFit="1" customWidth="1"/>
    <col min="118" max="118" width="6.42578125" style="52" bestFit="1" customWidth="1"/>
    <col min="119" max="119" width="11.140625" style="52" bestFit="1" customWidth="1"/>
    <col min="120" max="120" width="6.7109375" style="52" bestFit="1" customWidth="1"/>
    <col min="121" max="122" width="6" style="52" bestFit="1" customWidth="1"/>
    <col min="123" max="123" width="7.140625" style="52" bestFit="1" customWidth="1"/>
    <col min="124" max="124" width="6.5703125" style="52" bestFit="1" customWidth="1"/>
    <col min="125" max="125" width="6.7109375" style="52" bestFit="1" customWidth="1"/>
    <col min="126" max="126" width="7.85546875" style="52" bestFit="1" customWidth="1"/>
    <col min="127" max="127" width="6.28515625" style="52" bestFit="1" customWidth="1"/>
    <col min="128" max="128" width="6.42578125" style="52" bestFit="1" customWidth="1"/>
    <col min="129" max="129" width="6.28515625" style="173" bestFit="1" customWidth="1"/>
    <col min="130" max="130" width="6.42578125" style="52" bestFit="1" customWidth="1"/>
    <col min="131" max="131" width="6.5703125" style="52" bestFit="1" customWidth="1"/>
    <col min="132" max="132" width="6.28515625" style="173" bestFit="1" customWidth="1"/>
    <col min="133" max="133" width="6.7109375" style="52" bestFit="1" customWidth="1"/>
    <col min="134" max="134" width="6.85546875" style="52" bestFit="1" customWidth="1"/>
    <col min="135" max="143" width="6" style="52" bestFit="1" customWidth="1"/>
    <col min="144" max="145" width="7" style="52" bestFit="1" customWidth="1"/>
    <col min="146" max="146" width="7.7109375" style="52" bestFit="1" customWidth="1"/>
    <col min="147" max="147" width="7.7109375" style="52" customWidth="1"/>
    <col min="148" max="157" width="6.28515625" style="52" bestFit="1" customWidth="1"/>
    <col min="158" max="159" width="7.28515625" style="52" bestFit="1" customWidth="1"/>
    <col min="160" max="160" width="7.7109375" style="52" bestFit="1" customWidth="1"/>
    <col min="161" max="161" width="7.7109375" style="52" customWidth="1"/>
    <col min="162" max="162" width="6.28515625" style="52" bestFit="1" customWidth="1"/>
    <col min="163" max="164" width="11.85546875" style="52" bestFit="1" customWidth="1"/>
    <col min="165" max="173" width="6.7109375" style="52" bestFit="1" customWidth="1"/>
    <col min="174" max="176" width="7.7109375" style="52" bestFit="1" customWidth="1"/>
    <col min="177" max="177" width="7.7109375" style="52" customWidth="1"/>
    <col min="178" max="178" width="7" style="52" bestFit="1" customWidth="1"/>
    <col min="179" max="179" width="57" style="51" bestFit="1" customWidth="1"/>
    <col min="180" max="16384" width="9.85546875" style="52"/>
  </cols>
  <sheetData>
    <row r="1" spans="1:179" x14ac:dyDescent="0.25">
      <c r="F1" s="442" t="s">
        <v>125</v>
      </c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  <c r="AM1" s="442" t="s">
        <v>185</v>
      </c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43"/>
      <c r="BZ1" s="443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43"/>
      <c r="CP1" s="443"/>
      <c r="CQ1" s="443"/>
      <c r="CR1" s="443"/>
      <c r="CS1" s="443"/>
      <c r="CT1" s="443"/>
      <c r="CU1" s="443"/>
      <c r="CV1" s="443"/>
      <c r="CW1" s="443"/>
      <c r="CX1" s="443"/>
      <c r="CY1" s="443"/>
      <c r="CZ1" s="443"/>
      <c r="DA1" s="443"/>
      <c r="DB1" s="443"/>
      <c r="DC1" s="443"/>
      <c r="DD1" s="443"/>
      <c r="DE1" s="443"/>
      <c r="DF1" s="443"/>
      <c r="DG1" s="443"/>
      <c r="DH1" s="443"/>
      <c r="DI1" s="443"/>
      <c r="DJ1" s="443"/>
      <c r="DK1" s="443"/>
      <c r="DL1" s="443"/>
      <c r="DM1" s="443"/>
      <c r="DN1" s="443"/>
      <c r="DO1" s="443"/>
      <c r="DP1" s="443"/>
      <c r="DQ1" s="443"/>
      <c r="DR1" s="443"/>
      <c r="DS1" s="443"/>
      <c r="DT1" s="443"/>
      <c r="DU1" s="443"/>
      <c r="DV1" s="443"/>
      <c r="DW1" s="443"/>
      <c r="DX1" s="444"/>
      <c r="DY1" s="445" t="s">
        <v>184</v>
      </c>
      <c r="DZ1" s="446"/>
      <c r="EA1" s="446"/>
      <c r="EB1" s="446"/>
      <c r="EC1" s="446"/>
      <c r="ED1" s="447"/>
      <c r="EE1" s="441" t="s">
        <v>178</v>
      </c>
      <c r="EF1" s="441"/>
      <c r="EG1" s="441"/>
      <c r="EH1" s="441"/>
      <c r="EI1" s="441"/>
      <c r="EJ1" s="441"/>
      <c r="EK1" s="441"/>
      <c r="EL1" s="441"/>
      <c r="EM1" s="441"/>
      <c r="EN1" s="441"/>
      <c r="EO1" s="441"/>
      <c r="EP1" s="441"/>
      <c r="EQ1" s="441"/>
      <c r="ER1" s="441"/>
      <c r="ES1" s="441"/>
      <c r="ET1" s="441"/>
      <c r="EU1" s="441"/>
      <c r="EV1" s="441"/>
      <c r="EW1" s="441"/>
      <c r="EX1" s="441"/>
      <c r="EY1" s="441"/>
      <c r="EZ1" s="441"/>
      <c r="FA1" s="441"/>
      <c r="FB1" s="441"/>
      <c r="FC1" s="441"/>
      <c r="FD1" s="441"/>
      <c r="FE1" s="441"/>
      <c r="FF1" s="441"/>
      <c r="FG1" s="438" t="s">
        <v>247</v>
      </c>
      <c r="FH1" s="438"/>
      <c r="FI1" s="438" t="s">
        <v>263</v>
      </c>
      <c r="FJ1" s="438"/>
      <c r="FK1" s="438"/>
      <c r="FL1" s="438"/>
      <c r="FM1" s="438"/>
      <c r="FN1" s="438"/>
      <c r="FO1" s="438"/>
      <c r="FP1" s="438"/>
      <c r="FQ1" s="438"/>
      <c r="FR1" s="438"/>
      <c r="FS1" s="438"/>
      <c r="FT1" s="438"/>
      <c r="FU1" s="438"/>
      <c r="FV1" s="438"/>
    </row>
    <row r="2" spans="1:179" x14ac:dyDescent="0.25">
      <c r="A2" s="53"/>
      <c r="B2" s="53"/>
      <c r="C2" s="53"/>
      <c r="D2" s="53"/>
      <c r="E2" s="54"/>
      <c r="F2" s="450" t="s">
        <v>0</v>
      </c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48" t="s">
        <v>186</v>
      </c>
      <c r="V2" s="449"/>
      <c r="W2" s="440" t="s">
        <v>1</v>
      </c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52">
        <v>1</v>
      </c>
      <c r="AN2" s="439"/>
      <c r="AO2" s="439"/>
      <c r="AP2" s="439"/>
      <c r="AQ2" s="439"/>
      <c r="AR2" s="439"/>
      <c r="AS2" s="439"/>
      <c r="AT2" s="439"/>
      <c r="AU2" s="439"/>
      <c r="AV2" s="439"/>
      <c r="AW2" s="439">
        <v>2</v>
      </c>
      <c r="AX2" s="439"/>
      <c r="AY2" s="439"/>
      <c r="AZ2" s="439"/>
      <c r="BA2" s="439"/>
      <c r="BB2" s="439"/>
      <c r="BC2" s="439"/>
      <c r="BD2" s="439"/>
      <c r="BE2" s="439"/>
      <c r="BF2" s="439"/>
      <c r="BG2" s="439">
        <v>3</v>
      </c>
      <c r="BH2" s="439"/>
      <c r="BI2" s="439"/>
      <c r="BJ2" s="439"/>
      <c r="BK2" s="439"/>
      <c r="BL2" s="439"/>
      <c r="BM2" s="439"/>
      <c r="BN2" s="439"/>
      <c r="BO2" s="439"/>
      <c r="BP2" s="439"/>
      <c r="BQ2" s="439">
        <v>4</v>
      </c>
      <c r="BR2" s="439"/>
      <c r="BS2" s="439"/>
      <c r="BT2" s="439"/>
      <c r="BU2" s="439"/>
      <c r="BV2" s="439"/>
      <c r="BW2" s="439"/>
      <c r="BX2" s="439"/>
      <c r="BY2" s="439"/>
      <c r="BZ2" s="439"/>
      <c r="CA2" s="439">
        <v>5</v>
      </c>
      <c r="CB2" s="439"/>
      <c r="CC2" s="439"/>
      <c r="CD2" s="439"/>
      <c r="CE2" s="439"/>
      <c r="CF2" s="439"/>
      <c r="CG2" s="439"/>
      <c r="CH2" s="439"/>
      <c r="CI2" s="439"/>
      <c r="CJ2" s="439"/>
      <c r="CK2" s="439">
        <v>6</v>
      </c>
      <c r="CL2" s="439"/>
      <c r="CM2" s="439"/>
      <c r="CN2" s="439"/>
      <c r="CO2" s="439"/>
      <c r="CP2" s="439"/>
      <c r="CQ2" s="439"/>
      <c r="CR2" s="439"/>
      <c r="CS2" s="439"/>
      <c r="CT2" s="439"/>
      <c r="CU2" s="439">
        <v>7</v>
      </c>
      <c r="CV2" s="439"/>
      <c r="CW2" s="439"/>
      <c r="CX2" s="439"/>
      <c r="CY2" s="439"/>
      <c r="CZ2" s="439"/>
      <c r="DA2" s="439"/>
      <c r="DB2" s="439"/>
      <c r="DC2" s="439"/>
      <c r="DD2" s="439"/>
      <c r="DE2" s="439">
        <v>8</v>
      </c>
      <c r="DF2" s="439"/>
      <c r="DG2" s="439"/>
      <c r="DH2" s="439"/>
      <c r="DI2" s="439"/>
      <c r="DJ2" s="439"/>
      <c r="DK2" s="439"/>
      <c r="DL2" s="439"/>
      <c r="DM2" s="439"/>
      <c r="DN2" s="439"/>
      <c r="DO2" s="439">
        <v>9</v>
      </c>
      <c r="DP2" s="439"/>
      <c r="DQ2" s="439"/>
      <c r="DR2" s="439"/>
      <c r="DS2" s="439"/>
      <c r="DT2" s="439"/>
      <c r="DU2" s="439"/>
      <c r="DV2" s="439"/>
      <c r="DW2" s="439"/>
      <c r="DX2" s="453"/>
      <c r="DY2" s="445"/>
      <c r="DZ2" s="446"/>
      <c r="EA2" s="446"/>
      <c r="EB2" s="446"/>
      <c r="EC2" s="446"/>
      <c r="ED2" s="447"/>
      <c r="EE2" s="441" t="s">
        <v>541</v>
      </c>
      <c r="EF2" s="441"/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/>
      <c r="ES2" s="441" t="s">
        <v>180</v>
      </c>
      <c r="ET2" s="441"/>
      <c r="EU2" s="441"/>
      <c r="EV2" s="441"/>
      <c r="EW2" s="441"/>
      <c r="EX2" s="441"/>
      <c r="EY2" s="441"/>
      <c r="EZ2" s="441"/>
      <c r="FA2" s="441"/>
      <c r="FB2" s="441"/>
      <c r="FC2" s="441"/>
      <c r="FD2" s="441"/>
      <c r="FE2" s="441"/>
      <c r="FF2" s="441"/>
      <c r="FG2" s="438"/>
      <c r="FH2" s="438"/>
      <c r="FI2" s="438"/>
      <c r="FJ2" s="438"/>
      <c r="FK2" s="438"/>
      <c r="FL2" s="438"/>
      <c r="FM2" s="438"/>
      <c r="FN2" s="438"/>
      <c r="FO2" s="438"/>
      <c r="FP2" s="438"/>
      <c r="FQ2" s="438"/>
      <c r="FR2" s="438"/>
      <c r="FS2" s="438"/>
      <c r="FT2" s="438"/>
      <c r="FU2" s="438"/>
      <c r="FV2" s="438"/>
    </row>
    <row r="3" spans="1:179" s="51" customFormat="1" x14ac:dyDescent="0.25">
      <c r="A3" s="55" t="s">
        <v>3</v>
      </c>
      <c r="B3" s="55" t="s">
        <v>126</v>
      </c>
      <c r="C3" s="55" t="s">
        <v>127</v>
      </c>
      <c r="D3" s="55" t="s">
        <v>128</v>
      </c>
      <c r="E3" s="56" t="s">
        <v>151</v>
      </c>
      <c r="F3" s="56" t="s">
        <v>181</v>
      </c>
      <c r="G3" s="36" t="s">
        <v>2</v>
      </c>
      <c r="H3" s="37" t="s">
        <v>4</v>
      </c>
      <c r="I3" s="37" t="s">
        <v>5</v>
      </c>
      <c r="J3" s="203" t="s">
        <v>6</v>
      </c>
      <c r="K3" s="36" t="s">
        <v>7</v>
      </c>
      <c r="L3" s="36" t="s">
        <v>8</v>
      </c>
      <c r="M3" s="36" t="s">
        <v>9</v>
      </c>
      <c r="N3" s="36" t="s">
        <v>10</v>
      </c>
      <c r="O3" s="36" t="s">
        <v>11</v>
      </c>
      <c r="P3" s="36" t="s">
        <v>12</v>
      </c>
      <c r="Q3" s="36" t="s">
        <v>13</v>
      </c>
      <c r="R3" s="36" t="s">
        <v>14</v>
      </c>
      <c r="S3" s="36" t="s">
        <v>15</v>
      </c>
      <c r="T3" s="36" t="s">
        <v>16</v>
      </c>
      <c r="U3" s="37" t="s">
        <v>32</v>
      </c>
      <c r="V3" s="37" t="s">
        <v>33</v>
      </c>
      <c r="W3" s="36" t="s">
        <v>17</v>
      </c>
      <c r="X3" s="36" t="s">
        <v>18</v>
      </c>
      <c r="Y3" s="36" t="s">
        <v>182</v>
      </c>
      <c r="Z3" s="36" t="s">
        <v>183</v>
      </c>
      <c r="AA3" s="36" t="s">
        <v>20</v>
      </c>
      <c r="AB3" s="203" t="s">
        <v>21</v>
      </c>
      <c r="AC3" s="37" t="s">
        <v>22</v>
      </c>
      <c r="AD3" s="37" t="s">
        <v>23</v>
      </c>
      <c r="AE3" s="37" t="s">
        <v>24</v>
      </c>
      <c r="AF3" s="37" t="s">
        <v>25</v>
      </c>
      <c r="AG3" s="37" t="s">
        <v>26</v>
      </c>
      <c r="AH3" s="37" t="s">
        <v>27</v>
      </c>
      <c r="AI3" s="37" t="s">
        <v>28</v>
      </c>
      <c r="AJ3" s="37" t="s">
        <v>29</v>
      </c>
      <c r="AK3" s="37" t="s">
        <v>30</v>
      </c>
      <c r="AL3" s="37" t="s">
        <v>31</v>
      </c>
      <c r="AM3" s="37" t="s">
        <v>35</v>
      </c>
      <c r="AN3" s="37" t="s">
        <v>36</v>
      </c>
      <c r="AO3" s="37" t="s">
        <v>37</v>
      </c>
      <c r="AP3" s="37" t="s">
        <v>38</v>
      </c>
      <c r="AQ3" s="37" t="s">
        <v>39</v>
      </c>
      <c r="AR3" s="37" t="s">
        <v>40</v>
      </c>
      <c r="AS3" s="37" t="s">
        <v>41</v>
      </c>
      <c r="AT3" s="37" t="s">
        <v>42</v>
      </c>
      <c r="AU3" s="37" t="s">
        <v>43</v>
      </c>
      <c r="AV3" s="37" t="s">
        <v>44</v>
      </c>
      <c r="AW3" s="37" t="s">
        <v>45</v>
      </c>
      <c r="AX3" s="37" t="s">
        <v>46</v>
      </c>
      <c r="AY3" s="37" t="s">
        <v>47</v>
      </c>
      <c r="AZ3" s="57" t="s">
        <v>48</v>
      </c>
      <c r="BA3" s="57" t="s">
        <v>49</v>
      </c>
      <c r="BB3" s="57" t="s">
        <v>50</v>
      </c>
      <c r="BC3" s="57" t="s">
        <v>51</v>
      </c>
      <c r="BD3" s="57" t="s">
        <v>52</v>
      </c>
      <c r="BE3" s="57" t="s">
        <v>53</v>
      </c>
      <c r="BF3" s="57" t="s">
        <v>54</v>
      </c>
      <c r="BG3" s="57" t="s">
        <v>55</v>
      </c>
      <c r="BH3" s="57" t="s">
        <v>56</v>
      </c>
      <c r="BI3" s="57" t="s">
        <v>57</v>
      </c>
      <c r="BJ3" s="57" t="s">
        <v>58</v>
      </c>
      <c r="BK3" s="57" t="s">
        <v>59</v>
      </c>
      <c r="BL3" s="57" t="s">
        <v>60</v>
      </c>
      <c r="BM3" s="57" t="s">
        <v>61</v>
      </c>
      <c r="BN3" s="57" t="s">
        <v>62</v>
      </c>
      <c r="BO3" s="57" t="s">
        <v>63</v>
      </c>
      <c r="BP3" s="57" t="s">
        <v>64</v>
      </c>
      <c r="BQ3" s="57" t="s">
        <v>65</v>
      </c>
      <c r="BR3" s="57" t="s">
        <v>66</v>
      </c>
      <c r="BS3" s="57" t="s">
        <v>67</v>
      </c>
      <c r="BT3" s="57" t="s">
        <v>68</v>
      </c>
      <c r="BU3" s="57" t="s">
        <v>69</v>
      </c>
      <c r="BV3" s="57" t="s">
        <v>70</v>
      </c>
      <c r="BW3" s="57" t="s">
        <v>71</v>
      </c>
      <c r="BX3" s="57" t="s">
        <v>72</v>
      </c>
      <c r="BY3" s="57" t="s">
        <v>73</v>
      </c>
      <c r="BZ3" s="57" t="s">
        <v>74</v>
      </c>
      <c r="CA3" s="57" t="s">
        <v>75</v>
      </c>
      <c r="CB3" s="57" t="s">
        <v>76</v>
      </c>
      <c r="CC3" s="57" t="s">
        <v>77</v>
      </c>
      <c r="CD3" s="57" t="s">
        <v>78</v>
      </c>
      <c r="CE3" s="57" t="s">
        <v>79</v>
      </c>
      <c r="CF3" s="57" t="s">
        <v>80</v>
      </c>
      <c r="CG3" s="57" t="s">
        <v>81</v>
      </c>
      <c r="CH3" s="57" t="s">
        <v>82</v>
      </c>
      <c r="CI3" s="57" t="s">
        <v>83</v>
      </c>
      <c r="CJ3" s="57" t="s">
        <v>84</v>
      </c>
      <c r="CK3" s="57" t="s">
        <v>85</v>
      </c>
      <c r="CL3" s="57" t="s">
        <v>86</v>
      </c>
      <c r="CM3" s="57" t="s">
        <v>87</v>
      </c>
      <c r="CN3" s="57" t="s">
        <v>88</v>
      </c>
      <c r="CO3" s="57" t="s">
        <v>89</v>
      </c>
      <c r="CP3" s="57" t="s">
        <v>90</v>
      </c>
      <c r="CQ3" s="57" t="s">
        <v>91</v>
      </c>
      <c r="CR3" s="57" t="s">
        <v>92</v>
      </c>
      <c r="CS3" s="57" t="s">
        <v>93</v>
      </c>
      <c r="CT3" s="57" t="s">
        <v>94</v>
      </c>
      <c r="CU3" s="57" t="s">
        <v>95</v>
      </c>
      <c r="CV3" s="57" t="s">
        <v>96</v>
      </c>
      <c r="CW3" s="57" t="s">
        <v>97</v>
      </c>
      <c r="CX3" s="57" t="s">
        <v>98</v>
      </c>
      <c r="CY3" s="57" t="s">
        <v>99</v>
      </c>
      <c r="CZ3" s="57" t="s">
        <v>100</v>
      </c>
      <c r="DA3" s="57" t="s">
        <v>101</v>
      </c>
      <c r="DB3" s="57" t="s">
        <v>102</v>
      </c>
      <c r="DC3" s="57" t="s">
        <v>103</v>
      </c>
      <c r="DD3" s="57" t="s">
        <v>104</v>
      </c>
      <c r="DE3" s="57" t="s">
        <v>105</v>
      </c>
      <c r="DF3" s="57" t="s">
        <v>106</v>
      </c>
      <c r="DG3" s="57" t="s">
        <v>107</v>
      </c>
      <c r="DH3" s="57" t="s">
        <v>108</v>
      </c>
      <c r="DI3" s="57" t="s">
        <v>109</v>
      </c>
      <c r="DJ3" s="57" t="s">
        <v>110</v>
      </c>
      <c r="DK3" s="57" t="s">
        <v>111</v>
      </c>
      <c r="DL3" s="57" t="s">
        <v>112</v>
      </c>
      <c r="DM3" s="57" t="s">
        <v>113</v>
      </c>
      <c r="DN3" s="57" t="s">
        <v>114</v>
      </c>
      <c r="DO3" s="57" t="s">
        <v>115</v>
      </c>
      <c r="DP3" s="57" t="s">
        <v>116</v>
      </c>
      <c r="DQ3" s="57" t="s">
        <v>117</v>
      </c>
      <c r="DR3" s="57" t="s">
        <v>118</v>
      </c>
      <c r="DS3" s="57" t="s">
        <v>119</v>
      </c>
      <c r="DT3" s="57" t="s">
        <v>120</v>
      </c>
      <c r="DU3" s="57" t="s">
        <v>121</v>
      </c>
      <c r="DV3" s="57" t="s">
        <v>122</v>
      </c>
      <c r="DW3" s="57" t="s">
        <v>123</v>
      </c>
      <c r="DX3" s="57" t="s">
        <v>124</v>
      </c>
      <c r="DY3" s="202" t="s">
        <v>145</v>
      </c>
      <c r="DZ3" s="57" t="s">
        <v>148</v>
      </c>
      <c r="EA3" s="57" t="s">
        <v>149</v>
      </c>
      <c r="EB3" s="202" t="s">
        <v>146</v>
      </c>
      <c r="EC3" s="57" t="s">
        <v>147</v>
      </c>
      <c r="ED3" s="57" t="s">
        <v>150</v>
      </c>
      <c r="EE3" s="57" t="s">
        <v>152</v>
      </c>
      <c r="EF3" s="57" t="s">
        <v>153</v>
      </c>
      <c r="EG3" s="57" t="s">
        <v>154</v>
      </c>
      <c r="EH3" s="57" t="s">
        <v>155</v>
      </c>
      <c r="EI3" s="57" t="s">
        <v>156</v>
      </c>
      <c r="EJ3" s="57" t="s">
        <v>157</v>
      </c>
      <c r="EK3" s="57" t="s">
        <v>158</v>
      </c>
      <c r="EL3" s="57" t="s">
        <v>159</v>
      </c>
      <c r="EM3" s="57" t="s">
        <v>160</v>
      </c>
      <c r="EN3" s="57" t="s">
        <v>161</v>
      </c>
      <c r="EO3" s="57" t="s">
        <v>162</v>
      </c>
      <c r="EP3" s="57" t="s">
        <v>163</v>
      </c>
      <c r="EQ3" s="57" t="s">
        <v>372</v>
      </c>
      <c r="ER3" s="57" t="s">
        <v>164</v>
      </c>
      <c r="ES3" s="57" t="s">
        <v>165</v>
      </c>
      <c r="ET3" s="57" t="s">
        <v>166</v>
      </c>
      <c r="EU3" s="57" t="s">
        <v>167</v>
      </c>
      <c r="EV3" s="57" t="s">
        <v>168</v>
      </c>
      <c r="EW3" s="57" t="s">
        <v>169</v>
      </c>
      <c r="EX3" s="57" t="s">
        <v>170</v>
      </c>
      <c r="EY3" s="57" t="s">
        <v>171</v>
      </c>
      <c r="EZ3" s="57" t="s">
        <v>172</v>
      </c>
      <c r="FA3" s="57" t="s">
        <v>173</v>
      </c>
      <c r="FB3" s="57" t="s">
        <v>174</v>
      </c>
      <c r="FC3" s="57" t="s">
        <v>175</v>
      </c>
      <c r="FD3" s="57" t="s">
        <v>176</v>
      </c>
      <c r="FE3" s="57" t="s">
        <v>371</v>
      </c>
      <c r="FF3" s="57" t="s">
        <v>177</v>
      </c>
      <c r="FG3" s="57" t="s">
        <v>245</v>
      </c>
      <c r="FH3" s="57" t="s">
        <v>246</v>
      </c>
      <c r="FI3" s="57" t="s">
        <v>251</v>
      </c>
      <c r="FJ3" s="57" t="s">
        <v>262</v>
      </c>
      <c r="FK3" s="57" t="s">
        <v>261</v>
      </c>
      <c r="FL3" s="57" t="s">
        <v>260</v>
      </c>
      <c r="FM3" s="57" t="s">
        <v>259</v>
      </c>
      <c r="FN3" s="57" t="s">
        <v>258</v>
      </c>
      <c r="FO3" s="57" t="s">
        <v>257</v>
      </c>
      <c r="FP3" s="57" t="s">
        <v>256</v>
      </c>
      <c r="FQ3" s="57" t="s">
        <v>255</v>
      </c>
      <c r="FR3" s="57" t="s">
        <v>254</v>
      </c>
      <c r="FS3" s="57" t="s">
        <v>253</v>
      </c>
      <c r="FT3" s="57" t="s">
        <v>252</v>
      </c>
      <c r="FU3" s="57" t="s">
        <v>564</v>
      </c>
      <c r="FV3" s="57" t="s">
        <v>264</v>
      </c>
      <c r="FW3" s="57" t="s">
        <v>248</v>
      </c>
    </row>
    <row r="4" spans="1:179" x14ac:dyDescent="0.25">
      <c r="A4" s="53">
        <v>40276</v>
      </c>
      <c r="B4" s="53" t="s">
        <v>133</v>
      </c>
      <c r="C4" s="53" t="s">
        <v>131</v>
      </c>
      <c r="D4" s="53" t="s">
        <v>537</v>
      </c>
      <c r="E4" s="54">
        <v>7023</v>
      </c>
      <c r="F4" s="58">
        <v>1</v>
      </c>
      <c r="G4" s="59" t="s">
        <v>540</v>
      </c>
      <c r="H4" s="6">
        <v>0</v>
      </c>
      <c r="I4" s="6">
        <v>1</v>
      </c>
      <c r="J4" s="178">
        <v>3</v>
      </c>
      <c r="K4" s="6">
        <v>6</v>
      </c>
      <c r="L4" s="6">
        <v>6</v>
      </c>
      <c r="M4" s="6">
        <v>6</v>
      </c>
      <c r="N4" s="6">
        <v>1</v>
      </c>
      <c r="O4" s="6">
        <v>6</v>
      </c>
      <c r="P4" s="6">
        <v>1</v>
      </c>
      <c r="Q4" s="6">
        <v>1</v>
      </c>
      <c r="R4" s="6">
        <v>17</v>
      </c>
      <c r="S4" s="6"/>
      <c r="T4" s="6"/>
      <c r="U4" s="6">
        <v>0</v>
      </c>
      <c r="V4" s="61">
        <v>0</v>
      </c>
      <c r="W4" s="62">
        <v>0</v>
      </c>
      <c r="X4" s="62">
        <v>0</v>
      </c>
      <c r="Y4" s="62">
        <v>0</v>
      </c>
      <c r="Z4" s="62">
        <v>0</v>
      </c>
      <c r="AA4" s="62">
        <v>0</v>
      </c>
      <c r="AB4" s="176">
        <v>5</v>
      </c>
      <c r="AC4" s="62">
        <v>1</v>
      </c>
      <c r="AD4" s="62">
        <v>1</v>
      </c>
      <c r="AE4" s="62">
        <v>1</v>
      </c>
      <c r="AF4" s="62">
        <v>1</v>
      </c>
      <c r="AG4" s="62">
        <v>5</v>
      </c>
      <c r="AH4" s="62">
        <v>0</v>
      </c>
      <c r="AI4" s="62">
        <v>0</v>
      </c>
      <c r="AJ4" s="62">
        <v>16</v>
      </c>
      <c r="AK4" s="62"/>
      <c r="AL4" s="62"/>
      <c r="AM4" s="64" t="s">
        <v>519</v>
      </c>
      <c r="AN4" s="65">
        <v>5</v>
      </c>
      <c r="AO4" s="65">
        <v>0</v>
      </c>
      <c r="AP4" s="65">
        <v>3</v>
      </c>
      <c r="AQ4" s="65">
        <v>0</v>
      </c>
      <c r="AR4" s="65">
        <v>0</v>
      </c>
      <c r="AS4" s="65">
        <v>1</v>
      </c>
      <c r="AT4" s="65">
        <v>0</v>
      </c>
      <c r="AU4" s="65">
        <v>0</v>
      </c>
      <c r="AV4" s="66">
        <v>3</v>
      </c>
      <c r="AW4" s="64" t="s">
        <v>529</v>
      </c>
      <c r="AX4" s="65">
        <v>5</v>
      </c>
      <c r="AY4" s="65">
        <v>0</v>
      </c>
      <c r="AZ4" s="65">
        <v>1</v>
      </c>
      <c r="BA4" s="65">
        <v>0</v>
      </c>
      <c r="BB4" s="65">
        <v>0</v>
      </c>
      <c r="BC4" s="65">
        <v>2</v>
      </c>
      <c r="BD4" s="65">
        <v>0</v>
      </c>
      <c r="BE4" s="65">
        <v>0</v>
      </c>
      <c r="BF4" s="66">
        <v>1</v>
      </c>
      <c r="BG4" s="64" t="s">
        <v>534</v>
      </c>
      <c r="BH4" s="65">
        <v>4</v>
      </c>
      <c r="BI4" s="65">
        <v>0</v>
      </c>
      <c r="BJ4" s="65">
        <v>1</v>
      </c>
      <c r="BK4" s="65">
        <v>0</v>
      </c>
      <c r="BL4" s="65">
        <v>0</v>
      </c>
      <c r="BM4" s="65">
        <v>0</v>
      </c>
      <c r="BN4" s="65">
        <v>0</v>
      </c>
      <c r="BO4" s="65">
        <v>0</v>
      </c>
      <c r="BP4" s="66">
        <v>1</v>
      </c>
      <c r="BQ4" s="64" t="s">
        <v>539</v>
      </c>
      <c r="BR4" s="65">
        <v>4</v>
      </c>
      <c r="BS4" s="65">
        <v>0</v>
      </c>
      <c r="BT4" s="65">
        <v>1</v>
      </c>
      <c r="BU4" s="65">
        <v>0</v>
      </c>
      <c r="BV4" s="65">
        <v>0</v>
      </c>
      <c r="BW4" s="65">
        <v>0</v>
      </c>
      <c r="BX4" s="65">
        <v>0</v>
      </c>
      <c r="BY4" s="65">
        <v>0</v>
      </c>
      <c r="BZ4" s="66">
        <v>1</v>
      </c>
      <c r="CA4" s="64" t="s">
        <v>532</v>
      </c>
      <c r="CB4" s="65">
        <v>3</v>
      </c>
      <c r="CC4" s="65">
        <v>0</v>
      </c>
      <c r="CD4" s="65">
        <v>0</v>
      </c>
      <c r="CE4" s="65">
        <v>0</v>
      </c>
      <c r="CF4" s="65">
        <v>1</v>
      </c>
      <c r="CG4" s="65">
        <v>0</v>
      </c>
      <c r="CH4" s="65">
        <v>0</v>
      </c>
      <c r="CI4" s="65">
        <v>0</v>
      </c>
      <c r="CJ4" s="66">
        <v>0</v>
      </c>
      <c r="CK4" s="64" t="s">
        <v>531</v>
      </c>
      <c r="CL4" s="65">
        <v>4</v>
      </c>
      <c r="CM4" s="65">
        <v>1</v>
      </c>
      <c r="CN4" s="65">
        <v>2</v>
      </c>
      <c r="CO4" s="65">
        <v>0</v>
      </c>
      <c r="CP4" s="65">
        <v>0</v>
      </c>
      <c r="CQ4" s="65">
        <v>1</v>
      </c>
      <c r="CR4" s="65">
        <v>0</v>
      </c>
      <c r="CS4" s="65">
        <v>0</v>
      </c>
      <c r="CT4" s="66">
        <v>2</v>
      </c>
      <c r="CU4" s="64" t="s">
        <v>530</v>
      </c>
      <c r="CV4" s="65">
        <v>4</v>
      </c>
      <c r="CW4" s="65">
        <v>1</v>
      </c>
      <c r="CX4" s="65">
        <v>2</v>
      </c>
      <c r="CY4" s="65">
        <v>2</v>
      </c>
      <c r="CZ4" s="65">
        <v>0</v>
      </c>
      <c r="DA4" s="65">
        <v>1</v>
      </c>
      <c r="DB4" s="65">
        <v>0</v>
      </c>
      <c r="DC4" s="65">
        <v>0</v>
      </c>
      <c r="DD4" s="66">
        <v>5</v>
      </c>
      <c r="DE4" s="64" t="s">
        <v>535</v>
      </c>
      <c r="DF4" s="65">
        <v>4</v>
      </c>
      <c r="DG4" s="65">
        <v>0</v>
      </c>
      <c r="DH4" s="65">
        <v>0</v>
      </c>
      <c r="DI4" s="65">
        <v>0</v>
      </c>
      <c r="DJ4" s="65">
        <v>0</v>
      </c>
      <c r="DK4" s="65">
        <v>2</v>
      </c>
      <c r="DL4" s="65">
        <v>0</v>
      </c>
      <c r="DM4" s="65">
        <v>0</v>
      </c>
      <c r="DN4" s="66">
        <v>0</v>
      </c>
      <c r="DO4" s="64" t="s">
        <v>538</v>
      </c>
      <c r="DP4" s="65">
        <v>4</v>
      </c>
      <c r="DQ4" s="65">
        <v>0</v>
      </c>
      <c r="DR4" s="65">
        <v>1</v>
      </c>
      <c r="DS4" s="65">
        <v>0</v>
      </c>
      <c r="DT4" s="65">
        <v>0</v>
      </c>
      <c r="DU4" s="65">
        <v>1</v>
      </c>
      <c r="DV4" s="65">
        <v>0</v>
      </c>
      <c r="DW4" s="65">
        <v>0</v>
      </c>
      <c r="DX4" s="66">
        <v>2</v>
      </c>
      <c r="DY4" s="201">
        <v>6</v>
      </c>
      <c r="DZ4" s="68">
        <v>0</v>
      </c>
      <c r="EA4" s="68">
        <v>1</v>
      </c>
      <c r="EB4" s="200">
        <v>3</v>
      </c>
      <c r="EC4" s="68">
        <v>0</v>
      </c>
      <c r="ED4" s="70">
        <v>0</v>
      </c>
      <c r="EE4" s="71">
        <v>0</v>
      </c>
      <c r="EF4" s="72">
        <v>0</v>
      </c>
      <c r="EG4" s="72">
        <v>0</v>
      </c>
      <c r="EH4" s="72">
        <v>0</v>
      </c>
      <c r="EI4" s="72">
        <v>0</v>
      </c>
      <c r="EJ4" s="72">
        <v>0</v>
      </c>
      <c r="EK4" s="72">
        <v>2</v>
      </c>
      <c r="EL4" s="72">
        <v>0</v>
      </c>
      <c r="EM4" s="72">
        <v>0</v>
      </c>
      <c r="EN4" s="72"/>
      <c r="EO4" s="72"/>
      <c r="EP4" s="72"/>
      <c r="EQ4" s="72"/>
      <c r="ER4" s="44">
        <f t="shared" ref="ER4:ER37" si="0">SUM(EE4:EQ4)</f>
        <v>2</v>
      </c>
      <c r="ES4" s="43">
        <v>0</v>
      </c>
      <c r="ET4" s="43">
        <v>4</v>
      </c>
      <c r="EU4" s="43">
        <v>2</v>
      </c>
      <c r="EV4" s="43">
        <v>0</v>
      </c>
      <c r="EW4" s="43">
        <v>0</v>
      </c>
      <c r="EX4" s="43">
        <v>0</v>
      </c>
      <c r="EY4" s="43">
        <v>1</v>
      </c>
      <c r="EZ4" s="43">
        <v>0</v>
      </c>
      <c r="FA4" s="43"/>
      <c r="FB4" s="43"/>
      <c r="FC4" s="43"/>
      <c r="FD4" s="43"/>
      <c r="FE4" s="43"/>
      <c r="FF4" s="43">
        <f t="shared" ref="FF4:FF37" si="1">SUM(ES4:FE4)</f>
        <v>7</v>
      </c>
      <c r="FG4" s="73">
        <f t="shared" ref="FG4:FG21" si="2">((SUM(L4,AD4))-(FF4))</f>
        <v>0</v>
      </c>
      <c r="FH4" s="73">
        <f t="shared" ref="FH4:FH21" si="3">((SUM(AO4,AY4,BI4,BS4,CC4,CM4,CW4,DG4,DQ4))-(ER4))</f>
        <v>0</v>
      </c>
      <c r="FI4" s="73">
        <f t="shared" ref="FI4:FT5" si="4">(EE4-ES4)</f>
        <v>0</v>
      </c>
      <c r="FJ4" s="73">
        <f t="shared" si="4"/>
        <v>-4</v>
      </c>
      <c r="FK4" s="73">
        <f t="shared" si="4"/>
        <v>-2</v>
      </c>
      <c r="FL4" s="73">
        <f t="shared" si="4"/>
        <v>0</v>
      </c>
      <c r="FM4" s="73">
        <f t="shared" si="4"/>
        <v>0</v>
      </c>
      <c r="FN4" s="73">
        <f t="shared" si="4"/>
        <v>0</v>
      </c>
      <c r="FO4" s="73">
        <f t="shared" si="4"/>
        <v>1</v>
      </c>
      <c r="FP4" s="73">
        <f t="shared" si="4"/>
        <v>0</v>
      </c>
      <c r="FQ4" s="73">
        <f t="shared" si="4"/>
        <v>0</v>
      </c>
      <c r="FR4" s="73">
        <f t="shared" si="4"/>
        <v>0</v>
      </c>
      <c r="FS4" s="73">
        <f t="shared" si="4"/>
        <v>0</v>
      </c>
      <c r="FT4" s="73">
        <f t="shared" si="4"/>
        <v>0</v>
      </c>
      <c r="FU4" s="73">
        <f t="shared" ref="FU4:FU37" si="5">(EQ4-FE4)</f>
        <v>0</v>
      </c>
      <c r="FV4" s="73">
        <f>(ER4-FF4)</f>
        <v>-5</v>
      </c>
      <c r="FW4" s="38"/>
    </row>
    <row r="5" spans="1:179" x14ac:dyDescent="0.25">
      <c r="A5" s="199">
        <v>40277</v>
      </c>
      <c r="B5" s="199" t="s">
        <v>133</v>
      </c>
      <c r="C5" s="199" t="s">
        <v>131</v>
      </c>
      <c r="D5" s="199" t="s">
        <v>537</v>
      </c>
      <c r="E5" s="183">
        <v>2899</v>
      </c>
      <c r="F5" s="198">
        <v>2</v>
      </c>
      <c r="G5" s="197" t="s">
        <v>536</v>
      </c>
      <c r="H5" s="195">
        <v>0</v>
      </c>
      <c r="I5" s="195">
        <v>1</v>
      </c>
      <c r="J5" s="196">
        <f>4+2/3</f>
        <v>4.666666666666667</v>
      </c>
      <c r="K5" s="195">
        <v>5</v>
      </c>
      <c r="L5" s="195">
        <v>3</v>
      </c>
      <c r="M5" s="195">
        <v>3</v>
      </c>
      <c r="N5" s="195">
        <v>2</v>
      </c>
      <c r="O5" s="195">
        <v>4</v>
      </c>
      <c r="P5" s="195">
        <v>0</v>
      </c>
      <c r="Q5" s="195">
        <v>0</v>
      </c>
      <c r="R5" s="195">
        <v>20</v>
      </c>
      <c r="S5" s="195"/>
      <c r="T5" s="195"/>
      <c r="U5" s="195">
        <v>1</v>
      </c>
      <c r="V5" s="194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82">
        <f>3+1/3</f>
        <v>3.3333333333333335</v>
      </c>
      <c r="AC5" s="181">
        <v>3</v>
      </c>
      <c r="AD5" s="181">
        <v>2</v>
      </c>
      <c r="AE5" s="181">
        <v>2</v>
      </c>
      <c r="AF5" s="181">
        <v>2</v>
      </c>
      <c r="AG5" s="181">
        <v>5</v>
      </c>
      <c r="AH5" s="181">
        <v>0</v>
      </c>
      <c r="AI5" s="181">
        <v>0</v>
      </c>
      <c r="AJ5" s="181">
        <v>14</v>
      </c>
      <c r="AK5" s="181"/>
      <c r="AL5" s="181"/>
      <c r="AM5" s="193" t="s">
        <v>535</v>
      </c>
      <c r="AN5" s="192">
        <v>4</v>
      </c>
      <c r="AO5" s="192">
        <v>0</v>
      </c>
      <c r="AP5" s="192">
        <v>0</v>
      </c>
      <c r="AQ5" s="192">
        <v>0</v>
      </c>
      <c r="AR5" s="192">
        <v>0</v>
      </c>
      <c r="AS5" s="192">
        <v>3</v>
      </c>
      <c r="AT5" s="192">
        <v>0</v>
      </c>
      <c r="AU5" s="192">
        <v>0</v>
      </c>
      <c r="AV5" s="191">
        <v>0</v>
      </c>
      <c r="AW5" s="193" t="s">
        <v>519</v>
      </c>
      <c r="AX5" s="192">
        <v>4</v>
      </c>
      <c r="AY5" s="192">
        <v>0</v>
      </c>
      <c r="AZ5" s="192">
        <v>2</v>
      </c>
      <c r="BA5" s="192">
        <v>1</v>
      </c>
      <c r="BB5" s="192">
        <v>0</v>
      </c>
      <c r="BC5" s="192">
        <v>1</v>
      </c>
      <c r="BD5" s="192">
        <v>0</v>
      </c>
      <c r="BE5" s="192">
        <v>0</v>
      </c>
      <c r="BF5" s="191">
        <v>3</v>
      </c>
      <c r="BG5" s="193" t="s">
        <v>534</v>
      </c>
      <c r="BH5" s="192">
        <v>4</v>
      </c>
      <c r="BI5" s="192">
        <v>0</v>
      </c>
      <c r="BJ5" s="192">
        <v>0</v>
      </c>
      <c r="BK5" s="192">
        <v>0</v>
      </c>
      <c r="BL5" s="192">
        <v>0</v>
      </c>
      <c r="BM5" s="192">
        <v>3</v>
      </c>
      <c r="BN5" s="192">
        <v>0</v>
      </c>
      <c r="BO5" s="192">
        <v>0</v>
      </c>
      <c r="BP5" s="191">
        <v>0</v>
      </c>
      <c r="BQ5" s="193" t="s">
        <v>533</v>
      </c>
      <c r="BR5" s="192">
        <v>3</v>
      </c>
      <c r="BS5" s="192">
        <v>1</v>
      </c>
      <c r="BT5" s="192">
        <v>0</v>
      </c>
      <c r="BU5" s="192">
        <v>0</v>
      </c>
      <c r="BV5" s="192">
        <v>1</v>
      </c>
      <c r="BW5" s="192">
        <v>1</v>
      </c>
      <c r="BX5" s="192">
        <v>0</v>
      </c>
      <c r="BY5" s="192">
        <v>0</v>
      </c>
      <c r="BZ5" s="191">
        <v>0</v>
      </c>
      <c r="CA5" s="193" t="s">
        <v>532</v>
      </c>
      <c r="CB5" s="192">
        <v>4</v>
      </c>
      <c r="CC5" s="192">
        <v>1</v>
      </c>
      <c r="CD5" s="192">
        <v>2</v>
      </c>
      <c r="CE5" s="192">
        <v>1</v>
      </c>
      <c r="CF5" s="192">
        <v>0</v>
      </c>
      <c r="CG5" s="192">
        <v>1</v>
      </c>
      <c r="CH5" s="192">
        <v>0</v>
      </c>
      <c r="CI5" s="192">
        <v>0</v>
      </c>
      <c r="CJ5" s="191">
        <v>4</v>
      </c>
      <c r="CK5" s="193" t="s">
        <v>531</v>
      </c>
      <c r="CL5" s="192">
        <v>4</v>
      </c>
      <c r="CM5" s="192">
        <v>1</v>
      </c>
      <c r="CN5" s="192">
        <v>2</v>
      </c>
      <c r="CO5" s="192">
        <v>1</v>
      </c>
      <c r="CP5" s="192">
        <v>0</v>
      </c>
      <c r="CQ5" s="192">
        <v>0</v>
      </c>
      <c r="CR5" s="192">
        <v>0</v>
      </c>
      <c r="CS5" s="192">
        <v>0</v>
      </c>
      <c r="CT5" s="191">
        <v>3</v>
      </c>
      <c r="CU5" s="193" t="s">
        <v>530</v>
      </c>
      <c r="CV5" s="192">
        <v>4</v>
      </c>
      <c r="CW5" s="192">
        <v>0</v>
      </c>
      <c r="CX5" s="192">
        <v>1</v>
      </c>
      <c r="CY5" s="192">
        <v>0</v>
      </c>
      <c r="CZ5" s="192">
        <v>0</v>
      </c>
      <c r="DA5" s="192">
        <v>2</v>
      </c>
      <c r="DB5" s="192">
        <v>0</v>
      </c>
      <c r="DC5" s="192">
        <v>0</v>
      </c>
      <c r="DD5" s="191">
        <v>1</v>
      </c>
      <c r="DE5" s="193" t="s">
        <v>529</v>
      </c>
      <c r="DF5" s="192">
        <v>2</v>
      </c>
      <c r="DG5" s="192">
        <v>1</v>
      </c>
      <c r="DH5" s="192">
        <v>0</v>
      </c>
      <c r="DI5" s="192">
        <v>1</v>
      </c>
      <c r="DJ5" s="192">
        <v>2</v>
      </c>
      <c r="DK5" s="192">
        <v>1</v>
      </c>
      <c r="DL5" s="192">
        <v>0</v>
      </c>
      <c r="DM5" s="192">
        <v>0</v>
      </c>
      <c r="DN5" s="191">
        <v>0</v>
      </c>
      <c r="DO5" s="193" t="s">
        <v>285</v>
      </c>
      <c r="DP5" s="192">
        <v>4</v>
      </c>
      <c r="DQ5" s="192">
        <v>0</v>
      </c>
      <c r="DR5" s="192">
        <v>0</v>
      </c>
      <c r="DS5" s="192">
        <v>0</v>
      </c>
      <c r="DT5" s="192">
        <v>0</v>
      </c>
      <c r="DU5" s="192">
        <v>3</v>
      </c>
      <c r="DV5" s="192">
        <v>0</v>
      </c>
      <c r="DW5" s="192">
        <v>0</v>
      </c>
      <c r="DX5" s="191">
        <v>0</v>
      </c>
      <c r="DY5" s="190">
        <f>3+1/3</f>
        <v>3.3333333333333335</v>
      </c>
      <c r="DZ5" s="186">
        <v>1</v>
      </c>
      <c r="EA5" s="186">
        <v>0</v>
      </c>
      <c r="EB5" s="189">
        <f>5+2/3</f>
        <v>5.666666666666667</v>
      </c>
      <c r="EC5" s="186">
        <v>1</v>
      </c>
      <c r="ED5" s="187">
        <v>0</v>
      </c>
      <c r="EE5" s="188">
        <v>0</v>
      </c>
      <c r="EF5" s="186">
        <v>0</v>
      </c>
      <c r="EG5" s="186">
        <v>1</v>
      </c>
      <c r="EH5" s="186">
        <v>0</v>
      </c>
      <c r="EI5" s="186">
        <v>0</v>
      </c>
      <c r="EJ5" s="186">
        <v>0</v>
      </c>
      <c r="EK5" s="186">
        <v>1</v>
      </c>
      <c r="EL5" s="186">
        <v>0</v>
      </c>
      <c r="EM5" s="186">
        <v>2</v>
      </c>
      <c r="EN5" s="186"/>
      <c r="EO5" s="186"/>
      <c r="EP5" s="186"/>
      <c r="EQ5" s="186"/>
      <c r="ER5" s="187">
        <f t="shared" si="0"/>
        <v>4</v>
      </c>
      <c r="ES5" s="186">
        <v>1</v>
      </c>
      <c r="ET5" s="186">
        <v>1</v>
      </c>
      <c r="EU5" s="186">
        <v>0</v>
      </c>
      <c r="EV5" s="186">
        <v>0</v>
      </c>
      <c r="EW5" s="186">
        <v>1</v>
      </c>
      <c r="EX5" s="186">
        <v>2</v>
      </c>
      <c r="EY5" s="186">
        <v>0</v>
      </c>
      <c r="EZ5" s="186">
        <v>0</v>
      </c>
      <c r="FA5" s="186"/>
      <c r="FB5" s="186"/>
      <c r="FC5" s="186"/>
      <c r="FD5" s="186"/>
      <c r="FE5" s="186"/>
      <c r="FF5" s="186">
        <f t="shared" si="1"/>
        <v>5</v>
      </c>
      <c r="FG5" s="185">
        <f t="shared" si="2"/>
        <v>0</v>
      </c>
      <c r="FH5" s="185">
        <f t="shared" si="3"/>
        <v>0</v>
      </c>
      <c r="FI5" s="185">
        <f t="shared" si="4"/>
        <v>-1</v>
      </c>
      <c r="FJ5" s="185">
        <f t="shared" si="4"/>
        <v>-1</v>
      </c>
      <c r="FK5" s="185">
        <f t="shared" si="4"/>
        <v>1</v>
      </c>
      <c r="FL5" s="185">
        <f t="shared" si="4"/>
        <v>0</v>
      </c>
      <c r="FM5" s="185">
        <f t="shared" si="4"/>
        <v>-1</v>
      </c>
      <c r="FN5" s="185">
        <f t="shared" si="4"/>
        <v>-2</v>
      </c>
      <c r="FO5" s="185">
        <f t="shared" si="4"/>
        <v>1</v>
      </c>
      <c r="FP5" s="185">
        <f t="shared" si="4"/>
        <v>0</v>
      </c>
      <c r="FQ5" s="185">
        <f t="shared" si="4"/>
        <v>2</v>
      </c>
      <c r="FR5" s="185">
        <f t="shared" si="4"/>
        <v>0</v>
      </c>
      <c r="FS5" s="185">
        <f t="shared" si="4"/>
        <v>0</v>
      </c>
      <c r="FT5" s="185">
        <f t="shared" si="4"/>
        <v>0</v>
      </c>
      <c r="FU5" s="185">
        <f t="shared" si="5"/>
        <v>0</v>
      </c>
      <c r="FV5" s="185">
        <f>(ER5-FF5)</f>
        <v>-1</v>
      </c>
      <c r="FW5" s="184"/>
    </row>
    <row r="6" spans="1:179" x14ac:dyDescent="0.25">
      <c r="A6" s="204">
        <v>40278</v>
      </c>
      <c r="B6" s="204" t="s">
        <v>133</v>
      </c>
      <c r="C6" s="204" t="s">
        <v>129</v>
      </c>
      <c r="D6" s="204" t="s">
        <v>537</v>
      </c>
      <c r="E6" s="205">
        <v>5058</v>
      </c>
      <c r="F6" s="206">
        <v>3</v>
      </c>
      <c r="G6" s="207" t="s">
        <v>494</v>
      </c>
      <c r="H6" s="208">
        <v>0</v>
      </c>
      <c r="I6" s="208">
        <v>0</v>
      </c>
      <c r="J6" s="247">
        <v>5</v>
      </c>
      <c r="K6" s="208">
        <v>6</v>
      </c>
      <c r="L6" s="208">
        <v>1</v>
      </c>
      <c r="M6" s="208">
        <v>1</v>
      </c>
      <c r="N6" s="208">
        <v>0</v>
      </c>
      <c r="O6" s="208">
        <v>1</v>
      </c>
      <c r="P6" s="208">
        <v>0</v>
      </c>
      <c r="Q6" s="208">
        <v>0</v>
      </c>
      <c r="R6" s="208">
        <v>20</v>
      </c>
      <c r="S6" s="208"/>
      <c r="T6" s="208"/>
      <c r="U6" s="208">
        <v>0</v>
      </c>
      <c r="V6" s="210">
        <v>0</v>
      </c>
      <c r="W6" s="211">
        <v>1</v>
      </c>
      <c r="X6" s="211">
        <v>0</v>
      </c>
      <c r="Y6" s="211">
        <v>0</v>
      </c>
      <c r="Z6" s="211">
        <v>1</v>
      </c>
      <c r="AA6" s="211">
        <v>0</v>
      </c>
      <c r="AB6" s="248">
        <v>4</v>
      </c>
      <c r="AC6" s="211">
        <v>4</v>
      </c>
      <c r="AD6" s="211">
        <v>0</v>
      </c>
      <c r="AE6" s="211">
        <v>0</v>
      </c>
      <c r="AF6" s="211">
        <v>2</v>
      </c>
      <c r="AG6" s="211">
        <v>2</v>
      </c>
      <c r="AH6" s="211">
        <v>0</v>
      </c>
      <c r="AI6" s="211">
        <v>0</v>
      </c>
      <c r="AJ6" s="211">
        <v>17</v>
      </c>
      <c r="AK6" s="211"/>
      <c r="AL6" s="211"/>
      <c r="AM6" s="1" t="s">
        <v>519</v>
      </c>
      <c r="AN6" s="214">
        <v>5</v>
      </c>
      <c r="AO6" s="214">
        <v>1</v>
      </c>
      <c r="AP6" s="214">
        <v>2</v>
      </c>
      <c r="AQ6" s="214">
        <v>0</v>
      </c>
      <c r="AR6" s="214">
        <v>0</v>
      </c>
      <c r="AS6" s="214">
        <v>2</v>
      </c>
      <c r="AT6" s="214">
        <v>0</v>
      </c>
      <c r="AU6" s="214">
        <v>0</v>
      </c>
      <c r="AV6" s="215">
        <v>2</v>
      </c>
      <c r="AW6" s="1" t="s">
        <v>543</v>
      </c>
      <c r="AX6" s="214">
        <v>4</v>
      </c>
      <c r="AY6" s="214">
        <v>1</v>
      </c>
      <c r="AZ6" s="214">
        <v>0</v>
      </c>
      <c r="BA6" s="214">
        <v>0</v>
      </c>
      <c r="BB6" s="214">
        <v>1</v>
      </c>
      <c r="BC6" s="214">
        <v>1</v>
      </c>
      <c r="BD6" s="214">
        <v>0</v>
      </c>
      <c r="BE6" s="214">
        <v>0</v>
      </c>
      <c r="BF6" s="215">
        <v>0</v>
      </c>
      <c r="BG6" s="1" t="s">
        <v>531</v>
      </c>
      <c r="BH6" s="214">
        <v>4</v>
      </c>
      <c r="BI6" s="214">
        <v>2</v>
      </c>
      <c r="BJ6" s="214">
        <v>3</v>
      </c>
      <c r="BK6" s="214">
        <v>1</v>
      </c>
      <c r="BL6" s="214">
        <v>1</v>
      </c>
      <c r="BM6" s="214">
        <v>0</v>
      </c>
      <c r="BN6" s="214">
        <v>0</v>
      </c>
      <c r="BO6" s="214">
        <v>0</v>
      </c>
      <c r="BP6" s="215">
        <v>5</v>
      </c>
      <c r="BQ6" s="1" t="s">
        <v>539</v>
      </c>
      <c r="BR6" s="214">
        <v>4</v>
      </c>
      <c r="BS6" s="214">
        <v>0</v>
      </c>
      <c r="BT6" s="214">
        <v>1</v>
      </c>
      <c r="BU6" s="214">
        <v>1</v>
      </c>
      <c r="BV6" s="214">
        <v>1</v>
      </c>
      <c r="BW6" s="214">
        <v>2</v>
      </c>
      <c r="BX6" s="214">
        <v>0</v>
      </c>
      <c r="BY6" s="214">
        <v>0</v>
      </c>
      <c r="BZ6" s="215">
        <v>1</v>
      </c>
      <c r="CA6" s="1" t="s">
        <v>532</v>
      </c>
      <c r="CB6" s="214">
        <v>2</v>
      </c>
      <c r="CC6" s="214">
        <v>0</v>
      </c>
      <c r="CD6" s="214">
        <v>0</v>
      </c>
      <c r="CE6" s="214">
        <v>1</v>
      </c>
      <c r="CF6" s="214">
        <v>1</v>
      </c>
      <c r="CG6" s="214">
        <v>1</v>
      </c>
      <c r="CH6" s="214">
        <v>0</v>
      </c>
      <c r="CI6" s="214">
        <v>1</v>
      </c>
      <c r="CJ6" s="215">
        <v>0</v>
      </c>
      <c r="CK6" s="1" t="s">
        <v>426</v>
      </c>
      <c r="CL6" s="214">
        <v>4</v>
      </c>
      <c r="CM6" s="214">
        <v>0</v>
      </c>
      <c r="CN6" s="214">
        <v>2</v>
      </c>
      <c r="CO6" s="214">
        <v>2</v>
      </c>
      <c r="CP6" s="214">
        <v>0</v>
      </c>
      <c r="CQ6" s="214">
        <v>1</v>
      </c>
      <c r="CR6" s="214">
        <v>0</v>
      </c>
      <c r="CS6" s="214">
        <v>0</v>
      </c>
      <c r="CT6" s="215">
        <v>3</v>
      </c>
      <c r="CU6" s="1" t="s">
        <v>529</v>
      </c>
      <c r="CV6" s="214">
        <v>4</v>
      </c>
      <c r="CW6" s="214">
        <v>0</v>
      </c>
      <c r="CX6" s="214">
        <v>0</v>
      </c>
      <c r="CY6" s="214">
        <v>0</v>
      </c>
      <c r="CZ6" s="214">
        <v>0</v>
      </c>
      <c r="DA6" s="214">
        <v>0</v>
      </c>
      <c r="DB6" s="214">
        <v>0</v>
      </c>
      <c r="DC6" s="214">
        <v>0</v>
      </c>
      <c r="DD6" s="215">
        <v>0</v>
      </c>
      <c r="DE6" s="1" t="s">
        <v>538</v>
      </c>
      <c r="DF6" s="214">
        <v>3</v>
      </c>
      <c r="DG6" s="214">
        <v>0</v>
      </c>
      <c r="DH6" s="214">
        <v>0</v>
      </c>
      <c r="DI6" s="214">
        <v>0</v>
      </c>
      <c r="DJ6" s="214">
        <v>1</v>
      </c>
      <c r="DK6" s="214">
        <v>1</v>
      </c>
      <c r="DL6" s="214">
        <v>0</v>
      </c>
      <c r="DM6" s="214">
        <v>0</v>
      </c>
      <c r="DN6" s="215">
        <v>0</v>
      </c>
      <c r="DO6" s="1" t="s">
        <v>285</v>
      </c>
      <c r="DP6" s="214">
        <v>4</v>
      </c>
      <c r="DQ6" s="214">
        <v>1</v>
      </c>
      <c r="DR6" s="214">
        <v>1</v>
      </c>
      <c r="DS6" s="214">
        <v>0</v>
      </c>
      <c r="DT6" s="214">
        <v>0</v>
      </c>
      <c r="DU6" s="214">
        <v>0</v>
      </c>
      <c r="DV6" s="214">
        <v>0</v>
      </c>
      <c r="DW6" s="214">
        <v>0</v>
      </c>
      <c r="DX6" s="215">
        <v>1</v>
      </c>
      <c r="DY6" s="249">
        <v>6</v>
      </c>
      <c r="DZ6" s="217">
        <v>1</v>
      </c>
      <c r="EA6" s="217">
        <v>0</v>
      </c>
      <c r="EB6" s="250">
        <v>3</v>
      </c>
      <c r="EC6" s="217">
        <v>3</v>
      </c>
      <c r="ED6" s="219">
        <v>0</v>
      </c>
      <c r="EE6" s="220">
        <v>0</v>
      </c>
      <c r="EF6" s="217">
        <v>0</v>
      </c>
      <c r="EG6" s="217">
        <v>0</v>
      </c>
      <c r="EH6" s="217">
        <v>1</v>
      </c>
      <c r="EI6" s="217">
        <v>0</v>
      </c>
      <c r="EJ6" s="217">
        <v>0</v>
      </c>
      <c r="EK6" s="217">
        <v>0</v>
      </c>
      <c r="EL6" s="217">
        <v>3</v>
      </c>
      <c r="EM6" s="217">
        <v>1</v>
      </c>
      <c r="EN6" s="217"/>
      <c r="EO6" s="217"/>
      <c r="EP6" s="217"/>
      <c r="EQ6" s="217"/>
      <c r="ER6" s="219">
        <f t="shared" si="0"/>
        <v>5</v>
      </c>
      <c r="ES6" s="217">
        <v>0</v>
      </c>
      <c r="ET6" s="217">
        <v>0</v>
      </c>
      <c r="EU6" s="217">
        <v>1</v>
      </c>
      <c r="EV6" s="217">
        <v>0</v>
      </c>
      <c r="EW6" s="217">
        <v>0</v>
      </c>
      <c r="EX6" s="217">
        <v>0</v>
      </c>
      <c r="EY6" s="217">
        <v>0</v>
      </c>
      <c r="EZ6" s="217">
        <v>0</v>
      </c>
      <c r="FA6" s="217">
        <v>0</v>
      </c>
      <c r="FB6" s="217"/>
      <c r="FC6" s="217"/>
      <c r="FD6" s="217"/>
      <c r="FE6" s="217"/>
      <c r="FF6" s="217">
        <f t="shared" si="1"/>
        <v>1</v>
      </c>
      <c r="FG6" s="221">
        <f t="shared" si="2"/>
        <v>0</v>
      </c>
      <c r="FH6" s="221">
        <f t="shared" si="3"/>
        <v>0</v>
      </c>
      <c r="FI6" s="221">
        <f t="shared" ref="FI6:FI21" si="6">(EE6-ES6)</f>
        <v>0</v>
      </c>
      <c r="FJ6" s="221">
        <f t="shared" ref="FJ6:FJ21" si="7">(EF6-ET6)</f>
        <v>0</v>
      </c>
      <c r="FK6" s="221">
        <f t="shared" ref="FK6:FK21" si="8">(EG6-EU6)</f>
        <v>-1</v>
      </c>
      <c r="FL6" s="221">
        <f t="shared" ref="FL6:FL21" si="9">(EH6-EV6)</f>
        <v>1</v>
      </c>
      <c r="FM6" s="221">
        <f t="shared" ref="FM6:FM21" si="10">(EI6-EW6)</f>
        <v>0</v>
      </c>
      <c r="FN6" s="221">
        <f t="shared" ref="FN6:FN21" si="11">(EJ6-EX6)</f>
        <v>0</v>
      </c>
      <c r="FO6" s="221">
        <f t="shared" ref="FO6:FO21" si="12">(EK6-EY6)</f>
        <v>0</v>
      </c>
      <c r="FP6" s="221">
        <f t="shared" ref="FP6:FP21" si="13">(EL6-EZ6)</f>
        <v>3</v>
      </c>
      <c r="FQ6" s="221">
        <f t="shared" ref="FQ6:FQ21" si="14">(EM6-FA6)</f>
        <v>1</v>
      </c>
      <c r="FR6" s="221">
        <f t="shared" ref="FR6:FR21" si="15">(EN6-FB6)</f>
        <v>0</v>
      </c>
      <c r="FS6" s="221">
        <f t="shared" ref="FS6:FS21" si="16">(EO6-FC6)</f>
        <v>0</v>
      </c>
      <c r="FT6" s="221">
        <f t="shared" ref="FT6:FT21" si="17">(EP6-FD6)</f>
        <v>0</v>
      </c>
      <c r="FU6" s="221">
        <f t="shared" si="5"/>
        <v>0</v>
      </c>
      <c r="FV6" s="221">
        <f t="shared" ref="FV6:FV21" si="18">(ER6-FF6)</f>
        <v>4</v>
      </c>
      <c r="FW6" s="222"/>
    </row>
    <row r="7" spans="1:179" s="168" customFormat="1" x14ac:dyDescent="0.25">
      <c r="A7" s="53">
        <v>40279</v>
      </c>
      <c r="B7" s="53" t="s">
        <v>19</v>
      </c>
      <c r="C7" s="53" t="s">
        <v>131</v>
      </c>
      <c r="D7" s="53" t="s">
        <v>544</v>
      </c>
      <c r="E7" s="54">
        <v>5989</v>
      </c>
      <c r="F7" s="58">
        <v>4</v>
      </c>
      <c r="G7" s="59" t="s">
        <v>545</v>
      </c>
      <c r="H7" s="6">
        <v>0</v>
      </c>
      <c r="I7" s="6">
        <v>0</v>
      </c>
      <c r="J7" s="178">
        <v>5</v>
      </c>
      <c r="K7" s="6">
        <v>7</v>
      </c>
      <c r="L7" s="6">
        <v>6</v>
      </c>
      <c r="M7" s="6">
        <v>4</v>
      </c>
      <c r="N7" s="6">
        <v>0</v>
      </c>
      <c r="O7" s="6">
        <v>6</v>
      </c>
      <c r="P7" s="6">
        <v>1</v>
      </c>
      <c r="Q7" s="6">
        <v>0</v>
      </c>
      <c r="R7" s="6">
        <v>23</v>
      </c>
      <c r="S7" s="6"/>
      <c r="T7" s="6"/>
      <c r="U7" s="6">
        <v>0</v>
      </c>
      <c r="V7" s="61">
        <v>0</v>
      </c>
      <c r="W7" s="62">
        <v>0</v>
      </c>
      <c r="X7" s="62">
        <v>1</v>
      </c>
      <c r="Y7" s="62">
        <v>0</v>
      </c>
      <c r="Z7" s="62">
        <v>0</v>
      </c>
      <c r="AA7" s="62">
        <v>0</v>
      </c>
      <c r="AB7" s="176">
        <v>4</v>
      </c>
      <c r="AC7" s="62">
        <v>5</v>
      </c>
      <c r="AD7" s="62">
        <v>2</v>
      </c>
      <c r="AE7" s="62">
        <v>1</v>
      </c>
      <c r="AF7" s="62">
        <v>3</v>
      </c>
      <c r="AG7" s="62">
        <v>1</v>
      </c>
      <c r="AH7" s="62">
        <v>0</v>
      </c>
      <c r="AI7" s="62">
        <v>0</v>
      </c>
      <c r="AJ7" s="62">
        <v>20</v>
      </c>
      <c r="AK7" s="62"/>
      <c r="AL7" s="62"/>
      <c r="AM7" s="1" t="s">
        <v>519</v>
      </c>
      <c r="AN7" s="78">
        <v>5</v>
      </c>
      <c r="AO7" s="78">
        <v>0</v>
      </c>
      <c r="AP7" s="78">
        <v>1</v>
      </c>
      <c r="AQ7" s="78">
        <v>1</v>
      </c>
      <c r="AR7" s="78">
        <v>0</v>
      </c>
      <c r="AS7" s="78">
        <v>1</v>
      </c>
      <c r="AT7" s="78">
        <v>0</v>
      </c>
      <c r="AU7" s="78">
        <v>0</v>
      </c>
      <c r="AV7" s="76">
        <v>1</v>
      </c>
      <c r="AW7" s="1" t="s">
        <v>534</v>
      </c>
      <c r="AX7" s="78">
        <v>4</v>
      </c>
      <c r="AY7" s="78">
        <v>0</v>
      </c>
      <c r="AZ7" s="78">
        <v>0</v>
      </c>
      <c r="BA7" s="78">
        <v>0</v>
      </c>
      <c r="BB7" s="78">
        <v>1</v>
      </c>
      <c r="BC7" s="78">
        <v>1</v>
      </c>
      <c r="BD7" s="78">
        <v>0</v>
      </c>
      <c r="BE7" s="78">
        <v>0</v>
      </c>
      <c r="BF7" s="76">
        <v>0</v>
      </c>
      <c r="BG7" s="1" t="s">
        <v>531</v>
      </c>
      <c r="BH7" s="78">
        <v>4</v>
      </c>
      <c r="BI7" s="78">
        <v>0</v>
      </c>
      <c r="BJ7" s="78">
        <v>0</v>
      </c>
      <c r="BK7" s="78">
        <v>1</v>
      </c>
      <c r="BL7" s="78">
        <v>0</v>
      </c>
      <c r="BM7" s="78">
        <v>1</v>
      </c>
      <c r="BN7" s="78">
        <v>0</v>
      </c>
      <c r="BO7" s="78">
        <v>0</v>
      </c>
      <c r="BP7" s="76">
        <v>0</v>
      </c>
      <c r="BQ7" s="1" t="s">
        <v>539</v>
      </c>
      <c r="BR7" s="78">
        <v>4</v>
      </c>
      <c r="BS7" s="78">
        <v>1</v>
      </c>
      <c r="BT7" s="78">
        <v>1</v>
      </c>
      <c r="BU7" s="78">
        <v>0</v>
      </c>
      <c r="BV7" s="78">
        <v>0</v>
      </c>
      <c r="BW7" s="78">
        <v>1</v>
      </c>
      <c r="BX7" s="78">
        <v>0</v>
      </c>
      <c r="BY7" s="78">
        <v>0</v>
      </c>
      <c r="BZ7" s="76">
        <v>2</v>
      </c>
      <c r="CA7" s="1" t="s">
        <v>530</v>
      </c>
      <c r="CB7" s="78">
        <v>4</v>
      </c>
      <c r="CC7" s="78">
        <v>2</v>
      </c>
      <c r="CD7" s="78">
        <v>2</v>
      </c>
      <c r="CE7" s="78">
        <v>1</v>
      </c>
      <c r="CF7" s="78">
        <v>0</v>
      </c>
      <c r="CG7" s="78">
        <v>1</v>
      </c>
      <c r="CH7" s="78">
        <v>0</v>
      </c>
      <c r="CI7" s="78">
        <v>0</v>
      </c>
      <c r="CJ7" s="76">
        <v>5</v>
      </c>
      <c r="CK7" s="1" t="s">
        <v>533</v>
      </c>
      <c r="CL7" s="78">
        <v>2</v>
      </c>
      <c r="CM7" s="78">
        <v>1</v>
      </c>
      <c r="CN7" s="78">
        <v>0</v>
      </c>
      <c r="CO7" s="78">
        <v>1</v>
      </c>
      <c r="CP7" s="78">
        <v>1</v>
      </c>
      <c r="CQ7" s="78">
        <v>1</v>
      </c>
      <c r="CR7" s="78">
        <v>1</v>
      </c>
      <c r="CS7" s="78">
        <v>0</v>
      </c>
      <c r="CT7" s="76">
        <v>0</v>
      </c>
      <c r="CU7" s="1" t="s">
        <v>543</v>
      </c>
      <c r="CV7" s="78">
        <v>3</v>
      </c>
      <c r="CW7" s="78">
        <v>0</v>
      </c>
      <c r="CX7" s="78">
        <v>1</v>
      </c>
      <c r="CY7" s="78">
        <v>1</v>
      </c>
      <c r="CZ7" s="78">
        <v>1</v>
      </c>
      <c r="DA7" s="78">
        <v>0</v>
      </c>
      <c r="DB7" s="78">
        <v>0</v>
      </c>
      <c r="DC7" s="78">
        <v>0</v>
      </c>
      <c r="DD7" s="76">
        <v>1</v>
      </c>
      <c r="DE7" s="1" t="s">
        <v>535</v>
      </c>
      <c r="DF7" s="78">
        <v>4</v>
      </c>
      <c r="DG7" s="78">
        <v>1</v>
      </c>
      <c r="DH7" s="78">
        <v>0</v>
      </c>
      <c r="DI7" s="78">
        <v>0</v>
      </c>
      <c r="DJ7" s="78">
        <v>0</v>
      </c>
      <c r="DK7" s="78">
        <v>0</v>
      </c>
      <c r="DL7" s="78">
        <v>0</v>
      </c>
      <c r="DM7" s="78">
        <v>0</v>
      </c>
      <c r="DN7" s="76">
        <v>0</v>
      </c>
      <c r="DO7" s="1" t="s">
        <v>285</v>
      </c>
      <c r="DP7" s="78">
        <v>3</v>
      </c>
      <c r="DQ7" s="78">
        <v>1</v>
      </c>
      <c r="DR7" s="78">
        <v>2</v>
      </c>
      <c r="DS7" s="78">
        <v>1</v>
      </c>
      <c r="DT7" s="78">
        <v>1</v>
      </c>
      <c r="DU7" s="78">
        <v>1</v>
      </c>
      <c r="DV7" s="78">
        <v>0</v>
      </c>
      <c r="DW7" s="78">
        <v>0</v>
      </c>
      <c r="DX7" s="76">
        <v>3</v>
      </c>
      <c r="DY7" s="252">
        <v>1</v>
      </c>
      <c r="DZ7" s="43">
        <v>0</v>
      </c>
      <c r="EA7" s="43">
        <v>0</v>
      </c>
      <c r="EB7" s="253">
        <v>8</v>
      </c>
      <c r="EC7" s="43">
        <v>2</v>
      </c>
      <c r="ED7" s="44">
        <v>0</v>
      </c>
      <c r="EE7" s="71">
        <v>0</v>
      </c>
      <c r="EF7" s="43">
        <v>1</v>
      </c>
      <c r="EG7" s="43">
        <v>0</v>
      </c>
      <c r="EH7" s="43">
        <v>1</v>
      </c>
      <c r="EI7" s="43">
        <v>1</v>
      </c>
      <c r="EJ7" s="43">
        <v>3</v>
      </c>
      <c r="EK7" s="43">
        <v>0</v>
      </c>
      <c r="EL7" s="43">
        <v>0</v>
      </c>
      <c r="EM7" s="43">
        <v>0</v>
      </c>
      <c r="EN7" s="43"/>
      <c r="EO7" s="43"/>
      <c r="EP7" s="43"/>
      <c r="EQ7" s="43"/>
      <c r="ER7" s="44">
        <f t="shared" si="0"/>
        <v>6</v>
      </c>
      <c r="ES7" s="43">
        <v>5</v>
      </c>
      <c r="ET7" s="43">
        <v>1</v>
      </c>
      <c r="EU7" s="43">
        <v>0</v>
      </c>
      <c r="EV7" s="43">
        <v>0</v>
      </c>
      <c r="EW7" s="43">
        <v>0</v>
      </c>
      <c r="EX7" s="43">
        <v>0</v>
      </c>
      <c r="EY7" s="43">
        <v>0</v>
      </c>
      <c r="EZ7" s="43">
        <v>0</v>
      </c>
      <c r="FA7" s="43">
        <v>2</v>
      </c>
      <c r="FB7" s="43"/>
      <c r="FC7" s="43"/>
      <c r="FD7" s="43"/>
      <c r="FE7" s="43"/>
      <c r="FF7" s="43">
        <f t="shared" si="1"/>
        <v>8</v>
      </c>
      <c r="FG7" s="73">
        <f t="shared" si="2"/>
        <v>0</v>
      </c>
      <c r="FH7" s="73">
        <f t="shared" si="3"/>
        <v>0</v>
      </c>
      <c r="FI7" s="73">
        <f t="shared" si="6"/>
        <v>-5</v>
      </c>
      <c r="FJ7" s="73">
        <f t="shared" si="7"/>
        <v>0</v>
      </c>
      <c r="FK7" s="73">
        <f t="shared" si="8"/>
        <v>0</v>
      </c>
      <c r="FL7" s="73">
        <f t="shared" si="9"/>
        <v>1</v>
      </c>
      <c r="FM7" s="73">
        <f t="shared" si="10"/>
        <v>1</v>
      </c>
      <c r="FN7" s="73">
        <f t="shared" si="11"/>
        <v>3</v>
      </c>
      <c r="FO7" s="73">
        <f t="shared" si="12"/>
        <v>0</v>
      </c>
      <c r="FP7" s="73">
        <f t="shared" si="13"/>
        <v>0</v>
      </c>
      <c r="FQ7" s="73">
        <f t="shared" si="14"/>
        <v>-2</v>
      </c>
      <c r="FR7" s="73">
        <f t="shared" si="15"/>
        <v>0</v>
      </c>
      <c r="FS7" s="73">
        <f t="shared" si="16"/>
        <v>0</v>
      </c>
      <c r="FT7" s="73">
        <f t="shared" si="17"/>
        <v>0</v>
      </c>
      <c r="FU7" s="73">
        <f t="shared" si="5"/>
        <v>0</v>
      </c>
      <c r="FV7" s="73">
        <f t="shared" si="18"/>
        <v>-2</v>
      </c>
      <c r="FW7" s="38"/>
    </row>
    <row r="8" spans="1:179" s="168" customFormat="1" x14ac:dyDescent="0.25">
      <c r="A8" s="53">
        <v>40280</v>
      </c>
      <c r="B8" s="53" t="s">
        <v>19</v>
      </c>
      <c r="C8" s="53" t="s">
        <v>131</v>
      </c>
      <c r="D8" s="53" t="s">
        <v>544</v>
      </c>
      <c r="E8" s="54">
        <v>2115</v>
      </c>
      <c r="F8" s="58">
        <v>5</v>
      </c>
      <c r="G8" s="59" t="s">
        <v>546</v>
      </c>
      <c r="H8" s="6">
        <v>0</v>
      </c>
      <c r="I8" s="6">
        <v>0</v>
      </c>
      <c r="J8" s="178">
        <v>5</v>
      </c>
      <c r="K8" s="6">
        <v>2</v>
      </c>
      <c r="L8" s="6">
        <v>0</v>
      </c>
      <c r="M8" s="6">
        <v>0</v>
      </c>
      <c r="N8" s="6">
        <v>1</v>
      </c>
      <c r="O8" s="6">
        <v>3</v>
      </c>
      <c r="P8" s="6">
        <v>0</v>
      </c>
      <c r="Q8" s="6">
        <v>0</v>
      </c>
      <c r="R8" s="6">
        <v>18</v>
      </c>
      <c r="S8" s="6"/>
      <c r="T8" s="6"/>
      <c r="U8" s="6">
        <v>0</v>
      </c>
      <c r="V8" s="61">
        <v>0</v>
      </c>
      <c r="W8" s="62">
        <v>0</v>
      </c>
      <c r="X8" s="62">
        <v>1</v>
      </c>
      <c r="Y8" s="62">
        <v>0</v>
      </c>
      <c r="Z8" s="62">
        <v>0</v>
      </c>
      <c r="AA8" s="62">
        <v>1</v>
      </c>
      <c r="AB8" s="176">
        <v>4</v>
      </c>
      <c r="AC8" s="62">
        <v>3</v>
      </c>
      <c r="AD8" s="62">
        <v>7</v>
      </c>
      <c r="AE8" s="62">
        <v>6</v>
      </c>
      <c r="AF8" s="62">
        <v>1</v>
      </c>
      <c r="AG8" s="62">
        <v>3</v>
      </c>
      <c r="AH8" s="62">
        <v>2</v>
      </c>
      <c r="AI8" s="62">
        <v>2</v>
      </c>
      <c r="AJ8" s="62">
        <v>19</v>
      </c>
      <c r="AK8" s="62"/>
      <c r="AL8" s="62"/>
      <c r="AM8" s="1" t="s">
        <v>529</v>
      </c>
      <c r="AN8" s="78">
        <v>5</v>
      </c>
      <c r="AO8" s="78">
        <v>0</v>
      </c>
      <c r="AP8" s="78">
        <v>0</v>
      </c>
      <c r="AQ8" s="78">
        <v>0</v>
      </c>
      <c r="AR8" s="78">
        <v>0</v>
      </c>
      <c r="AS8" s="78">
        <v>2</v>
      </c>
      <c r="AT8" s="78">
        <v>0</v>
      </c>
      <c r="AU8" s="78">
        <v>0</v>
      </c>
      <c r="AV8" s="76">
        <v>0</v>
      </c>
      <c r="AW8" s="1" t="s">
        <v>534</v>
      </c>
      <c r="AX8" s="78">
        <v>5</v>
      </c>
      <c r="AY8" s="78">
        <v>1</v>
      </c>
      <c r="AZ8" s="78">
        <v>3</v>
      </c>
      <c r="BA8" s="78">
        <v>1</v>
      </c>
      <c r="BB8" s="78">
        <v>0</v>
      </c>
      <c r="BC8" s="78">
        <v>0</v>
      </c>
      <c r="BD8" s="78">
        <v>0</v>
      </c>
      <c r="BE8" s="78">
        <v>0</v>
      </c>
      <c r="BF8" s="76">
        <v>3</v>
      </c>
      <c r="BG8" s="1" t="s">
        <v>531</v>
      </c>
      <c r="BH8" s="78">
        <v>4</v>
      </c>
      <c r="BI8" s="78">
        <v>0</v>
      </c>
      <c r="BJ8" s="78">
        <v>0</v>
      </c>
      <c r="BK8" s="78">
        <v>0</v>
      </c>
      <c r="BL8" s="78">
        <v>1</v>
      </c>
      <c r="BM8" s="78">
        <v>0</v>
      </c>
      <c r="BN8" s="78">
        <v>0</v>
      </c>
      <c r="BO8" s="78">
        <v>0</v>
      </c>
      <c r="BP8" s="76">
        <v>0</v>
      </c>
      <c r="BQ8" s="1" t="s">
        <v>539</v>
      </c>
      <c r="BR8" s="78">
        <v>3</v>
      </c>
      <c r="BS8" s="78">
        <v>0</v>
      </c>
      <c r="BT8" s="78">
        <v>1</v>
      </c>
      <c r="BU8" s="78">
        <v>1</v>
      </c>
      <c r="BV8" s="78">
        <v>1</v>
      </c>
      <c r="BW8" s="78">
        <v>0</v>
      </c>
      <c r="BX8" s="78">
        <v>0</v>
      </c>
      <c r="BY8" s="78">
        <v>0</v>
      </c>
      <c r="BZ8" s="76">
        <v>1</v>
      </c>
      <c r="CA8" s="1" t="s">
        <v>532</v>
      </c>
      <c r="CB8" s="78">
        <v>3</v>
      </c>
      <c r="CC8" s="78">
        <v>0</v>
      </c>
      <c r="CD8" s="78">
        <v>0</v>
      </c>
      <c r="CE8" s="78">
        <v>0</v>
      </c>
      <c r="CF8" s="78">
        <v>1</v>
      </c>
      <c r="CG8" s="78">
        <v>1</v>
      </c>
      <c r="CH8" s="78">
        <v>0</v>
      </c>
      <c r="CI8" s="78">
        <v>0</v>
      </c>
      <c r="CJ8" s="76">
        <v>0</v>
      </c>
      <c r="CK8" s="1" t="s">
        <v>530</v>
      </c>
      <c r="CL8" s="78">
        <v>2</v>
      </c>
      <c r="CM8" s="78">
        <v>1</v>
      </c>
      <c r="CN8" s="78">
        <v>1</v>
      </c>
      <c r="CO8" s="78">
        <v>0</v>
      </c>
      <c r="CP8" s="78">
        <v>2</v>
      </c>
      <c r="CQ8" s="78">
        <v>1</v>
      </c>
      <c r="CR8" s="78">
        <v>0</v>
      </c>
      <c r="CS8" s="78">
        <v>0</v>
      </c>
      <c r="CT8" s="76">
        <v>1</v>
      </c>
      <c r="CU8" s="1" t="s">
        <v>535</v>
      </c>
      <c r="CV8" s="78">
        <v>4</v>
      </c>
      <c r="CW8" s="78">
        <v>0</v>
      </c>
      <c r="CX8" s="78">
        <v>0</v>
      </c>
      <c r="CY8" s="78">
        <v>0</v>
      </c>
      <c r="CZ8" s="78">
        <v>0</v>
      </c>
      <c r="DA8" s="78">
        <v>0</v>
      </c>
      <c r="DB8" s="78">
        <v>0</v>
      </c>
      <c r="DC8" s="78">
        <v>0</v>
      </c>
      <c r="DD8" s="76">
        <v>0</v>
      </c>
      <c r="DE8" s="1" t="s">
        <v>538</v>
      </c>
      <c r="DF8" s="78">
        <v>3</v>
      </c>
      <c r="DG8" s="78">
        <v>1</v>
      </c>
      <c r="DH8" s="78">
        <v>2</v>
      </c>
      <c r="DI8" s="78">
        <v>0</v>
      </c>
      <c r="DJ8" s="78">
        <v>1</v>
      </c>
      <c r="DK8" s="78">
        <v>0</v>
      </c>
      <c r="DL8" s="78">
        <v>0</v>
      </c>
      <c r="DM8" s="78">
        <v>0</v>
      </c>
      <c r="DN8" s="76">
        <v>2</v>
      </c>
      <c r="DO8" s="1" t="s">
        <v>285</v>
      </c>
      <c r="DP8" s="78">
        <v>4</v>
      </c>
      <c r="DQ8" s="78">
        <v>1</v>
      </c>
      <c r="DR8" s="78">
        <v>1</v>
      </c>
      <c r="DS8" s="78">
        <v>0</v>
      </c>
      <c r="DT8" s="78">
        <v>0</v>
      </c>
      <c r="DU8" s="78">
        <v>0</v>
      </c>
      <c r="DV8" s="78">
        <v>0</v>
      </c>
      <c r="DW8" s="78">
        <v>0</v>
      </c>
      <c r="DX8" s="76">
        <v>1</v>
      </c>
      <c r="DY8" s="252">
        <v>0</v>
      </c>
      <c r="DZ8" s="43">
        <v>0</v>
      </c>
      <c r="EA8" s="43">
        <v>0</v>
      </c>
      <c r="EB8" s="253">
        <v>9</v>
      </c>
      <c r="EC8" s="43">
        <v>2</v>
      </c>
      <c r="ED8" s="44">
        <v>1</v>
      </c>
      <c r="EE8" s="71">
        <v>1</v>
      </c>
      <c r="EF8" s="43">
        <v>3</v>
      </c>
      <c r="EG8" s="43">
        <v>0</v>
      </c>
      <c r="EH8" s="43">
        <v>0</v>
      </c>
      <c r="EI8" s="43">
        <v>0</v>
      </c>
      <c r="EJ8" s="43">
        <v>0</v>
      </c>
      <c r="EK8" s="43">
        <v>0</v>
      </c>
      <c r="EL8" s="43">
        <v>0</v>
      </c>
      <c r="EM8" s="43">
        <v>0</v>
      </c>
      <c r="EN8" s="43"/>
      <c r="EO8" s="43"/>
      <c r="EP8" s="43"/>
      <c r="EQ8" s="43"/>
      <c r="ER8" s="44">
        <f t="shared" si="0"/>
        <v>4</v>
      </c>
      <c r="ES8" s="43">
        <v>0</v>
      </c>
      <c r="ET8" s="43">
        <v>0</v>
      </c>
      <c r="EU8" s="43">
        <v>0</v>
      </c>
      <c r="EV8" s="43">
        <v>0</v>
      </c>
      <c r="EW8" s="43">
        <v>0</v>
      </c>
      <c r="EX8" s="43">
        <v>1</v>
      </c>
      <c r="EY8" s="43">
        <v>6</v>
      </c>
      <c r="EZ8" s="43">
        <v>0</v>
      </c>
      <c r="FA8" s="43">
        <v>0</v>
      </c>
      <c r="FB8" s="43"/>
      <c r="FC8" s="43"/>
      <c r="FD8" s="43"/>
      <c r="FE8" s="43"/>
      <c r="FF8" s="43">
        <f t="shared" si="1"/>
        <v>7</v>
      </c>
      <c r="FG8" s="73">
        <f t="shared" si="2"/>
        <v>0</v>
      </c>
      <c r="FH8" s="73">
        <f t="shared" si="3"/>
        <v>0</v>
      </c>
      <c r="FI8" s="73">
        <f t="shared" si="6"/>
        <v>1</v>
      </c>
      <c r="FJ8" s="73">
        <f t="shared" si="7"/>
        <v>3</v>
      </c>
      <c r="FK8" s="73">
        <f t="shared" si="8"/>
        <v>0</v>
      </c>
      <c r="FL8" s="73">
        <f t="shared" si="9"/>
        <v>0</v>
      </c>
      <c r="FM8" s="73">
        <f t="shared" si="10"/>
        <v>0</v>
      </c>
      <c r="FN8" s="73">
        <f t="shared" si="11"/>
        <v>-1</v>
      </c>
      <c r="FO8" s="73">
        <f t="shared" si="12"/>
        <v>-6</v>
      </c>
      <c r="FP8" s="73">
        <f t="shared" si="13"/>
        <v>0</v>
      </c>
      <c r="FQ8" s="73">
        <f t="shared" si="14"/>
        <v>0</v>
      </c>
      <c r="FR8" s="73">
        <f t="shared" si="15"/>
        <v>0</v>
      </c>
      <c r="FS8" s="73">
        <f t="shared" si="16"/>
        <v>0</v>
      </c>
      <c r="FT8" s="73">
        <f t="shared" si="17"/>
        <v>0</v>
      </c>
      <c r="FU8" s="73">
        <f t="shared" si="5"/>
        <v>0</v>
      </c>
      <c r="FV8" s="73">
        <f t="shared" si="18"/>
        <v>-3</v>
      </c>
      <c r="FW8" s="38"/>
    </row>
    <row r="9" spans="1:179" s="168" customFormat="1" x14ac:dyDescent="0.25">
      <c r="A9" s="53">
        <v>40281</v>
      </c>
      <c r="B9" s="53" t="s">
        <v>19</v>
      </c>
      <c r="C9" s="53" t="s">
        <v>129</v>
      </c>
      <c r="D9" s="53" t="s">
        <v>544</v>
      </c>
      <c r="E9" s="54">
        <v>3675</v>
      </c>
      <c r="F9" s="58">
        <v>1</v>
      </c>
      <c r="G9" s="59" t="s">
        <v>540</v>
      </c>
      <c r="H9" s="6">
        <v>0</v>
      </c>
      <c r="I9" s="6">
        <v>0</v>
      </c>
      <c r="J9" s="178">
        <v>6</v>
      </c>
      <c r="K9" s="6">
        <v>1</v>
      </c>
      <c r="L9" s="6">
        <v>0</v>
      </c>
      <c r="M9" s="6">
        <v>0</v>
      </c>
      <c r="N9" s="6">
        <v>0</v>
      </c>
      <c r="O9" s="6">
        <v>6</v>
      </c>
      <c r="P9" s="6">
        <v>0</v>
      </c>
      <c r="Q9" s="6">
        <v>0</v>
      </c>
      <c r="R9" s="6">
        <v>19</v>
      </c>
      <c r="S9" s="6"/>
      <c r="T9" s="6"/>
      <c r="U9" s="6">
        <v>0</v>
      </c>
      <c r="V9" s="61">
        <v>0</v>
      </c>
      <c r="W9" s="62">
        <v>1</v>
      </c>
      <c r="X9" s="62">
        <v>0</v>
      </c>
      <c r="Y9" s="62">
        <v>0</v>
      </c>
      <c r="Z9" s="62">
        <v>1</v>
      </c>
      <c r="AA9" s="62">
        <v>0</v>
      </c>
      <c r="AB9" s="176">
        <v>3</v>
      </c>
      <c r="AC9" s="62">
        <v>2</v>
      </c>
      <c r="AD9" s="62">
        <v>1</v>
      </c>
      <c r="AE9" s="62">
        <v>1</v>
      </c>
      <c r="AF9" s="62">
        <v>1</v>
      </c>
      <c r="AG9" s="62">
        <v>4</v>
      </c>
      <c r="AH9" s="62">
        <v>0</v>
      </c>
      <c r="AI9" s="62">
        <v>1</v>
      </c>
      <c r="AJ9" s="62">
        <v>13</v>
      </c>
      <c r="AK9" s="62"/>
      <c r="AL9" s="62"/>
      <c r="AM9" s="1" t="s">
        <v>519</v>
      </c>
      <c r="AN9" s="78">
        <v>4</v>
      </c>
      <c r="AO9" s="78">
        <v>1</v>
      </c>
      <c r="AP9" s="78">
        <v>1</v>
      </c>
      <c r="AQ9" s="78">
        <v>0</v>
      </c>
      <c r="AR9" s="78">
        <v>0</v>
      </c>
      <c r="AS9" s="78">
        <v>1</v>
      </c>
      <c r="AT9" s="78">
        <v>0</v>
      </c>
      <c r="AU9" s="78">
        <v>0</v>
      </c>
      <c r="AV9" s="76">
        <v>1</v>
      </c>
      <c r="AW9" s="1" t="s">
        <v>534</v>
      </c>
      <c r="AX9" s="78">
        <v>4</v>
      </c>
      <c r="AY9" s="78">
        <v>1</v>
      </c>
      <c r="AZ9" s="78">
        <v>3</v>
      </c>
      <c r="BA9" s="78">
        <v>0</v>
      </c>
      <c r="BB9" s="78">
        <v>0</v>
      </c>
      <c r="BC9" s="78">
        <v>1</v>
      </c>
      <c r="BD9" s="78">
        <v>0</v>
      </c>
      <c r="BE9" s="78">
        <v>0</v>
      </c>
      <c r="BF9" s="76">
        <v>3</v>
      </c>
      <c r="BG9" s="1" t="s">
        <v>531</v>
      </c>
      <c r="BH9" s="78">
        <v>4</v>
      </c>
      <c r="BI9" s="78">
        <v>1</v>
      </c>
      <c r="BJ9" s="78">
        <v>2</v>
      </c>
      <c r="BK9" s="78">
        <v>1</v>
      </c>
      <c r="BL9" s="78">
        <v>0</v>
      </c>
      <c r="BM9" s="78">
        <v>1</v>
      </c>
      <c r="BN9" s="78">
        <v>0</v>
      </c>
      <c r="BO9" s="78">
        <v>0</v>
      </c>
      <c r="BP9" s="76">
        <v>2</v>
      </c>
      <c r="BQ9" s="1" t="s">
        <v>533</v>
      </c>
      <c r="BR9" s="78">
        <v>4</v>
      </c>
      <c r="BS9" s="78">
        <v>0</v>
      </c>
      <c r="BT9" s="78">
        <v>2</v>
      </c>
      <c r="BU9" s="78">
        <v>0</v>
      </c>
      <c r="BV9" s="78">
        <v>0</v>
      </c>
      <c r="BW9" s="78">
        <v>1</v>
      </c>
      <c r="BX9" s="78">
        <v>0</v>
      </c>
      <c r="BY9" s="78">
        <v>0</v>
      </c>
      <c r="BZ9" s="76">
        <v>2</v>
      </c>
      <c r="CA9" s="1" t="s">
        <v>532</v>
      </c>
      <c r="CB9" s="78">
        <v>3</v>
      </c>
      <c r="CC9" s="78">
        <v>0</v>
      </c>
      <c r="CD9" s="78">
        <v>0</v>
      </c>
      <c r="CE9" s="78">
        <v>0</v>
      </c>
      <c r="CF9" s="78">
        <v>1</v>
      </c>
      <c r="CG9" s="78">
        <v>0</v>
      </c>
      <c r="CH9" s="78">
        <v>0</v>
      </c>
      <c r="CI9" s="78">
        <v>0</v>
      </c>
      <c r="CJ9" s="76">
        <v>0</v>
      </c>
      <c r="CK9" s="1" t="s">
        <v>426</v>
      </c>
      <c r="CL9" s="78">
        <v>4</v>
      </c>
      <c r="CM9" s="78">
        <v>0</v>
      </c>
      <c r="CN9" s="78">
        <v>1</v>
      </c>
      <c r="CO9" s="78">
        <v>2</v>
      </c>
      <c r="CP9" s="78">
        <v>0</v>
      </c>
      <c r="CQ9" s="78">
        <v>0</v>
      </c>
      <c r="CR9" s="78">
        <v>0</v>
      </c>
      <c r="CS9" s="78">
        <v>0</v>
      </c>
      <c r="CT9" s="76">
        <v>1</v>
      </c>
      <c r="CU9" s="1" t="s">
        <v>529</v>
      </c>
      <c r="CV9" s="78">
        <v>4</v>
      </c>
      <c r="CW9" s="78">
        <v>0</v>
      </c>
      <c r="CX9" s="78">
        <v>0</v>
      </c>
      <c r="CY9" s="78">
        <v>0</v>
      </c>
      <c r="CZ9" s="78">
        <v>0</v>
      </c>
      <c r="DA9" s="78">
        <v>2</v>
      </c>
      <c r="DB9" s="78">
        <v>0</v>
      </c>
      <c r="DC9" s="78">
        <v>0</v>
      </c>
      <c r="DD9" s="76">
        <v>0</v>
      </c>
      <c r="DE9" s="1" t="s">
        <v>535</v>
      </c>
      <c r="DF9" s="78">
        <v>2</v>
      </c>
      <c r="DG9" s="78">
        <v>0</v>
      </c>
      <c r="DH9" s="78">
        <v>2</v>
      </c>
      <c r="DI9" s="78">
        <v>0</v>
      </c>
      <c r="DJ9" s="78">
        <v>1</v>
      </c>
      <c r="DK9" s="78">
        <v>0</v>
      </c>
      <c r="DL9" s="78">
        <v>0</v>
      </c>
      <c r="DM9" s="78">
        <v>0</v>
      </c>
      <c r="DN9" s="76">
        <v>2</v>
      </c>
      <c r="DO9" s="1" t="s">
        <v>538</v>
      </c>
      <c r="DP9" s="78">
        <v>3</v>
      </c>
      <c r="DQ9" s="78">
        <v>0</v>
      </c>
      <c r="DR9" s="78">
        <v>0</v>
      </c>
      <c r="DS9" s="78">
        <v>0</v>
      </c>
      <c r="DT9" s="78">
        <v>0</v>
      </c>
      <c r="DU9" s="78">
        <v>0</v>
      </c>
      <c r="DV9" s="78">
        <v>0</v>
      </c>
      <c r="DW9" s="78">
        <v>0</v>
      </c>
      <c r="DX9" s="76">
        <v>0</v>
      </c>
      <c r="DY9" s="252">
        <v>3</v>
      </c>
      <c r="DZ9" s="43">
        <v>2</v>
      </c>
      <c r="EA9" s="43">
        <v>0</v>
      </c>
      <c r="EB9" s="253">
        <v>5</v>
      </c>
      <c r="EC9" s="43">
        <v>2</v>
      </c>
      <c r="ED9" s="44">
        <v>1</v>
      </c>
      <c r="EE9" s="71">
        <v>0</v>
      </c>
      <c r="EF9" s="43">
        <v>0</v>
      </c>
      <c r="EG9" s="43">
        <v>0</v>
      </c>
      <c r="EH9" s="43">
        <v>0</v>
      </c>
      <c r="EI9" s="43">
        <v>0</v>
      </c>
      <c r="EJ9" s="43">
        <v>0</v>
      </c>
      <c r="EK9" s="43">
        <v>0</v>
      </c>
      <c r="EL9" s="43">
        <v>3</v>
      </c>
      <c r="EM9" s="43"/>
      <c r="EN9" s="43"/>
      <c r="EO9" s="43"/>
      <c r="EP9" s="43"/>
      <c r="EQ9" s="43"/>
      <c r="ER9" s="44">
        <f t="shared" si="0"/>
        <v>3</v>
      </c>
      <c r="ES9" s="43">
        <v>0</v>
      </c>
      <c r="ET9" s="43">
        <v>0</v>
      </c>
      <c r="EU9" s="43">
        <v>0</v>
      </c>
      <c r="EV9" s="43">
        <v>0</v>
      </c>
      <c r="EW9" s="43">
        <v>0</v>
      </c>
      <c r="EX9" s="43">
        <v>0</v>
      </c>
      <c r="EY9" s="43">
        <v>1</v>
      </c>
      <c r="EZ9" s="43">
        <v>0</v>
      </c>
      <c r="FA9" s="43">
        <v>0</v>
      </c>
      <c r="FB9" s="43"/>
      <c r="FC9" s="43"/>
      <c r="FD9" s="43"/>
      <c r="FE9" s="43"/>
      <c r="FF9" s="43">
        <f t="shared" si="1"/>
        <v>1</v>
      </c>
      <c r="FG9" s="73">
        <f t="shared" si="2"/>
        <v>0</v>
      </c>
      <c r="FH9" s="73">
        <f t="shared" si="3"/>
        <v>0</v>
      </c>
      <c r="FI9" s="73">
        <f t="shared" si="6"/>
        <v>0</v>
      </c>
      <c r="FJ9" s="73">
        <f t="shared" si="7"/>
        <v>0</v>
      </c>
      <c r="FK9" s="73">
        <f t="shared" si="8"/>
        <v>0</v>
      </c>
      <c r="FL9" s="73">
        <f t="shared" si="9"/>
        <v>0</v>
      </c>
      <c r="FM9" s="73">
        <f t="shared" si="10"/>
        <v>0</v>
      </c>
      <c r="FN9" s="73">
        <f t="shared" si="11"/>
        <v>0</v>
      </c>
      <c r="FO9" s="73">
        <f t="shared" si="12"/>
        <v>-1</v>
      </c>
      <c r="FP9" s="73">
        <f t="shared" si="13"/>
        <v>3</v>
      </c>
      <c r="FQ9" s="73">
        <f t="shared" si="14"/>
        <v>0</v>
      </c>
      <c r="FR9" s="73">
        <f t="shared" si="15"/>
        <v>0</v>
      </c>
      <c r="FS9" s="73">
        <f t="shared" si="16"/>
        <v>0</v>
      </c>
      <c r="FT9" s="73">
        <f t="shared" si="17"/>
        <v>0</v>
      </c>
      <c r="FU9" s="73">
        <f t="shared" si="5"/>
        <v>0</v>
      </c>
      <c r="FV9" s="73">
        <f t="shared" si="18"/>
        <v>2</v>
      </c>
      <c r="FW9" s="38"/>
    </row>
    <row r="10" spans="1:179" s="168" customFormat="1" x14ac:dyDescent="0.25">
      <c r="A10" s="53">
        <v>40282</v>
      </c>
      <c r="B10" s="53" t="s">
        <v>19</v>
      </c>
      <c r="C10" s="53" t="s">
        <v>131</v>
      </c>
      <c r="D10" s="53" t="s">
        <v>547</v>
      </c>
      <c r="E10" s="54">
        <v>3124</v>
      </c>
      <c r="F10" s="58">
        <v>2</v>
      </c>
      <c r="G10" s="59" t="s">
        <v>536</v>
      </c>
      <c r="H10" s="6">
        <v>0</v>
      </c>
      <c r="I10" s="6">
        <v>1</v>
      </c>
      <c r="J10" s="178">
        <v>4</v>
      </c>
      <c r="K10" s="6">
        <v>8</v>
      </c>
      <c r="L10" s="6">
        <v>5</v>
      </c>
      <c r="M10" s="6">
        <v>5</v>
      </c>
      <c r="N10" s="6">
        <v>1</v>
      </c>
      <c r="O10" s="6">
        <v>5</v>
      </c>
      <c r="P10" s="6">
        <v>2</v>
      </c>
      <c r="Q10" s="6">
        <v>0</v>
      </c>
      <c r="R10" s="6">
        <v>21</v>
      </c>
      <c r="S10" s="6"/>
      <c r="T10" s="6"/>
      <c r="U10" s="6">
        <v>2</v>
      </c>
      <c r="V10" s="61">
        <v>0</v>
      </c>
      <c r="W10" s="62">
        <v>0</v>
      </c>
      <c r="X10" s="62">
        <v>0</v>
      </c>
      <c r="Y10" s="62">
        <v>0</v>
      </c>
      <c r="Z10" s="62">
        <v>0</v>
      </c>
      <c r="AA10" s="62">
        <v>0</v>
      </c>
      <c r="AB10" s="176">
        <v>5</v>
      </c>
      <c r="AC10" s="62">
        <v>3</v>
      </c>
      <c r="AD10" s="62">
        <v>1</v>
      </c>
      <c r="AE10" s="62">
        <v>1</v>
      </c>
      <c r="AF10" s="62">
        <v>0</v>
      </c>
      <c r="AG10" s="62">
        <v>5</v>
      </c>
      <c r="AH10" s="62">
        <v>0</v>
      </c>
      <c r="AI10" s="62">
        <v>1</v>
      </c>
      <c r="AJ10" s="62">
        <v>18</v>
      </c>
      <c r="AK10" s="62"/>
      <c r="AL10" s="62"/>
      <c r="AM10" s="1" t="s">
        <v>519</v>
      </c>
      <c r="AN10" s="78">
        <v>4</v>
      </c>
      <c r="AO10" s="78">
        <v>0</v>
      </c>
      <c r="AP10" s="78">
        <v>1</v>
      </c>
      <c r="AQ10" s="78">
        <v>0</v>
      </c>
      <c r="AR10" s="78">
        <v>1</v>
      </c>
      <c r="AS10" s="78">
        <v>1</v>
      </c>
      <c r="AT10" s="78">
        <v>0</v>
      </c>
      <c r="AU10" s="78">
        <v>0</v>
      </c>
      <c r="AV10" s="76">
        <v>1</v>
      </c>
      <c r="AW10" s="1" t="s">
        <v>534</v>
      </c>
      <c r="AX10" s="78">
        <v>5</v>
      </c>
      <c r="AY10" s="78">
        <v>0</v>
      </c>
      <c r="AZ10" s="78">
        <v>1</v>
      </c>
      <c r="BA10" s="78">
        <v>0</v>
      </c>
      <c r="BB10" s="78">
        <v>0</v>
      </c>
      <c r="BC10" s="78">
        <v>0</v>
      </c>
      <c r="BD10" s="78">
        <v>0</v>
      </c>
      <c r="BE10" s="78">
        <v>0</v>
      </c>
      <c r="BF10" s="76">
        <v>1</v>
      </c>
      <c r="BG10" s="1" t="s">
        <v>531</v>
      </c>
      <c r="BH10" s="78">
        <v>2</v>
      </c>
      <c r="BI10" s="78">
        <v>0</v>
      </c>
      <c r="BJ10" s="78">
        <v>0</v>
      </c>
      <c r="BK10" s="78">
        <v>0</v>
      </c>
      <c r="BL10" s="78">
        <v>2</v>
      </c>
      <c r="BM10" s="78">
        <v>0</v>
      </c>
      <c r="BN10" s="78">
        <v>0</v>
      </c>
      <c r="BO10" s="78">
        <v>0</v>
      </c>
      <c r="BP10" s="76">
        <v>0</v>
      </c>
      <c r="BQ10" s="1" t="s">
        <v>539</v>
      </c>
      <c r="BR10" s="78">
        <v>4</v>
      </c>
      <c r="BS10" s="78">
        <v>0</v>
      </c>
      <c r="BT10" s="78">
        <v>1</v>
      </c>
      <c r="BU10" s="78">
        <v>0</v>
      </c>
      <c r="BV10" s="78">
        <v>0</v>
      </c>
      <c r="BW10" s="78">
        <v>1</v>
      </c>
      <c r="BX10" s="78">
        <v>0</v>
      </c>
      <c r="BY10" s="78">
        <v>0</v>
      </c>
      <c r="BZ10" s="76">
        <v>1</v>
      </c>
      <c r="CA10" s="1" t="s">
        <v>532</v>
      </c>
      <c r="CB10" s="78">
        <v>3</v>
      </c>
      <c r="CC10" s="78">
        <v>0</v>
      </c>
      <c r="CD10" s="78">
        <v>0</v>
      </c>
      <c r="CE10" s="78">
        <v>0</v>
      </c>
      <c r="CF10" s="78">
        <v>1</v>
      </c>
      <c r="CG10" s="78">
        <v>2</v>
      </c>
      <c r="CH10" s="78">
        <v>0</v>
      </c>
      <c r="CI10" s="78">
        <v>0</v>
      </c>
      <c r="CJ10" s="76">
        <v>0</v>
      </c>
      <c r="CK10" s="1" t="s">
        <v>426</v>
      </c>
      <c r="CL10" s="78">
        <v>4</v>
      </c>
      <c r="CM10" s="78">
        <v>1</v>
      </c>
      <c r="CN10" s="78">
        <v>1</v>
      </c>
      <c r="CO10" s="78">
        <v>0</v>
      </c>
      <c r="CP10" s="78">
        <v>0</v>
      </c>
      <c r="CQ10" s="78">
        <v>1</v>
      </c>
      <c r="CR10" s="78">
        <v>0</v>
      </c>
      <c r="CS10" s="78">
        <v>0</v>
      </c>
      <c r="CT10" s="76">
        <v>2</v>
      </c>
      <c r="CU10" s="1" t="s">
        <v>543</v>
      </c>
      <c r="CV10" s="78">
        <v>4</v>
      </c>
      <c r="CW10" s="78">
        <v>1</v>
      </c>
      <c r="CX10" s="78">
        <v>3</v>
      </c>
      <c r="CY10" s="78">
        <v>0</v>
      </c>
      <c r="CZ10" s="78">
        <v>0</v>
      </c>
      <c r="DA10" s="78">
        <v>1</v>
      </c>
      <c r="DB10" s="78">
        <v>0</v>
      </c>
      <c r="DC10" s="78">
        <v>0</v>
      </c>
      <c r="DD10" s="76">
        <v>3</v>
      </c>
      <c r="DE10" s="1" t="s">
        <v>535</v>
      </c>
      <c r="DF10" s="78">
        <v>3</v>
      </c>
      <c r="DG10" s="78">
        <v>0</v>
      </c>
      <c r="DH10" s="78">
        <v>0</v>
      </c>
      <c r="DI10" s="78">
        <v>1</v>
      </c>
      <c r="DJ10" s="78">
        <v>0</v>
      </c>
      <c r="DK10" s="78">
        <v>1</v>
      </c>
      <c r="DL10" s="78">
        <v>0</v>
      </c>
      <c r="DM10" s="78">
        <v>0</v>
      </c>
      <c r="DN10" s="76">
        <v>0</v>
      </c>
      <c r="DO10" s="1" t="s">
        <v>285</v>
      </c>
      <c r="DP10" s="78">
        <v>3</v>
      </c>
      <c r="DQ10" s="78">
        <v>0</v>
      </c>
      <c r="DR10" s="78">
        <v>1</v>
      </c>
      <c r="DS10" s="78">
        <v>1</v>
      </c>
      <c r="DT10" s="78">
        <v>1</v>
      </c>
      <c r="DU10" s="78">
        <v>0</v>
      </c>
      <c r="DV10" s="78">
        <v>0</v>
      </c>
      <c r="DW10" s="78">
        <v>0</v>
      </c>
      <c r="DX10" s="76">
        <v>1</v>
      </c>
      <c r="DY10" s="252">
        <v>4</v>
      </c>
      <c r="DZ10" s="43">
        <v>2</v>
      </c>
      <c r="EA10" s="43">
        <v>1</v>
      </c>
      <c r="EB10" s="253">
        <v>5</v>
      </c>
      <c r="EC10" s="43">
        <v>0</v>
      </c>
      <c r="ED10" s="44">
        <v>0</v>
      </c>
      <c r="EE10" s="71">
        <v>0</v>
      </c>
      <c r="EF10" s="43">
        <v>0</v>
      </c>
      <c r="EG10" s="43">
        <v>0</v>
      </c>
      <c r="EH10" s="43">
        <v>2</v>
      </c>
      <c r="EI10" s="43">
        <v>0</v>
      </c>
      <c r="EJ10" s="43">
        <v>0</v>
      </c>
      <c r="EK10" s="43">
        <v>0</v>
      </c>
      <c r="EL10" s="43">
        <v>0</v>
      </c>
      <c r="EM10" s="43">
        <v>0</v>
      </c>
      <c r="EN10" s="43"/>
      <c r="EO10" s="43"/>
      <c r="EP10" s="43"/>
      <c r="EQ10" s="43"/>
      <c r="ER10" s="44">
        <f t="shared" si="0"/>
        <v>2</v>
      </c>
      <c r="ES10" s="43">
        <v>0</v>
      </c>
      <c r="ET10" s="43">
        <v>0</v>
      </c>
      <c r="EU10" s="43">
        <v>2</v>
      </c>
      <c r="EV10" s="43">
        <v>0</v>
      </c>
      <c r="EW10" s="43">
        <v>3</v>
      </c>
      <c r="EX10" s="43">
        <v>0</v>
      </c>
      <c r="EY10" s="43">
        <v>0</v>
      </c>
      <c r="EZ10" s="43">
        <v>1</v>
      </c>
      <c r="FA10" s="43">
        <v>0</v>
      </c>
      <c r="FB10" s="43"/>
      <c r="FC10" s="43"/>
      <c r="FD10" s="43"/>
      <c r="FE10" s="43"/>
      <c r="FF10" s="43">
        <f t="shared" si="1"/>
        <v>6</v>
      </c>
      <c r="FG10" s="73">
        <f t="shared" si="2"/>
        <v>0</v>
      </c>
      <c r="FH10" s="73">
        <f t="shared" si="3"/>
        <v>0</v>
      </c>
      <c r="FI10" s="73">
        <f t="shared" si="6"/>
        <v>0</v>
      </c>
      <c r="FJ10" s="73">
        <f t="shared" si="7"/>
        <v>0</v>
      </c>
      <c r="FK10" s="73">
        <f t="shared" si="8"/>
        <v>-2</v>
      </c>
      <c r="FL10" s="73">
        <f t="shared" si="9"/>
        <v>2</v>
      </c>
      <c r="FM10" s="73">
        <f t="shared" si="10"/>
        <v>-3</v>
      </c>
      <c r="FN10" s="73">
        <f t="shared" si="11"/>
        <v>0</v>
      </c>
      <c r="FO10" s="73">
        <f t="shared" si="12"/>
        <v>0</v>
      </c>
      <c r="FP10" s="73">
        <f t="shared" si="13"/>
        <v>-1</v>
      </c>
      <c r="FQ10" s="73">
        <f t="shared" si="14"/>
        <v>0</v>
      </c>
      <c r="FR10" s="73">
        <f t="shared" si="15"/>
        <v>0</v>
      </c>
      <c r="FS10" s="73">
        <f t="shared" si="16"/>
        <v>0</v>
      </c>
      <c r="FT10" s="73">
        <f t="shared" si="17"/>
        <v>0</v>
      </c>
      <c r="FU10" s="73">
        <f t="shared" si="5"/>
        <v>0</v>
      </c>
      <c r="FV10" s="73">
        <f t="shared" si="18"/>
        <v>-4</v>
      </c>
      <c r="FW10" s="38"/>
    </row>
    <row r="11" spans="1:179" s="168" customFormat="1" x14ac:dyDescent="0.25">
      <c r="A11" s="53">
        <v>40283</v>
      </c>
      <c r="B11" s="53" t="s">
        <v>19</v>
      </c>
      <c r="C11" s="53" t="s">
        <v>129</v>
      </c>
      <c r="D11" s="53" t="s">
        <v>547</v>
      </c>
      <c r="E11" s="54">
        <v>2989</v>
      </c>
      <c r="F11" s="58">
        <v>3</v>
      </c>
      <c r="G11" s="59" t="s">
        <v>494</v>
      </c>
      <c r="H11" s="6">
        <v>0</v>
      </c>
      <c r="I11" s="6">
        <v>0</v>
      </c>
      <c r="J11" s="178">
        <v>5</v>
      </c>
      <c r="K11" s="6">
        <v>4</v>
      </c>
      <c r="L11" s="6">
        <v>1</v>
      </c>
      <c r="M11" s="6">
        <v>1</v>
      </c>
      <c r="N11" s="6">
        <v>3</v>
      </c>
      <c r="O11" s="6">
        <v>3</v>
      </c>
      <c r="P11" s="6">
        <v>0</v>
      </c>
      <c r="Q11" s="6">
        <v>0</v>
      </c>
      <c r="R11" s="6">
        <v>20</v>
      </c>
      <c r="S11" s="6"/>
      <c r="T11" s="6"/>
      <c r="U11" s="6">
        <v>0</v>
      </c>
      <c r="V11" s="61">
        <v>0</v>
      </c>
      <c r="W11" s="62">
        <v>1</v>
      </c>
      <c r="X11" s="62">
        <v>0</v>
      </c>
      <c r="Y11" s="62">
        <v>1</v>
      </c>
      <c r="Z11" s="62">
        <v>1</v>
      </c>
      <c r="AA11" s="62">
        <v>0</v>
      </c>
      <c r="AB11" s="176">
        <v>4</v>
      </c>
      <c r="AC11" s="62">
        <v>1</v>
      </c>
      <c r="AD11" s="62">
        <v>0</v>
      </c>
      <c r="AE11" s="62">
        <v>0</v>
      </c>
      <c r="AF11" s="62">
        <v>1</v>
      </c>
      <c r="AG11" s="62">
        <v>7</v>
      </c>
      <c r="AH11" s="62">
        <v>0</v>
      </c>
      <c r="AI11" s="62">
        <v>0</v>
      </c>
      <c r="AJ11" s="62">
        <v>14</v>
      </c>
      <c r="AK11" s="62"/>
      <c r="AL11" s="62"/>
      <c r="AM11" s="1" t="s">
        <v>519</v>
      </c>
      <c r="AN11" s="78">
        <v>3</v>
      </c>
      <c r="AO11" s="78">
        <v>0</v>
      </c>
      <c r="AP11" s="78">
        <v>0</v>
      </c>
      <c r="AQ11" s="78">
        <v>0</v>
      </c>
      <c r="AR11" s="78">
        <v>0</v>
      </c>
      <c r="AS11" s="78">
        <v>1</v>
      </c>
      <c r="AT11" s="78">
        <v>0</v>
      </c>
      <c r="AU11" s="78">
        <v>0</v>
      </c>
      <c r="AV11" s="76">
        <v>0</v>
      </c>
      <c r="AW11" s="1" t="s">
        <v>529</v>
      </c>
      <c r="AX11" s="78">
        <v>4</v>
      </c>
      <c r="AY11" s="78">
        <v>1</v>
      </c>
      <c r="AZ11" s="78">
        <v>1</v>
      </c>
      <c r="BA11" s="78">
        <v>0</v>
      </c>
      <c r="BB11" s="78">
        <v>0</v>
      </c>
      <c r="BC11" s="78">
        <v>1</v>
      </c>
      <c r="BD11" s="78">
        <v>0</v>
      </c>
      <c r="BE11" s="78">
        <v>0</v>
      </c>
      <c r="BF11" s="76">
        <v>1</v>
      </c>
      <c r="BG11" s="1" t="s">
        <v>534</v>
      </c>
      <c r="BH11" s="78">
        <v>4</v>
      </c>
      <c r="BI11" s="78">
        <v>0</v>
      </c>
      <c r="BJ11" s="78">
        <v>1</v>
      </c>
      <c r="BK11" s="78">
        <v>0</v>
      </c>
      <c r="BL11" s="78">
        <v>0</v>
      </c>
      <c r="BM11" s="78">
        <v>0</v>
      </c>
      <c r="BN11" s="78">
        <v>0</v>
      </c>
      <c r="BO11" s="78">
        <v>0</v>
      </c>
      <c r="BP11" s="76">
        <v>2</v>
      </c>
      <c r="BQ11" s="1" t="s">
        <v>533</v>
      </c>
      <c r="BR11" s="78">
        <v>4</v>
      </c>
      <c r="BS11" s="78">
        <v>1</v>
      </c>
      <c r="BT11" s="78">
        <v>2</v>
      </c>
      <c r="BU11" s="78">
        <v>2</v>
      </c>
      <c r="BV11" s="78">
        <v>0</v>
      </c>
      <c r="BW11" s="78">
        <v>0</v>
      </c>
      <c r="BX11" s="78">
        <v>0</v>
      </c>
      <c r="BY11" s="78">
        <v>0</v>
      </c>
      <c r="BZ11" s="76">
        <v>5</v>
      </c>
      <c r="CA11" s="1" t="s">
        <v>530</v>
      </c>
      <c r="CB11" s="78">
        <v>4</v>
      </c>
      <c r="CC11" s="78">
        <v>0</v>
      </c>
      <c r="CD11" s="78">
        <v>1</v>
      </c>
      <c r="CE11" s="78">
        <v>0</v>
      </c>
      <c r="CF11" s="78">
        <v>0</v>
      </c>
      <c r="CG11" s="78">
        <v>1</v>
      </c>
      <c r="CH11" s="78">
        <v>0</v>
      </c>
      <c r="CI11" s="78">
        <v>0</v>
      </c>
      <c r="CJ11" s="76">
        <v>1</v>
      </c>
      <c r="CK11" s="1" t="s">
        <v>539</v>
      </c>
      <c r="CL11" s="78">
        <v>2</v>
      </c>
      <c r="CM11" s="78">
        <v>0</v>
      </c>
      <c r="CN11" s="78">
        <v>1</v>
      </c>
      <c r="CO11" s="78">
        <v>0</v>
      </c>
      <c r="CP11" s="78">
        <v>1</v>
      </c>
      <c r="CQ11" s="78">
        <v>0</v>
      </c>
      <c r="CR11" s="78">
        <v>0</v>
      </c>
      <c r="CS11" s="78">
        <v>0</v>
      </c>
      <c r="CT11" s="76">
        <v>1</v>
      </c>
      <c r="CU11" s="1" t="s">
        <v>543</v>
      </c>
      <c r="CV11" s="78">
        <v>2</v>
      </c>
      <c r="CW11" s="78">
        <v>0</v>
      </c>
      <c r="CX11" s="78">
        <v>0</v>
      </c>
      <c r="CY11" s="78">
        <v>0</v>
      </c>
      <c r="CZ11" s="78">
        <v>1</v>
      </c>
      <c r="DA11" s="78">
        <v>0</v>
      </c>
      <c r="DB11" s="78">
        <v>0</v>
      </c>
      <c r="DC11" s="78">
        <v>0</v>
      </c>
      <c r="DD11" s="76">
        <v>0</v>
      </c>
      <c r="DE11" s="1" t="s">
        <v>535</v>
      </c>
      <c r="DF11" s="78">
        <v>3</v>
      </c>
      <c r="DG11" s="78">
        <v>0</v>
      </c>
      <c r="DH11" s="78">
        <v>0</v>
      </c>
      <c r="DI11" s="78">
        <v>0</v>
      </c>
      <c r="DJ11" s="78">
        <v>0</v>
      </c>
      <c r="DK11" s="78">
        <v>2</v>
      </c>
      <c r="DL11" s="78">
        <v>0</v>
      </c>
      <c r="DM11" s="78">
        <v>0</v>
      </c>
      <c r="DN11" s="76">
        <v>0</v>
      </c>
      <c r="DO11" s="1" t="s">
        <v>538</v>
      </c>
      <c r="DP11" s="78">
        <v>2</v>
      </c>
      <c r="DQ11" s="78">
        <v>0</v>
      </c>
      <c r="DR11" s="78">
        <v>0</v>
      </c>
      <c r="DS11" s="78">
        <v>0</v>
      </c>
      <c r="DT11" s="78">
        <v>1</v>
      </c>
      <c r="DU11" s="78">
        <v>0</v>
      </c>
      <c r="DV11" s="78">
        <v>0</v>
      </c>
      <c r="DW11" s="78">
        <v>0</v>
      </c>
      <c r="DX11" s="76">
        <v>0</v>
      </c>
      <c r="DY11" s="252">
        <v>0</v>
      </c>
      <c r="DZ11" s="43">
        <v>0</v>
      </c>
      <c r="EA11" s="43">
        <v>0</v>
      </c>
      <c r="EB11" s="253">
        <v>8</v>
      </c>
      <c r="EC11" s="43">
        <v>1</v>
      </c>
      <c r="ED11" s="44">
        <v>0</v>
      </c>
      <c r="EE11" s="71">
        <v>1</v>
      </c>
      <c r="EF11" s="43">
        <v>0</v>
      </c>
      <c r="EG11" s="43">
        <v>0</v>
      </c>
      <c r="EH11" s="43">
        <v>0</v>
      </c>
      <c r="EI11" s="43">
        <v>0</v>
      </c>
      <c r="EJ11" s="43">
        <v>1</v>
      </c>
      <c r="EK11" s="43">
        <v>0</v>
      </c>
      <c r="EL11" s="43">
        <v>0</v>
      </c>
      <c r="EM11" s="43"/>
      <c r="EN11" s="43"/>
      <c r="EO11" s="43"/>
      <c r="EP11" s="43"/>
      <c r="EQ11" s="43"/>
      <c r="ER11" s="44">
        <f t="shared" si="0"/>
        <v>2</v>
      </c>
      <c r="ES11" s="43">
        <v>0</v>
      </c>
      <c r="ET11" s="43">
        <v>0</v>
      </c>
      <c r="EU11" s="43">
        <v>0</v>
      </c>
      <c r="EV11" s="43">
        <v>1</v>
      </c>
      <c r="EW11" s="43">
        <v>0</v>
      </c>
      <c r="EX11" s="43">
        <v>0</v>
      </c>
      <c r="EY11" s="43">
        <v>0</v>
      </c>
      <c r="EZ11" s="43">
        <v>0</v>
      </c>
      <c r="FA11" s="43">
        <v>0</v>
      </c>
      <c r="FB11" s="43"/>
      <c r="FC11" s="43"/>
      <c r="FD11" s="43"/>
      <c r="FE11" s="43"/>
      <c r="FF11" s="43">
        <f t="shared" si="1"/>
        <v>1</v>
      </c>
      <c r="FG11" s="73">
        <f t="shared" si="2"/>
        <v>0</v>
      </c>
      <c r="FH11" s="73">
        <f t="shared" si="3"/>
        <v>0</v>
      </c>
      <c r="FI11" s="73">
        <f t="shared" si="6"/>
        <v>1</v>
      </c>
      <c r="FJ11" s="73">
        <f t="shared" si="7"/>
        <v>0</v>
      </c>
      <c r="FK11" s="73">
        <f t="shared" si="8"/>
        <v>0</v>
      </c>
      <c r="FL11" s="73">
        <f t="shared" si="9"/>
        <v>-1</v>
      </c>
      <c r="FM11" s="73">
        <f t="shared" si="10"/>
        <v>0</v>
      </c>
      <c r="FN11" s="73">
        <f t="shared" si="11"/>
        <v>1</v>
      </c>
      <c r="FO11" s="73">
        <f t="shared" si="12"/>
        <v>0</v>
      </c>
      <c r="FP11" s="73">
        <f t="shared" si="13"/>
        <v>0</v>
      </c>
      <c r="FQ11" s="73">
        <f t="shared" si="14"/>
        <v>0</v>
      </c>
      <c r="FR11" s="73">
        <f t="shared" si="15"/>
        <v>0</v>
      </c>
      <c r="FS11" s="73">
        <f t="shared" si="16"/>
        <v>0</v>
      </c>
      <c r="FT11" s="73">
        <f t="shared" si="17"/>
        <v>0</v>
      </c>
      <c r="FU11" s="73">
        <f t="shared" si="5"/>
        <v>0</v>
      </c>
      <c r="FV11" s="73">
        <f t="shared" si="18"/>
        <v>1</v>
      </c>
      <c r="FW11" s="38"/>
    </row>
    <row r="12" spans="1:179" s="174" customFormat="1" x14ac:dyDescent="0.25">
      <c r="A12" s="53">
        <v>40284</v>
      </c>
      <c r="B12" s="53" t="s">
        <v>19</v>
      </c>
      <c r="C12" s="53" t="s">
        <v>131</v>
      </c>
      <c r="D12" s="53" t="s">
        <v>547</v>
      </c>
      <c r="E12" s="54">
        <v>4161</v>
      </c>
      <c r="F12" s="58">
        <v>4</v>
      </c>
      <c r="G12" s="59" t="s">
        <v>545</v>
      </c>
      <c r="H12" s="6">
        <v>0</v>
      </c>
      <c r="I12" s="6">
        <v>0</v>
      </c>
      <c r="J12" s="178">
        <v>6</v>
      </c>
      <c r="K12" s="6">
        <v>3</v>
      </c>
      <c r="L12" s="6">
        <v>1</v>
      </c>
      <c r="M12" s="6">
        <v>1</v>
      </c>
      <c r="N12" s="6">
        <v>2</v>
      </c>
      <c r="O12" s="6">
        <v>9</v>
      </c>
      <c r="P12" s="6">
        <v>0</v>
      </c>
      <c r="Q12" s="6">
        <v>0</v>
      </c>
      <c r="R12" s="6">
        <v>23</v>
      </c>
      <c r="S12" s="6"/>
      <c r="T12" s="6"/>
      <c r="U12" s="6">
        <v>0</v>
      </c>
      <c r="V12" s="61">
        <v>0</v>
      </c>
      <c r="W12" s="62">
        <v>0</v>
      </c>
      <c r="X12" s="62">
        <v>1</v>
      </c>
      <c r="Y12" s="62">
        <v>1</v>
      </c>
      <c r="Z12" s="62">
        <v>0</v>
      </c>
      <c r="AA12" s="62">
        <v>1</v>
      </c>
      <c r="AB12" s="176">
        <v>5</v>
      </c>
      <c r="AC12" s="62">
        <v>6</v>
      </c>
      <c r="AD12" s="62">
        <v>8</v>
      </c>
      <c r="AE12" s="62">
        <v>8</v>
      </c>
      <c r="AF12" s="62">
        <v>5</v>
      </c>
      <c r="AG12" s="62">
        <v>5</v>
      </c>
      <c r="AH12" s="62">
        <v>0</v>
      </c>
      <c r="AI12" s="62">
        <v>0</v>
      </c>
      <c r="AJ12" s="62">
        <v>25</v>
      </c>
      <c r="AK12" s="62"/>
      <c r="AL12" s="62"/>
      <c r="AM12" s="1" t="s">
        <v>519</v>
      </c>
      <c r="AN12" s="78">
        <v>5</v>
      </c>
      <c r="AO12" s="78">
        <v>2</v>
      </c>
      <c r="AP12" s="78">
        <v>2</v>
      </c>
      <c r="AQ12" s="78">
        <v>0</v>
      </c>
      <c r="AR12" s="78">
        <v>1</v>
      </c>
      <c r="AS12" s="78">
        <v>0</v>
      </c>
      <c r="AT12" s="78">
        <v>0</v>
      </c>
      <c r="AU12" s="78">
        <v>0</v>
      </c>
      <c r="AV12" s="76">
        <v>2</v>
      </c>
      <c r="AW12" s="1" t="s">
        <v>534</v>
      </c>
      <c r="AX12" s="78">
        <v>4</v>
      </c>
      <c r="AY12" s="78">
        <v>0</v>
      </c>
      <c r="AZ12" s="78">
        <v>0</v>
      </c>
      <c r="BA12" s="78">
        <v>0</v>
      </c>
      <c r="BB12" s="78">
        <v>2</v>
      </c>
      <c r="BC12" s="78">
        <v>1</v>
      </c>
      <c r="BD12" s="78">
        <v>0</v>
      </c>
      <c r="BE12" s="78">
        <v>0</v>
      </c>
      <c r="BF12" s="76">
        <v>0</v>
      </c>
      <c r="BG12" s="1" t="s">
        <v>531</v>
      </c>
      <c r="BH12" s="78">
        <v>4</v>
      </c>
      <c r="BI12" s="78">
        <v>0</v>
      </c>
      <c r="BJ12" s="78">
        <v>0</v>
      </c>
      <c r="BK12" s="78">
        <v>0</v>
      </c>
      <c r="BL12" s="78">
        <v>2</v>
      </c>
      <c r="BM12" s="78">
        <v>3</v>
      </c>
      <c r="BN12" s="78">
        <v>0</v>
      </c>
      <c r="BO12" s="78">
        <v>0</v>
      </c>
      <c r="BP12" s="76">
        <v>0</v>
      </c>
      <c r="BQ12" s="1" t="s">
        <v>530</v>
      </c>
      <c r="BR12" s="78">
        <v>6</v>
      </c>
      <c r="BS12" s="78">
        <v>0</v>
      </c>
      <c r="BT12" s="78">
        <v>3</v>
      </c>
      <c r="BU12" s="78">
        <v>2</v>
      </c>
      <c r="BV12" s="78">
        <v>0</v>
      </c>
      <c r="BW12" s="78">
        <v>1</v>
      </c>
      <c r="BX12" s="78">
        <v>0</v>
      </c>
      <c r="BY12" s="78">
        <v>0</v>
      </c>
      <c r="BZ12" s="76">
        <v>3</v>
      </c>
      <c r="CA12" s="1" t="s">
        <v>533</v>
      </c>
      <c r="CB12" s="78">
        <v>3</v>
      </c>
      <c r="CC12" s="78">
        <v>0</v>
      </c>
      <c r="CD12" s="78">
        <v>1</v>
      </c>
      <c r="CE12" s="78">
        <v>1</v>
      </c>
      <c r="CF12" s="78">
        <v>3</v>
      </c>
      <c r="CG12" s="78">
        <v>0</v>
      </c>
      <c r="CH12" s="78">
        <v>0</v>
      </c>
      <c r="CI12" s="78">
        <v>0</v>
      </c>
      <c r="CJ12" s="76">
        <v>1</v>
      </c>
      <c r="CK12" s="1" t="s">
        <v>532</v>
      </c>
      <c r="CL12" s="78">
        <v>5</v>
      </c>
      <c r="CM12" s="78">
        <v>0</v>
      </c>
      <c r="CN12" s="78">
        <v>0</v>
      </c>
      <c r="CO12" s="78">
        <v>0</v>
      </c>
      <c r="CP12" s="78">
        <v>1</v>
      </c>
      <c r="CQ12" s="78">
        <v>4</v>
      </c>
      <c r="CR12" s="78">
        <v>0</v>
      </c>
      <c r="CS12" s="78">
        <v>0</v>
      </c>
      <c r="CT12" s="76">
        <v>0</v>
      </c>
      <c r="CU12" s="1" t="s">
        <v>539</v>
      </c>
      <c r="CV12" s="78">
        <v>5</v>
      </c>
      <c r="CW12" s="78">
        <v>0</v>
      </c>
      <c r="CX12" s="78">
        <v>1</v>
      </c>
      <c r="CY12" s="78">
        <v>0</v>
      </c>
      <c r="CZ12" s="78">
        <v>1</v>
      </c>
      <c r="DA12" s="78">
        <v>1</v>
      </c>
      <c r="DB12" s="78">
        <v>0</v>
      </c>
      <c r="DC12" s="78">
        <v>0</v>
      </c>
      <c r="DD12" s="76">
        <v>1</v>
      </c>
      <c r="DE12" s="1" t="s">
        <v>529</v>
      </c>
      <c r="DF12" s="78">
        <v>5</v>
      </c>
      <c r="DG12" s="78">
        <v>1</v>
      </c>
      <c r="DH12" s="78">
        <v>2</v>
      </c>
      <c r="DI12" s="78">
        <v>0</v>
      </c>
      <c r="DJ12" s="78">
        <v>0</v>
      </c>
      <c r="DK12" s="78">
        <v>1</v>
      </c>
      <c r="DL12" s="78">
        <v>0</v>
      </c>
      <c r="DM12" s="78">
        <v>0</v>
      </c>
      <c r="DN12" s="76">
        <v>2</v>
      </c>
      <c r="DO12" s="1" t="s">
        <v>285</v>
      </c>
      <c r="DP12" s="78">
        <v>5</v>
      </c>
      <c r="DQ12" s="78">
        <v>1</v>
      </c>
      <c r="DR12" s="78">
        <v>1</v>
      </c>
      <c r="DS12" s="78">
        <v>0</v>
      </c>
      <c r="DT12" s="78">
        <v>0</v>
      </c>
      <c r="DU12" s="78">
        <v>1</v>
      </c>
      <c r="DV12" s="78">
        <v>0</v>
      </c>
      <c r="DW12" s="78">
        <v>0</v>
      </c>
      <c r="DX12" s="76">
        <v>1</v>
      </c>
      <c r="DY12" s="252">
        <f>4+2/3</f>
        <v>4.666666666666667</v>
      </c>
      <c r="DZ12" s="43">
        <v>5</v>
      </c>
      <c r="EA12" s="43">
        <v>0</v>
      </c>
      <c r="EB12" s="253">
        <f>6+1/3</f>
        <v>6.333333333333333</v>
      </c>
      <c r="EC12" s="43">
        <v>1</v>
      </c>
      <c r="ED12" s="44">
        <v>0</v>
      </c>
      <c r="EE12" s="71">
        <v>0</v>
      </c>
      <c r="EF12" s="43">
        <v>0</v>
      </c>
      <c r="EG12" s="43">
        <v>1</v>
      </c>
      <c r="EH12" s="43">
        <v>3</v>
      </c>
      <c r="EI12" s="43">
        <v>0</v>
      </c>
      <c r="EJ12" s="43">
        <v>0</v>
      </c>
      <c r="EK12" s="43">
        <v>0</v>
      </c>
      <c r="EL12" s="43">
        <v>0</v>
      </c>
      <c r="EM12" s="43">
        <v>0</v>
      </c>
      <c r="EN12" s="43">
        <v>0</v>
      </c>
      <c r="EO12" s="43">
        <v>0</v>
      </c>
      <c r="EP12" s="43"/>
      <c r="EQ12" s="43"/>
      <c r="ER12" s="44">
        <f t="shared" si="0"/>
        <v>4</v>
      </c>
      <c r="ES12" s="43">
        <v>0</v>
      </c>
      <c r="ET12" s="43">
        <v>0</v>
      </c>
      <c r="EU12" s="43">
        <v>0</v>
      </c>
      <c r="EV12" s="43">
        <v>0</v>
      </c>
      <c r="EW12" s="43">
        <v>1</v>
      </c>
      <c r="EX12" s="43">
        <v>0</v>
      </c>
      <c r="EY12" s="43">
        <v>3</v>
      </c>
      <c r="EZ12" s="43">
        <v>0</v>
      </c>
      <c r="FA12" s="43">
        <v>0</v>
      </c>
      <c r="FB12" s="43">
        <v>0</v>
      </c>
      <c r="FC12" s="43">
        <v>5</v>
      </c>
      <c r="FD12" s="43"/>
      <c r="FE12" s="43"/>
      <c r="FF12" s="43">
        <f t="shared" si="1"/>
        <v>9</v>
      </c>
      <c r="FG12" s="73">
        <f t="shared" si="2"/>
        <v>0</v>
      </c>
      <c r="FH12" s="73">
        <f t="shared" si="3"/>
        <v>0</v>
      </c>
      <c r="FI12" s="73">
        <f t="shared" si="6"/>
        <v>0</v>
      </c>
      <c r="FJ12" s="73">
        <f t="shared" si="7"/>
        <v>0</v>
      </c>
      <c r="FK12" s="73">
        <f t="shared" si="8"/>
        <v>1</v>
      </c>
      <c r="FL12" s="73">
        <f t="shared" si="9"/>
        <v>3</v>
      </c>
      <c r="FM12" s="73">
        <f t="shared" si="10"/>
        <v>-1</v>
      </c>
      <c r="FN12" s="73">
        <f t="shared" si="11"/>
        <v>0</v>
      </c>
      <c r="FO12" s="73">
        <f t="shared" si="12"/>
        <v>-3</v>
      </c>
      <c r="FP12" s="73">
        <f t="shared" si="13"/>
        <v>0</v>
      </c>
      <c r="FQ12" s="73">
        <f t="shared" si="14"/>
        <v>0</v>
      </c>
      <c r="FR12" s="73">
        <f t="shared" si="15"/>
        <v>0</v>
      </c>
      <c r="FS12" s="73">
        <f t="shared" si="16"/>
        <v>-5</v>
      </c>
      <c r="FT12" s="73">
        <f t="shared" si="17"/>
        <v>0</v>
      </c>
      <c r="FU12" s="73">
        <f t="shared" si="5"/>
        <v>0</v>
      </c>
      <c r="FV12" s="73">
        <f t="shared" si="18"/>
        <v>-5</v>
      </c>
      <c r="FW12" s="38"/>
    </row>
    <row r="13" spans="1:179" s="174" customFormat="1" x14ac:dyDescent="0.25">
      <c r="A13" s="53">
        <v>40285</v>
      </c>
      <c r="B13" s="53" t="s">
        <v>133</v>
      </c>
      <c r="C13" s="53" t="s">
        <v>131</v>
      </c>
      <c r="D13" s="53" t="s">
        <v>548</v>
      </c>
      <c r="E13" s="54">
        <v>1118</v>
      </c>
      <c r="F13" s="58">
        <v>5</v>
      </c>
      <c r="G13" s="59" t="s">
        <v>546</v>
      </c>
      <c r="H13" s="6">
        <v>0</v>
      </c>
      <c r="I13" s="6">
        <v>1</v>
      </c>
      <c r="J13" s="178">
        <v>4</v>
      </c>
      <c r="K13" s="6">
        <v>7</v>
      </c>
      <c r="L13" s="6">
        <v>4</v>
      </c>
      <c r="M13" s="6">
        <v>4</v>
      </c>
      <c r="N13" s="6">
        <v>0</v>
      </c>
      <c r="O13" s="6">
        <v>4</v>
      </c>
      <c r="P13" s="6">
        <v>0</v>
      </c>
      <c r="Q13" s="6">
        <v>0</v>
      </c>
      <c r="R13" s="6">
        <v>18</v>
      </c>
      <c r="S13" s="6"/>
      <c r="T13" s="6"/>
      <c r="U13" s="6">
        <v>0</v>
      </c>
      <c r="V13" s="61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176">
        <v>4</v>
      </c>
      <c r="AC13" s="62">
        <v>3</v>
      </c>
      <c r="AD13" s="62">
        <v>3</v>
      </c>
      <c r="AE13" s="62">
        <v>3</v>
      </c>
      <c r="AF13" s="62">
        <v>4</v>
      </c>
      <c r="AG13" s="62">
        <v>1</v>
      </c>
      <c r="AH13" s="62">
        <v>0</v>
      </c>
      <c r="AI13" s="62">
        <v>1</v>
      </c>
      <c r="AJ13" s="62">
        <v>19</v>
      </c>
      <c r="AK13" s="62"/>
      <c r="AL13" s="62"/>
      <c r="AM13" s="1" t="s">
        <v>519</v>
      </c>
      <c r="AN13" s="78">
        <v>4</v>
      </c>
      <c r="AO13" s="78">
        <v>1</v>
      </c>
      <c r="AP13" s="78">
        <v>2</v>
      </c>
      <c r="AQ13" s="78">
        <v>0</v>
      </c>
      <c r="AR13" s="78">
        <v>0</v>
      </c>
      <c r="AS13" s="78">
        <v>0</v>
      </c>
      <c r="AT13" s="78">
        <v>0</v>
      </c>
      <c r="AU13" s="78">
        <v>0</v>
      </c>
      <c r="AV13" s="76">
        <v>3</v>
      </c>
      <c r="AW13" s="1" t="s">
        <v>534</v>
      </c>
      <c r="AX13" s="78">
        <v>3</v>
      </c>
      <c r="AY13" s="78">
        <v>0</v>
      </c>
      <c r="AZ13" s="78">
        <v>0</v>
      </c>
      <c r="BA13" s="78">
        <v>0</v>
      </c>
      <c r="BB13" s="78">
        <v>1</v>
      </c>
      <c r="BC13" s="78">
        <v>0</v>
      </c>
      <c r="BD13" s="78">
        <v>0</v>
      </c>
      <c r="BE13" s="78">
        <v>0</v>
      </c>
      <c r="BF13" s="76">
        <v>0</v>
      </c>
      <c r="BG13" s="1" t="s">
        <v>531</v>
      </c>
      <c r="BH13" s="78">
        <v>4</v>
      </c>
      <c r="BI13" s="78">
        <v>0</v>
      </c>
      <c r="BJ13" s="78">
        <v>0</v>
      </c>
      <c r="BK13" s="78">
        <v>0</v>
      </c>
      <c r="BL13" s="78">
        <v>0</v>
      </c>
      <c r="BM13" s="78">
        <v>0</v>
      </c>
      <c r="BN13" s="78">
        <v>0</v>
      </c>
      <c r="BO13" s="78">
        <v>0</v>
      </c>
      <c r="BP13" s="76">
        <v>0</v>
      </c>
      <c r="BQ13" s="1" t="s">
        <v>533</v>
      </c>
      <c r="BR13" s="78">
        <v>4</v>
      </c>
      <c r="BS13" s="78">
        <v>0</v>
      </c>
      <c r="BT13" s="78">
        <v>0</v>
      </c>
      <c r="BU13" s="78">
        <v>1</v>
      </c>
      <c r="BV13" s="78">
        <v>0</v>
      </c>
      <c r="BW13" s="78">
        <v>1</v>
      </c>
      <c r="BX13" s="78">
        <v>0</v>
      </c>
      <c r="BY13" s="78">
        <v>0</v>
      </c>
      <c r="BZ13" s="76">
        <v>0</v>
      </c>
      <c r="CA13" s="1" t="s">
        <v>543</v>
      </c>
      <c r="CB13" s="78">
        <v>4</v>
      </c>
      <c r="CC13" s="78">
        <v>0</v>
      </c>
      <c r="CD13" s="78">
        <v>1</v>
      </c>
      <c r="CE13" s="78">
        <v>0</v>
      </c>
      <c r="CF13" s="78">
        <v>0</v>
      </c>
      <c r="CG13" s="78">
        <v>2</v>
      </c>
      <c r="CH13" s="78">
        <v>0</v>
      </c>
      <c r="CI13" s="78">
        <v>0</v>
      </c>
      <c r="CJ13" s="76">
        <v>1</v>
      </c>
      <c r="CK13" s="1" t="s">
        <v>539</v>
      </c>
      <c r="CL13" s="78">
        <v>2</v>
      </c>
      <c r="CM13" s="78">
        <v>0</v>
      </c>
      <c r="CN13" s="78">
        <v>0</v>
      </c>
      <c r="CO13" s="78">
        <v>0</v>
      </c>
      <c r="CP13" s="78">
        <v>1</v>
      </c>
      <c r="CQ13" s="78">
        <v>0</v>
      </c>
      <c r="CR13" s="78">
        <v>0</v>
      </c>
      <c r="CS13" s="78">
        <v>0</v>
      </c>
      <c r="CT13" s="76">
        <v>0</v>
      </c>
      <c r="CU13" s="1" t="s">
        <v>426</v>
      </c>
      <c r="CV13" s="78">
        <v>3</v>
      </c>
      <c r="CW13" s="78">
        <v>0</v>
      </c>
      <c r="CX13" s="78">
        <v>1</v>
      </c>
      <c r="CY13" s="78">
        <v>0</v>
      </c>
      <c r="CZ13" s="78">
        <v>0</v>
      </c>
      <c r="DA13" s="78">
        <v>0</v>
      </c>
      <c r="DB13" s="78">
        <v>0</v>
      </c>
      <c r="DC13" s="78">
        <v>0</v>
      </c>
      <c r="DD13" s="76">
        <v>1</v>
      </c>
      <c r="DE13" s="1" t="s">
        <v>535</v>
      </c>
      <c r="DF13" s="78">
        <v>3</v>
      </c>
      <c r="DG13" s="78">
        <v>0</v>
      </c>
      <c r="DH13" s="78">
        <v>0</v>
      </c>
      <c r="DI13" s="78">
        <v>0</v>
      </c>
      <c r="DJ13" s="78">
        <v>0</v>
      </c>
      <c r="DK13" s="78">
        <v>0</v>
      </c>
      <c r="DL13" s="78">
        <v>0</v>
      </c>
      <c r="DM13" s="78">
        <v>0</v>
      </c>
      <c r="DN13" s="76">
        <v>0</v>
      </c>
      <c r="DO13" s="1" t="s">
        <v>538</v>
      </c>
      <c r="DP13" s="78">
        <v>3</v>
      </c>
      <c r="DQ13" s="78">
        <v>0</v>
      </c>
      <c r="DR13" s="78">
        <v>0</v>
      </c>
      <c r="DS13" s="78">
        <v>0</v>
      </c>
      <c r="DT13" s="78">
        <v>0</v>
      </c>
      <c r="DU13" s="78">
        <v>2</v>
      </c>
      <c r="DV13" s="78">
        <v>0</v>
      </c>
      <c r="DW13" s="78">
        <v>0</v>
      </c>
      <c r="DX13" s="76">
        <v>0</v>
      </c>
      <c r="DY13" s="252">
        <v>0</v>
      </c>
      <c r="DZ13" s="43">
        <v>0</v>
      </c>
      <c r="EA13" s="43">
        <v>0</v>
      </c>
      <c r="EB13" s="253">
        <v>9</v>
      </c>
      <c r="EC13" s="43">
        <v>1</v>
      </c>
      <c r="ED13" s="44">
        <v>0</v>
      </c>
      <c r="EE13" s="71">
        <v>0</v>
      </c>
      <c r="EF13" s="43">
        <v>0</v>
      </c>
      <c r="EG13" s="43">
        <v>0</v>
      </c>
      <c r="EH13" s="43">
        <v>0</v>
      </c>
      <c r="EI13" s="43">
        <v>0</v>
      </c>
      <c r="EJ13" s="43">
        <v>0</v>
      </c>
      <c r="EK13" s="43">
        <v>0</v>
      </c>
      <c r="EL13" s="43">
        <v>0</v>
      </c>
      <c r="EM13" s="43">
        <v>1</v>
      </c>
      <c r="EN13" s="43"/>
      <c r="EO13" s="43"/>
      <c r="EP13" s="43"/>
      <c r="EQ13" s="43"/>
      <c r="ER13" s="44">
        <f t="shared" si="0"/>
        <v>1</v>
      </c>
      <c r="ES13" s="43">
        <v>2</v>
      </c>
      <c r="ET13" s="43">
        <v>1</v>
      </c>
      <c r="EU13" s="43">
        <v>1</v>
      </c>
      <c r="EV13" s="43">
        <v>0</v>
      </c>
      <c r="EW13" s="43">
        <v>1</v>
      </c>
      <c r="EX13" s="43">
        <v>0</v>
      </c>
      <c r="EY13" s="43">
        <v>2</v>
      </c>
      <c r="EZ13" s="43">
        <v>0</v>
      </c>
      <c r="FA13" s="43"/>
      <c r="FB13" s="43"/>
      <c r="FC13" s="43"/>
      <c r="FD13" s="43"/>
      <c r="FE13" s="43"/>
      <c r="FF13" s="43">
        <f t="shared" si="1"/>
        <v>7</v>
      </c>
      <c r="FG13" s="73">
        <f t="shared" si="2"/>
        <v>0</v>
      </c>
      <c r="FH13" s="73">
        <f t="shared" si="3"/>
        <v>0</v>
      </c>
      <c r="FI13" s="73">
        <f t="shared" si="6"/>
        <v>-2</v>
      </c>
      <c r="FJ13" s="73">
        <f t="shared" si="7"/>
        <v>-1</v>
      </c>
      <c r="FK13" s="73">
        <f t="shared" si="8"/>
        <v>-1</v>
      </c>
      <c r="FL13" s="73">
        <f t="shared" si="9"/>
        <v>0</v>
      </c>
      <c r="FM13" s="73">
        <f t="shared" si="10"/>
        <v>-1</v>
      </c>
      <c r="FN13" s="73">
        <f t="shared" si="11"/>
        <v>0</v>
      </c>
      <c r="FO13" s="73">
        <f t="shared" si="12"/>
        <v>-2</v>
      </c>
      <c r="FP13" s="73">
        <f t="shared" si="13"/>
        <v>0</v>
      </c>
      <c r="FQ13" s="73">
        <f t="shared" si="14"/>
        <v>1</v>
      </c>
      <c r="FR13" s="73">
        <f t="shared" si="15"/>
        <v>0</v>
      </c>
      <c r="FS13" s="73">
        <f t="shared" si="16"/>
        <v>0</v>
      </c>
      <c r="FT13" s="73">
        <f t="shared" si="17"/>
        <v>0</v>
      </c>
      <c r="FU13" s="73">
        <f t="shared" si="5"/>
        <v>0</v>
      </c>
      <c r="FV13" s="73">
        <f t="shared" si="18"/>
        <v>-6</v>
      </c>
      <c r="FW13" s="38"/>
    </row>
    <row r="14" spans="1:179" s="174" customFormat="1" x14ac:dyDescent="0.25">
      <c r="A14" s="53">
        <v>40286</v>
      </c>
      <c r="B14" s="53" t="s">
        <v>133</v>
      </c>
      <c r="C14" s="53" t="s">
        <v>131</v>
      </c>
      <c r="D14" s="53" t="s">
        <v>548</v>
      </c>
      <c r="E14" s="54">
        <v>1181</v>
      </c>
      <c r="F14" s="58">
        <v>1</v>
      </c>
      <c r="G14" s="59" t="s">
        <v>540</v>
      </c>
      <c r="H14" s="6">
        <v>0</v>
      </c>
      <c r="I14" s="6">
        <v>0</v>
      </c>
      <c r="J14" s="178">
        <f>4+2/3</f>
        <v>4.666666666666667</v>
      </c>
      <c r="K14" s="6">
        <v>4</v>
      </c>
      <c r="L14" s="6">
        <v>2</v>
      </c>
      <c r="M14" s="6">
        <v>1</v>
      </c>
      <c r="N14" s="6">
        <v>2</v>
      </c>
      <c r="O14" s="6">
        <v>2</v>
      </c>
      <c r="P14" s="6">
        <v>0</v>
      </c>
      <c r="Q14" s="6">
        <v>0</v>
      </c>
      <c r="R14" s="6">
        <v>20</v>
      </c>
      <c r="S14" s="6"/>
      <c r="T14" s="6"/>
      <c r="U14" s="6">
        <v>0</v>
      </c>
      <c r="V14" s="61">
        <v>0</v>
      </c>
      <c r="W14" s="62">
        <v>0</v>
      </c>
      <c r="X14" s="62">
        <v>1</v>
      </c>
      <c r="Y14" s="62">
        <v>0</v>
      </c>
      <c r="Z14" s="62">
        <v>0</v>
      </c>
      <c r="AA14" s="62">
        <v>0</v>
      </c>
      <c r="AB14" s="176">
        <f>3+1/3</f>
        <v>3.3333333333333335</v>
      </c>
      <c r="AC14" s="62">
        <v>2</v>
      </c>
      <c r="AD14" s="62">
        <v>2</v>
      </c>
      <c r="AE14" s="62">
        <v>2</v>
      </c>
      <c r="AF14" s="62">
        <v>2</v>
      </c>
      <c r="AG14" s="62">
        <v>5</v>
      </c>
      <c r="AH14" s="62">
        <v>1</v>
      </c>
      <c r="AI14" s="62">
        <v>0</v>
      </c>
      <c r="AJ14" s="62">
        <v>13</v>
      </c>
      <c r="AK14" s="62"/>
      <c r="AL14" s="62"/>
      <c r="AM14" s="1" t="s">
        <v>519</v>
      </c>
      <c r="AN14" s="78">
        <v>3</v>
      </c>
      <c r="AO14" s="78">
        <v>0</v>
      </c>
      <c r="AP14" s="78">
        <v>1</v>
      </c>
      <c r="AQ14" s="78">
        <v>1</v>
      </c>
      <c r="AR14" s="78">
        <v>0</v>
      </c>
      <c r="AS14" s="78">
        <v>0</v>
      </c>
      <c r="AT14" s="78">
        <v>0</v>
      </c>
      <c r="AU14" s="78">
        <v>0</v>
      </c>
      <c r="AV14" s="76">
        <v>1</v>
      </c>
      <c r="AW14" s="1" t="s">
        <v>531</v>
      </c>
      <c r="AX14" s="78">
        <v>4</v>
      </c>
      <c r="AY14" s="78">
        <v>0</v>
      </c>
      <c r="AZ14" s="78">
        <v>1</v>
      </c>
      <c r="BA14" s="78">
        <v>0</v>
      </c>
      <c r="BB14" s="78">
        <v>0</v>
      </c>
      <c r="BC14" s="78">
        <v>0</v>
      </c>
      <c r="BD14" s="78">
        <v>0</v>
      </c>
      <c r="BE14" s="78">
        <v>0</v>
      </c>
      <c r="BF14" s="76">
        <v>1</v>
      </c>
      <c r="BG14" s="1" t="s">
        <v>534</v>
      </c>
      <c r="BH14" s="78">
        <v>3</v>
      </c>
      <c r="BI14" s="78">
        <v>0</v>
      </c>
      <c r="BJ14" s="78">
        <v>0</v>
      </c>
      <c r="BK14" s="78">
        <v>0</v>
      </c>
      <c r="BL14" s="78">
        <v>1</v>
      </c>
      <c r="BM14" s="78">
        <v>0</v>
      </c>
      <c r="BN14" s="78">
        <v>0</v>
      </c>
      <c r="BO14" s="78">
        <v>0</v>
      </c>
      <c r="BP14" s="76">
        <v>0</v>
      </c>
      <c r="BQ14" s="1" t="s">
        <v>539</v>
      </c>
      <c r="BR14" s="78">
        <v>2</v>
      </c>
      <c r="BS14" s="78">
        <v>0</v>
      </c>
      <c r="BT14" s="78">
        <v>0</v>
      </c>
      <c r="BU14" s="78">
        <v>0</v>
      </c>
      <c r="BV14" s="78">
        <v>2</v>
      </c>
      <c r="BW14" s="78">
        <v>0</v>
      </c>
      <c r="BX14" s="78">
        <v>0</v>
      </c>
      <c r="BY14" s="78">
        <v>0</v>
      </c>
      <c r="BZ14" s="76">
        <v>0</v>
      </c>
      <c r="CA14" s="1" t="s">
        <v>426</v>
      </c>
      <c r="CB14" s="78">
        <v>4</v>
      </c>
      <c r="CC14" s="78">
        <v>0</v>
      </c>
      <c r="CD14" s="78">
        <v>1</v>
      </c>
      <c r="CE14" s="78">
        <v>0</v>
      </c>
      <c r="CF14" s="78">
        <v>0</v>
      </c>
      <c r="CG14" s="78">
        <v>1</v>
      </c>
      <c r="CH14" s="78">
        <v>0</v>
      </c>
      <c r="CI14" s="78">
        <v>0</v>
      </c>
      <c r="CJ14" s="76">
        <v>1</v>
      </c>
      <c r="CK14" s="1" t="s">
        <v>532</v>
      </c>
      <c r="CL14" s="78">
        <v>4</v>
      </c>
      <c r="CM14" s="78">
        <v>1</v>
      </c>
      <c r="CN14" s="78">
        <v>1</v>
      </c>
      <c r="CO14" s="78">
        <v>0</v>
      </c>
      <c r="CP14" s="78">
        <v>0</v>
      </c>
      <c r="CQ14" s="78">
        <v>0</v>
      </c>
      <c r="CR14" s="78">
        <v>0</v>
      </c>
      <c r="CS14" s="78">
        <v>0</v>
      </c>
      <c r="CT14" s="76">
        <v>2</v>
      </c>
      <c r="CU14" s="1" t="s">
        <v>529</v>
      </c>
      <c r="CV14" s="78">
        <v>4</v>
      </c>
      <c r="CW14" s="78">
        <v>1</v>
      </c>
      <c r="CX14" s="78">
        <v>2</v>
      </c>
      <c r="CY14" s="78">
        <v>1</v>
      </c>
      <c r="CZ14" s="78">
        <v>0</v>
      </c>
      <c r="DA14" s="78">
        <v>0</v>
      </c>
      <c r="DB14" s="78">
        <v>0</v>
      </c>
      <c r="DC14" s="78">
        <v>0</v>
      </c>
      <c r="DD14" s="76">
        <v>4</v>
      </c>
      <c r="DE14" s="1" t="s">
        <v>535</v>
      </c>
      <c r="DF14" s="78">
        <v>4</v>
      </c>
      <c r="DG14" s="78">
        <v>1</v>
      </c>
      <c r="DH14" s="78">
        <v>1</v>
      </c>
      <c r="DI14" s="78">
        <v>1</v>
      </c>
      <c r="DJ14" s="78">
        <v>0</v>
      </c>
      <c r="DK14" s="78">
        <v>2</v>
      </c>
      <c r="DL14" s="78">
        <v>0</v>
      </c>
      <c r="DM14" s="78">
        <v>0</v>
      </c>
      <c r="DN14" s="76">
        <v>2</v>
      </c>
      <c r="DO14" s="1" t="s">
        <v>285</v>
      </c>
      <c r="DP14" s="78">
        <v>3</v>
      </c>
      <c r="DQ14" s="78">
        <v>0</v>
      </c>
      <c r="DR14" s="78">
        <v>0</v>
      </c>
      <c r="DS14" s="78">
        <v>0</v>
      </c>
      <c r="DT14" s="78">
        <v>0</v>
      </c>
      <c r="DU14" s="78">
        <v>2</v>
      </c>
      <c r="DV14" s="78">
        <v>0</v>
      </c>
      <c r="DW14" s="78">
        <v>0</v>
      </c>
      <c r="DX14" s="76">
        <v>0</v>
      </c>
      <c r="DY14" s="252">
        <v>4</v>
      </c>
      <c r="DZ14" s="43">
        <v>0</v>
      </c>
      <c r="EA14" s="43">
        <v>1</v>
      </c>
      <c r="EB14" s="253">
        <v>5</v>
      </c>
      <c r="EC14" s="43">
        <v>2</v>
      </c>
      <c r="ED14" s="44">
        <v>0</v>
      </c>
      <c r="EE14" s="71">
        <v>0</v>
      </c>
      <c r="EF14" s="43">
        <v>0</v>
      </c>
      <c r="EG14" s="43">
        <v>0</v>
      </c>
      <c r="EH14" s="43">
        <v>0</v>
      </c>
      <c r="EI14" s="43">
        <v>2</v>
      </c>
      <c r="EJ14" s="43">
        <v>1</v>
      </c>
      <c r="EK14" s="43">
        <v>0</v>
      </c>
      <c r="EL14" s="43">
        <v>0</v>
      </c>
      <c r="EM14" s="43">
        <v>0</v>
      </c>
      <c r="EN14" s="43"/>
      <c r="EO14" s="43"/>
      <c r="EP14" s="43"/>
      <c r="EQ14" s="43"/>
      <c r="ER14" s="44">
        <f t="shared" si="0"/>
        <v>3</v>
      </c>
      <c r="ES14" s="43">
        <v>1</v>
      </c>
      <c r="ET14" s="43">
        <v>0</v>
      </c>
      <c r="EU14" s="43">
        <v>0</v>
      </c>
      <c r="EV14" s="43">
        <v>0</v>
      </c>
      <c r="EW14" s="43">
        <v>3</v>
      </c>
      <c r="EX14" s="43">
        <v>0</v>
      </c>
      <c r="EY14" s="43">
        <v>0</v>
      </c>
      <c r="EZ14" s="43">
        <v>0</v>
      </c>
      <c r="FA14" s="43"/>
      <c r="FB14" s="43"/>
      <c r="FC14" s="43"/>
      <c r="FD14" s="43"/>
      <c r="FE14" s="43"/>
      <c r="FF14" s="43">
        <f t="shared" si="1"/>
        <v>4</v>
      </c>
      <c r="FG14" s="73">
        <f t="shared" si="2"/>
        <v>0</v>
      </c>
      <c r="FH14" s="73">
        <f t="shared" si="3"/>
        <v>0</v>
      </c>
      <c r="FI14" s="73">
        <f t="shared" si="6"/>
        <v>-1</v>
      </c>
      <c r="FJ14" s="73">
        <f t="shared" si="7"/>
        <v>0</v>
      </c>
      <c r="FK14" s="73">
        <f t="shared" si="8"/>
        <v>0</v>
      </c>
      <c r="FL14" s="73">
        <f t="shared" si="9"/>
        <v>0</v>
      </c>
      <c r="FM14" s="73">
        <f t="shared" si="10"/>
        <v>-1</v>
      </c>
      <c r="FN14" s="73">
        <f t="shared" si="11"/>
        <v>1</v>
      </c>
      <c r="FO14" s="73">
        <f t="shared" si="12"/>
        <v>0</v>
      </c>
      <c r="FP14" s="73">
        <f t="shared" si="13"/>
        <v>0</v>
      </c>
      <c r="FQ14" s="73">
        <f t="shared" si="14"/>
        <v>0</v>
      </c>
      <c r="FR14" s="73">
        <f t="shared" si="15"/>
        <v>0</v>
      </c>
      <c r="FS14" s="73">
        <f t="shared" si="16"/>
        <v>0</v>
      </c>
      <c r="FT14" s="73">
        <f t="shared" si="17"/>
        <v>0</v>
      </c>
      <c r="FU14" s="73">
        <f t="shared" si="5"/>
        <v>0</v>
      </c>
      <c r="FV14" s="73">
        <f t="shared" si="18"/>
        <v>-1</v>
      </c>
      <c r="FW14" s="38"/>
    </row>
    <row r="15" spans="1:179" s="174" customFormat="1" x14ac:dyDescent="0.25">
      <c r="A15" s="53">
        <v>40287</v>
      </c>
      <c r="B15" s="53" t="s">
        <v>133</v>
      </c>
      <c r="C15" s="53" t="s">
        <v>131</v>
      </c>
      <c r="D15" s="53" t="s">
        <v>548</v>
      </c>
      <c r="E15" s="54">
        <v>1015</v>
      </c>
      <c r="F15" s="58">
        <v>2</v>
      </c>
      <c r="G15" s="59" t="s">
        <v>536</v>
      </c>
      <c r="H15" s="6">
        <v>0</v>
      </c>
      <c r="I15" s="6">
        <v>1</v>
      </c>
      <c r="J15" s="178">
        <v>4</v>
      </c>
      <c r="K15" s="6">
        <v>9</v>
      </c>
      <c r="L15" s="6">
        <v>4</v>
      </c>
      <c r="M15" s="6">
        <v>4</v>
      </c>
      <c r="N15" s="6">
        <v>2</v>
      </c>
      <c r="O15" s="6">
        <v>1</v>
      </c>
      <c r="P15" s="6">
        <v>0</v>
      </c>
      <c r="Q15" s="6">
        <v>0</v>
      </c>
      <c r="R15" s="6">
        <v>22</v>
      </c>
      <c r="S15" s="6"/>
      <c r="T15" s="6"/>
      <c r="U15" s="6">
        <v>0</v>
      </c>
      <c r="V15" s="61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176">
        <v>4</v>
      </c>
      <c r="AC15" s="62">
        <v>9</v>
      </c>
      <c r="AD15" s="62">
        <v>5</v>
      </c>
      <c r="AE15" s="62">
        <v>5</v>
      </c>
      <c r="AF15" s="62">
        <v>2</v>
      </c>
      <c r="AG15" s="62">
        <v>7</v>
      </c>
      <c r="AH15" s="62">
        <v>0</v>
      </c>
      <c r="AI15" s="62">
        <v>0</v>
      </c>
      <c r="AJ15" s="62">
        <v>23</v>
      </c>
      <c r="AK15" s="62"/>
      <c r="AL15" s="62"/>
      <c r="AM15" s="1" t="s">
        <v>531</v>
      </c>
      <c r="AN15" s="78">
        <v>3</v>
      </c>
      <c r="AO15" s="78">
        <v>0</v>
      </c>
      <c r="AP15" s="78">
        <v>0</v>
      </c>
      <c r="AQ15" s="78">
        <v>1</v>
      </c>
      <c r="AR15" s="78">
        <v>0</v>
      </c>
      <c r="AS15" s="78">
        <v>0</v>
      </c>
      <c r="AT15" s="78">
        <v>0</v>
      </c>
      <c r="AU15" s="78">
        <v>1</v>
      </c>
      <c r="AV15" s="76">
        <v>0</v>
      </c>
      <c r="AW15" s="1" t="s">
        <v>529</v>
      </c>
      <c r="AX15" s="78">
        <v>4</v>
      </c>
      <c r="AY15" s="78">
        <v>0</v>
      </c>
      <c r="AZ15" s="78">
        <v>1</v>
      </c>
      <c r="BA15" s="78">
        <v>2</v>
      </c>
      <c r="BB15" s="78">
        <v>0</v>
      </c>
      <c r="BC15" s="78">
        <v>0</v>
      </c>
      <c r="BD15" s="78">
        <v>0</v>
      </c>
      <c r="BE15" s="78">
        <v>0</v>
      </c>
      <c r="BF15" s="76">
        <v>1</v>
      </c>
      <c r="BG15" s="1" t="s">
        <v>534</v>
      </c>
      <c r="BH15" s="78">
        <v>4</v>
      </c>
      <c r="BI15" s="78">
        <v>0</v>
      </c>
      <c r="BJ15" s="78">
        <v>0</v>
      </c>
      <c r="BK15" s="78">
        <v>0</v>
      </c>
      <c r="BL15" s="78">
        <v>0</v>
      </c>
      <c r="BM15" s="78">
        <v>2</v>
      </c>
      <c r="BN15" s="78">
        <v>0</v>
      </c>
      <c r="BO15" s="78">
        <v>0</v>
      </c>
      <c r="BP15" s="76">
        <v>0</v>
      </c>
      <c r="BQ15" s="1" t="s">
        <v>533</v>
      </c>
      <c r="BR15" s="78">
        <v>4</v>
      </c>
      <c r="BS15" s="78">
        <v>0</v>
      </c>
      <c r="BT15" s="78">
        <v>1</v>
      </c>
      <c r="BU15" s="78">
        <v>0</v>
      </c>
      <c r="BV15" s="78">
        <v>0</v>
      </c>
      <c r="BW15" s="78">
        <v>0</v>
      </c>
      <c r="BX15" s="78">
        <v>0</v>
      </c>
      <c r="BY15" s="78">
        <v>0</v>
      </c>
      <c r="BZ15" s="76">
        <v>1</v>
      </c>
      <c r="CA15" s="1" t="s">
        <v>532</v>
      </c>
      <c r="CB15" s="78">
        <v>3</v>
      </c>
      <c r="CC15" s="78">
        <v>0</v>
      </c>
      <c r="CD15" s="78">
        <v>0</v>
      </c>
      <c r="CE15" s="78">
        <v>0</v>
      </c>
      <c r="CF15" s="78">
        <v>0</v>
      </c>
      <c r="CG15" s="78">
        <v>2</v>
      </c>
      <c r="CH15" s="78">
        <v>0</v>
      </c>
      <c r="CI15" s="78">
        <v>0</v>
      </c>
      <c r="CJ15" s="76">
        <v>0</v>
      </c>
      <c r="CK15" s="1" t="s">
        <v>543</v>
      </c>
      <c r="CL15" s="78">
        <v>3</v>
      </c>
      <c r="CM15" s="78">
        <v>0</v>
      </c>
      <c r="CN15" s="78">
        <v>0</v>
      </c>
      <c r="CO15" s="78">
        <v>0</v>
      </c>
      <c r="CP15" s="78">
        <v>0</v>
      </c>
      <c r="CQ15" s="78">
        <v>0</v>
      </c>
      <c r="CR15" s="78">
        <v>0</v>
      </c>
      <c r="CS15" s="78">
        <v>0</v>
      </c>
      <c r="CT15" s="76">
        <v>0</v>
      </c>
      <c r="CU15" s="1" t="s">
        <v>535</v>
      </c>
      <c r="CV15" s="78">
        <v>3</v>
      </c>
      <c r="CW15" s="78">
        <v>1</v>
      </c>
      <c r="CX15" s="78">
        <v>1</v>
      </c>
      <c r="CY15" s="78">
        <v>0</v>
      </c>
      <c r="CZ15" s="78">
        <v>0</v>
      </c>
      <c r="DA15" s="78">
        <v>0</v>
      </c>
      <c r="DB15" s="78">
        <v>0</v>
      </c>
      <c r="DC15" s="78">
        <v>0</v>
      </c>
      <c r="DD15" s="76">
        <v>1</v>
      </c>
      <c r="DE15" s="1" t="s">
        <v>549</v>
      </c>
      <c r="DF15" s="78">
        <v>3</v>
      </c>
      <c r="DG15" s="78">
        <v>1</v>
      </c>
      <c r="DH15" s="78">
        <v>0</v>
      </c>
      <c r="DI15" s="78">
        <v>0</v>
      </c>
      <c r="DJ15" s="78">
        <v>0</v>
      </c>
      <c r="DK15" s="78">
        <v>0</v>
      </c>
      <c r="DL15" s="78">
        <v>0</v>
      </c>
      <c r="DM15" s="78">
        <v>0</v>
      </c>
      <c r="DN15" s="76">
        <v>0</v>
      </c>
      <c r="DO15" s="1" t="s">
        <v>285</v>
      </c>
      <c r="DP15" s="78">
        <v>2</v>
      </c>
      <c r="DQ15" s="78">
        <v>1</v>
      </c>
      <c r="DR15" s="78">
        <v>0</v>
      </c>
      <c r="DS15" s="78">
        <v>0</v>
      </c>
      <c r="DT15" s="78">
        <v>1</v>
      </c>
      <c r="DU15" s="78">
        <v>1</v>
      </c>
      <c r="DV15" s="78">
        <v>0</v>
      </c>
      <c r="DW15" s="78">
        <v>0</v>
      </c>
      <c r="DX15" s="76">
        <v>0</v>
      </c>
      <c r="DY15" s="252">
        <v>0</v>
      </c>
      <c r="DZ15" s="43">
        <v>0</v>
      </c>
      <c r="EA15" s="43">
        <v>0</v>
      </c>
      <c r="EB15" s="253">
        <v>9</v>
      </c>
      <c r="EC15" s="43">
        <v>0</v>
      </c>
      <c r="ED15" s="44">
        <v>0</v>
      </c>
      <c r="EE15" s="71">
        <v>0</v>
      </c>
      <c r="EF15" s="43">
        <v>0</v>
      </c>
      <c r="EG15" s="43">
        <v>0</v>
      </c>
      <c r="EH15" s="43">
        <v>0</v>
      </c>
      <c r="EI15" s="43">
        <v>0</v>
      </c>
      <c r="EJ15" s="43">
        <v>3</v>
      </c>
      <c r="EK15" s="43">
        <v>0</v>
      </c>
      <c r="EL15" s="43">
        <v>0</v>
      </c>
      <c r="EM15" s="43">
        <v>0</v>
      </c>
      <c r="EN15" s="43"/>
      <c r="EO15" s="43"/>
      <c r="EP15" s="43"/>
      <c r="EQ15" s="43"/>
      <c r="ER15" s="44">
        <f t="shared" si="0"/>
        <v>3</v>
      </c>
      <c r="ES15" s="43">
        <v>0</v>
      </c>
      <c r="ET15" s="43">
        <v>1</v>
      </c>
      <c r="EU15" s="43">
        <v>3</v>
      </c>
      <c r="EV15" s="43">
        <v>0</v>
      </c>
      <c r="EW15" s="43">
        <v>2</v>
      </c>
      <c r="EX15" s="43">
        <v>3</v>
      </c>
      <c r="EY15" s="43">
        <v>0</v>
      </c>
      <c r="EZ15" s="43">
        <v>0</v>
      </c>
      <c r="FA15" s="43"/>
      <c r="FB15" s="43"/>
      <c r="FC15" s="43"/>
      <c r="FD15" s="43"/>
      <c r="FE15" s="43"/>
      <c r="FF15" s="43">
        <f t="shared" si="1"/>
        <v>9</v>
      </c>
      <c r="FG15" s="73">
        <f t="shared" si="2"/>
        <v>0</v>
      </c>
      <c r="FH15" s="73">
        <f t="shared" si="3"/>
        <v>0</v>
      </c>
      <c r="FI15" s="73">
        <f t="shared" si="6"/>
        <v>0</v>
      </c>
      <c r="FJ15" s="73">
        <f t="shared" si="7"/>
        <v>-1</v>
      </c>
      <c r="FK15" s="73">
        <f t="shared" si="8"/>
        <v>-3</v>
      </c>
      <c r="FL15" s="73">
        <f t="shared" si="9"/>
        <v>0</v>
      </c>
      <c r="FM15" s="73">
        <f t="shared" si="10"/>
        <v>-2</v>
      </c>
      <c r="FN15" s="73">
        <f t="shared" si="11"/>
        <v>0</v>
      </c>
      <c r="FO15" s="73">
        <f t="shared" si="12"/>
        <v>0</v>
      </c>
      <c r="FP15" s="73">
        <f t="shared" si="13"/>
        <v>0</v>
      </c>
      <c r="FQ15" s="73">
        <f t="shared" si="14"/>
        <v>0</v>
      </c>
      <c r="FR15" s="73">
        <f t="shared" si="15"/>
        <v>0</v>
      </c>
      <c r="FS15" s="73">
        <f t="shared" si="16"/>
        <v>0</v>
      </c>
      <c r="FT15" s="73">
        <f t="shared" si="17"/>
        <v>0</v>
      </c>
      <c r="FU15" s="73">
        <f t="shared" si="5"/>
        <v>0</v>
      </c>
      <c r="FV15" s="73">
        <f t="shared" si="18"/>
        <v>-6</v>
      </c>
      <c r="FW15" s="38"/>
    </row>
    <row r="16" spans="1:179" s="174" customFormat="1" x14ac:dyDescent="0.25">
      <c r="A16" s="53">
        <v>40288</v>
      </c>
      <c r="B16" s="53" t="s">
        <v>133</v>
      </c>
      <c r="C16" s="53" t="s">
        <v>131</v>
      </c>
      <c r="D16" s="53" t="s">
        <v>550</v>
      </c>
      <c r="E16" s="54">
        <v>1242</v>
      </c>
      <c r="F16" s="58">
        <v>3</v>
      </c>
      <c r="G16" s="59" t="s">
        <v>494</v>
      </c>
      <c r="H16" s="6">
        <v>0</v>
      </c>
      <c r="I16" s="6">
        <v>1</v>
      </c>
      <c r="J16" s="178">
        <v>6</v>
      </c>
      <c r="K16" s="6">
        <v>5</v>
      </c>
      <c r="L16" s="6">
        <v>3</v>
      </c>
      <c r="M16" s="6">
        <v>2</v>
      </c>
      <c r="N16" s="6">
        <v>0</v>
      </c>
      <c r="O16" s="6">
        <v>8</v>
      </c>
      <c r="P16" s="6">
        <v>1</v>
      </c>
      <c r="Q16" s="6">
        <v>1</v>
      </c>
      <c r="R16" s="6">
        <v>25</v>
      </c>
      <c r="S16" s="6"/>
      <c r="T16" s="6"/>
      <c r="U16" s="6">
        <v>0</v>
      </c>
      <c r="V16" s="61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176">
        <v>2</v>
      </c>
      <c r="AC16" s="62">
        <v>5</v>
      </c>
      <c r="AD16" s="62">
        <v>4</v>
      </c>
      <c r="AE16" s="62">
        <v>4</v>
      </c>
      <c r="AF16" s="62">
        <v>0</v>
      </c>
      <c r="AG16" s="62">
        <v>2</v>
      </c>
      <c r="AH16" s="62">
        <v>0</v>
      </c>
      <c r="AI16" s="62">
        <v>0</v>
      </c>
      <c r="AJ16" s="62">
        <v>11</v>
      </c>
      <c r="AK16" s="62"/>
      <c r="AL16" s="62"/>
      <c r="AM16" s="1" t="s">
        <v>519</v>
      </c>
      <c r="AN16" s="78">
        <v>4</v>
      </c>
      <c r="AO16" s="78">
        <v>0</v>
      </c>
      <c r="AP16" s="78">
        <v>2</v>
      </c>
      <c r="AQ16" s="78">
        <v>0</v>
      </c>
      <c r="AR16" s="78">
        <v>0</v>
      </c>
      <c r="AS16" s="78">
        <v>0</v>
      </c>
      <c r="AT16" s="78">
        <v>0</v>
      </c>
      <c r="AU16" s="78">
        <v>0</v>
      </c>
      <c r="AV16" s="76">
        <v>2</v>
      </c>
      <c r="AW16" s="1" t="s">
        <v>529</v>
      </c>
      <c r="AX16" s="78">
        <v>4</v>
      </c>
      <c r="AY16" s="78">
        <v>1</v>
      </c>
      <c r="AZ16" s="78">
        <v>1</v>
      </c>
      <c r="BA16" s="78">
        <v>1</v>
      </c>
      <c r="BB16" s="78">
        <v>0</v>
      </c>
      <c r="BC16" s="78">
        <v>1</v>
      </c>
      <c r="BD16" s="78">
        <v>0</v>
      </c>
      <c r="BE16" s="78">
        <v>0</v>
      </c>
      <c r="BF16" s="76">
        <v>4</v>
      </c>
      <c r="BG16" s="1" t="s">
        <v>539</v>
      </c>
      <c r="BH16" s="78">
        <v>4</v>
      </c>
      <c r="BI16" s="78">
        <v>0</v>
      </c>
      <c r="BJ16" s="78">
        <v>0</v>
      </c>
      <c r="BK16" s="78">
        <v>0</v>
      </c>
      <c r="BL16" s="78">
        <v>0</v>
      </c>
      <c r="BM16" s="78">
        <v>2</v>
      </c>
      <c r="BN16" s="78">
        <v>0</v>
      </c>
      <c r="BO16" s="78">
        <v>0</v>
      </c>
      <c r="BP16" s="76">
        <v>0</v>
      </c>
      <c r="BQ16" s="1" t="s">
        <v>530</v>
      </c>
      <c r="BR16" s="78">
        <v>4</v>
      </c>
      <c r="BS16" s="78">
        <v>0</v>
      </c>
      <c r="BT16" s="78">
        <v>0</v>
      </c>
      <c r="BU16" s="78">
        <v>0</v>
      </c>
      <c r="BV16" s="78">
        <v>0</v>
      </c>
      <c r="BW16" s="78">
        <v>0</v>
      </c>
      <c r="BX16" s="78">
        <v>0</v>
      </c>
      <c r="BY16" s="78">
        <v>0</v>
      </c>
      <c r="BZ16" s="76">
        <v>0</v>
      </c>
      <c r="CA16" s="1" t="s">
        <v>531</v>
      </c>
      <c r="CB16" s="78">
        <v>4</v>
      </c>
      <c r="CC16" s="78">
        <v>0</v>
      </c>
      <c r="CD16" s="78">
        <v>1</v>
      </c>
      <c r="CE16" s="78">
        <v>0</v>
      </c>
      <c r="CF16" s="78">
        <v>0</v>
      </c>
      <c r="CG16" s="78">
        <v>0</v>
      </c>
      <c r="CH16" s="78">
        <v>0</v>
      </c>
      <c r="CI16" s="78">
        <v>0</v>
      </c>
      <c r="CJ16" s="76">
        <v>1</v>
      </c>
      <c r="CK16" s="1" t="s">
        <v>532</v>
      </c>
      <c r="CL16" s="78">
        <v>4</v>
      </c>
      <c r="CM16" s="78">
        <v>0</v>
      </c>
      <c r="CN16" s="78">
        <v>0</v>
      </c>
      <c r="CO16" s="78">
        <v>0</v>
      </c>
      <c r="CP16" s="78">
        <v>0</v>
      </c>
      <c r="CQ16" s="78">
        <v>2</v>
      </c>
      <c r="CR16" s="78">
        <v>0</v>
      </c>
      <c r="CS16" s="78">
        <v>0</v>
      </c>
      <c r="CT16" s="76">
        <v>0</v>
      </c>
      <c r="CU16" s="1" t="s">
        <v>535</v>
      </c>
      <c r="CV16" s="78">
        <v>3</v>
      </c>
      <c r="CW16" s="78">
        <v>0</v>
      </c>
      <c r="CX16" s="78">
        <v>0</v>
      </c>
      <c r="CY16" s="78">
        <v>0</v>
      </c>
      <c r="CZ16" s="78">
        <v>0</v>
      </c>
      <c r="DA16" s="78">
        <v>0</v>
      </c>
      <c r="DB16" s="78">
        <v>0</v>
      </c>
      <c r="DC16" s="78">
        <v>0</v>
      </c>
      <c r="DD16" s="76">
        <v>0</v>
      </c>
      <c r="DE16" s="1" t="s">
        <v>538</v>
      </c>
      <c r="DF16" s="78">
        <v>3</v>
      </c>
      <c r="DG16" s="78">
        <v>0</v>
      </c>
      <c r="DH16" s="78">
        <v>1</v>
      </c>
      <c r="DI16" s="78">
        <v>0</v>
      </c>
      <c r="DJ16" s="78">
        <v>0</v>
      </c>
      <c r="DK16" s="78">
        <v>0</v>
      </c>
      <c r="DL16" s="78">
        <v>0</v>
      </c>
      <c r="DM16" s="78">
        <v>0</v>
      </c>
      <c r="DN16" s="76">
        <v>1</v>
      </c>
      <c r="DO16" s="1" t="s">
        <v>285</v>
      </c>
      <c r="DP16" s="78">
        <v>3</v>
      </c>
      <c r="DQ16" s="78">
        <v>0</v>
      </c>
      <c r="DR16" s="78">
        <v>1</v>
      </c>
      <c r="DS16" s="78">
        <v>0</v>
      </c>
      <c r="DT16" s="78">
        <v>0</v>
      </c>
      <c r="DU16" s="78">
        <v>1</v>
      </c>
      <c r="DV16" s="78">
        <v>0</v>
      </c>
      <c r="DW16" s="78">
        <v>0</v>
      </c>
      <c r="DX16" s="76">
        <v>1</v>
      </c>
      <c r="DY16" s="252">
        <v>0</v>
      </c>
      <c r="DZ16" s="43">
        <v>0</v>
      </c>
      <c r="EA16" s="43">
        <v>0</v>
      </c>
      <c r="EB16" s="253">
        <v>9</v>
      </c>
      <c r="EC16" s="43">
        <v>0</v>
      </c>
      <c r="ED16" s="44">
        <v>0</v>
      </c>
      <c r="EE16" s="71">
        <v>0</v>
      </c>
      <c r="EF16" s="43">
        <v>0</v>
      </c>
      <c r="EG16" s="43">
        <v>0</v>
      </c>
      <c r="EH16" s="43">
        <v>0</v>
      </c>
      <c r="EI16" s="43">
        <v>0</v>
      </c>
      <c r="EJ16" s="43">
        <v>0</v>
      </c>
      <c r="EK16" s="43">
        <v>0</v>
      </c>
      <c r="EL16" s="43">
        <v>1</v>
      </c>
      <c r="EM16" s="43">
        <v>0</v>
      </c>
      <c r="EN16" s="43"/>
      <c r="EO16" s="43"/>
      <c r="EP16" s="43"/>
      <c r="EQ16" s="43"/>
      <c r="ER16" s="44">
        <f t="shared" si="0"/>
        <v>1</v>
      </c>
      <c r="ES16" s="43">
        <v>0</v>
      </c>
      <c r="ET16" s="43">
        <v>0</v>
      </c>
      <c r="EU16" s="43">
        <v>1</v>
      </c>
      <c r="EV16" s="43">
        <v>0</v>
      </c>
      <c r="EW16" s="43">
        <v>1</v>
      </c>
      <c r="EX16" s="43">
        <v>1</v>
      </c>
      <c r="EY16" s="43">
        <v>0</v>
      </c>
      <c r="EZ16" s="43">
        <v>4</v>
      </c>
      <c r="FA16" s="43"/>
      <c r="FB16" s="43"/>
      <c r="FC16" s="43"/>
      <c r="FD16" s="43"/>
      <c r="FE16" s="43"/>
      <c r="FF16" s="43">
        <f t="shared" si="1"/>
        <v>7</v>
      </c>
      <c r="FG16" s="73">
        <f t="shared" si="2"/>
        <v>0</v>
      </c>
      <c r="FH16" s="73">
        <f t="shared" si="3"/>
        <v>0</v>
      </c>
      <c r="FI16" s="73">
        <f t="shared" si="6"/>
        <v>0</v>
      </c>
      <c r="FJ16" s="73">
        <f t="shared" si="7"/>
        <v>0</v>
      </c>
      <c r="FK16" s="73">
        <f t="shared" si="8"/>
        <v>-1</v>
      </c>
      <c r="FL16" s="73">
        <f t="shared" si="9"/>
        <v>0</v>
      </c>
      <c r="FM16" s="73">
        <f t="shared" si="10"/>
        <v>-1</v>
      </c>
      <c r="FN16" s="73">
        <f t="shared" si="11"/>
        <v>-1</v>
      </c>
      <c r="FO16" s="73">
        <f t="shared" si="12"/>
        <v>0</v>
      </c>
      <c r="FP16" s="73">
        <f t="shared" si="13"/>
        <v>-3</v>
      </c>
      <c r="FQ16" s="73">
        <f t="shared" si="14"/>
        <v>0</v>
      </c>
      <c r="FR16" s="73">
        <f t="shared" si="15"/>
        <v>0</v>
      </c>
      <c r="FS16" s="73">
        <f t="shared" si="16"/>
        <v>0</v>
      </c>
      <c r="FT16" s="73">
        <f t="shared" si="17"/>
        <v>0</v>
      </c>
      <c r="FU16" s="73">
        <f t="shared" si="5"/>
        <v>0</v>
      </c>
      <c r="FV16" s="73">
        <f t="shared" si="18"/>
        <v>-6</v>
      </c>
      <c r="FW16" s="38"/>
    </row>
    <row r="17" spans="1:179" s="174" customFormat="1" x14ac:dyDescent="0.25">
      <c r="A17" s="53">
        <v>40289</v>
      </c>
      <c r="B17" s="53" t="s">
        <v>133</v>
      </c>
      <c r="C17" s="53" t="s">
        <v>131</v>
      </c>
      <c r="D17" s="53" t="s">
        <v>550</v>
      </c>
      <c r="E17" s="54">
        <v>905</v>
      </c>
      <c r="F17" s="58">
        <v>4</v>
      </c>
      <c r="G17" s="59" t="s">
        <v>545</v>
      </c>
      <c r="H17" s="6">
        <v>0</v>
      </c>
      <c r="I17" s="6">
        <v>1</v>
      </c>
      <c r="J17" s="178">
        <v>6</v>
      </c>
      <c r="K17" s="6">
        <v>5</v>
      </c>
      <c r="L17" s="6">
        <v>2</v>
      </c>
      <c r="M17" s="6">
        <v>1</v>
      </c>
      <c r="N17" s="6">
        <v>1</v>
      </c>
      <c r="O17" s="6">
        <v>2</v>
      </c>
      <c r="P17" s="6">
        <v>0</v>
      </c>
      <c r="Q17" s="6">
        <v>0</v>
      </c>
      <c r="R17" s="6">
        <v>23</v>
      </c>
      <c r="S17" s="6"/>
      <c r="T17" s="6"/>
      <c r="U17" s="6">
        <v>0</v>
      </c>
      <c r="V17" s="61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176">
        <v>2</v>
      </c>
      <c r="AC17" s="62">
        <v>1</v>
      </c>
      <c r="AD17" s="62">
        <v>1</v>
      </c>
      <c r="AE17" s="62">
        <v>1</v>
      </c>
      <c r="AF17" s="62">
        <v>0</v>
      </c>
      <c r="AG17" s="62">
        <v>2</v>
      </c>
      <c r="AH17" s="62">
        <v>0</v>
      </c>
      <c r="AI17" s="62">
        <v>1</v>
      </c>
      <c r="AJ17" s="62">
        <v>8</v>
      </c>
      <c r="AK17" s="62"/>
      <c r="AL17" s="62"/>
      <c r="AM17" s="1" t="s">
        <v>529</v>
      </c>
      <c r="AN17" s="78">
        <v>4</v>
      </c>
      <c r="AO17" s="78">
        <v>0</v>
      </c>
      <c r="AP17" s="78">
        <v>1</v>
      </c>
      <c r="AQ17" s="78">
        <v>0</v>
      </c>
      <c r="AR17" s="78">
        <v>0</v>
      </c>
      <c r="AS17" s="78">
        <v>1</v>
      </c>
      <c r="AT17" s="78">
        <v>0</v>
      </c>
      <c r="AU17" s="78">
        <v>0</v>
      </c>
      <c r="AV17" s="76">
        <v>1</v>
      </c>
      <c r="AW17" s="1" t="s">
        <v>519</v>
      </c>
      <c r="AX17" s="78">
        <v>4</v>
      </c>
      <c r="AY17" s="78">
        <v>0</v>
      </c>
      <c r="AZ17" s="78">
        <v>0</v>
      </c>
      <c r="BA17" s="78">
        <v>0</v>
      </c>
      <c r="BB17" s="78">
        <v>0</v>
      </c>
      <c r="BC17" s="78">
        <v>1</v>
      </c>
      <c r="BD17" s="78">
        <v>0</v>
      </c>
      <c r="BE17" s="78">
        <v>0</v>
      </c>
      <c r="BF17" s="76">
        <v>0</v>
      </c>
      <c r="BG17" s="1" t="s">
        <v>531</v>
      </c>
      <c r="BH17" s="78">
        <v>4</v>
      </c>
      <c r="BI17" s="78">
        <v>0</v>
      </c>
      <c r="BJ17" s="78">
        <v>0</v>
      </c>
      <c r="BK17" s="78">
        <v>0</v>
      </c>
      <c r="BL17" s="78">
        <v>0</v>
      </c>
      <c r="BM17" s="78">
        <v>1</v>
      </c>
      <c r="BN17" s="78">
        <v>0</v>
      </c>
      <c r="BO17" s="78">
        <v>0</v>
      </c>
      <c r="BP17" s="76">
        <v>0</v>
      </c>
      <c r="BQ17" s="1" t="s">
        <v>530</v>
      </c>
      <c r="BR17" s="78">
        <v>3</v>
      </c>
      <c r="BS17" s="78">
        <v>0</v>
      </c>
      <c r="BT17" s="78">
        <v>0</v>
      </c>
      <c r="BU17" s="78">
        <v>0</v>
      </c>
      <c r="BV17" s="78">
        <v>0</v>
      </c>
      <c r="BW17" s="78">
        <v>1</v>
      </c>
      <c r="BX17" s="78">
        <v>0</v>
      </c>
      <c r="BY17" s="78">
        <v>0</v>
      </c>
      <c r="BZ17" s="76">
        <v>0</v>
      </c>
      <c r="CA17" s="1" t="s">
        <v>533</v>
      </c>
      <c r="CB17" s="78">
        <v>3</v>
      </c>
      <c r="CC17" s="78">
        <v>0</v>
      </c>
      <c r="CD17" s="78">
        <v>0</v>
      </c>
      <c r="CE17" s="78">
        <v>0</v>
      </c>
      <c r="CF17" s="78">
        <v>0</v>
      </c>
      <c r="CG17" s="78">
        <v>2</v>
      </c>
      <c r="CH17" s="78">
        <v>0</v>
      </c>
      <c r="CI17" s="78">
        <v>0</v>
      </c>
      <c r="CJ17" s="76">
        <v>0</v>
      </c>
      <c r="CK17" s="1" t="s">
        <v>534</v>
      </c>
      <c r="CL17" s="78">
        <v>3</v>
      </c>
      <c r="CM17" s="78">
        <v>0</v>
      </c>
      <c r="CN17" s="78">
        <v>1</v>
      </c>
      <c r="CO17" s="78">
        <v>0</v>
      </c>
      <c r="CP17" s="78">
        <v>0</v>
      </c>
      <c r="CQ17" s="78">
        <v>0</v>
      </c>
      <c r="CR17" s="78">
        <v>0</v>
      </c>
      <c r="CS17" s="78">
        <v>0</v>
      </c>
      <c r="CT17" s="76">
        <v>1</v>
      </c>
      <c r="CU17" s="1" t="s">
        <v>539</v>
      </c>
      <c r="CV17" s="78">
        <v>3</v>
      </c>
      <c r="CW17" s="78">
        <v>0</v>
      </c>
      <c r="CX17" s="78">
        <v>1</v>
      </c>
      <c r="CY17" s="78">
        <v>0</v>
      </c>
      <c r="CZ17" s="78">
        <v>0</v>
      </c>
      <c r="DA17" s="78">
        <v>0</v>
      </c>
      <c r="DB17" s="78">
        <v>0</v>
      </c>
      <c r="DC17" s="78">
        <v>0</v>
      </c>
      <c r="DD17" s="76">
        <v>1</v>
      </c>
      <c r="DE17" s="1" t="s">
        <v>543</v>
      </c>
      <c r="DF17" s="78">
        <v>2</v>
      </c>
      <c r="DG17" s="78">
        <v>0</v>
      </c>
      <c r="DH17" s="78">
        <v>0</v>
      </c>
      <c r="DI17" s="78">
        <v>0</v>
      </c>
      <c r="DJ17" s="78">
        <v>1</v>
      </c>
      <c r="DK17" s="78">
        <v>1</v>
      </c>
      <c r="DL17" s="78">
        <v>0</v>
      </c>
      <c r="DM17" s="78">
        <v>0</v>
      </c>
      <c r="DN17" s="76">
        <v>0</v>
      </c>
      <c r="DO17" s="1" t="s">
        <v>285</v>
      </c>
      <c r="DP17" s="78">
        <v>2</v>
      </c>
      <c r="DQ17" s="78">
        <v>0</v>
      </c>
      <c r="DR17" s="78">
        <v>0</v>
      </c>
      <c r="DS17" s="78">
        <v>0</v>
      </c>
      <c r="DT17" s="78">
        <v>0</v>
      </c>
      <c r="DU17" s="78">
        <v>1</v>
      </c>
      <c r="DV17" s="78">
        <v>1</v>
      </c>
      <c r="DW17" s="78">
        <v>0</v>
      </c>
      <c r="DX17" s="76">
        <v>0</v>
      </c>
      <c r="DY17" s="252">
        <v>0</v>
      </c>
      <c r="DZ17" s="43">
        <v>0</v>
      </c>
      <c r="EA17" s="43">
        <v>0</v>
      </c>
      <c r="EB17" s="253">
        <v>9</v>
      </c>
      <c r="EC17" s="43">
        <v>0</v>
      </c>
      <c r="ED17" s="44">
        <v>0</v>
      </c>
      <c r="EE17" s="71">
        <v>0</v>
      </c>
      <c r="EF17" s="43">
        <v>0</v>
      </c>
      <c r="EG17" s="43">
        <v>0</v>
      </c>
      <c r="EH17" s="43">
        <v>0</v>
      </c>
      <c r="EI17" s="43">
        <v>0</v>
      </c>
      <c r="EJ17" s="43">
        <v>0</v>
      </c>
      <c r="EK17" s="43">
        <v>0</v>
      </c>
      <c r="EL17" s="43">
        <v>0</v>
      </c>
      <c r="EM17" s="43">
        <v>0</v>
      </c>
      <c r="EN17" s="43"/>
      <c r="EO17" s="43"/>
      <c r="EP17" s="43"/>
      <c r="EQ17" s="43"/>
      <c r="ER17" s="44">
        <f t="shared" si="0"/>
        <v>0</v>
      </c>
      <c r="ES17" s="43">
        <v>0</v>
      </c>
      <c r="ET17" s="43">
        <v>0</v>
      </c>
      <c r="EU17" s="43">
        <v>1</v>
      </c>
      <c r="EV17" s="43">
        <v>0</v>
      </c>
      <c r="EW17" s="43">
        <v>0</v>
      </c>
      <c r="EX17" s="43">
        <v>1</v>
      </c>
      <c r="EY17" s="43">
        <v>0</v>
      </c>
      <c r="EZ17" s="43">
        <v>1</v>
      </c>
      <c r="FA17" s="43"/>
      <c r="FB17" s="43"/>
      <c r="FC17" s="43"/>
      <c r="FD17" s="43"/>
      <c r="FE17" s="43"/>
      <c r="FF17" s="43">
        <f t="shared" si="1"/>
        <v>3</v>
      </c>
      <c r="FG17" s="73">
        <f t="shared" si="2"/>
        <v>0</v>
      </c>
      <c r="FH17" s="73">
        <f t="shared" si="3"/>
        <v>0</v>
      </c>
      <c r="FI17" s="73">
        <f t="shared" si="6"/>
        <v>0</v>
      </c>
      <c r="FJ17" s="73">
        <f t="shared" si="7"/>
        <v>0</v>
      </c>
      <c r="FK17" s="73">
        <f t="shared" si="8"/>
        <v>-1</v>
      </c>
      <c r="FL17" s="73">
        <f t="shared" si="9"/>
        <v>0</v>
      </c>
      <c r="FM17" s="73">
        <f t="shared" si="10"/>
        <v>0</v>
      </c>
      <c r="FN17" s="73">
        <f t="shared" si="11"/>
        <v>-1</v>
      </c>
      <c r="FO17" s="73">
        <f t="shared" si="12"/>
        <v>0</v>
      </c>
      <c r="FP17" s="73">
        <f t="shared" si="13"/>
        <v>-1</v>
      </c>
      <c r="FQ17" s="73">
        <f t="shared" si="14"/>
        <v>0</v>
      </c>
      <c r="FR17" s="73">
        <f t="shared" si="15"/>
        <v>0</v>
      </c>
      <c r="FS17" s="73">
        <f t="shared" si="16"/>
        <v>0</v>
      </c>
      <c r="FT17" s="73">
        <f t="shared" si="17"/>
        <v>0</v>
      </c>
      <c r="FU17" s="73">
        <f t="shared" si="5"/>
        <v>0</v>
      </c>
      <c r="FV17" s="73">
        <f t="shared" si="18"/>
        <v>-3</v>
      </c>
      <c r="FW17" s="38"/>
    </row>
    <row r="18" spans="1:179" s="174" customFormat="1" x14ac:dyDescent="0.25">
      <c r="A18" s="53">
        <v>40290</v>
      </c>
      <c r="B18" s="53" t="s">
        <v>133</v>
      </c>
      <c r="C18" s="53" t="s">
        <v>131</v>
      </c>
      <c r="D18" s="53" t="s">
        <v>550</v>
      </c>
      <c r="E18" s="54">
        <v>951</v>
      </c>
      <c r="F18" s="58">
        <v>5</v>
      </c>
      <c r="G18" s="59" t="s">
        <v>546</v>
      </c>
      <c r="H18" s="6">
        <v>0</v>
      </c>
      <c r="I18" s="6">
        <v>1</v>
      </c>
      <c r="J18" s="178">
        <v>3</v>
      </c>
      <c r="K18" s="6">
        <v>8</v>
      </c>
      <c r="L18" s="6">
        <v>5</v>
      </c>
      <c r="M18" s="6">
        <v>4</v>
      </c>
      <c r="N18" s="6">
        <v>1</v>
      </c>
      <c r="O18" s="6">
        <v>2</v>
      </c>
      <c r="P18" s="6">
        <v>1</v>
      </c>
      <c r="Q18" s="6">
        <v>0</v>
      </c>
      <c r="R18" s="6">
        <v>18</v>
      </c>
      <c r="S18" s="6"/>
      <c r="T18" s="6"/>
      <c r="U18" s="6">
        <v>0</v>
      </c>
      <c r="V18" s="61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176">
        <v>5</v>
      </c>
      <c r="AC18" s="62">
        <v>5</v>
      </c>
      <c r="AD18" s="62">
        <v>3</v>
      </c>
      <c r="AE18" s="62">
        <v>3</v>
      </c>
      <c r="AF18" s="62">
        <v>3</v>
      </c>
      <c r="AG18" s="62">
        <v>8</v>
      </c>
      <c r="AH18" s="62">
        <v>0</v>
      </c>
      <c r="AI18" s="62">
        <v>0</v>
      </c>
      <c r="AJ18" s="62">
        <v>23</v>
      </c>
      <c r="AK18" s="62"/>
      <c r="AL18" s="62"/>
      <c r="AM18" s="1" t="s">
        <v>529</v>
      </c>
      <c r="AN18" s="78">
        <v>3</v>
      </c>
      <c r="AO18" s="78">
        <v>1</v>
      </c>
      <c r="AP18" s="78">
        <v>1</v>
      </c>
      <c r="AQ18" s="78">
        <v>0</v>
      </c>
      <c r="AR18" s="78">
        <v>2</v>
      </c>
      <c r="AS18" s="78">
        <v>1</v>
      </c>
      <c r="AT18" s="78">
        <v>0</v>
      </c>
      <c r="AU18" s="78">
        <v>0</v>
      </c>
      <c r="AV18" s="76">
        <v>1</v>
      </c>
      <c r="AW18" s="1" t="s">
        <v>519</v>
      </c>
      <c r="AX18" s="78">
        <v>3</v>
      </c>
      <c r="AY18" s="78">
        <v>1</v>
      </c>
      <c r="AZ18" s="78">
        <v>1</v>
      </c>
      <c r="BA18" s="78">
        <v>0</v>
      </c>
      <c r="BB18" s="78">
        <v>1</v>
      </c>
      <c r="BC18" s="78">
        <v>0</v>
      </c>
      <c r="BD18" s="78">
        <v>0</v>
      </c>
      <c r="BE18" s="78">
        <v>0</v>
      </c>
      <c r="BF18" s="76">
        <v>1</v>
      </c>
      <c r="BG18" s="1" t="s">
        <v>426</v>
      </c>
      <c r="BH18" s="78">
        <v>5</v>
      </c>
      <c r="BI18" s="78">
        <v>0</v>
      </c>
      <c r="BJ18" s="78">
        <v>0</v>
      </c>
      <c r="BK18" s="78">
        <v>0</v>
      </c>
      <c r="BL18" s="78">
        <v>0</v>
      </c>
      <c r="BM18" s="78">
        <v>1</v>
      </c>
      <c r="BN18" s="78">
        <v>0</v>
      </c>
      <c r="BO18" s="78">
        <v>0</v>
      </c>
      <c r="BP18" s="76">
        <v>0</v>
      </c>
      <c r="BQ18" s="1" t="s">
        <v>530</v>
      </c>
      <c r="BR18" s="78">
        <v>5</v>
      </c>
      <c r="BS18" s="78">
        <v>1</v>
      </c>
      <c r="BT18" s="78">
        <v>2</v>
      </c>
      <c r="BU18" s="78">
        <v>1</v>
      </c>
      <c r="BV18" s="78">
        <v>0</v>
      </c>
      <c r="BW18" s="78">
        <v>0</v>
      </c>
      <c r="BX18" s="78">
        <v>0</v>
      </c>
      <c r="BY18" s="78">
        <v>0</v>
      </c>
      <c r="BZ18" s="76">
        <v>2</v>
      </c>
      <c r="CA18" s="1" t="s">
        <v>539</v>
      </c>
      <c r="CB18" s="78">
        <v>5</v>
      </c>
      <c r="CC18" s="78">
        <v>2</v>
      </c>
      <c r="CD18" s="78">
        <v>3</v>
      </c>
      <c r="CE18" s="78">
        <v>3</v>
      </c>
      <c r="CF18" s="78">
        <v>0</v>
      </c>
      <c r="CG18" s="78">
        <v>0</v>
      </c>
      <c r="CH18" s="78">
        <v>0</v>
      </c>
      <c r="CI18" s="78">
        <v>0</v>
      </c>
      <c r="CJ18" s="76">
        <v>7</v>
      </c>
      <c r="CK18" s="1" t="s">
        <v>534</v>
      </c>
      <c r="CL18" s="78">
        <v>5</v>
      </c>
      <c r="CM18" s="78">
        <v>1</v>
      </c>
      <c r="CN18" s="78">
        <v>2</v>
      </c>
      <c r="CO18" s="78">
        <v>1</v>
      </c>
      <c r="CP18" s="78">
        <v>0</v>
      </c>
      <c r="CQ18" s="78">
        <v>1</v>
      </c>
      <c r="CR18" s="78">
        <v>0</v>
      </c>
      <c r="CS18" s="78">
        <v>0</v>
      </c>
      <c r="CT18" s="76">
        <v>4</v>
      </c>
      <c r="CU18" s="1" t="s">
        <v>543</v>
      </c>
      <c r="CV18" s="78">
        <v>5</v>
      </c>
      <c r="CW18" s="78">
        <v>0</v>
      </c>
      <c r="CX18" s="78">
        <v>0</v>
      </c>
      <c r="CY18" s="78">
        <v>0</v>
      </c>
      <c r="CZ18" s="78">
        <v>0</v>
      </c>
      <c r="DA18" s="78">
        <v>0</v>
      </c>
      <c r="DB18" s="78">
        <v>0</v>
      </c>
      <c r="DC18" s="78">
        <v>0</v>
      </c>
      <c r="DD18" s="76">
        <v>0</v>
      </c>
      <c r="DE18" s="1" t="s">
        <v>535</v>
      </c>
      <c r="DF18" s="78">
        <v>5</v>
      </c>
      <c r="DG18" s="78">
        <v>0</v>
      </c>
      <c r="DH18" s="78">
        <v>1</v>
      </c>
      <c r="DI18" s="78">
        <v>1</v>
      </c>
      <c r="DJ18" s="78">
        <v>0</v>
      </c>
      <c r="DK18" s="78">
        <v>1</v>
      </c>
      <c r="DL18" s="78">
        <v>0</v>
      </c>
      <c r="DM18" s="78">
        <v>0</v>
      </c>
      <c r="DN18" s="76">
        <v>2</v>
      </c>
      <c r="DO18" s="1" t="s">
        <v>538</v>
      </c>
      <c r="DP18" s="78">
        <v>4</v>
      </c>
      <c r="DQ18" s="78">
        <v>0</v>
      </c>
      <c r="DR18" s="78">
        <v>3</v>
      </c>
      <c r="DS18" s="78">
        <v>0</v>
      </c>
      <c r="DT18" s="78">
        <v>0</v>
      </c>
      <c r="DU18" s="78">
        <v>0</v>
      </c>
      <c r="DV18" s="78">
        <v>0</v>
      </c>
      <c r="DW18" s="78">
        <v>0</v>
      </c>
      <c r="DX18" s="76">
        <v>3</v>
      </c>
      <c r="DY18" s="252">
        <f>5+2/3</f>
        <v>5.666666666666667</v>
      </c>
      <c r="DZ18" s="43">
        <v>0</v>
      </c>
      <c r="EA18" s="43">
        <v>0</v>
      </c>
      <c r="EB18" s="253">
        <f>3+1/3</f>
        <v>3.3333333333333335</v>
      </c>
      <c r="EC18" s="43">
        <v>1</v>
      </c>
      <c r="ED18" s="44">
        <v>0</v>
      </c>
      <c r="EE18" s="71">
        <v>0</v>
      </c>
      <c r="EF18" s="43">
        <v>1</v>
      </c>
      <c r="EG18" s="43">
        <v>2</v>
      </c>
      <c r="EH18" s="43">
        <v>0</v>
      </c>
      <c r="EI18" s="43">
        <v>2</v>
      </c>
      <c r="EJ18" s="43">
        <v>0</v>
      </c>
      <c r="EK18" s="43">
        <v>0</v>
      </c>
      <c r="EL18" s="43">
        <v>0</v>
      </c>
      <c r="EM18" s="43">
        <v>1</v>
      </c>
      <c r="EN18" s="43"/>
      <c r="EO18" s="43"/>
      <c r="EP18" s="43"/>
      <c r="EQ18" s="43"/>
      <c r="ER18" s="44">
        <f t="shared" si="0"/>
        <v>6</v>
      </c>
      <c r="ES18" s="43">
        <v>2</v>
      </c>
      <c r="ET18" s="43">
        <v>1</v>
      </c>
      <c r="EU18" s="43">
        <v>2</v>
      </c>
      <c r="EV18" s="43">
        <v>2</v>
      </c>
      <c r="EW18" s="43">
        <v>0</v>
      </c>
      <c r="EX18" s="43">
        <v>0</v>
      </c>
      <c r="EY18" s="43">
        <v>0</v>
      </c>
      <c r="EZ18" s="43">
        <v>1</v>
      </c>
      <c r="FA18" s="43"/>
      <c r="FB18" s="43"/>
      <c r="FC18" s="43"/>
      <c r="FD18" s="43"/>
      <c r="FE18" s="43"/>
      <c r="FF18" s="43">
        <f t="shared" si="1"/>
        <v>8</v>
      </c>
      <c r="FG18" s="73">
        <f t="shared" si="2"/>
        <v>0</v>
      </c>
      <c r="FH18" s="73">
        <f t="shared" si="3"/>
        <v>0</v>
      </c>
      <c r="FI18" s="73">
        <f t="shared" si="6"/>
        <v>-2</v>
      </c>
      <c r="FJ18" s="73">
        <f t="shared" si="7"/>
        <v>0</v>
      </c>
      <c r="FK18" s="73">
        <f t="shared" si="8"/>
        <v>0</v>
      </c>
      <c r="FL18" s="73">
        <f t="shared" si="9"/>
        <v>-2</v>
      </c>
      <c r="FM18" s="73">
        <f t="shared" si="10"/>
        <v>2</v>
      </c>
      <c r="FN18" s="73">
        <f t="shared" si="11"/>
        <v>0</v>
      </c>
      <c r="FO18" s="73">
        <f t="shared" si="12"/>
        <v>0</v>
      </c>
      <c r="FP18" s="73">
        <f t="shared" si="13"/>
        <v>-1</v>
      </c>
      <c r="FQ18" s="73">
        <f t="shared" si="14"/>
        <v>1</v>
      </c>
      <c r="FR18" s="73">
        <f t="shared" si="15"/>
        <v>0</v>
      </c>
      <c r="FS18" s="73">
        <f t="shared" si="16"/>
        <v>0</v>
      </c>
      <c r="FT18" s="73">
        <f t="shared" si="17"/>
        <v>0</v>
      </c>
      <c r="FU18" s="73">
        <f t="shared" si="5"/>
        <v>0</v>
      </c>
      <c r="FV18" s="73">
        <f t="shared" si="18"/>
        <v>-2</v>
      </c>
      <c r="FW18" s="38"/>
    </row>
    <row r="19" spans="1:179" s="174" customFormat="1" x14ac:dyDescent="0.25">
      <c r="A19" s="53">
        <v>40291</v>
      </c>
      <c r="B19" s="53" t="s">
        <v>19</v>
      </c>
      <c r="C19" s="53" t="s">
        <v>131</v>
      </c>
      <c r="D19" s="53" t="s">
        <v>551</v>
      </c>
      <c r="E19" s="54">
        <v>3818</v>
      </c>
      <c r="F19" s="58">
        <v>1</v>
      </c>
      <c r="G19" s="59" t="s">
        <v>540</v>
      </c>
      <c r="H19" s="6">
        <v>0</v>
      </c>
      <c r="I19" s="6">
        <v>0</v>
      </c>
      <c r="J19" s="178">
        <v>6</v>
      </c>
      <c r="K19" s="6">
        <v>4</v>
      </c>
      <c r="L19" s="6">
        <v>2</v>
      </c>
      <c r="M19" s="6">
        <v>1</v>
      </c>
      <c r="N19" s="6">
        <v>1</v>
      </c>
      <c r="O19" s="6">
        <v>9</v>
      </c>
      <c r="P19" s="6">
        <v>0</v>
      </c>
      <c r="Q19" s="6">
        <v>0</v>
      </c>
      <c r="R19" s="6">
        <v>25</v>
      </c>
      <c r="S19" s="6"/>
      <c r="T19" s="6"/>
      <c r="U19" s="6">
        <v>0</v>
      </c>
      <c r="V19" s="61">
        <v>0</v>
      </c>
      <c r="W19" s="62">
        <v>0</v>
      </c>
      <c r="X19" s="62">
        <v>1</v>
      </c>
      <c r="Y19" s="62">
        <v>0</v>
      </c>
      <c r="Z19" s="62">
        <v>0</v>
      </c>
      <c r="AA19" s="62">
        <v>0</v>
      </c>
      <c r="AB19" s="176">
        <v>3</v>
      </c>
      <c r="AC19" s="62">
        <v>3</v>
      </c>
      <c r="AD19" s="62">
        <v>1</v>
      </c>
      <c r="AE19" s="62">
        <v>1</v>
      </c>
      <c r="AF19" s="62">
        <v>3</v>
      </c>
      <c r="AG19" s="62">
        <v>6</v>
      </c>
      <c r="AH19" s="62">
        <v>0</v>
      </c>
      <c r="AI19" s="62">
        <v>0</v>
      </c>
      <c r="AJ19" s="62">
        <v>14</v>
      </c>
      <c r="AK19" s="62"/>
      <c r="AL19" s="62"/>
      <c r="AM19" s="1" t="s">
        <v>529</v>
      </c>
      <c r="AN19" s="78">
        <v>3</v>
      </c>
      <c r="AO19" s="78">
        <v>1</v>
      </c>
      <c r="AP19" s="78">
        <v>1</v>
      </c>
      <c r="AQ19" s="78">
        <v>0</v>
      </c>
      <c r="AR19" s="78">
        <v>2</v>
      </c>
      <c r="AS19" s="78">
        <v>0</v>
      </c>
      <c r="AT19" s="78">
        <v>0</v>
      </c>
      <c r="AU19" s="78">
        <v>0</v>
      </c>
      <c r="AV19" s="76">
        <v>1</v>
      </c>
      <c r="AW19" s="1" t="s">
        <v>519</v>
      </c>
      <c r="AX19" s="78">
        <v>5</v>
      </c>
      <c r="AY19" s="78">
        <v>1</v>
      </c>
      <c r="AZ19" s="78">
        <v>2</v>
      </c>
      <c r="BA19" s="78">
        <v>0</v>
      </c>
      <c r="BB19" s="78">
        <v>0</v>
      </c>
      <c r="BC19" s="78">
        <v>1</v>
      </c>
      <c r="BD19" s="78">
        <v>0</v>
      </c>
      <c r="BE19" s="78">
        <v>0</v>
      </c>
      <c r="BF19" s="76">
        <v>3</v>
      </c>
      <c r="BG19" s="1" t="s">
        <v>539</v>
      </c>
      <c r="BH19" s="78">
        <v>4</v>
      </c>
      <c r="BI19" s="78">
        <v>0</v>
      </c>
      <c r="BJ19" s="78">
        <v>1</v>
      </c>
      <c r="BK19" s="78">
        <v>1</v>
      </c>
      <c r="BL19" s="78">
        <v>0</v>
      </c>
      <c r="BM19" s="78">
        <v>2</v>
      </c>
      <c r="BN19" s="78">
        <v>0</v>
      </c>
      <c r="BO19" s="78">
        <v>0</v>
      </c>
      <c r="BP19" s="76">
        <v>1</v>
      </c>
      <c r="BQ19" s="1" t="s">
        <v>530</v>
      </c>
      <c r="BR19" s="78">
        <v>4</v>
      </c>
      <c r="BS19" s="78">
        <v>0</v>
      </c>
      <c r="BT19" s="78">
        <v>2</v>
      </c>
      <c r="BU19" s="78">
        <v>1</v>
      </c>
      <c r="BV19" s="78">
        <v>0</v>
      </c>
      <c r="BW19" s="78">
        <v>0</v>
      </c>
      <c r="BX19" s="78">
        <v>0</v>
      </c>
      <c r="BY19" s="78">
        <v>0</v>
      </c>
      <c r="BZ19" s="76">
        <v>2</v>
      </c>
      <c r="CA19" s="1" t="s">
        <v>534</v>
      </c>
      <c r="CB19" s="78">
        <v>4</v>
      </c>
      <c r="CC19" s="78">
        <v>0</v>
      </c>
      <c r="CD19" s="78">
        <v>0</v>
      </c>
      <c r="CE19" s="78">
        <v>0</v>
      </c>
      <c r="CF19" s="78">
        <v>0</v>
      </c>
      <c r="CG19" s="78">
        <v>1</v>
      </c>
      <c r="CH19" s="78">
        <v>0</v>
      </c>
      <c r="CI19" s="78">
        <v>0</v>
      </c>
      <c r="CJ19" s="76">
        <v>0</v>
      </c>
      <c r="CK19" s="1" t="s">
        <v>532</v>
      </c>
      <c r="CL19" s="78">
        <v>4</v>
      </c>
      <c r="CM19" s="78">
        <v>0</v>
      </c>
      <c r="CN19" s="78">
        <v>2</v>
      </c>
      <c r="CO19" s="78">
        <v>0</v>
      </c>
      <c r="CP19" s="78">
        <v>0</v>
      </c>
      <c r="CQ19" s="78">
        <v>1</v>
      </c>
      <c r="CR19" s="78">
        <v>0</v>
      </c>
      <c r="CS19" s="78">
        <v>0</v>
      </c>
      <c r="CT19" s="76">
        <v>2</v>
      </c>
      <c r="CU19" s="1" t="s">
        <v>531</v>
      </c>
      <c r="CV19" s="78">
        <v>4</v>
      </c>
      <c r="CW19" s="78">
        <v>0</v>
      </c>
      <c r="CX19" s="78">
        <v>0</v>
      </c>
      <c r="CY19" s="78">
        <v>0</v>
      </c>
      <c r="CZ19" s="78">
        <v>0</v>
      </c>
      <c r="DA19" s="78">
        <v>2</v>
      </c>
      <c r="DB19" s="78">
        <v>0</v>
      </c>
      <c r="DC19" s="78">
        <v>0</v>
      </c>
      <c r="DD19" s="76">
        <v>0</v>
      </c>
      <c r="DE19" s="1" t="s">
        <v>535</v>
      </c>
      <c r="DF19" s="78">
        <v>4</v>
      </c>
      <c r="DG19" s="78">
        <v>0</v>
      </c>
      <c r="DH19" s="78">
        <v>1</v>
      </c>
      <c r="DI19" s="78">
        <v>0</v>
      </c>
      <c r="DJ19" s="78">
        <v>0</v>
      </c>
      <c r="DK19" s="78">
        <v>1</v>
      </c>
      <c r="DL19" s="78">
        <v>0</v>
      </c>
      <c r="DM19" s="78">
        <v>0</v>
      </c>
      <c r="DN19" s="76">
        <v>1</v>
      </c>
      <c r="DO19" s="1" t="s">
        <v>538</v>
      </c>
      <c r="DP19" s="78">
        <v>4</v>
      </c>
      <c r="DQ19" s="78">
        <v>0</v>
      </c>
      <c r="DR19" s="78">
        <v>1</v>
      </c>
      <c r="DS19" s="78">
        <v>0</v>
      </c>
      <c r="DT19" s="78">
        <v>0</v>
      </c>
      <c r="DU19" s="78">
        <v>2</v>
      </c>
      <c r="DV19" s="78">
        <v>0</v>
      </c>
      <c r="DW19" s="78">
        <v>0</v>
      </c>
      <c r="DX19" s="76">
        <v>1</v>
      </c>
      <c r="DY19" s="252">
        <v>1</v>
      </c>
      <c r="DZ19" s="43">
        <v>0</v>
      </c>
      <c r="EA19" s="43">
        <v>0</v>
      </c>
      <c r="EB19" s="253">
        <v>8</v>
      </c>
      <c r="EC19" s="43">
        <v>1</v>
      </c>
      <c r="ED19" s="44">
        <v>0</v>
      </c>
      <c r="EE19" s="71">
        <v>2</v>
      </c>
      <c r="EF19" s="43">
        <v>0</v>
      </c>
      <c r="EG19" s="43">
        <v>0</v>
      </c>
      <c r="EH19" s="43">
        <v>0</v>
      </c>
      <c r="EI19" s="43">
        <v>0</v>
      </c>
      <c r="EJ19" s="43">
        <v>0</v>
      </c>
      <c r="EK19" s="43">
        <v>0</v>
      </c>
      <c r="EL19" s="43">
        <v>0</v>
      </c>
      <c r="EM19" s="43">
        <v>0</v>
      </c>
      <c r="EN19" s="43"/>
      <c r="EO19" s="43"/>
      <c r="EP19" s="43"/>
      <c r="EQ19" s="43"/>
      <c r="ER19" s="44">
        <f t="shared" si="0"/>
        <v>2</v>
      </c>
      <c r="ES19" s="43">
        <v>0</v>
      </c>
      <c r="ET19" s="43">
        <v>0</v>
      </c>
      <c r="EU19" s="43">
        <v>1</v>
      </c>
      <c r="EV19" s="43">
        <v>1</v>
      </c>
      <c r="EW19" s="43">
        <v>0</v>
      </c>
      <c r="EX19" s="43">
        <v>0</v>
      </c>
      <c r="EY19" s="43">
        <v>1</v>
      </c>
      <c r="EZ19" s="43">
        <v>0</v>
      </c>
      <c r="FA19" s="43">
        <v>0</v>
      </c>
      <c r="FB19" s="43"/>
      <c r="FC19" s="43"/>
      <c r="FD19" s="43"/>
      <c r="FE19" s="43"/>
      <c r="FF19" s="43">
        <f t="shared" si="1"/>
        <v>3</v>
      </c>
      <c r="FG19" s="73">
        <f t="shared" si="2"/>
        <v>0</v>
      </c>
      <c r="FH19" s="73">
        <f t="shared" si="3"/>
        <v>0</v>
      </c>
      <c r="FI19" s="73">
        <f t="shared" si="6"/>
        <v>2</v>
      </c>
      <c r="FJ19" s="73">
        <f t="shared" si="7"/>
        <v>0</v>
      </c>
      <c r="FK19" s="73">
        <f t="shared" si="8"/>
        <v>-1</v>
      </c>
      <c r="FL19" s="73">
        <f t="shared" si="9"/>
        <v>-1</v>
      </c>
      <c r="FM19" s="73">
        <f t="shared" si="10"/>
        <v>0</v>
      </c>
      <c r="FN19" s="73">
        <f t="shared" si="11"/>
        <v>0</v>
      </c>
      <c r="FO19" s="73">
        <f t="shared" si="12"/>
        <v>-1</v>
      </c>
      <c r="FP19" s="73">
        <f t="shared" si="13"/>
        <v>0</v>
      </c>
      <c r="FQ19" s="73">
        <f t="shared" si="14"/>
        <v>0</v>
      </c>
      <c r="FR19" s="73">
        <f t="shared" si="15"/>
        <v>0</v>
      </c>
      <c r="FS19" s="73">
        <f t="shared" si="16"/>
        <v>0</v>
      </c>
      <c r="FT19" s="73">
        <f t="shared" si="17"/>
        <v>0</v>
      </c>
      <c r="FU19" s="73">
        <f t="shared" si="5"/>
        <v>0</v>
      </c>
      <c r="FV19" s="73">
        <f t="shared" si="18"/>
        <v>-1</v>
      </c>
      <c r="FW19" s="38" t="s">
        <v>552</v>
      </c>
    </row>
    <row r="20" spans="1:179" x14ac:dyDescent="0.25">
      <c r="A20" s="53">
        <v>40293</v>
      </c>
      <c r="B20" s="53" t="s">
        <v>19</v>
      </c>
      <c r="C20" s="53" t="s">
        <v>131</v>
      </c>
      <c r="D20" s="53" t="s">
        <v>551</v>
      </c>
      <c r="E20" s="54"/>
      <c r="F20" s="58">
        <v>2</v>
      </c>
      <c r="G20" s="59" t="s">
        <v>536</v>
      </c>
      <c r="H20" s="6">
        <v>0</v>
      </c>
      <c r="I20" s="6">
        <v>0</v>
      </c>
      <c r="J20" s="178">
        <v>6</v>
      </c>
      <c r="K20" s="6">
        <v>3</v>
      </c>
      <c r="L20" s="6">
        <v>0</v>
      </c>
      <c r="M20" s="6">
        <v>0</v>
      </c>
      <c r="N20" s="6">
        <v>2</v>
      </c>
      <c r="O20" s="6">
        <v>2</v>
      </c>
      <c r="P20" s="6">
        <v>0</v>
      </c>
      <c r="Q20" s="6">
        <v>0</v>
      </c>
      <c r="R20" s="6">
        <v>21</v>
      </c>
      <c r="S20" s="6"/>
      <c r="T20" s="6"/>
      <c r="U20" s="6">
        <v>0</v>
      </c>
      <c r="V20" s="61">
        <v>0</v>
      </c>
      <c r="W20" s="62">
        <v>0</v>
      </c>
      <c r="X20" s="62">
        <v>1</v>
      </c>
      <c r="Y20" s="62">
        <v>0</v>
      </c>
      <c r="Z20" s="62">
        <v>0</v>
      </c>
      <c r="AA20" s="62">
        <v>0</v>
      </c>
      <c r="AB20" s="176">
        <v>1</v>
      </c>
      <c r="AC20" s="62">
        <v>2</v>
      </c>
      <c r="AD20" s="62">
        <v>1</v>
      </c>
      <c r="AE20" s="62">
        <v>0</v>
      </c>
      <c r="AF20" s="62">
        <v>0</v>
      </c>
      <c r="AG20" s="62">
        <v>0</v>
      </c>
      <c r="AH20" s="62">
        <v>0</v>
      </c>
      <c r="AI20" s="62">
        <v>0</v>
      </c>
      <c r="AJ20" s="62">
        <v>5</v>
      </c>
      <c r="AK20" s="62"/>
      <c r="AL20" s="62"/>
      <c r="AM20" s="1" t="s">
        <v>529</v>
      </c>
      <c r="AN20" s="78">
        <v>3</v>
      </c>
      <c r="AO20" s="78">
        <v>0</v>
      </c>
      <c r="AP20" s="78">
        <v>2</v>
      </c>
      <c r="AQ20" s="78">
        <v>0</v>
      </c>
      <c r="AR20" s="78">
        <v>0</v>
      </c>
      <c r="AS20" s="78">
        <v>0</v>
      </c>
      <c r="AT20" s="78">
        <v>0</v>
      </c>
      <c r="AU20" s="78">
        <v>0</v>
      </c>
      <c r="AV20" s="76">
        <v>2</v>
      </c>
      <c r="AW20" s="1" t="s">
        <v>519</v>
      </c>
      <c r="AX20" s="78">
        <v>3</v>
      </c>
      <c r="AY20" s="78">
        <v>0</v>
      </c>
      <c r="AZ20" s="78">
        <v>0</v>
      </c>
      <c r="BA20" s="78">
        <v>0</v>
      </c>
      <c r="BB20" s="78">
        <v>0</v>
      </c>
      <c r="BC20" s="78">
        <v>2</v>
      </c>
      <c r="BD20" s="78">
        <v>0</v>
      </c>
      <c r="BE20" s="78">
        <v>0</v>
      </c>
      <c r="BF20" s="76">
        <v>0</v>
      </c>
      <c r="BG20" s="1" t="s">
        <v>539</v>
      </c>
      <c r="BH20" s="78">
        <v>3</v>
      </c>
      <c r="BI20" s="78">
        <v>0</v>
      </c>
      <c r="BJ20" s="78">
        <v>1</v>
      </c>
      <c r="BK20" s="78">
        <v>0</v>
      </c>
      <c r="BL20" s="78">
        <v>0</v>
      </c>
      <c r="BM20" s="78">
        <v>0</v>
      </c>
      <c r="BN20" s="78">
        <v>0</v>
      </c>
      <c r="BO20" s="78">
        <v>0</v>
      </c>
      <c r="BP20" s="76">
        <v>1</v>
      </c>
      <c r="BQ20" s="1" t="s">
        <v>530</v>
      </c>
      <c r="BR20" s="78">
        <v>3</v>
      </c>
      <c r="BS20" s="78">
        <v>0</v>
      </c>
      <c r="BT20" s="78">
        <v>0</v>
      </c>
      <c r="BU20" s="78">
        <v>0</v>
      </c>
      <c r="BV20" s="78">
        <v>0</v>
      </c>
      <c r="BW20" s="78">
        <v>1</v>
      </c>
      <c r="BX20" s="78">
        <v>0</v>
      </c>
      <c r="BY20" s="78">
        <v>0</v>
      </c>
      <c r="BZ20" s="76">
        <v>0</v>
      </c>
      <c r="CA20" s="1" t="s">
        <v>533</v>
      </c>
      <c r="CB20" s="78">
        <v>3</v>
      </c>
      <c r="CC20" s="78">
        <v>0</v>
      </c>
      <c r="CD20" s="78">
        <v>1</v>
      </c>
      <c r="CE20" s="78">
        <v>0</v>
      </c>
      <c r="CF20" s="78">
        <v>0</v>
      </c>
      <c r="CG20" s="78">
        <v>1</v>
      </c>
      <c r="CH20" s="78">
        <v>0</v>
      </c>
      <c r="CI20" s="78">
        <v>0</v>
      </c>
      <c r="CJ20" s="76">
        <v>1</v>
      </c>
      <c r="CK20" s="1" t="s">
        <v>532</v>
      </c>
      <c r="CL20" s="78">
        <v>2</v>
      </c>
      <c r="CM20" s="78">
        <v>0</v>
      </c>
      <c r="CN20" s="78">
        <v>0</v>
      </c>
      <c r="CO20" s="78">
        <v>0</v>
      </c>
      <c r="CP20" s="78">
        <v>1</v>
      </c>
      <c r="CQ20" s="78">
        <v>1</v>
      </c>
      <c r="CR20" s="78">
        <v>0</v>
      </c>
      <c r="CS20" s="78">
        <v>0</v>
      </c>
      <c r="CT20" s="76">
        <v>0</v>
      </c>
      <c r="CU20" s="1" t="s">
        <v>535</v>
      </c>
      <c r="CV20" s="78">
        <v>3</v>
      </c>
      <c r="CW20" s="78">
        <v>0</v>
      </c>
      <c r="CX20" s="78">
        <v>1</v>
      </c>
      <c r="CY20" s="78">
        <v>0</v>
      </c>
      <c r="CZ20" s="78">
        <v>0</v>
      </c>
      <c r="DA20" s="78">
        <v>1</v>
      </c>
      <c r="DB20" s="78">
        <v>0</v>
      </c>
      <c r="DC20" s="78">
        <v>0</v>
      </c>
      <c r="DD20" s="76">
        <v>1</v>
      </c>
      <c r="DE20" s="1" t="s">
        <v>538</v>
      </c>
      <c r="DF20" s="78">
        <v>3</v>
      </c>
      <c r="DG20" s="78">
        <v>0</v>
      </c>
      <c r="DH20" s="78">
        <v>0</v>
      </c>
      <c r="DI20" s="78">
        <v>0</v>
      </c>
      <c r="DJ20" s="78">
        <v>0</v>
      </c>
      <c r="DK20" s="78">
        <v>2</v>
      </c>
      <c r="DL20" s="78">
        <v>0</v>
      </c>
      <c r="DM20" s="78">
        <v>0</v>
      </c>
      <c r="DN20" s="76">
        <v>0</v>
      </c>
      <c r="DO20" s="1" t="s">
        <v>285</v>
      </c>
      <c r="DP20" s="78">
        <v>2</v>
      </c>
      <c r="DQ20" s="78">
        <v>0</v>
      </c>
      <c r="DR20" s="78">
        <v>0</v>
      </c>
      <c r="DS20" s="78">
        <v>0</v>
      </c>
      <c r="DT20" s="78">
        <v>0</v>
      </c>
      <c r="DU20" s="78">
        <v>1</v>
      </c>
      <c r="DV20" s="78">
        <v>0</v>
      </c>
      <c r="DW20" s="78">
        <v>0</v>
      </c>
      <c r="DX20" s="76">
        <v>0</v>
      </c>
      <c r="DY20" s="252">
        <v>3</v>
      </c>
      <c r="DZ20" s="43">
        <v>0</v>
      </c>
      <c r="EA20" s="43">
        <v>0</v>
      </c>
      <c r="EB20" s="253">
        <v>4</v>
      </c>
      <c r="EC20" s="43">
        <v>1</v>
      </c>
      <c r="ED20" s="44">
        <v>0</v>
      </c>
      <c r="EE20" s="71">
        <v>0</v>
      </c>
      <c r="EF20" s="43">
        <v>0</v>
      </c>
      <c r="EG20" s="43">
        <v>0</v>
      </c>
      <c r="EH20" s="43">
        <v>0</v>
      </c>
      <c r="EI20" s="43">
        <v>0</v>
      </c>
      <c r="EJ20" s="43">
        <v>0</v>
      </c>
      <c r="EK20" s="43">
        <v>0</v>
      </c>
      <c r="EL20" s="43"/>
      <c r="EM20" s="43"/>
      <c r="EN20" s="43"/>
      <c r="EO20" s="43"/>
      <c r="EP20" s="43"/>
      <c r="EQ20" s="43"/>
      <c r="ER20" s="44">
        <f t="shared" si="0"/>
        <v>0</v>
      </c>
      <c r="ES20" s="43">
        <v>0</v>
      </c>
      <c r="ET20" s="43">
        <v>0</v>
      </c>
      <c r="EU20" s="43">
        <v>0</v>
      </c>
      <c r="EV20" s="43">
        <v>0</v>
      </c>
      <c r="EW20" s="43">
        <v>0</v>
      </c>
      <c r="EX20" s="43">
        <v>0</v>
      </c>
      <c r="EY20" s="43">
        <v>1</v>
      </c>
      <c r="EZ20" s="43"/>
      <c r="FA20" s="43"/>
      <c r="FB20" s="43"/>
      <c r="FC20" s="43"/>
      <c r="FD20" s="43"/>
      <c r="FE20" s="43"/>
      <c r="FF20" s="43">
        <f t="shared" si="1"/>
        <v>1</v>
      </c>
      <c r="FG20" s="73">
        <f t="shared" si="2"/>
        <v>0</v>
      </c>
      <c r="FH20" s="73">
        <f t="shared" si="3"/>
        <v>0</v>
      </c>
      <c r="FI20" s="73">
        <f t="shared" si="6"/>
        <v>0</v>
      </c>
      <c r="FJ20" s="73">
        <f t="shared" si="7"/>
        <v>0</v>
      </c>
      <c r="FK20" s="73">
        <f t="shared" si="8"/>
        <v>0</v>
      </c>
      <c r="FL20" s="73">
        <f t="shared" si="9"/>
        <v>0</v>
      </c>
      <c r="FM20" s="73">
        <f t="shared" si="10"/>
        <v>0</v>
      </c>
      <c r="FN20" s="73">
        <f t="shared" si="11"/>
        <v>0</v>
      </c>
      <c r="FO20" s="73">
        <f t="shared" si="12"/>
        <v>-1</v>
      </c>
      <c r="FP20" s="73">
        <f t="shared" si="13"/>
        <v>0</v>
      </c>
      <c r="FQ20" s="73">
        <f t="shared" si="14"/>
        <v>0</v>
      </c>
      <c r="FR20" s="73">
        <f t="shared" si="15"/>
        <v>0</v>
      </c>
      <c r="FS20" s="73">
        <f t="shared" si="16"/>
        <v>0</v>
      </c>
      <c r="FT20" s="73">
        <f t="shared" si="17"/>
        <v>0</v>
      </c>
      <c r="FU20" s="73">
        <f t="shared" si="5"/>
        <v>0</v>
      </c>
      <c r="FV20" s="73">
        <f t="shared" si="18"/>
        <v>-1</v>
      </c>
      <c r="FW20" s="38" t="s">
        <v>475</v>
      </c>
    </row>
    <row r="21" spans="1:179" x14ac:dyDescent="0.25">
      <c r="A21" s="53">
        <v>40293</v>
      </c>
      <c r="B21" s="53" t="s">
        <v>19</v>
      </c>
      <c r="C21" s="53" t="s">
        <v>129</v>
      </c>
      <c r="D21" s="53" t="s">
        <v>551</v>
      </c>
      <c r="E21" s="54">
        <v>2741</v>
      </c>
      <c r="F21" s="58">
        <v>3</v>
      </c>
      <c r="G21" s="59" t="s">
        <v>494</v>
      </c>
      <c r="H21" s="6">
        <v>1</v>
      </c>
      <c r="I21" s="6">
        <v>0</v>
      </c>
      <c r="J21" s="178">
        <v>7</v>
      </c>
      <c r="K21" s="6">
        <v>4</v>
      </c>
      <c r="L21" s="6">
        <v>0</v>
      </c>
      <c r="M21" s="6">
        <v>0</v>
      </c>
      <c r="N21" s="6">
        <v>0</v>
      </c>
      <c r="O21" s="6">
        <v>6</v>
      </c>
      <c r="P21" s="6">
        <v>0</v>
      </c>
      <c r="Q21" s="6">
        <v>0</v>
      </c>
      <c r="R21" s="6">
        <v>24</v>
      </c>
      <c r="S21" s="6"/>
      <c r="T21" s="6"/>
      <c r="U21" s="6">
        <v>0</v>
      </c>
      <c r="V21" s="61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176">
        <v>0</v>
      </c>
      <c r="AC21" s="62">
        <v>0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2">
        <v>0</v>
      </c>
      <c r="AK21" s="62"/>
      <c r="AL21" s="62"/>
      <c r="AM21" s="1" t="s">
        <v>531</v>
      </c>
      <c r="AN21" s="78">
        <v>3</v>
      </c>
      <c r="AO21" s="78">
        <v>0</v>
      </c>
      <c r="AP21" s="78">
        <v>1</v>
      </c>
      <c r="AQ21" s="78">
        <v>1</v>
      </c>
      <c r="AR21" s="78">
        <v>0</v>
      </c>
      <c r="AS21" s="78">
        <v>0</v>
      </c>
      <c r="AT21" s="78">
        <v>0</v>
      </c>
      <c r="AU21" s="78">
        <v>0</v>
      </c>
      <c r="AV21" s="76">
        <v>1</v>
      </c>
      <c r="AW21" s="1" t="s">
        <v>519</v>
      </c>
      <c r="AX21" s="78">
        <v>3</v>
      </c>
      <c r="AY21" s="78">
        <v>0</v>
      </c>
      <c r="AZ21" s="78">
        <v>0</v>
      </c>
      <c r="BA21" s="78">
        <v>0</v>
      </c>
      <c r="BB21" s="78">
        <v>0</v>
      </c>
      <c r="BC21" s="78">
        <v>2</v>
      </c>
      <c r="BD21" s="78">
        <v>0</v>
      </c>
      <c r="BE21" s="78">
        <v>0</v>
      </c>
      <c r="BF21" s="76">
        <v>0</v>
      </c>
      <c r="BG21" s="1" t="s">
        <v>534</v>
      </c>
      <c r="BH21" s="78">
        <v>3</v>
      </c>
      <c r="BI21" s="78">
        <v>0</v>
      </c>
      <c r="BJ21" s="78">
        <v>1</v>
      </c>
      <c r="BK21" s="78">
        <v>0</v>
      </c>
      <c r="BL21" s="78">
        <v>0</v>
      </c>
      <c r="BM21" s="78">
        <v>0</v>
      </c>
      <c r="BN21" s="78">
        <v>0</v>
      </c>
      <c r="BO21" s="78">
        <v>0</v>
      </c>
      <c r="BP21" s="76">
        <v>2</v>
      </c>
      <c r="BQ21" s="1" t="s">
        <v>533</v>
      </c>
      <c r="BR21" s="78">
        <v>3</v>
      </c>
      <c r="BS21" s="78">
        <v>0</v>
      </c>
      <c r="BT21" s="78">
        <v>1</v>
      </c>
      <c r="BU21" s="78">
        <v>0</v>
      </c>
      <c r="BV21" s="78">
        <v>0</v>
      </c>
      <c r="BW21" s="78">
        <v>1</v>
      </c>
      <c r="BX21" s="78">
        <v>0</v>
      </c>
      <c r="BY21" s="78">
        <v>0</v>
      </c>
      <c r="BZ21" s="76">
        <v>1</v>
      </c>
      <c r="CA21" s="1" t="s">
        <v>532</v>
      </c>
      <c r="CB21" s="78">
        <v>3</v>
      </c>
      <c r="CC21" s="78">
        <v>1</v>
      </c>
      <c r="CD21" s="78">
        <v>1</v>
      </c>
      <c r="CE21" s="78">
        <v>0</v>
      </c>
      <c r="CF21" s="78">
        <v>0</v>
      </c>
      <c r="CG21" s="78">
        <v>0</v>
      </c>
      <c r="CH21" s="78">
        <v>0</v>
      </c>
      <c r="CI21" s="78">
        <v>0</v>
      </c>
      <c r="CJ21" s="76">
        <v>1</v>
      </c>
      <c r="CK21" s="1" t="s">
        <v>543</v>
      </c>
      <c r="CL21" s="78">
        <v>2</v>
      </c>
      <c r="CM21" s="78">
        <v>1</v>
      </c>
      <c r="CN21" s="78">
        <v>1</v>
      </c>
      <c r="CO21" s="78">
        <v>0</v>
      </c>
      <c r="CP21" s="78">
        <v>1</v>
      </c>
      <c r="CQ21" s="78">
        <v>0</v>
      </c>
      <c r="CR21" s="78">
        <v>0</v>
      </c>
      <c r="CS21" s="78">
        <v>0</v>
      </c>
      <c r="CT21" s="76">
        <v>1</v>
      </c>
      <c r="CU21" s="1" t="s">
        <v>535</v>
      </c>
      <c r="CV21" s="78">
        <v>3</v>
      </c>
      <c r="CW21" s="78">
        <v>0</v>
      </c>
      <c r="CX21" s="78">
        <v>1</v>
      </c>
      <c r="CY21" s="78">
        <v>1</v>
      </c>
      <c r="CZ21" s="78">
        <v>0</v>
      </c>
      <c r="DA21" s="78">
        <v>0</v>
      </c>
      <c r="DB21" s="78">
        <v>0</v>
      </c>
      <c r="DC21" s="78">
        <v>0</v>
      </c>
      <c r="DD21" s="76">
        <v>2</v>
      </c>
      <c r="DE21" s="1" t="s">
        <v>426</v>
      </c>
      <c r="DF21" s="78">
        <v>2</v>
      </c>
      <c r="DG21" s="78">
        <v>1</v>
      </c>
      <c r="DH21" s="78">
        <v>0</v>
      </c>
      <c r="DI21" s="78">
        <v>0</v>
      </c>
      <c r="DJ21" s="78">
        <v>1</v>
      </c>
      <c r="DK21" s="78">
        <v>0</v>
      </c>
      <c r="DL21" s="78">
        <v>0</v>
      </c>
      <c r="DM21" s="78">
        <v>0</v>
      </c>
      <c r="DN21" s="76">
        <v>0</v>
      </c>
      <c r="DO21" s="1" t="s">
        <v>285</v>
      </c>
      <c r="DP21" s="78">
        <v>1</v>
      </c>
      <c r="DQ21" s="78">
        <v>0</v>
      </c>
      <c r="DR21" s="78">
        <v>0</v>
      </c>
      <c r="DS21" s="78">
        <v>0</v>
      </c>
      <c r="DT21" s="78">
        <v>1</v>
      </c>
      <c r="DU21" s="78">
        <v>0</v>
      </c>
      <c r="DV21" s="78">
        <v>0</v>
      </c>
      <c r="DW21" s="78">
        <v>0</v>
      </c>
      <c r="DX21" s="76">
        <v>0</v>
      </c>
      <c r="DY21" s="252">
        <v>0</v>
      </c>
      <c r="DZ21" s="43">
        <v>0</v>
      </c>
      <c r="EA21" s="43">
        <v>0</v>
      </c>
      <c r="EB21" s="253">
        <v>6</v>
      </c>
      <c r="EC21" s="43">
        <v>2</v>
      </c>
      <c r="ED21" s="44">
        <v>1</v>
      </c>
      <c r="EE21" s="71">
        <v>0</v>
      </c>
      <c r="EF21" s="43">
        <v>2</v>
      </c>
      <c r="EG21" s="43">
        <v>0</v>
      </c>
      <c r="EH21" s="43">
        <v>0</v>
      </c>
      <c r="EI21" s="43">
        <v>0</v>
      </c>
      <c r="EJ21" s="43">
        <v>1</v>
      </c>
      <c r="EK21" s="43"/>
      <c r="EL21" s="43"/>
      <c r="EM21" s="43"/>
      <c r="EN21" s="43"/>
      <c r="EO21" s="43"/>
      <c r="EP21" s="43"/>
      <c r="EQ21" s="43"/>
      <c r="ER21" s="44">
        <f t="shared" si="0"/>
        <v>3</v>
      </c>
      <c r="ES21" s="43">
        <v>0</v>
      </c>
      <c r="ET21" s="43">
        <v>0</v>
      </c>
      <c r="EU21" s="43">
        <v>0</v>
      </c>
      <c r="EV21" s="43">
        <v>0</v>
      </c>
      <c r="EW21" s="43">
        <v>0</v>
      </c>
      <c r="EX21" s="43">
        <v>0</v>
      </c>
      <c r="EY21" s="43">
        <v>0</v>
      </c>
      <c r="EZ21" s="43"/>
      <c r="FA21" s="43"/>
      <c r="FB21" s="43"/>
      <c r="FC21" s="43"/>
      <c r="FD21" s="43"/>
      <c r="FE21" s="43"/>
      <c r="FF21" s="43">
        <f t="shared" si="1"/>
        <v>0</v>
      </c>
      <c r="FG21" s="73">
        <f t="shared" si="2"/>
        <v>0</v>
      </c>
      <c r="FH21" s="73">
        <f t="shared" si="3"/>
        <v>0</v>
      </c>
      <c r="FI21" s="73">
        <f t="shared" si="6"/>
        <v>0</v>
      </c>
      <c r="FJ21" s="73">
        <f t="shared" si="7"/>
        <v>2</v>
      </c>
      <c r="FK21" s="73">
        <f t="shared" si="8"/>
        <v>0</v>
      </c>
      <c r="FL21" s="73">
        <f t="shared" si="9"/>
        <v>0</v>
      </c>
      <c r="FM21" s="73">
        <f t="shared" si="10"/>
        <v>0</v>
      </c>
      <c r="FN21" s="73">
        <f t="shared" si="11"/>
        <v>1</v>
      </c>
      <c r="FO21" s="73">
        <f t="shared" si="12"/>
        <v>0</v>
      </c>
      <c r="FP21" s="73">
        <f t="shared" si="13"/>
        <v>0</v>
      </c>
      <c r="FQ21" s="73">
        <f t="shared" si="14"/>
        <v>0</v>
      </c>
      <c r="FR21" s="73">
        <f t="shared" si="15"/>
        <v>0</v>
      </c>
      <c r="FS21" s="73">
        <f t="shared" si="16"/>
        <v>0</v>
      </c>
      <c r="FT21" s="73">
        <f t="shared" si="17"/>
        <v>0</v>
      </c>
      <c r="FU21" s="73">
        <f t="shared" si="5"/>
        <v>0</v>
      </c>
      <c r="FV21" s="73">
        <f t="shared" si="18"/>
        <v>3</v>
      </c>
      <c r="FW21" s="38" t="s">
        <v>378</v>
      </c>
    </row>
    <row r="22" spans="1:179" x14ac:dyDescent="0.25">
      <c r="A22" s="204">
        <v>40295</v>
      </c>
      <c r="B22" s="204" t="s">
        <v>19</v>
      </c>
      <c r="C22" s="204" t="s">
        <v>129</v>
      </c>
      <c r="D22" s="204" t="s">
        <v>558</v>
      </c>
      <c r="E22" s="205">
        <v>2132</v>
      </c>
      <c r="F22" s="206">
        <v>4</v>
      </c>
      <c r="G22" s="207" t="s">
        <v>545</v>
      </c>
      <c r="H22" s="208">
        <v>1</v>
      </c>
      <c r="I22" s="208">
        <v>0</v>
      </c>
      <c r="J22" s="247">
        <v>6</v>
      </c>
      <c r="K22" s="208">
        <v>2</v>
      </c>
      <c r="L22" s="208">
        <v>2</v>
      </c>
      <c r="M22" s="208">
        <v>1</v>
      </c>
      <c r="N22" s="208">
        <v>2</v>
      </c>
      <c r="O22" s="208">
        <v>6</v>
      </c>
      <c r="P22" s="208">
        <v>1</v>
      </c>
      <c r="Q22" s="208">
        <v>0</v>
      </c>
      <c r="R22" s="208">
        <v>23</v>
      </c>
      <c r="S22" s="208"/>
      <c r="T22" s="208"/>
      <c r="U22" s="208">
        <v>0</v>
      </c>
      <c r="V22" s="210">
        <v>0</v>
      </c>
      <c r="W22" s="211">
        <v>0</v>
      </c>
      <c r="X22" s="211">
        <v>0</v>
      </c>
      <c r="Y22" s="211">
        <v>1</v>
      </c>
      <c r="Z22" s="211">
        <v>1</v>
      </c>
      <c r="AA22" s="211">
        <v>0</v>
      </c>
      <c r="AB22" s="248">
        <v>3</v>
      </c>
      <c r="AC22" s="211">
        <v>1</v>
      </c>
      <c r="AD22" s="211">
        <v>0</v>
      </c>
      <c r="AE22" s="211">
        <v>0</v>
      </c>
      <c r="AF22" s="211">
        <v>1</v>
      </c>
      <c r="AG22" s="211">
        <v>4</v>
      </c>
      <c r="AH22" s="211">
        <v>0</v>
      </c>
      <c r="AI22" s="211">
        <v>0</v>
      </c>
      <c r="AJ22" s="211">
        <v>11</v>
      </c>
      <c r="AK22" s="211"/>
      <c r="AL22" s="211"/>
      <c r="AM22" s="213" t="s">
        <v>529</v>
      </c>
      <c r="AN22" s="214">
        <v>4</v>
      </c>
      <c r="AO22" s="214">
        <v>0</v>
      </c>
      <c r="AP22" s="214">
        <v>1</v>
      </c>
      <c r="AQ22" s="214">
        <v>1</v>
      </c>
      <c r="AR22" s="214">
        <v>0</v>
      </c>
      <c r="AS22" s="214">
        <v>2</v>
      </c>
      <c r="AT22" s="214">
        <v>0</v>
      </c>
      <c r="AU22" s="214">
        <v>0</v>
      </c>
      <c r="AV22" s="215">
        <v>1</v>
      </c>
      <c r="AW22" s="213" t="s">
        <v>519</v>
      </c>
      <c r="AX22" s="214">
        <v>3</v>
      </c>
      <c r="AY22" s="214">
        <v>1</v>
      </c>
      <c r="AZ22" s="214">
        <v>0</v>
      </c>
      <c r="BA22" s="214">
        <v>0</v>
      </c>
      <c r="BB22" s="214">
        <v>1</v>
      </c>
      <c r="BC22" s="214">
        <v>2</v>
      </c>
      <c r="BD22" s="214">
        <v>0</v>
      </c>
      <c r="BE22" s="214">
        <v>0</v>
      </c>
      <c r="BF22" s="215">
        <v>0</v>
      </c>
      <c r="BG22" s="213" t="s">
        <v>534</v>
      </c>
      <c r="BH22" s="214">
        <v>4</v>
      </c>
      <c r="BI22" s="214">
        <v>1</v>
      </c>
      <c r="BJ22" s="214">
        <v>1</v>
      </c>
      <c r="BK22" s="214">
        <v>0</v>
      </c>
      <c r="BL22" s="214">
        <v>0</v>
      </c>
      <c r="BM22" s="214">
        <v>0</v>
      </c>
      <c r="BN22" s="214">
        <v>0</v>
      </c>
      <c r="BO22" s="214">
        <v>0</v>
      </c>
      <c r="BP22" s="215">
        <v>2</v>
      </c>
      <c r="BQ22" s="213" t="s">
        <v>533</v>
      </c>
      <c r="BR22" s="214">
        <v>3</v>
      </c>
      <c r="BS22" s="214">
        <v>0</v>
      </c>
      <c r="BT22" s="214">
        <v>1</v>
      </c>
      <c r="BU22" s="214">
        <v>0</v>
      </c>
      <c r="BV22" s="214">
        <v>0</v>
      </c>
      <c r="BW22" s="214">
        <v>1</v>
      </c>
      <c r="BX22" s="214">
        <v>0</v>
      </c>
      <c r="BY22" s="214">
        <v>0</v>
      </c>
      <c r="BZ22" s="215">
        <v>1</v>
      </c>
      <c r="CA22" s="213" t="s">
        <v>532</v>
      </c>
      <c r="CB22" s="214">
        <v>3</v>
      </c>
      <c r="CC22" s="214">
        <v>0</v>
      </c>
      <c r="CD22" s="214">
        <v>0</v>
      </c>
      <c r="CE22" s="214">
        <v>0</v>
      </c>
      <c r="CF22" s="214">
        <v>0</v>
      </c>
      <c r="CG22" s="214">
        <v>2</v>
      </c>
      <c r="CH22" s="214">
        <v>0</v>
      </c>
      <c r="CI22" s="214">
        <v>0</v>
      </c>
      <c r="CJ22" s="215">
        <v>0</v>
      </c>
      <c r="CK22" s="213" t="s">
        <v>531</v>
      </c>
      <c r="CL22" s="214">
        <v>3</v>
      </c>
      <c r="CM22" s="214">
        <v>1</v>
      </c>
      <c r="CN22" s="214">
        <v>1</v>
      </c>
      <c r="CO22" s="214">
        <v>0</v>
      </c>
      <c r="CP22" s="214">
        <v>0</v>
      </c>
      <c r="CQ22" s="214">
        <v>0</v>
      </c>
      <c r="CR22" s="214">
        <v>0</v>
      </c>
      <c r="CS22" s="214">
        <v>0</v>
      </c>
      <c r="CT22" s="215">
        <v>2</v>
      </c>
      <c r="CU22" s="213" t="s">
        <v>539</v>
      </c>
      <c r="CV22" s="214">
        <v>3</v>
      </c>
      <c r="CW22" s="214">
        <v>0</v>
      </c>
      <c r="CX22" s="214">
        <v>1</v>
      </c>
      <c r="CY22" s="214">
        <v>0</v>
      </c>
      <c r="CZ22" s="214">
        <v>0</v>
      </c>
      <c r="DA22" s="214">
        <v>0</v>
      </c>
      <c r="DB22" s="214">
        <v>0</v>
      </c>
      <c r="DC22" s="214">
        <v>0</v>
      </c>
      <c r="DD22" s="215">
        <v>1</v>
      </c>
      <c r="DE22" s="213" t="s">
        <v>426</v>
      </c>
      <c r="DF22" s="214">
        <v>3</v>
      </c>
      <c r="DG22" s="214">
        <v>1</v>
      </c>
      <c r="DH22" s="214">
        <v>1</v>
      </c>
      <c r="DI22" s="214">
        <v>1</v>
      </c>
      <c r="DJ22" s="214">
        <v>0</v>
      </c>
      <c r="DK22" s="214">
        <v>1</v>
      </c>
      <c r="DL22" s="214">
        <v>0</v>
      </c>
      <c r="DM22" s="214">
        <v>0</v>
      </c>
      <c r="DN22" s="215">
        <v>2</v>
      </c>
      <c r="DO22" s="213" t="s">
        <v>538</v>
      </c>
      <c r="DP22" s="214">
        <v>3</v>
      </c>
      <c r="DQ22" s="214">
        <v>0</v>
      </c>
      <c r="DR22" s="214">
        <v>0</v>
      </c>
      <c r="DS22" s="214">
        <v>0</v>
      </c>
      <c r="DT22" s="214">
        <v>0</v>
      </c>
      <c r="DU22" s="214">
        <v>0</v>
      </c>
      <c r="DV22" s="214">
        <v>0</v>
      </c>
      <c r="DW22" s="214">
        <v>0</v>
      </c>
      <c r="DX22" s="215">
        <v>0</v>
      </c>
      <c r="DY22" s="249">
        <v>0</v>
      </c>
      <c r="DZ22" s="217">
        <v>0</v>
      </c>
      <c r="EA22" s="217">
        <v>0</v>
      </c>
      <c r="EB22" s="250">
        <v>8</v>
      </c>
      <c r="EC22" s="217">
        <v>0</v>
      </c>
      <c r="ED22" s="219">
        <v>1</v>
      </c>
      <c r="EE22" s="220">
        <v>0</v>
      </c>
      <c r="EF22" s="217">
        <v>0</v>
      </c>
      <c r="EG22" s="217">
        <v>1</v>
      </c>
      <c r="EH22" s="217">
        <v>0</v>
      </c>
      <c r="EI22" s="217">
        <v>1</v>
      </c>
      <c r="EJ22" s="217">
        <v>2</v>
      </c>
      <c r="EK22" s="217">
        <v>0</v>
      </c>
      <c r="EL22" s="217">
        <v>0</v>
      </c>
      <c r="EM22" s="217"/>
      <c r="EN22" s="217"/>
      <c r="EO22" s="217"/>
      <c r="EP22" s="217"/>
      <c r="EQ22" s="217"/>
      <c r="ER22" s="219">
        <f t="shared" si="0"/>
        <v>4</v>
      </c>
      <c r="ES22" s="217">
        <v>1</v>
      </c>
      <c r="ET22" s="217">
        <v>0</v>
      </c>
      <c r="EU22" s="217">
        <v>0</v>
      </c>
      <c r="EV22" s="217">
        <v>1</v>
      </c>
      <c r="EW22" s="217">
        <v>0</v>
      </c>
      <c r="EX22" s="217">
        <v>0</v>
      </c>
      <c r="EY22" s="217">
        <v>0</v>
      </c>
      <c r="EZ22" s="217">
        <v>0</v>
      </c>
      <c r="FA22" s="217">
        <v>0</v>
      </c>
      <c r="FB22" s="217"/>
      <c r="FC22" s="217"/>
      <c r="FD22" s="217"/>
      <c r="FE22" s="217"/>
      <c r="FF22" s="217">
        <f t="shared" si="1"/>
        <v>2</v>
      </c>
      <c r="FG22" s="221">
        <f t="shared" ref="FG22:FG28" si="19">((SUM(L22,AD22))-(FF22))</f>
        <v>0</v>
      </c>
      <c r="FH22" s="221">
        <f t="shared" ref="FH22:FH28" si="20">((SUM(AO22,AY22,BI22,BS22,CC22,CM22,CW22,DG22,DQ22))-(ER22))</f>
        <v>0</v>
      </c>
      <c r="FI22" s="221">
        <f t="shared" ref="FI22:FI41" si="21">(EE22-ES22)</f>
        <v>-1</v>
      </c>
      <c r="FJ22" s="221">
        <f t="shared" ref="FJ22:FJ41" si="22">(EF22-ET22)</f>
        <v>0</v>
      </c>
      <c r="FK22" s="221">
        <f t="shared" ref="FK22:FK41" si="23">(EG22-EU22)</f>
        <v>1</v>
      </c>
      <c r="FL22" s="221">
        <f t="shared" ref="FL22:FL41" si="24">(EH22-EV22)</f>
        <v>-1</v>
      </c>
      <c r="FM22" s="221">
        <f t="shared" ref="FM22:FM41" si="25">(EI22-EW22)</f>
        <v>1</v>
      </c>
      <c r="FN22" s="221">
        <f t="shared" ref="FN22:FN41" si="26">(EJ22-EX22)</f>
        <v>2</v>
      </c>
      <c r="FO22" s="221">
        <f t="shared" ref="FO22:FO41" si="27">(EK22-EY22)</f>
        <v>0</v>
      </c>
      <c r="FP22" s="221">
        <f t="shared" ref="FP22:FP41" si="28">(EL22-EZ22)</f>
        <v>0</v>
      </c>
      <c r="FQ22" s="221">
        <f t="shared" ref="FQ22:FQ41" si="29">(EM22-FA22)</f>
        <v>0</v>
      </c>
      <c r="FR22" s="221">
        <f t="shared" ref="FR22:FR41" si="30">(EN22-FB22)</f>
        <v>0</v>
      </c>
      <c r="FS22" s="221">
        <f t="shared" ref="FS22:FS41" si="31">(EO22-FC22)</f>
        <v>0</v>
      </c>
      <c r="FT22" s="221">
        <f t="shared" ref="FT22:FT41" si="32">(EP22-FD22)</f>
        <v>0</v>
      </c>
      <c r="FU22" s="221">
        <f t="shared" si="5"/>
        <v>0</v>
      </c>
      <c r="FV22" s="221">
        <f t="shared" ref="FV22:FV41" si="33">(ER22-FF22)</f>
        <v>2</v>
      </c>
      <c r="FW22" s="222"/>
    </row>
    <row r="23" spans="1:179" x14ac:dyDescent="0.25">
      <c r="A23" s="204">
        <v>40296</v>
      </c>
      <c r="B23" s="204" t="s">
        <v>19</v>
      </c>
      <c r="C23" s="204" t="s">
        <v>131</v>
      </c>
      <c r="D23" s="204" t="s">
        <v>558</v>
      </c>
      <c r="E23" s="205">
        <v>2244</v>
      </c>
      <c r="F23" s="206">
        <v>5</v>
      </c>
      <c r="G23" s="207" t="s">
        <v>546</v>
      </c>
      <c r="H23" s="208">
        <v>0</v>
      </c>
      <c r="I23" s="208">
        <v>0</v>
      </c>
      <c r="J23" s="247">
        <f>5+2/3</f>
        <v>5.666666666666667</v>
      </c>
      <c r="K23" s="208">
        <v>5</v>
      </c>
      <c r="L23" s="208">
        <v>2</v>
      </c>
      <c r="M23" s="208">
        <v>1</v>
      </c>
      <c r="N23" s="208">
        <v>3</v>
      </c>
      <c r="O23" s="208">
        <v>3</v>
      </c>
      <c r="P23" s="208">
        <v>0</v>
      </c>
      <c r="Q23" s="208">
        <v>0</v>
      </c>
      <c r="R23" s="208">
        <v>23</v>
      </c>
      <c r="S23" s="208"/>
      <c r="T23" s="208"/>
      <c r="U23" s="208">
        <v>1</v>
      </c>
      <c r="V23" s="210">
        <v>0</v>
      </c>
      <c r="W23" s="211">
        <v>0</v>
      </c>
      <c r="X23" s="211">
        <v>1</v>
      </c>
      <c r="Y23" s="211">
        <v>0</v>
      </c>
      <c r="Z23" s="211">
        <v>0</v>
      </c>
      <c r="AA23" s="211">
        <v>1</v>
      </c>
      <c r="AB23" s="248">
        <f>3+1/3</f>
        <v>3.3333333333333335</v>
      </c>
      <c r="AC23" s="211">
        <v>5</v>
      </c>
      <c r="AD23" s="211">
        <v>5</v>
      </c>
      <c r="AE23" s="211">
        <v>5</v>
      </c>
      <c r="AF23" s="211">
        <v>2</v>
      </c>
      <c r="AG23" s="211">
        <v>5</v>
      </c>
      <c r="AH23" s="211">
        <v>0</v>
      </c>
      <c r="AI23" s="211">
        <v>0</v>
      </c>
      <c r="AJ23" s="211">
        <v>17</v>
      </c>
      <c r="AK23" s="211"/>
      <c r="AL23" s="211"/>
      <c r="AM23" s="213" t="s">
        <v>529</v>
      </c>
      <c r="AN23" s="214">
        <v>3</v>
      </c>
      <c r="AO23" s="214">
        <v>1</v>
      </c>
      <c r="AP23" s="214">
        <v>0</v>
      </c>
      <c r="AQ23" s="214">
        <v>0</v>
      </c>
      <c r="AR23" s="214">
        <v>0</v>
      </c>
      <c r="AS23" s="214">
        <v>2</v>
      </c>
      <c r="AT23" s="214">
        <v>2</v>
      </c>
      <c r="AU23" s="214">
        <v>0</v>
      </c>
      <c r="AV23" s="215">
        <v>0</v>
      </c>
      <c r="AW23" s="213" t="s">
        <v>534</v>
      </c>
      <c r="AX23" s="214">
        <v>4</v>
      </c>
      <c r="AY23" s="214">
        <v>1</v>
      </c>
      <c r="AZ23" s="214">
        <v>1</v>
      </c>
      <c r="BA23" s="214">
        <v>0</v>
      </c>
      <c r="BB23" s="214">
        <v>0</v>
      </c>
      <c r="BC23" s="214">
        <v>2</v>
      </c>
      <c r="BD23" s="214">
        <v>1</v>
      </c>
      <c r="BE23" s="214">
        <v>0</v>
      </c>
      <c r="BF23" s="215">
        <v>2</v>
      </c>
      <c r="BG23" s="213" t="s">
        <v>531</v>
      </c>
      <c r="BH23" s="214">
        <v>4</v>
      </c>
      <c r="BI23" s="214">
        <v>1</v>
      </c>
      <c r="BJ23" s="214">
        <v>3</v>
      </c>
      <c r="BK23" s="214">
        <v>2</v>
      </c>
      <c r="BL23" s="214">
        <v>0</v>
      </c>
      <c r="BM23" s="214">
        <v>1</v>
      </c>
      <c r="BN23" s="214">
        <v>0</v>
      </c>
      <c r="BO23" s="214">
        <v>0</v>
      </c>
      <c r="BP23" s="215">
        <v>4</v>
      </c>
      <c r="BQ23" s="213" t="s">
        <v>530</v>
      </c>
      <c r="BR23" s="214">
        <v>2</v>
      </c>
      <c r="BS23" s="214">
        <v>0</v>
      </c>
      <c r="BT23" s="214">
        <v>0</v>
      </c>
      <c r="BU23" s="214">
        <v>0</v>
      </c>
      <c r="BV23" s="214">
        <v>2</v>
      </c>
      <c r="BW23" s="214">
        <v>1</v>
      </c>
      <c r="BX23" s="214">
        <v>0</v>
      </c>
      <c r="BY23" s="214">
        <v>0</v>
      </c>
      <c r="BZ23" s="215">
        <v>0</v>
      </c>
      <c r="CA23" s="213" t="s">
        <v>533</v>
      </c>
      <c r="CB23" s="214">
        <v>4</v>
      </c>
      <c r="CC23" s="214">
        <v>1</v>
      </c>
      <c r="CD23" s="214">
        <v>1</v>
      </c>
      <c r="CE23" s="214">
        <v>1</v>
      </c>
      <c r="CF23" s="214">
        <v>0</v>
      </c>
      <c r="CG23" s="214">
        <v>1</v>
      </c>
      <c r="CH23" s="214">
        <v>0</v>
      </c>
      <c r="CI23" s="214">
        <v>0</v>
      </c>
      <c r="CJ23" s="215">
        <v>1</v>
      </c>
      <c r="CK23" s="213" t="s">
        <v>539</v>
      </c>
      <c r="CL23" s="214">
        <v>4</v>
      </c>
      <c r="CM23" s="214">
        <v>0</v>
      </c>
      <c r="CN23" s="214">
        <v>2</v>
      </c>
      <c r="CO23" s="214">
        <v>1</v>
      </c>
      <c r="CP23" s="214">
        <v>0</v>
      </c>
      <c r="CQ23" s="214">
        <v>0</v>
      </c>
      <c r="CR23" s="214">
        <v>0</v>
      </c>
      <c r="CS23" s="214">
        <v>0</v>
      </c>
      <c r="CT23" s="215">
        <v>3</v>
      </c>
      <c r="CU23" s="213" t="s">
        <v>543</v>
      </c>
      <c r="CV23" s="214">
        <v>4</v>
      </c>
      <c r="CW23" s="214">
        <v>0</v>
      </c>
      <c r="CX23" s="214">
        <v>0</v>
      </c>
      <c r="CY23" s="214">
        <v>0</v>
      </c>
      <c r="CZ23" s="214">
        <v>0</v>
      </c>
      <c r="DA23" s="214">
        <v>1</v>
      </c>
      <c r="DB23" s="214">
        <v>0</v>
      </c>
      <c r="DC23" s="214">
        <v>0</v>
      </c>
      <c r="DD23" s="215">
        <v>0</v>
      </c>
      <c r="DE23" s="213" t="s">
        <v>535</v>
      </c>
      <c r="DF23" s="214">
        <v>4</v>
      </c>
      <c r="DG23" s="214">
        <v>0</v>
      </c>
      <c r="DH23" s="214">
        <v>0</v>
      </c>
      <c r="DI23" s="214">
        <v>0</v>
      </c>
      <c r="DJ23" s="214">
        <v>0</v>
      </c>
      <c r="DK23" s="214">
        <v>1</v>
      </c>
      <c r="DL23" s="214">
        <v>0</v>
      </c>
      <c r="DM23" s="214">
        <v>0</v>
      </c>
      <c r="DN23" s="215">
        <v>0</v>
      </c>
      <c r="DO23" s="213" t="s">
        <v>285</v>
      </c>
      <c r="DP23" s="214">
        <v>3</v>
      </c>
      <c r="DQ23" s="214">
        <v>0</v>
      </c>
      <c r="DR23" s="214">
        <v>0</v>
      </c>
      <c r="DS23" s="214">
        <v>0</v>
      </c>
      <c r="DT23" s="214">
        <v>1</v>
      </c>
      <c r="DU23" s="214">
        <v>3</v>
      </c>
      <c r="DV23" s="214">
        <v>0</v>
      </c>
      <c r="DW23" s="214">
        <v>0</v>
      </c>
      <c r="DX23" s="215">
        <v>0</v>
      </c>
      <c r="DY23" s="249">
        <v>1</v>
      </c>
      <c r="DZ23" s="217">
        <v>0</v>
      </c>
      <c r="EA23" s="217">
        <v>0</v>
      </c>
      <c r="EB23" s="250">
        <v>8</v>
      </c>
      <c r="EC23" s="217">
        <v>4</v>
      </c>
      <c r="ED23" s="219">
        <v>0</v>
      </c>
      <c r="EE23" s="220">
        <v>0</v>
      </c>
      <c r="EF23" s="217">
        <v>0</v>
      </c>
      <c r="EG23" s="217">
        <v>0</v>
      </c>
      <c r="EH23" s="217">
        <v>0</v>
      </c>
      <c r="EI23" s="217">
        <v>0</v>
      </c>
      <c r="EJ23" s="217">
        <v>0</v>
      </c>
      <c r="EK23" s="217">
        <v>0</v>
      </c>
      <c r="EL23" s="217">
        <v>4</v>
      </c>
      <c r="EM23" s="217">
        <v>0</v>
      </c>
      <c r="EN23" s="217"/>
      <c r="EO23" s="217"/>
      <c r="EP23" s="217"/>
      <c r="EQ23" s="217"/>
      <c r="ER23" s="219">
        <f t="shared" si="0"/>
        <v>4</v>
      </c>
      <c r="ES23" s="217">
        <v>0</v>
      </c>
      <c r="ET23" s="217">
        <v>0</v>
      </c>
      <c r="EU23" s="217">
        <v>0</v>
      </c>
      <c r="EV23" s="217">
        <v>1</v>
      </c>
      <c r="EW23" s="217">
        <v>0</v>
      </c>
      <c r="EX23" s="217">
        <v>1</v>
      </c>
      <c r="EY23" s="217">
        <v>0</v>
      </c>
      <c r="EZ23" s="217">
        <v>0</v>
      </c>
      <c r="FA23" s="217">
        <v>5</v>
      </c>
      <c r="FB23" s="217"/>
      <c r="FC23" s="217"/>
      <c r="FD23" s="217"/>
      <c r="FE23" s="217"/>
      <c r="FF23" s="217">
        <f t="shared" si="1"/>
        <v>7</v>
      </c>
      <c r="FG23" s="221">
        <f t="shared" si="19"/>
        <v>0</v>
      </c>
      <c r="FH23" s="221">
        <f t="shared" si="20"/>
        <v>0</v>
      </c>
      <c r="FI23" s="221">
        <f t="shared" si="21"/>
        <v>0</v>
      </c>
      <c r="FJ23" s="221">
        <f t="shared" si="22"/>
        <v>0</v>
      </c>
      <c r="FK23" s="221">
        <f t="shared" si="23"/>
        <v>0</v>
      </c>
      <c r="FL23" s="221">
        <f t="shared" si="24"/>
        <v>-1</v>
      </c>
      <c r="FM23" s="221">
        <f t="shared" si="25"/>
        <v>0</v>
      </c>
      <c r="FN23" s="221">
        <f t="shared" si="26"/>
        <v>-1</v>
      </c>
      <c r="FO23" s="221">
        <f t="shared" si="27"/>
        <v>0</v>
      </c>
      <c r="FP23" s="221">
        <f t="shared" si="28"/>
        <v>4</v>
      </c>
      <c r="FQ23" s="221">
        <f t="shared" si="29"/>
        <v>-5</v>
      </c>
      <c r="FR23" s="221">
        <f t="shared" si="30"/>
        <v>0</v>
      </c>
      <c r="FS23" s="221">
        <f t="shared" si="31"/>
        <v>0</v>
      </c>
      <c r="FT23" s="221">
        <f t="shared" si="32"/>
        <v>0</v>
      </c>
      <c r="FU23" s="221">
        <f t="shared" si="5"/>
        <v>0</v>
      </c>
      <c r="FV23" s="221">
        <f t="shared" si="33"/>
        <v>-3</v>
      </c>
      <c r="FW23" s="222"/>
    </row>
    <row r="24" spans="1:179" x14ac:dyDescent="0.25">
      <c r="A24" s="204">
        <v>40297</v>
      </c>
      <c r="B24" s="204" t="s">
        <v>19</v>
      </c>
      <c r="C24" s="204" t="s">
        <v>131</v>
      </c>
      <c r="D24" s="204" t="s">
        <v>558</v>
      </c>
      <c r="E24" s="205">
        <v>2838</v>
      </c>
      <c r="F24" s="206">
        <v>1</v>
      </c>
      <c r="G24" s="207" t="s">
        <v>540</v>
      </c>
      <c r="H24" s="208">
        <v>0</v>
      </c>
      <c r="I24" s="208">
        <v>1</v>
      </c>
      <c r="J24" s="247">
        <v>8</v>
      </c>
      <c r="K24" s="208">
        <v>5</v>
      </c>
      <c r="L24" s="208">
        <v>2</v>
      </c>
      <c r="M24" s="208">
        <v>1</v>
      </c>
      <c r="N24" s="208">
        <v>1</v>
      </c>
      <c r="O24" s="208">
        <v>9</v>
      </c>
      <c r="P24" s="208">
        <v>1</v>
      </c>
      <c r="Q24" s="208">
        <v>0</v>
      </c>
      <c r="R24" s="208">
        <v>27</v>
      </c>
      <c r="S24" s="208"/>
      <c r="T24" s="208"/>
      <c r="U24" s="208">
        <v>0</v>
      </c>
      <c r="V24" s="210">
        <v>0</v>
      </c>
      <c r="W24" s="211">
        <v>0</v>
      </c>
      <c r="X24" s="211">
        <v>0</v>
      </c>
      <c r="Y24" s="211">
        <v>0</v>
      </c>
      <c r="Z24" s="211">
        <v>0</v>
      </c>
      <c r="AA24" s="211">
        <v>0</v>
      </c>
      <c r="AB24" s="248">
        <v>1</v>
      </c>
      <c r="AC24" s="211">
        <v>0</v>
      </c>
      <c r="AD24" s="211">
        <v>0</v>
      </c>
      <c r="AE24" s="211">
        <v>0</v>
      </c>
      <c r="AF24" s="211">
        <v>0</v>
      </c>
      <c r="AG24" s="211">
        <v>1</v>
      </c>
      <c r="AH24" s="211">
        <v>0</v>
      </c>
      <c r="AI24" s="211">
        <v>0</v>
      </c>
      <c r="AJ24" s="211">
        <v>3</v>
      </c>
      <c r="AK24" s="211"/>
      <c r="AL24" s="211"/>
      <c r="AM24" s="213" t="s">
        <v>519</v>
      </c>
      <c r="AN24" s="214">
        <v>4</v>
      </c>
      <c r="AO24" s="214">
        <v>1</v>
      </c>
      <c r="AP24" s="214">
        <v>2</v>
      </c>
      <c r="AQ24" s="214">
        <v>0</v>
      </c>
      <c r="AR24" s="214">
        <v>0</v>
      </c>
      <c r="AS24" s="214">
        <v>2</v>
      </c>
      <c r="AT24" s="214">
        <v>0</v>
      </c>
      <c r="AU24" s="214">
        <v>0</v>
      </c>
      <c r="AV24" s="215">
        <v>4</v>
      </c>
      <c r="AW24" s="213" t="s">
        <v>534</v>
      </c>
      <c r="AX24" s="214">
        <v>4</v>
      </c>
      <c r="AY24" s="214">
        <v>0</v>
      </c>
      <c r="AZ24" s="214">
        <v>0</v>
      </c>
      <c r="BA24" s="214">
        <v>0</v>
      </c>
      <c r="BB24" s="214">
        <v>0</v>
      </c>
      <c r="BC24" s="214">
        <v>0</v>
      </c>
      <c r="BD24" s="214">
        <v>0</v>
      </c>
      <c r="BE24" s="214">
        <v>0</v>
      </c>
      <c r="BF24" s="215">
        <v>0</v>
      </c>
      <c r="BG24" s="213" t="s">
        <v>531</v>
      </c>
      <c r="BH24" s="214">
        <v>4</v>
      </c>
      <c r="BI24" s="214">
        <v>0</v>
      </c>
      <c r="BJ24" s="214">
        <v>1</v>
      </c>
      <c r="BK24" s="214">
        <v>0</v>
      </c>
      <c r="BL24" s="214">
        <v>0</v>
      </c>
      <c r="BM24" s="214">
        <v>0</v>
      </c>
      <c r="BN24" s="214">
        <v>0</v>
      </c>
      <c r="BO24" s="214">
        <v>0</v>
      </c>
      <c r="BP24" s="215">
        <v>1</v>
      </c>
      <c r="BQ24" s="213" t="s">
        <v>530</v>
      </c>
      <c r="BR24" s="214">
        <v>2</v>
      </c>
      <c r="BS24" s="214">
        <v>0</v>
      </c>
      <c r="BT24" s="214">
        <v>0</v>
      </c>
      <c r="BU24" s="214">
        <v>0</v>
      </c>
      <c r="BV24" s="214">
        <v>1</v>
      </c>
      <c r="BW24" s="214">
        <v>0</v>
      </c>
      <c r="BX24" s="214">
        <v>0</v>
      </c>
      <c r="BY24" s="214">
        <v>0</v>
      </c>
      <c r="BZ24" s="215">
        <v>0</v>
      </c>
      <c r="CA24" s="213" t="s">
        <v>539</v>
      </c>
      <c r="CB24" s="214">
        <v>3</v>
      </c>
      <c r="CC24" s="214">
        <v>0</v>
      </c>
      <c r="CD24" s="214">
        <v>0</v>
      </c>
      <c r="CE24" s="214">
        <v>0</v>
      </c>
      <c r="CF24" s="214">
        <v>0</v>
      </c>
      <c r="CG24" s="214">
        <v>1</v>
      </c>
      <c r="CH24" s="214">
        <v>0</v>
      </c>
      <c r="CI24" s="214">
        <v>0</v>
      </c>
      <c r="CJ24" s="215">
        <v>0</v>
      </c>
      <c r="CK24" s="213" t="s">
        <v>532</v>
      </c>
      <c r="CL24" s="214">
        <v>3</v>
      </c>
      <c r="CM24" s="214">
        <v>0</v>
      </c>
      <c r="CN24" s="214">
        <v>0</v>
      </c>
      <c r="CO24" s="214">
        <v>0</v>
      </c>
      <c r="CP24" s="214">
        <v>0</v>
      </c>
      <c r="CQ24" s="214">
        <v>1</v>
      </c>
      <c r="CR24" s="214">
        <v>0</v>
      </c>
      <c r="CS24" s="214">
        <v>0</v>
      </c>
      <c r="CT24" s="215">
        <v>0</v>
      </c>
      <c r="CU24" s="213" t="s">
        <v>533</v>
      </c>
      <c r="CV24" s="214">
        <v>3</v>
      </c>
      <c r="CW24" s="214">
        <v>0</v>
      </c>
      <c r="CX24" s="214">
        <v>0</v>
      </c>
      <c r="CY24" s="214">
        <v>0</v>
      </c>
      <c r="CZ24" s="214">
        <v>0</v>
      </c>
      <c r="DA24" s="214">
        <v>2</v>
      </c>
      <c r="DB24" s="214">
        <v>0</v>
      </c>
      <c r="DC24" s="214">
        <v>0</v>
      </c>
      <c r="DD24" s="215">
        <v>0</v>
      </c>
      <c r="DE24" s="213" t="s">
        <v>535</v>
      </c>
      <c r="DF24" s="214">
        <v>3</v>
      </c>
      <c r="DG24" s="214">
        <v>0</v>
      </c>
      <c r="DH24" s="214">
        <v>0</v>
      </c>
      <c r="DI24" s="214">
        <v>0</v>
      </c>
      <c r="DJ24" s="214">
        <v>0</v>
      </c>
      <c r="DK24" s="214">
        <v>0</v>
      </c>
      <c r="DL24" s="214">
        <v>0</v>
      </c>
      <c r="DM24" s="214">
        <v>0</v>
      </c>
      <c r="DN24" s="215">
        <v>0</v>
      </c>
      <c r="DO24" s="213" t="s">
        <v>538</v>
      </c>
      <c r="DP24" s="214">
        <v>3</v>
      </c>
      <c r="DQ24" s="214">
        <v>0</v>
      </c>
      <c r="DR24" s="214">
        <v>0</v>
      </c>
      <c r="DS24" s="214">
        <v>0</v>
      </c>
      <c r="DT24" s="214">
        <v>0</v>
      </c>
      <c r="DU24" s="214">
        <v>1</v>
      </c>
      <c r="DV24" s="214">
        <v>0</v>
      </c>
      <c r="DW24" s="214">
        <v>0</v>
      </c>
      <c r="DX24" s="215">
        <v>0</v>
      </c>
      <c r="DY24" s="249">
        <v>0</v>
      </c>
      <c r="DZ24" s="217">
        <v>0</v>
      </c>
      <c r="EA24" s="217">
        <v>0</v>
      </c>
      <c r="EB24" s="250">
        <v>9</v>
      </c>
      <c r="EC24" s="217">
        <v>2</v>
      </c>
      <c r="ED24" s="219">
        <v>1</v>
      </c>
      <c r="EE24" s="220">
        <v>0</v>
      </c>
      <c r="EF24" s="217">
        <v>0</v>
      </c>
      <c r="EG24" s="217">
        <v>0</v>
      </c>
      <c r="EH24" s="217">
        <v>0</v>
      </c>
      <c r="EI24" s="217">
        <v>0</v>
      </c>
      <c r="EJ24" s="217">
        <v>1</v>
      </c>
      <c r="EK24" s="217">
        <v>0</v>
      </c>
      <c r="EL24" s="217">
        <v>0</v>
      </c>
      <c r="EM24" s="217">
        <v>0</v>
      </c>
      <c r="EN24" s="217"/>
      <c r="EO24" s="217"/>
      <c r="EP24" s="217"/>
      <c r="EQ24" s="217"/>
      <c r="ER24" s="219">
        <f t="shared" si="0"/>
        <v>1</v>
      </c>
      <c r="ES24" s="217">
        <v>1</v>
      </c>
      <c r="ET24" s="217">
        <v>0</v>
      </c>
      <c r="EU24" s="217">
        <v>0</v>
      </c>
      <c r="EV24" s="217">
        <v>0</v>
      </c>
      <c r="EW24" s="217">
        <v>0</v>
      </c>
      <c r="EX24" s="217">
        <v>0</v>
      </c>
      <c r="EY24" s="217">
        <v>0</v>
      </c>
      <c r="EZ24" s="217">
        <v>1</v>
      </c>
      <c r="FA24" s="217">
        <v>0</v>
      </c>
      <c r="FB24" s="217"/>
      <c r="FC24" s="217"/>
      <c r="FD24" s="217"/>
      <c r="FE24" s="217"/>
      <c r="FF24" s="217">
        <f t="shared" si="1"/>
        <v>2</v>
      </c>
      <c r="FG24" s="221">
        <f t="shared" si="19"/>
        <v>0</v>
      </c>
      <c r="FH24" s="221">
        <f t="shared" si="20"/>
        <v>0</v>
      </c>
      <c r="FI24" s="221">
        <f t="shared" si="21"/>
        <v>-1</v>
      </c>
      <c r="FJ24" s="221">
        <f t="shared" si="22"/>
        <v>0</v>
      </c>
      <c r="FK24" s="221">
        <f t="shared" si="23"/>
        <v>0</v>
      </c>
      <c r="FL24" s="221">
        <f t="shared" si="24"/>
        <v>0</v>
      </c>
      <c r="FM24" s="221">
        <f t="shared" si="25"/>
        <v>0</v>
      </c>
      <c r="FN24" s="221">
        <f t="shared" si="26"/>
        <v>1</v>
      </c>
      <c r="FO24" s="221">
        <f t="shared" si="27"/>
        <v>0</v>
      </c>
      <c r="FP24" s="221">
        <f t="shared" si="28"/>
        <v>-1</v>
      </c>
      <c r="FQ24" s="221">
        <f t="shared" si="29"/>
        <v>0</v>
      </c>
      <c r="FR24" s="221">
        <f t="shared" si="30"/>
        <v>0</v>
      </c>
      <c r="FS24" s="221">
        <f t="shared" si="31"/>
        <v>0</v>
      </c>
      <c r="FT24" s="221">
        <f t="shared" si="32"/>
        <v>0</v>
      </c>
      <c r="FU24" s="221">
        <f t="shared" si="5"/>
        <v>0</v>
      </c>
      <c r="FV24" s="221">
        <f t="shared" si="33"/>
        <v>-1</v>
      </c>
      <c r="FW24" s="222"/>
    </row>
    <row r="25" spans="1:179" x14ac:dyDescent="0.25">
      <c r="A25" s="204">
        <v>40298</v>
      </c>
      <c r="B25" s="204" t="s">
        <v>133</v>
      </c>
      <c r="C25" s="204" t="s">
        <v>131</v>
      </c>
      <c r="D25" s="204" t="s">
        <v>544</v>
      </c>
      <c r="E25" s="205">
        <v>9297</v>
      </c>
      <c r="F25" s="206">
        <v>2</v>
      </c>
      <c r="G25" s="207" t="s">
        <v>494</v>
      </c>
      <c r="H25" s="208">
        <v>0</v>
      </c>
      <c r="I25" s="208">
        <v>1</v>
      </c>
      <c r="J25" s="247">
        <v>6</v>
      </c>
      <c r="K25" s="208">
        <v>8</v>
      </c>
      <c r="L25" s="208">
        <v>4</v>
      </c>
      <c r="M25" s="208">
        <v>1</v>
      </c>
      <c r="N25" s="208">
        <v>0</v>
      </c>
      <c r="O25" s="208">
        <v>2</v>
      </c>
      <c r="P25" s="208">
        <v>0</v>
      </c>
      <c r="Q25" s="208">
        <v>1</v>
      </c>
      <c r="R25" s="208">
        <v>26</v>
      </c>
      <c r="S25" s="208"/>
      <c r="T25" s="208"/>
      <c r="U25" s="208">
        <v>0</v>
      </c>
      <c r="V25" s="210">
        <v>0</v>
      </c>
      <c r="W25" s="211">
        <v>0</v>
      </c>
      <c r="X25" s="211">
        <v>0</v>
      </c>
      <c r="Y25" s="211">
        <v>0</v>
      </c>
      <c r="Z25" s="211">
        <v>0</v>
      </c>
      <c r="AA25" s="211">
        <v>0</v>
      </c>
      <c r="AB25" s="248">
        <v>2</v>
      </c>
      <c r="AC25" s="211">
        <v>1</v>
      </c>
      <c r="AD25" s="211">
        <v>2</v>
      </c>
      <c r="AE25" s="211">
        <v>2</v>
      </c>
      <c r="AF25" s="211">
        <v>5</v>
      </c>
      <c r="AG25" s="211">
        <v>0</v>
      </c>
      <c r="AH25" s="211">
        <v>0</v>
      </c>
      <c r="AI25" s="211">
        <v>0</v>
      </c>
      <c r="AJ25" s="211">
        <v>11</v>
      </c>
      <c r="AK25" s="211"/>
      <c r="AL25" s="211"/>
      <c r="AM25" s="213" t="s">
        <v>529</v>
      </c>
      <c r="AN25" s="214">
        <v>4</v>
      </c>
      <c r="AO25" s="214">
        <v>0</v>
      </c>
      <c r="AP25" s="214">
        <v>1</v>
      </c>
      <c r="AQ25" s="214">
        <v>1</v>
      </c>
      <c r="AR25" s="214">
        <v>0</v>
      </c>
      <c r="AS25" s="214">
        <v>2</v>
      </c>
      <c r="AT25" s="214">
        <v>0</v>
      </c>
      <c r="AU25" s="214">
        <v>1</v>
      </c>
      <c r="AV25" s="215">
        <v>1</v>
      </c>
      <c r="AW25" s="213" t="s">
        <v>519</v>
      </c>
      <c r="AX25" s="214">
        <v>4</v>
      </c>
      <c r="AY25" s="214">
        <v>1</v>
      </c>
      <c r="AZ25" s="214">
        <v>0</v>
      </c>
      <c r="BA25" s="214">
        <v>0</v>
      </c>
      <c r="BB25" s="214">
        <v>0</v>
      </c>
      <c r="BC25" s="214">
        <v>0</v>
      </c>
      <c r="BD25" s="214">
        <v>1</v>
      </c>
      <c r="BE25" s="214">
        <v>0</v>
      </c>
      <c r="BF25" s="215">
        <v>0</v>
      </c>
      <c r="BG25" s="213" t="s">
        <v>531</v>
      </c>
      <c r="BH25" s="214">
        <v>4</v>
      </c>
      <c r="BI25" s="214">
        <v>0</v>
      </c>
      <c r="BJ25" s="214">
        <v>2</v>
      </c>
      <c r="BK25" s="214">
        <v>0</v>
      </c>
      <c r="BL25" s="214">
        <v>0</v>
      </c>
      <c r="BM25" s="214">
        <v>1</v>
      </c>
      <c r="BN25" s="214">
        <v>1</v>
      </c>
      <c r="BO25" s="214">
        <v>0</v>
      </c>
      <c r="BP25" s="215">
        <v>4</v>
      </c>
      <c r="BQ25" s="213" t="s">
        <v>539</v>
      </c>
      <c r="BR25" s="214">
        <v>3</v>
      </c>
      <c r="BS25" s="214">
        <v>0</v>
      </c>
      <c r="BT25" s="214">
        <v>1</v>
      </c>
      <c r="BU25" s="214">
        <v>0</v>
      </c>
      <c r="BV25" s="214">
        <v>1</v>
      </c>
      <c r="BW25" s="214">
        <v>1</v>
      </c>
      <c r="BX25" s="214">
        <v>0</v>
      </c>
      <c r="BY25" s="214">
        <v>0</v>
      </c>
      <c r="BZ25" s="215">
        <v>1</v>
      </c>
      <c r="CA25" s="213" t="s">
        <v>532</v>
      </c>
      <c r="CB25" s="214">
        <v>4</v>
      </c>
      <c r="CC25" s="214">
        <v>0</v>
      </c>
      <c r="CD25" s="214">
        <v>0</v>
      </c>
      <c r="CE25" s="214">
        <v>0</v>
      </c>
      <c r="CF25" s="214">
        <v>0</v>
      </c>
      <c r="CG25" s="214">
        <v>0</v>
      </c>
      <c r="CH25" s="214">
        <v>0</v>
      </c>
      <c r="CI25" s="214">
        <v>0</v>
      </c>
      <c r="CJ25" s="215">
        <v>0</v>
      </c>
      <c r="CK25" s="213" t="s">
        <v>543</v>
      </c>
      <c r="CL25" s="214">
        <v>3</v>
      </c>
      <c r="CM25" s="214">
        <v>0</v>
      </c>
      <c r="CN25" s="214">
        <v>0</v>
      </c>
      <c r="CO25" s="214">
        <v>0</v>
      </c>
      <c r="CP25" s="214">
        <v>1</v>
      </c>
      <c r="CQ25" s="214">
        <v>0</v>
      </c>
      <c r="CR25" s="214">
        <v>0</v>
      </c>
      <c r="CS25" s="214">
        <v>0</v>
      </c>
      <c r="CT25" s="215">
        <v>0</v>
      </c>
      <c r="CU25" s="213" t="s">
        <v>426</v>
      </c>
      <c r="CV25" s="214">
        <v>4</v>
      </c>
      <c r="CW25" s="214">
        <v>0</v>
      </c>
      <c r="CX25" s="214">
        <v>1</v>
      </c>
      <c r="CY25" s="214">
        <v>0</v>
      </c>
      <c r="CZ25" s="214">
        <v>0</v>
      </c>
      <c r="DA25" s="214">
        <v>0</v>
      </c>
      <c r="DB25" s="214">
        <v>0</v>
      </c>
      <c r="DC25" s="214">
        <v>0</v>
      </c>
      <c r="DD25" s="215">
        <v>1</v>
      </c>
      <c r="DE25" s="213" t="s">
        <v>535</v>
      </c>
      <c r="DF25" s="214">
        <v>3</v>
      </c>
      <c r="DG25" s="214">
        <v>1</v>
      </c>
      <c r="DH25" s="214">
        <v>1</v>
      </c>
      <c r="DI25" s="214">
        <v>0</v>
      </c>
      <c r="DJ25" s="214">
        <v>0</v>
      </c>
      <c r="DK25" s="214">
        <v>2</v>
      </c>
      <c r="DL25" s="214">
        <v>1</v>
      </c>
      <c r="DM25" s="214">
        <v>0</v>
      </c>
      <c r="DN25" s="215">
        <v>1</v>
      </c>
      <c r="DO25" s="213" t="s">
        <v>285</v>
      </c>
      <c r="DP25" s="214">
        <v>3</v>
      </c>
      <c r="DQ25" s="214">
        <v>0</v>
      </c>
      <c r="DR25" s="214">
        <v>1</v>
      </c>
      <c r="DS25" s="214">
        <v>0</v>
      </c>
      <c r="DT25" s="214">
        <v>0</v>
      </c>
      <c r="DU25" s="214">
        <v>0</v>
      </c>
      <c r="DV25" s="214">
        <v>0</v>
      </c>
      <c r="DW25" s="214">
        <v>0</v>
      </c>
      <c r="DX25" s="215">
        <v>1</v>
      </c>
      <c r="DY25" s="249">
        <f>1+1/3</f>
        <v>1.3333333333333333</v>
      </c>
      <c r="DZ25" s="217">
        <v>0</v>
      </c>
      <c r="EA25" s="217">
        <v>0</v>
      </c>
      <c r="EB25" s="250">
        <f>7+2/3</f>
        <v>7.666666666666667</v>
      </c>
      <c r="EC25" s="217">
        <v>1</v>
      </c>
      <c r="ED25" s="219">
        <v>0</v>
      </c>
      <c r="EE25" s="220">
        <v>0</v>
      </c>
      <c r="EF25" s="217">
        <v>0</v>
      </c>
      <c r="EG25" s="217">
        <v>0</v>
      </c>
      <c r="EH25" s="217">
        <v>0</v>
      </c>
      <c r="EI25" s="217">
        <v>2</v>
      </c>
      <c r="EJ25" s="217">
        <v>0</v>
      </c>
      <c r="EK25" s="217">
        <v>0</v>
      </c>
      <c r="EL25" s="217">
        <v>0</v>
      </c>
      <c r="EM25" s="217">
        <v>0</v>
      </c>
      <c r="EN25" s="217"/>
      <c r="EO25" s="217"/>
      <c r="EP25" s="217"/>
      <c r="EQ25" s="217"/>
      <c r="ER25" s="219">
        <f t="shared" si="0"/>
        <v>2</v>
      </c>
      <c r="ES25" s="217">
        <v>0</v>
      </c>
      <c r="ET25" s="217">
        <v>3</v>
      </c>
      <c r="EU25" s="217">
        <v>0</v>
      </c>
      <c r="EV25" s="217">
        <v>1</v>
      </c>
      <c r="EW25" s="217">
        <v>0</v>
      </c>
      <c r="EX25" s="217">
        <v>0</v>
      </c>
      <c r="EY25" s="217">
        <v>0</v>
      </c>
      <c r="EZ25" s="217">
        <v>2</v>
      </c>
      <c r="FA25" s="217"/>
      <c r="FB25" s="217"/>
      <c r="FC25" s="217"/>
      <c r="FD25" s="217"/>
      <c r="FE25" s="217"/>
      <c r="FF25" s="217">
        <f t="shared" si="1"/>
        <v>6</v>
      </c>
      <c r="FG25" s="221">
        <f t="shared" si="19"/>
        <v>0</v>
      </c>
      <c r="FH25" s="221">
        <f t="shared" si="20"/>
        <v>0</v>
      </c>
      <c r="FI25" s="221">
        <f t="shared" si="21"/>
        <v>0</v>
      </c>
      <c r="FJ25" s="221">
        <f t="shared" si="22"/>
        <v>-3</v>
      </c>
      <c r="FK25" s="221">
        <f t="shared" si="23"/>
        <v>0</v>
      </c>
      <c r="FL25" s="221">
        <f t="shared" si="24"/>
        <v>-1</v>
      </c>
      <c r="FM25" s="221">
        <f t="shared" si="25"/>
        <v>2</v>
      </c>
      <c r="FN25" s="221">
        <f t="shared" si="26"/>
        <v>0</v>
      </c>
      <c r="FO25" s="221">
        <f t="shared" si="27"/>
        <v>0</v>
      </c>
      <c r="FP25" s="221">
        <f t="shared" si="28"/>
        <v>-2</v>
      </c>
      <c r="FQ25" s="221">
        <f t="shared" si="29"/>
        <v>0</v>
      </c>
      <c r="FR25" s="221">
        <f t="shared" si="30"/>
        <v>0</v>
      </c>
      <c r="FS25" s="221">
        <f t="shared" si="31"/>
        <v>0</v>
      </c>
      <c r="FT25" s="221">
        <f t="shared" si="32"/>
        <v>0</v>
      </c>
      <c r="FU25" s="221">
        <f t="shared" si="5"/>
        <v>0</v>
      </c>
      <c r="FV25" s="221">
        <f t="shared" si="33"/>
        <v>-4</v>
      </c>
      <c r="FW25" s="222"/>
    </row>
    <row r="26" spans="1:179" x14ac:dyDescent="0.25">
      <c r="A26" s="204">
        <v>40299</v>
      </c>
      <c r="B26" s="204" t="s">
        <v>133</v>
      </c>
      <c r="C26" s="204" t="s">
        <v>131</v>
      </c>
      <c r="D26" s="204" t="s">
        <v>544</v>
      </c>
      <c r="E26" s="205">
        <v>8755</v>
      </c>
      <c r="F26" s="206">
        <v>3</v>
      </c>
      <c r="G26" s="207" t="s">
        <v>536</v>
      </c>
      <c r="H26" s="208">
        <v>0</v>
      </c>
      <c r="I26" s="208">
        <v>1</v>
      </c>
      <c r="J26" s="247">
        <v>4</v>
      </c>
      <c r="K26" s="208">
        <v>7</v>
      </c>
      <c r="L26" s="208">
        <v>5</v>
      </c>
      <c r="M26" s="208">
        <v>5</v>
      </c>
      <c r="N26" s="208">
        <v>1</v>
      </c>
      <c r="O26" s="208">
        <v>2</v>
      </c>
      <c r="P26" s="208">
        <v>2</v>
      </c>
      <c r="Q26" s="208">
        <v>0</v>
      </c>
      <c r="R26" s="208">
        <v>20</v>
      </c>
      <c r="S26" s="208"/>
      <c r="T26" s="208"/>
      <c r="U26" s="208">
        <v>0</v>
      </c>
      <c r="V26" s="210">
        <v>0</v>
      </c>
      <c r="W26" s="211">
        <v>0</v>
      </c>
      <c r="X26" s="211">
        <v>0</v>
      </c>
      <c r="Y26" s="211">
        <v>0</v>
      </c>
      <c r="Z26" s="211">
        <v>0</v>
      </c>
      <c r="AA26" s="211">
        <v>0</v>
      </c>
      <c r="AB26" s="248">
        <v>4</v>
      </c>
      <c r="AC26" s="211">
        <v>1</v>
      </c>
      <c r="AD26" s="211">
        <v>0</v>
      </c>
      <c r="AE26" s="211">
        <v>0</v>
      </c>
      <c r="AF26" s="211">
        <v>0</v>
      </c>
      <c r="AG26" s="211">
        <v>5</v>
      </c>
      <c r="AH26" s="211">
        <v>0</v>
      </c>
      <c r="AI26" s="211">
        <v>0</v>
      </c>
      <c r="AJ26" s="211">
        <v>13</v>
      </c>
      <c r="AK26" s="211"/>
      <c r="AL26" s="211"/>
      <c r="AM26" s="213" t="s">
        <v>519</v>
      </c>
      <c r="AN26" s="214">
        <v>4</v>
      </c>
      <c r="AO26" s="214">
        <v>1</v>
      </c>
      <c r="AP26" s="214">
        <v>3</v>
      </c>
      <c r="AQ26" s="214">
        <v>1</v>
      </c>
      <c r="AR26" s="214">
        <v>1</v>
      </c>
      <c r="AS26" s="214">
        <v>0</v>
      </c>
      <c r="AT26" s="214">
        <v>0</v>
      </c>
      <c r="AU26" s="214">
        <v>0</v>
      </c>
      <c r="AV26" s="215">
        <v>3</v>
      </c>
      <c r="AW26" s="213" t="s">
        <v>534</v>
      </c>
      <c r="AX26" s="214">
        <v>5</v>
      </c>
      <c r="AY26" s="214">
        <v>1</v>
      </c>
      <c r="AZ26" s="214">
        <v>2</v>
      </c>
      <c r="BA26" s="214">
        <v>0</v>
      </c>
      <c r="BB26" s="214">
        <v>0</v>
      </c>
      <c r="BC26" s="214">
        <v>1</v>
      </c>
      <c r="BD26" s="214">
        <v>0</v>
      </c>
      <c r="BE26" s="214">
        <v>0</v>
      </c>
      <c r="BF26" s="215">
        <v>2</v>
      </c>
      <c r="BG26" s="213" t="s">
        <v>531</v>
      </c>
      <c r="BH26" s="214">
        <v>5</v>
      </c>
      <c r="BI26" s="214">
        <v>0</v>
      </c>
      <c r="BJ26" s="214">
        <v>1</v>
      </c>
      <c r="BK26" s="214">
        <v>1</v>
      </c>
      <c r="BL26" s="214">
        <v>0</v>
      </c>
      <c r="BM26" s="214">
        <v>0</v>
      </c>
      <c r="BN26" s="214">
        <v>0</v>
      </c>
      <c r="BO26" s="214">
        <v>0</v>
      </c>
      <c r="BP26" s="215">
        <v>2</v>
      </c>
      <c r="BQ26" s="213" t="s">
        <v>539</v>
      </c>
      <c r="BR26" s="214">
        <v>5</v>
      </c>
      <c r="BS26" s="214">
        <v>0</v>
      </c>
      <c r="BT26" s="214">
        <v>1</v>
      </c>
      <c r="BU26" s="214">
        <v>0</v>
      </c>
      <c r="BV26" s="214">
        <v>0</v>
      </c>
      <c r="BW26" s="214">
        <v>2</v>
      </c>
      <c r="BX26" s="214">
        <v>0</v>
      </c>
      <c r="BY26" s="214">
        <v>0</v>
      </c>
      <c r="BZ26" s="215">
        <v>1</v>
      </c>
      <c r="CA26" s="213" t="s">
        <v>530</v>
      </c>
      <c r="CB26" s="214">
        <v>5</v>
      </c>
      <c r="CC26" s="214">
        <v>0</v>
      </c>
      <c r="CD26" s="214">
        <v>2</v>
      </c>
      <c r="CE26" s="214">
        <v>1</v>
      </c>
      <c r="CF26" s="214">
        <v>0</v>
      </c>
      <c r="CG26" s="214">
        <v>1</v>
      </c>
      <c r="CH26" s="214">
        <v>0</v>
      </c>
      <c r="CI26" s="214">
        <v>0</v>
      </c>
      <c r="CJ26" s="215">
        <v>2</v>
      </c>
      <c r="CK26" s="213" t="s">
        <v>532</v>
      </c>
      <c r="CL26" s="214">
        <v>3</v>
      </c>
      <c r="CM26" s="214">
        <v>0</v>
      </c>
      <c r="CN26" s="214">
        <v>1</v>
      </c>
      <c r="CO26" s="214">
        <v>0</v>
      </c>
      <c r="CP26" s="214">
        <v>1</v>
      </c>
      <c r="CQ26" s="214">
        <v>1</v>
      </c>
      <c r="CR26" s="214">
        <v>0</v>
      </c>
      <c r="CS26" s="214">
        <v>0</v>
      </c>
      <c r="CT26" s="215">
        <v>1</v>
      </c>
      <c r="CU26" s="213" t="s">
        <v>529</v>
      </c>
      <c r="CV26" s="214">
        <v>3</v>
      </c>
      <c r="CW26" s="214">
        <v>0</v>
      </c>
      <c r="CX26" s="214">
        <v>0</v>
      </c>
      <c r="CY26" s="214">
        <v>0</v>
      </c>
      <c r="CZ26" s="214">
        <v>1</v>
      </c>
      <c r="DA26" s="214">
        <v>0</v>
      </c>
      <c r="DB26" s="214">
        <v>0</v>
      </c>
      <c r="DC26" s="214">
        <v>0</v>
      </c>
      <c r="DD26" s="215">
        <v>0</v>
      </c>
      <c r="DE26" s="213" t="s">
        <v>535</v>
      </c>
      <c r="DF26" s="214">
        <v>4</v>
      </c>
      <c r="DG26" s="214">
        <v>1</v>
      </c>
      <c r="DH26" s="214">
        <v>2</v>
      </c>
      <c r="DI26" s="214">
        <v>0</v>
      </c>
      <c r="DJ26" s="214">
        <v>0</v>
      </c>
      <c r="DK26" s="214">
        <v>1</v>
      </c>
      <c r="DL26" s="214">
        <v>0</v>
      </c>
      <c r="DM26" s="214">
        <v>0</v>
      </c>
      <c r="DN26" s="215">
        <v>3</v>
      </c>
      <c r="DO26" s="213" t="s">
        <v>285</v>
      </c>
      <c r="DP26" s="214">
        <v>2</v>
      </c>
      <c r="DQ26" s="214">
        <v>0</v>
      </c>
      <c r="DR26" s="214">
        <v>0</v>
      </c>
      <c r="DS26" s="214">
        <v>0</v>
      </c>
      <c r="DT26" s="214">
        <v>2</v>
      </c>
      <c r="DU26" s="214">
        <v>0</v>
      </c>
      <c r="DV26" s="214">
        <v>0</v>
      </c>
      <c r="DW26" s="214">
        <v>0</v>
      </c>
      <c r="DX26" s="215">
        <v>0</v>
      </c>
      <c r="DY26" s="249">
        <v>0</v>
      </c>
      <c r="DZ26" s="217">
        <v>0</v>
      </c>
      <c r="EA26" s="217">
        <v>0</v>
      </c>
      <c r="EB26" s="250">
        <v>9</v>
      </c>
      <c r="EC26" s="217">
        <v>1</v>
      </c>
      <c r="ED26" s="219">
        <v>0</v>
      </c>
      <c r="EE26" s="220">
        <v>0</v>
      </c>
      <c r="EF26" s="217">
        <v>0</v>
      </c>
      <c r="EG26" s="217">
        <v>1</v>
      </c>
      <c r="EH26" s="217">
        <v>0</v>
      </c>
      <c r="EI26" s="217">
        <v>1</v>
      </c>
      <c r="EJ26" s="217">
        <v>0</v>
      </c>
      <c r="EK26" s="217">
        <v>0</v>
      </c>
      <c r="EL26" s="217">
        <v>0</v>
      </c>
      <c r="EM26" s="217">
        <v>1</v>
      </c>
      <c r="EN26" s="217"/>
      <c r="EO26" s="217"/>
      <c r="EP26" s="217"/>
      <c r="EQ26" s="217"/>
      <c r="ER26" s="219">
        <f t="shared" si="0"/>
        <v>3</v>
      </c>
      <c r="ES26" s="217">
        <v>4</v>
      </c>
      <c r="ET26" s="217">
        <v>1</v>
      </c>
      <c r="EU26" s="217">
        <v>0</v>
      </c>
      <c r="EV26" s="217">
        <v>0</v>
      </c>
      <c r="EW26" s="217">
        <v>0</v>
      </c>
      <c r="EX26" s="217">
        <v>0</v>
      </c>
      <c r="EY26" s="217">
        <v>0</v>
      </c>
      <c r="EZ26" s="217">
        <v>0</v>
      </c>
      <c r="FA26" s="217"/>
      <c r="FB26" s="217"/>
      <c r="FC26" s="217"/>
      <c r="FD26" s="217"/>
      <c r="FE26" s="217"/>
      <c r="FF26" s="217">
        <f t="shared" si="1"/>
        <v>5</v>
      </c>
      <c r="FG26" s="221">
        <f t="shared" si="19"/>
        <v>0</v>
      </c>
      <c r="FH26" s="221">
        <f t="shared" si="20"/>
        <v>0</v>
      </c>
      <c r="FI26" s="221">
        <f t="shared" si="21"/>
        <v>-4</v>
      </c>
      <c r="FJ26" s="221">
        <f t="shared" si="22"/>
        <v>-1</v>
      </c>
      <c r="FK26" s="221">
        <f t="shared" si="23"/>
        <v>1</v>
      </c>
      <c r="FL26" s="221">
        <f t="shared" si="24"/>
        <v>0</v>
      </c>
      <c r="FM26" s="221">
        <f t="shared" si="25"/>
        <v>1</v>
      </c>
      <c r="FN26" s="221">
        <f t="shared" si="26"/>
        <v>0</v>
      </c>
      <c r="FO26" s="221">
        <f t="shared" si="27"/>
        <v>0</v>
      </c>
      <c r="FP26" s="221">
        <f t="shared" si="28"/>
        <v>0</v>
      </c>
      <c r="FQ26" s="221">
        <f t="shared" si="29"/>
        <v>1</v>
      </c>
      <c r="FR26" s="221">
        <f t="shared" si="30"/>
        <v>0</v>
      </c>
      <c r="FS26" s="221">
        <f t="shared" si="31"/>
        <v>0</v>
      </c>
      <c r="FT26" s="221">
        <f t="shared" si="32"/>
        <v>0</v>
      </c>
      <c r="FU26" s="221">
        <f t="shared" si="5"/>
        <v>0</v>
      </c>
      <c r="FV26" s="221">
        <f t="shared" si="33"/>
        <v>-2</v>
      </c>
      <c r="FW26" s="222" t="s">
        <v>559</v>
      </c>
    </row>
    <row r="27" spans="1:179" x14ac:dyDescent="0.25">
      <c r="A27" s="204">
        <v>40301</v>
      </c>
      <c r="B27" s="204" t="s">
        <v>133</v>
      </c>
      <c r="C27" s="204" t="s">
        <v>131</v>
      </c>
      <c r="D27" s="204" t="s">
        <v>544</v>
      </c>
      <c r="E27" s="205">
        <v>8492</v>
      </c>
      <c r="F27" s="206">
        <v>4</v>
      </c>
      <c r="G27" s="207" t="s">
        <v>545</v>
      </c>
      <c r="H27" s="208">
        <v>0</v>
      </c>
      <c r="I27" s="208">
        <v>0</v>
      </c>
      <c r="J27" s="247">
        <v>5</v>
      </c>
      <c r="K27" s="208">
        <v>8</v>
      </c>
      <c r="L27" s="208">
        <v>3</v>
      </c>
      <c r="M27" s="208">
        <v>3</v>
      </c>
      <c r="N27" s="208">
        <v>1</v>
      </c>
      <c r="O27" s="208">
        <v>2</v>
      </c>
      <c r="P27" s="208">
        <v>0</v>
      </c>
      <c r="Q27" s="208">
        <v>0</v>
      </c>
      <c r="R27" s="208">
        <v>22</v>
      </c>
      <c r="S27" s="208"/>
      <c r="T27" s="208"/>
      <c r="U27" s="208">
        <v>0</v>
      </c>
      <c r="V27" s="210">
        <v>0</v>
      </c>
      <c r="W27" s="211">
        <v>0</v>
      </c>
      <c r="X27" s="211">
        <v>1</v>
      </c>
      <c r="Y27" s="211">
        <v>0</v>
      </c>
      <c r="Z27" s="211">
        <v>0</v>
      </c>
      <c r="AA27" s="211">
        <v>1</v>
      </c>
      <c r="AB27" s="248">
        <v>3</v>
      </c>
      <c r="AC27" s="211">
        <v>8</v>
      </c>
      <c r="AD27" s="211">
        <v>7</v>
      </c>
      <c r="AE27" s="211">
        <v>7</v>
      </c>
      <c r="AF27" s="211">
        <v>2</v>
      </c>
      <c r="AG27" s="211">
        <v>1</v>
      </c>
      <c r="AH27" s="211">
        <v>0</v>
      </c>
      <c r="AI27" s="211">
        <v>1</v>
      </c>
      <c r="AJ27" s="211">
        <v>19</v>
      </c>
      <c r="AK27" s="211"/>
      <c r="AL27" s="211"/>
      <c r="AM27" s="213" t="s">
        <v>535</v>
      </c>
      <c r="AN27" s="214">
        <v>3</v>
      </c>
      <c r="AO27" s="214">
        <v>1</v>
      </c>
      <c r="AP27" s="214">
        <v>1</v>
      </c>
      <c r="AQ27" s="214">
        <v>1</v>
      </c>
      <c r="AR27" s="214">
        <v>1</v>
      </c>
      <c r="AS27" s="214">
        <v>2</v>
      </c>
      <c r="AT27" s="214">
        <v>0</v>
      </c>
      <c r="AU27" s="214">
        <v>0</v>
      </c>
      <c r="AV27" s="215">
        <v>1</v>
      </c>
      <c r="AW27" s="213" t="s">
        <v>534</v>
      </c>
      <c r="AX27" s="214">
        <v>2</v>
      </c>
      <c r="AY27" s="214">
        <v>1</v>
      </c>
      <c r="AZ27" s="214">
        <v>0</v>
      </c>
      <c r="BA27" s="214">
        <v>0</v>
      </c>
      <c r="BB27" s="214">
        <v>2</v>
      </c>
      <c r="BC27" s="214">
        <v>0</v>
      </c>
      <c r="BD27" s="214">
        <v>0</v>
      </c>
      <c r="BE27" s="214">
        <v>0</v>
      </c>
      <c r="BF27" s="215">
        <v>0</v>
      </c>
      <c r="BG27" s="213" t="s">
        <v>531</v>
      </c>
      <c r="BH27" s="214">
        <v>4</v>
      </c>
      <c r="BI27" s="214">
        <v>1</v>
      </c>
      <c r="BJ27" s="214">
        <v>1</v>
      </c>
      <c r="BK27" s="214">
        <v>3</v>
      </c>
      <c r="BL27" s="214">
        <v>1</v>
      </c>
      <c r="BM27" s="214">
        <v>1</v>
      </c>
      <c r="BN27" s="214">
        <v>0</v>
      </c>
      <c r="BO27" s="214">
        <v>0</v>
      </c>
      <c r="BP27" s="215">
        <v>4</v>
      </c>
      <c r="BQ27" s="213" t="s">
        <v>530</v>
      </c>
      <c r="BR27" s="214">
        <v>4</v>
      </c>
      <c r="BS27" s="214">
        <v>0</v>
      </c>
      <c r="BT27" s="214">
        <v>1</v>
      </c>
      <c r="BU27" s="214">
        <v>0</v>
      </c>
      <c r="BV27" s="214">
        <v>1</v>
      </c>
      <c r="BW27" s="214">
        <v>2</v>
      </c>
      <c r="BX27" s="214">
        <v>0</v>
      </c>
      <c r="BY27" s="214">
        <v>0</v>
      </c>
      <c r="BZ27" s="215">
        <v>2</v>
      </c>
      <c r="CA27" s="213" t="s">
        <v>533</v>
      </c>
      <c r="CB27" s="214">
        <v>4</v>
      </c>
      <c r="CC27" s="214">
        <v>1</v>
      </c>
      <c r="CD27" s="214">
        <v>1</v>
      </c>
      <c r="CE27" s="214">
        <v>0</v>
      </c>
      <c r="CF27" s="214">
        <v>1</v>
      </c>
      <c r="CG27" s="214">
        <v>2</v>
      </c>
      <c r="CH27" s="214">
        <v>0</v>
      </c>
      <c r="CI27" s="214">
        <v>0</v>
      </c>
      <c r="CJ27" s="215">
        <v>2</v>
      </c>
      <c r="CK27" s="213" t="s">
        <v>529</v>
      </c>
      <c r="CL27" s="214">
        <v>5</v>
      </c>
      <c r="CM27" s="214">
        <v>0</v>
      </c>
      <c r="CN27" s="214">
        <v>1</v>
      </c>
      <c r="CO27" s="214">
        <v>1</v>
      </c>
      <c r="CP27" s="214">
        <v>0</v>
      </c>
      <c r="CQ27" s="214">
        <v>2</v>
      </c>
      <c r="CR27" s="214">
        <v>0</v>
      </c>
      <c r="CS27" s="214">
        <v>0</v>
      </c>
      <c r="CT27" s="215">
        <v>1</v>
      </c>
      <c r="CU27" s="213" t="s">
        <v>532</v>
      </c>
      <c r="CV27" s="214">
        <v>4</v>
      </c>
      <c r="CW27" s="214">
        <v>1</v>
      </c>
      <c r="CX27" s="214">
        <v>3</v>
      </c>
      <c r="CY27" s="214">
        <v>0</v>
      </c>
      <c r="CZ27" s="214">
        <v>0</v>
      </c>
      <c r="DA27" s="214">
        <v>1</v>
      </c>
      <c r="DB27" s="214">
        <v>0</v>
      </c>
      <c r="DC27" s="214">
        <v>0</v>
      </c>
      <c r="DD27" s="215">
        <v>5</v>
      </c>
      <c r="DE27" s="213" t="s">
        <v>543</v>
      </c>
      <c r="DF27" s="214">
        <v>3</v>
      </c>
      <c r="DG27" s="214">
        <v>0</v>
      </c>
      <c r="DH27" s="214">
        <v>0</v>
      </c>
      <c r="DI27" s="214">
        <v>0</v>
      </c>
      <c r="DJ27" s="214">
        <v>1</v>
      </c>
      <c r="DK27" s="214">
        <v>0</v>
      </c>
      <c r="DL27" s="214">
        <v>0</v>
      </c>
      <c r="DM27" s="214">
        <v>0</v>
      </c>
      <c r="DN27" s="215">
        <v>0</v>
      </c>
      <c r="DO27" s="213" t="s">
        <v>538</v>
      </c>
      <c r="DP27" s="214">
        <v>4</v>
      </c>
      <c r="DQ27" s="214">
        <v>0</v>
      </c>
      <c r="DR27" s="214">
        <v>1</v>
      </c>
      <c r="DS27" s="214">
        <v>0</v>
      </c>
      <c r="DT27" s="214">
        <v>0</v>
      </c>
      <c r="DU27" s="214">
        <v>2</v>
      </c>
      <c r="DV27" s="214">
        <v>0</v>
      </c>
      <c r="DW27" s="214">
        <v>0</v>
      </c>
      <c r="DX27" s="215">
        <v>1</v>
      </c>
      <c r="DY27" s="249">
        <v>8</v>
      </c>
      <c r="DZ27" s="217">
        <v>0</v>
      </c>
      <c r="EA27" s="217">
        <v>0</v>
      </c>
      <c r="EB27" s="250">
        <v>1</v>
      </c>
      <c r="EC27" s="217">
        <v>1</v>
      </c>
      <c r="ED27" s="219">
        <v>0</v>
      </c>
      <c r="EE27" s="220">
        <v>0</v>
      </c>
      <c r="EF27" s="217">
        <v>1</v>
      </c>
      <c r="EG27" s="217">
        <v>0</v>
      </c>
      <c r="EH27" s="217">
        <v>0</v>
      </c>
      <c r="EI27" s="217">
        <v>4</v>
      </c>
      <c r="EJ27" s="217">
        <v>0</v>
      </c>
      <c r="EK27" s="217">
        <v>0</v>
      </c>
      <c r="EL27" s="217">
        <v>0</v>
      </c>
      <c r="EM27" s="217">
        <v>0</v>
      </c>
      <c r="EN27" s="217"/>
      <c r="EO27" s="217"/>
      <c r="EP27" s="217"/>
      <c r="EQ27" s="217"/>
      <c r="ER27" s="219">
        <f t="shared" si="0"/>
        <v>5</v>
      </c>
      <c r="ES27" s="217">
        <v>0</v>
      </c>
      <c r="ET27" s="217">
        <v>0</v>
      </c>
      <c r="EU27" s="217">
        <v>1</v>
      </c>
      <c r="EV27" s="217">
        <v>0</v>
      </c>
      <c r="EW27" s="217">
        <v>2</v>
      </c>
      <c r="EX27" s="217">
        <v>4</v>
      </c>
      <c r="EY27" s="217">
        <v>3</v>
      </c>
      <c r="EZ27" s="217">
        <v>0</v>
      </c>
      <c r="FA27" s="217"/>
      <c r="FB27" s="217"/>
      <c r="FC27" s="217"/>
      <c r="FD27" s="217"/>
      <c r="FE27" s="217"/>
      <c r="FF27" s="217">
        <f t="shared" si="1"/>
        <v>10</v>
      </c>
      <c r="FG27" s="221">
        <f t="shared" si="19"/>
        <v>0</v>
      </c>
      <c r="FH27" s="221">
        <f t="shared" si="20"/>
        <v>0</v>
      </c>
      <c r="FI27" s="221">
        <f t="shared" si="21"/>
        <v>0</v>
      </c>
      <c r="FJ27" s="221">
        <f t="shared" si="22"/>
        <v>1</v>
      </c>
      <c r="FK27" s="221">
        <f t="shared" si="23"/>
        <v>-1</v>
      </c>
      <c r="FL27" s="221">
        <f t="shared" si="24"/>
        <v>0</v>
      </c>
      <c r="FM27" s="221">
        <f t="shared" si="25"/>
        <v>2</v>
      </c>
      <c r="FN27" s="221">
        <f t="shared" si="26"/>
        <v>-4</v>
      </c>
      <c r="FO27" s="221">
        <f t="shared" si="27"/>
        <v>-3</v>
      </c>
      <c r="FP27" s="221">
        <f t="shared" si="28"/>
        <v>0</v>
      </c>
      <c r="FQ27" s="221">
        <f t="shared" si="29"/>
        <v>0</v>
      </c>
      <c r="FR27" s="221">
        <f t="shared" si="30"/>
        <v>0</v>
      </c>
      <c r="FS27" s="221">
        <f t="shared" si="31"/>
        <v>0</v>
      </c>
      <c r="FT27" s="221">
        <f t="shared" si="32"/>
        <v>0</v>
      </c>
      <c r="FU27" s="221">
        <f t="shared" si="5"/>
        <v>0</v>
      </c>
      <c r="FV27" s="221">
        <f t="shared" si="33"/>
        <v>-5</v>
      </c>
      <c r="FW27" s="222"/>
    </row>
    <row r="28" spans="1:179" x14ac:dyDescent="0.25">
      <c r="A28" s="204">
        <v>40302</v>
      </c>
      <c r="B28" s="204" t="s">
        <v>19</v>
      </c>
      <c r="C28" s="204" t="s">
        <v>129</v>
      </c>
      <c r="D28" s="204" t="s">
        <v>537</v>
      </c>
      <c r="E28" s="205">
        <v>2276</v>
      </c>
      <c r="F28" s="206">
        <v>5</v>
      </c>
      <c r="G28" s="207" t="s">
        <v>546</v>
      </c>
      <c r="H28" s="208">
        <v>0</v>
      </c>
      <c r="I28" s="208">
        <v>0</v>
      </c>
      <c r="J28" s="247">
        <f>5+1/3</f>
        <v>5.333333333333333</v>
      </c>
      <c r="K28" s="208">
        <v>7</v>
      </c>
      <c r="L28" s="208">
        <v>4</v>
      </c>
      <c r="M28" s="208">
        <v>4</v>
      </c>
      <c r="N28" s="208">
        <v>1</v>
      </c>
      <c r="O28" s="208">
        <v>3</v>
      </c>
      <c r="P28" s="208">
        <v>1</v>
      </c>
      <c r="Q28" s="208">
        <v>0</v>
      </c>
      <c r="R28" s="208">
        <v>22</v>
      </c>
      <c r="S28" s="208"/>
      <c r="T28" s="208"/>
      <c r="U28" s="208">
        <v>1</v>
      </c>
      <c r="V28" s="210">
        <v>1</v>
      </c>
      <c r="W28" s="211">
        <v>1</v>
      </c>
      <c r="X28" s="211">
        <v>0</v>
      </c>
      <c r="Y28" s="211">
        <v>0</v>
      </c>
      <c r="Z28" s="211">
        <v>0</v>
      </c>
      <c r="AA28" s="211">
        <v>1</v>
      </c>
      <c r="AB28" s="248">
        <f>3+2/3</f>
        <v>3.6666666666666665</v>
      </c>
      <c r="AC28" s="211">
        <v>2</v>
      </c>
      <c r="AD28" s="211">
        <v>0</v>
      </c>
      <c r="AE28" s="211">
        <v>0</v>
      </c>
      <c r="AF28" s="211">
        <v>1</v>
      </c>
      <c r="AG28" s="211">
        <v>4</v>
      </c>
      <c r="AH28" s="211">
        <v>0</v>
      </c>
      <c r="AI28" s="211">
        <v>0</v>
      </c>
      <c r="AJ28" s="211">
        <v>14</v>
      </c>
      <c r="AK28" s="211"/>
      <c r="AL28" s="211"/>
      <c r="AM28" s="213" t="s">
        <v>534</v>
      </c>
      <c r="AN28" s="214">
        <v>3</v>
      </c>
      <c r="AO28" s="214">
        <v>1</v>
      </c>
      <c r="AP28" s="214">
        <v>1</v>
      </c>
      <c r="AQ28" s="214">
        <v>0</v>
      </c>
      <c r="AR28" s="214">
        <v>1</v>
      </c>
      <c r="AS28" s="214">
        <v>0</v>
      </c>
      <c r="AT28" s="214">
        <v>0</v>
      </c>
      <c r="AU28" s="214">
        <v>0</v>
      </c>
      <c r="AV28" s="215">
        <v>1</v>
      </c>
      <c r="AW28" s="213" t="s">
        <v>529</v>
      </c>
      <c r="AX28" s="214">
        <v>4</v>
      </c>
      <c r="AY28" s="214">
        <v>0</v>
      </c>
      <c r="AZ28" s="214">
        <v>2</v>
      </c>
      <c r="BA28" s="214">
        <v>2</v>
      </c>
      <c r="BB28" s="214">
        <v>0</v>
      </c>
      <c r="BC28" s="214">
        <v>2</v>
      </c>
      <c r="BD28" s="214">
        <v>0</v>
      </c>
      <c r="BE28" s="214">
        <v>0</v>
      </c>
      <c r="BF28" s="215">
        <v>2</v>
      </c>
      <c r="BG28" s="213" t="s">
        <v>531</v>
      </c>
      <c r="BH28" s="214">
        <v>4</v>
      </c>
      <c r="BI28" s="214">
        <v>1</v>
      </c>
      <c r="BJ28" s="214">
        <v>2</v>
      </c>
      <c r="BK28" s="214">
        <v>0</v>
      </c>
      <c r="BL28" s="214">
        <v>0</v>
      </c>
      <c r="BM28" s="214">
        <v>1</v>
      </c>
      <c r="BN28" s="214">
        <v>0</v>
      </c>
      <c r="BO28" s="214">
        <v>0</v>
      </c>
      <c r="BP28" s="215">
        <v>2</v>
      </c>
      <c r="BQ28" s="213" t="s">
        <v>539</v>
      </c>
      <c r="BR28" s="214">
        <v>4</v>
      </c>
      <c r="BS28" s="214">
        <v>0</v>
      </c>
      <c r="BT28" s="214">
        <v>1</v>
      </c>
      <c r="BU28" s="214">
        <v>2</v>
      </c>
      <c r="BV28" s="214">
        <v>0</v>
      </c>
      <c r="BW28" s="214">
        <v>1</v>
      </c>
      <c r="BX28" s="214">
        <v>0</v>
      </c>
      <c r="BY28" s="214">
        <v>0</v>
      </c>
      <c r="BZ28" s="215">
        <v>2</v>
      </c>
      <c r="CA28" s="213" t="s">
        <v>533</v>
      </c>
      <c r="CB28" s="214">
        <v>4</v>
      </c>
      <c r="CC28" s="214">
        <v>0</v>
      </c>
      <c r="CD28" s="214">
        <v>0</v>
      </c>
      <c r="CE28" s="214">
        <v>0</v>
      </c>
      <c r="CF28" s="214">
        <v>0</v>
      </c>
      <c r="CG28" s="214">
        <v>1</v>
      </c>
      <c r="CH28" s="214">
        <v>0</v>
      </c>
      <c r="CI28" s="214">
        <v>0</v>
      </c>
      <c r="CJ28" s="215">
        <v>0</v>
      </c>
      <c r="CK28" s="213" t="s">
        <v>426</v>
      </c>
      <c r="CL28" s="214">
        <v>4</v>
      </c>
      <c r="CM28" s="214">
        <v>0</v>
      </c>
      <c r="CN28" s="214">
        <v>2</v>
      </c>
      <c r="CO28" s="214">
        <v>0</v>
      </c>
      <c r="CP28" s="214">
        <v>0</v>
      </c>
      <c r="CQ28" s="214">
        <v>0</v>
      </c>
      <c r="CR28" s="214">
        <v>0</v>
      </c>
      <c r="CS28" s="214">
        <v>0</v>
      </c>
      <c r="CT28" s="215">
        <v>0</v>
      </c>
      <c r="CU28" s="213" t="s">
        <v>543</v>
      </c>
      <c r="CV28" s="214">
        <v>3</v>
      </c>
      <c r="CW28" s="214">
        <v>1</v>
      </c>
      <c r="CX28" s="214">
        <v>0</v>
      </c>
      <c r="CY28" s="214">
        <v>0</v>
      </c>
      <c r="CZ28" s="214">
        <v>1</v>
      </c>
      <c r="DA28" s="214">
        <v>1</v>
      </c>
      <c r="DB28" s="214">
        <v>0</v>
      </c>
      <c r="DC28" s="214">
        <v>0</v>
      </c>
      <c r="DD28" s="215">
        <v>0</v>
      </c>
      <c r="DE28" s="213" t="s">
        <v>538</v>
      </c>
      <c r="DF28" s="214">
        <v>4</v>
      </c>
      <c r="DG28" s="214">
        <v>1</v>
      </c>
      <c r="DH28" s="214">
        <v>2</v>
      </c>
      <c r="DI28" s="214">
        <v>0</v>
      </c>
      <c r="DJ28" s="214">
        <v>0</v>
      </c>
      <c r="DK28" s="214">
        <v>1</v>
      </c>
      <c r="DL28" s="214">
        <v>0</v>
      </c>
      <c r="DM28" s="214">
        <v>0</v>
      </c>
      <c r="DN28" s="215">
        <v>3</v>
      </c>
      <c r="DO28" s="213" t="s">
        <v>535</v>
      </c>
      <c r="DP28" s="214">
        <v>4</v>
      </c>
      <c r="DQ28" s="214">
        <v>1</v>
      </c>
      <c r="DR28" s="214">
        <v>1</v>
      </c>
      <c r="DS28" s="214">
        <v>0</v>
      </c>
      <c r="DT28" s="214">
        <v>0</v>
      </c>
      <c r="DU28" s="214">
        <v>1</v>
      </c>
      <c r="DV28" s="214">
        <v>0</v>
      </c>
      <c r="DW28" s="214">
        <v>0</v>
      </c>
      <c r="DX28" s="215">
        <v>1</v>
      </c>
      <c r="DY28" s="249">
        <f>1+1/3</f>
        <v>1.3333333333333333</v>
      </c>
      <c r="DZ28" s="217">
        <v>1</v>
      </c>
      <c r="EA28" s="217">
        <v>0</v>
      </c>
      <c r="EB28" s="250">
        <v>7</v>
      </c>
      <c r="EC28" s="217">
        <v>0</v>
      </c>
      <c r="ED28" s="219">
        <v>1</v>
      </c>
      <c r="EE28" s="220">
        <v>2</v>
      </c>
      <c r="EF28" s="217">
        <v>2</v>
      </c>
      <c r="EG28" s="217">
        <v>0</v>
      </c>
      <c r="EH28" s="217">
        <v>0</v>
      </c>
      <c r="EI28" s="217">
        <v>0</v>
      </c>
      <c r="EJ28" s="217">
        <v>0</v>
      </c>
      <c r="EK28" s="217">
        <v>0</v>
      </c>
      <c r="EL28" s="217">
        <v>0</v>
      </c>
      <c r="EM28" s="217">
        <v>1</v>
      </c>
      <c r="EN28" s="217"/>
      <c r="EO28" s="217"/>
      <c r="EP28" s="217"/>
      <c r="EQ28" s="217"/>
      <c r="ER28" s="219">
        <f t="shared" si="0"/>
        <v>5</v>
      </c>
      <c r="ES28" s="217">
        <v>0</v>
      </c>
      <c r="ET28" s="217">
        <v>0</v>
      </c>
      <c r="EU28" s="217">
        <v>0</v>
      </c>
      <c r="EV28" s="217">
        <v>3</v>
      </c>
      <c r="EW28" s="217">
        <v>0</v>
      </c>
      <c r="EX28" s="217">
        <v>1</v>
      </c>
      <c r="EY28" s="217">
        <v>0</v>
      </c>
      <c r="EZ28" s="217">
        <v>0</v>
      </c>
      <c r="FA28" s="217">
        <v>0</v>
      </c>
      <c r="FB28" s="217"/>
      <c r="FC28" s="217"/>
      <c r="FD28" s="217"/>
      <c r="FE28" s="217"/>
      <c r="FF28" s="217">
        <f t="shared" si="1"/>
        <v>4</v>
      </c>
      <c r="FG28" s="221">
        <f t="shared" si="19"/>
        <v>0</v>
      </c>
      <c r="FH28" s="221">
        <f t="shared" si="20"/>
        <v>0</v>
      </c>
      <c r="FI28" s="221">
        <f t="shared" si="21"/>
        <v>2</v>
      </c>
      <c r="FJ28" s="221">
        <f t="shared" si="22"/>
        <v>2</v>
      </c>
      <c r="FK28" s="221">
        <f t="shared" si="23"/>
        <v>0</v>
      </c>
      <c r="FL28" s="221">
        <f t="shared" si="24"/>
        <v>-3</v>
      </c>
      <c r="FM28" s="221">
        <f t="shared" si="25"/>
        <v>0</v>
      </c>
      <c r="FN28" s="221">
        <f t="shared" si="26"/>
        <v>-1</v>
      </c>
      <c r="FO28" s="221">
        <f t="shared" si="27"/>
        <v>0</v>
      </c>
      <c r="FP28" s="221">
        <f t="shared" si="28"/>
        <v>0</v>
      </c>
      <c r="FQ28" s="221">
        <f t="shared" si="29"/>
        <v>1</v>
      </c>
      <c r="FR28" s="221">
        <f t="shared" si="30"/>
        <v>0</v>
      </c>
      <c r="FS28" s="221">
        <f t="shared" si="31"/>
        <v>0</v>
      </c>
      <c r="FT28" s="221">
        <f t="shared" si="32"/>
        <v>0</v>
      </c>
      <c r="FU28" s="221">
        <f t="shared" si="5"/>
        <v>0</v>
      </c>
      <c r="FV28" s="221">
        <f t="shared" si="33"/>
        <v>1</v>
      </c>
      <c r="FW28" s="222"/>
    </row>
    <row r="29" spans="1:179" x14ac:dyDescent="0.25">
      <c r="A29" s="204">
        <v>40303</v>
      </c>
      <c r="B29" s="204" t="s">
        <v>19</v>
      </c>
      <c r="C29" s="204" t="s">
        <v>129</v>
      </c>
      <c r="D29" s="204" t="s">
        <v>537</v>
      </c>
      <c r="E29" s="205">
        <v>4014</v>
      </c>
      <c r="F29" s="206">
        <v>1</v>
      </c>
      <c r="G29" s="207" t="s">
        <v>540</v>
      </c>
      <c r="H29" s="208">
        <v>1</v>
      </c>
      <c r="I29" s="208">
        <v>0</v>
      </c>
      <c r="J29" s="247">
        <v>6</v>
      </c>
      <c r="K29" s="208">
        <v>2</v>
      </c>
      <c r="L29" s="208">
        <v>0</v>
      </c>
      <c r="M29" s="208">
        <v>0</v>
      </c>
      <c r="N29" s="208">
        <v>6</v>
      </c>
      <c r="O29" s="208">
        <v>3</v>
      </c>
      <c r="P29" s="208">
        <v>0</v>
      </c>
      <c r="Q29" s="208">
        <v>0</v>
      </c>
      <c r="R29" s="208">
        <v>26</v>
      </c>
      <c r="S29" s="208"/>
      <c r="T29" s="208"/>
      <c r="U29" s="208">
        <v>0</v>
      </c>
      <c r="V29" s="210">
        <v>0</v>
      </c>
      <c r="W29" s="211">
        <v>0</v>
      </c>
      <c r="X29" s="211">
        <v>0</v>
      </c>
      <c r="Y29" s="211">
        <v>1</v>
      </c>
      <c r="Z29" s="211">
        <v>0</v>
      </c>
      <c r="AA29" s="211">
        <v>0</v>
      </c>
      <c r="AB29" s="248">
        <v>3</v>
      </c>
      <c r="AC29" s="211">
        <v>3</v>
      </c>
      <c r="AD29" s="211">
        <v>1</v>
      </c>
      <c r="AE29" s="211">
        <v>1</v>
      </c>
      <c r="AF29" s="211">
        <v>2</v>
      </c>
      <c r="AG29" s="211">
        <v>1</v>
      </c>
      <c r="AH29" s="211">
        <v>0</v>
      </c>
      <c r="AI29" s="211">
        <v>0</v>
      </c>
      <c r="AJ29" s="211">
        <v>14</v>
      </c>
      <c r="AK29" s="211"/>
      <c r="AL29" s="211"/>
      <c r="AM29" s="213" t="s">
        <v>519</v>
      </c>
      <c r="AN29" s="214">
        <v>4</v>
      </c>
      <c r="AO29" s="214">
        <v>1</v>
      </c>
      <c r="AP29" s="214">
        <v>1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5">
        <v>1</v>
      </c>
      <c r="AW29" s="213" t="s">
        <v>534</v>
      </c>
      <c r="AX29" s="214">
        <v>3</v>
      </c>
      <c r="AY29" s="214">
        <v>1</v>
      </c>
      <c r="AZ29" s="214">
        <v>2</v>
      </c>
      <c r="BA29" s="214">
        <v>2</v>
      </c>
      <c r="BB29" s="214">
        <v>1</v>
      </c>
      <c r="BC29" s="214">
        <v>0</v>
      </c>
      <c r="BD29" s="214">
        <v>0</v>
      </c>
      <c r="BE29" s="214">
        <v>0</v>
      </c>
      <c r="BF29" s="215">
        <v>3</v>
      </c>
      <c r="BG29" s="213" t="s">
        <v>531</v>
      </c>
      <c r="BH29" s="214">
        <v>2</v>
      </c>
      <c r="BI29" s="214">
        <v>1</v>
      </c>
      <c r="BJ29" s="214">
        <v>0</v>
      </c>
      <c r="BK29" s="214">
        <v>0</v>
      </c>
      <c r="BL29" s="214">
        <v>1</v>
      </c>
      <c r="BM29" s="214">
        <v>0</v>
      </c>
      <c r="BN29" s="214">
        <v>1</v>
      </c>
      <c r="BO29" s="214">
        <v>0</v>
      </c>
      <c r="BP29" s="215">
        <v>0</v>
      </c>
      <c r="BQ29" s="213" t="s">
        <v>539</v>
      </c>
      <c r="BR29" s="214">
        <v>3</v>
      </c>
      <c r="BS29" s="214">
        <v>1</v>
      </c>
      <c r="BT29" s="214">
        <v>1</v>
      </c>
      <c r="BU29" s="214">
        <v>0</v>
      </c>
      <c r="BV29" s="214">
        <v>0</v>
      </c>
      <c r="BW29" s="214">
        <v>0</v>
      </c>
      <c r="BX29" s="214">
        <v>0</v>
      </c>
      <c r="BY29" s="214">
        <v>1</v>
      </c>
      <c r="BZ29" s="215">
        <v>1</v>
      </c>
      <c r="CA29" s="213" t="s">
        <v>529</v>
      </c>
      <c r="CB29" s="214">
        <v>2</v>
      </c>
      <c r="CC29" s="214">
        <v>0</v>
      </c>
      <c r="CD29" s="214">
        <v>0</v>
      </c>
      <c r="CE29" s="214">
        <v>1</v>
      </c>
      <c r="CF29" s="214">
        <v>1</v>
      </c>
      <c r="CG29" s="214">
        <v>0</v>
      </c>
      <c r="CH29" s="214">
        <v>0</v>
      </c>
      <c r="CI29" s="214">
        <v>0</v>
      </c>
      <c r="CJ29" s="215">
        <v>0</v>
      </c>
      <c r="CK29" s="213" t="s">
        <v>532</v>
      </c>
      <c r="CL29" s="214">
        <v>4</v>
      </c>
      <c r="CM29" s="214">
        <v>0</v>
      </c>
      <c r="CN29" s="214">
        <v>2</v>
      </c>
      <c r="CO29" s="214">
        <v>2</v>
      </c>
      <c r="CP29" s="214">
        <v>0</v>
      </c>
      <c r="CQ29" s="214">
        <v>1</v>
      </c>
      <c r="CR29" s="214">
        <v>0</v>
      </c>
      <c r="CS29" s="214">
        <v>0</v>
      </c>
      <c r="CT29" s="215">
        <v>2</v>
      </c>
      <c r="CU29" s="213" t="s">
        <v>549</v>
      </c>
      <c r="CV29" s="214">
        <v>4</v>
      </c>
      <c r="CW29" s="214">
        <v>0</v>
      </c>
      <c r="CX29" s="214">
        <v>1</v>
      </c>
      <c r="CY29" s="214">
        <v>0</v>
      </c>
      <c r="CZ29" s="214">
        <v>0</v>
      </c>
      <c r="DA29" s="214">
        <v>2</v>
      </c>
      <c r="DB29" s="214">
        <v>0</v>
      </c>
      <c r="DC29" s="214">
        <v>0</v>
      </c>
      <c r="DD29" s="215">
        <v>2</v>
      </c>
      <c r="DE29" s="213" t="s">
        <v>285</v>
      </c>
      <c r="DF29" s="214">
        <v>3</v>
      </c>
      <c r="DG29" s="214">
        <v>0</v>
      </c>
      <c r="DH29" s="214">
        <v>0</v>
      </c>
      <c r="DI29" s="214">
        <v>0</v>
      </c>
      <c r="DJ29" s="214">
        <v>0</v>
      </c>
      <c r="DK29" s="214">
        <v>1</v>
      </c>
      <c r="DL29" s="214">
        <v>0</v>
      </c>
      <c r="DM29" s="214">
        <v>0</v>
      </c>
      <c r="DN29" s="215">
        <v>0</v>
      </c>
      <c r="DO29" s="213" t="s">
        <v>535</v>
      </c>
      <c r="DP29" s="214">
        <v>2</v>
      </c>
      <c r="DQ29" s="214">
        <v>1</v>
      </c>
      <c r="DR29" s="214">
        <v>0</v>
      </c>
      <c r="DS29" s="214">
        <v>0</v>
      </c>
      <c r="DT29" s="214">
        <v>1</v>
      </c>
      <c r="DU29" s="214">
        <v>1</v>
      </c>
      <c r="DV29" s="214">
        <v>0</v>
      </c>
      <c r="DW29" s="214">
        <v>0</v>
      </c>
      <c r="DX29" s="215">
        <v>0</v>
      </c>
      <c r="DY29" s="249">
        <v>5</v>
      </c>
      <c r="DZ29" s="217">
        <v>0</v>
      </c>
      <c r="EA29" s="217">
        <v>0</v>
      </c>
      <c r="EB29" s="250">
        <v>3</v>
      </c>
      <c r="EC29" s="217">
        <v>2</v>
      </c>
      <c r="ED29" s="219">
        <v>1</v>
      </c>
      <c r="EE29" s="220">
        <v>0</v>
      </c>
      <c r="EF29" s="217">
        <v>0</v>
      </c>
      <c r="EG29" s="217">
        <v>0</v>
      </c>
      <c r="EH29" s="217">
        <v>1</v>
      </c>
      <c r="EI29" s="217">
        <v>0</v>
      </c>
      <c r="EJ29" s="217">
        <v>2</v>
      </c>
      <c r="EK29" s="217">
        <v>2</v>
      </c>
      <c r="EL29" s="217">
        <v>0</v>
      </c>
      <c r="EM29" s="217"/>
      <c r="EN29" s="217"/>
      <c r="EO29" s="217"/>
      <c r="EP29" s="217"/>
      <c r="EQ29" s="217"/>
      <c r="ER29" s="219">
        <f t="shared" si="0"/>
        <v>5</v>
      </c>
      <c r="ES29" s="217">
        <v>0</v>
      </c>
      <c r="ET29" s="217">
        <v>0</v>
      </c>
      <c r="EU29" s="217">
        <v>0</v>
      </c>
      <c r="EV29" s="217">
        <v>0</v>
      </c>
      <c r="EW29" s="217">
        <v>0</v>
      </c>
      <c r="EX29" s="217">
        <v>0</v>
      </c>
      <c r="EY29" s="217">
        <v>1</v>
      </c>
      <c r="EZ29" s="217">
        <v>0</v>
      </c>
      <c r="FA29" s="217">
        <v>0</v>
      </c>
      <c r="FB29" s="217"/>
      <c r="FC29" s="217"/>
      <c r="FD29" s="217"/>
      <c r="FE29" s="217"/>
      <c r="FF29" s="217">
        <f t="shared" si="1"/>
        <v>1</v>
      </c>
      <c r="FG29" s="221">
        <f t="shared" ref="FG29:FG36" si="34">((SUM(L29,AD29))-(FF29))</f>
        <v>0</v>
      </c>
      <c r="FH29" s="221">
        <f t="shared" ref="FH29:FH36" si="35">((SUM(AO29,AY29,BI29,BS29,CC29,CM29,CW29,DG29,DQ29))-(ER29))</f>
        <v>0</v>
      </c>
      <c r="FI29" s="221">
        <f t="shared" si="21"/>
        <v>0</v>
      </c>
      <c r="FJ29" s="221">
        <f t="shared" si="22"/>
        <v>0</v>
      </c>
      <c r="FK29" s="221">
        <f t="shared" si="23"/>
        <v>0</v>
      </c>
      <c r="FL29" s="221">
        <f t="shared" si="24"/>
        <v>1</v>
      </c>
      <c r="FM29" s="221">
        <f t="shared" si="25"/>
        <v>0</v>
      </c>
      <c r="FN29" s="221">
        <f t="shared" si="26"/>
        <v>2</v>
      </c>
      <c r="FO29" s="221">
        <f t="shared" si="27"/>
        <v>1</v>
      </c>
      <c r="FP29" s="221">
        <f t="shared" si="28"/>
        <v>0</v>
      </c>
      <c r="FQ29" s="221">
        <f t="shared" si="29"/>
        <v>0</v>
      </c>
      <c r="FR29" s="221">
        <f t="shared" si="30"/>
        <v>0</v>
      </c>
      <c r="FS29" s="221">
        <f t="shared" si="31"/>
        <v>0</v>
      </c>
      <c r="FT29" s="221">
        <f t="shared" si="32"/>
        <v>0</v>
      </c>
      <c r="FU29" s="221">
        <f t="shared" si="5"/>
        <v>0</v>
      </c>
      <c r="FV29" s="221">
        <f t="shared" si="33"/>
        <v>4</v>
      </c>
      <c r="FW29" s="222"/>
    </row>
    <row r="30" spans="1:179" x14ac:dyDescent="0.25">
      <c r="A30" s="204">
        <v>40304</v>
      </c>
      <c r="B30" s="204" t="s">
        <v>19</v>
      </c>
      <c r="C30" s="204" t="s">
        <v>129</v>
      </c>
      <c r="D30" s="204" t="s">
        <v>537</v>
      </c>
      <c r="E30" s="205">
        <v>2644</v>
      </c>
      <c r="F30" s="206">
        <v>2</v>
      </c>
      <c r="G30" s="207" t="s">
        <v>494</v>
      </c>
      <c r="H30" s="208">
        <v>1</v>
      </c>
      <c r="I30" s="208">
        <v>0</v>
      </c>
      <c r="J30" s="247">
        <v>7</v>
      </c>
      <c r="K30" s="208">
        <v>0</v>
      </c>
      <c r="L30" s="208">
        <v>0</v>
      </c>
      <c r="M30" s="208">
        <v>0</v>
      </c>
      <c r="N30" s="208">
        <v>1</v>
      </c>
      <c r="O30" s="208">
        <v>8</v>
      </c>
      <c r="P30" s="208">
        <v>0</v>
      </c>
      <c r="Q30" s="208">
        <v>2</v>
      </c>
      <c r="R30" s="208">
        <v>25</v>
      </c>
      <c r="S30" s="208"/>
      <c r="T30" s="208"/>
      <c r="U30" s="208">
        <v>0</v>
      </c>
      <c r="V30" s="210">
        <v>0</v>
      </c>
      <c r="W30" s="211">
        <v>0</v>
      </c>
      <c r="X30" s="211">
        <v>0</v>
      </c>
      <c r="Y30" s="211">
        <v>0</v>
      </c>
      <c r="Z30" s="211">
        <v>1</v>
      </c>
      <c r="AA30" s="211">
        <v>0</v>
      </c>
      <c r="AB30" s="248">
        <v>2</v>
      </c>
      <c r="AC30" s="211">
        <v>1</v>
      </c>
      <c r="AD30" s="211">
        <v>0</v>
      </c>
      <c r="AE30" s="211">
        <v>0</v>
      </c>
      <c r="AF30" s="211">
        <v>0</v>
      </c>
      <c r="AG30" s="211">
        <v>6</v>
      </c>
      <c r="AH30" s="211">
        <v>0</v>
      </c>
      <c r="AI30" s="211">
        <v>1</v>
      </c>
      <c r="AJ30" s="211">
        <v>8</v>
      </c>
      <c r="AK30" s="211"/>
      <c r="AL30" s="211"/>
      <c r="AM30" s="213" t="s">
        <v>519</v>
      </c>
      <c r="AN30" s="214">
        <v>4</v>
      </c>
      <c r="AO30" s="214">
        <v>0</v>
      </c>
      <c r="AP30" s="214">
        <v>1</v>
      </c>
      <c r="AQ30" s="214">
        <v>1</v>
      </c>
      <c r="AR30" s="214">
        <v>0</v>
      </c>
      <c r="AS30" s="214">
        <v>1</v>
      </c>
      <c r="AT30" s="214">
        <v>0</v>
      </c>
      <c r="AU30" s="214">
        <v>0</v>
      </c>
      <c r="AV30" s="215">
        <v>1</v>
      </c>
      <c r="AW30" s="213" t="s">
        <v>534</v>
      </c>
      <c r="AX30" s="214">
        <v>3</v>
      </c>
      <c r="AY30" s="214">
        <v>0</v>
      </c>
      <c r="AZ30" s="214">
        <v>0</v>
      </c>
      <c r="BA30" s="214">
        <v>0</v>
      </c>
      <c r="BB30" s="214">
        <v>0</v>
      </c>
      <c r="BC30" s="214">
        <v>1</v>
      </c>
      <c r="BD30" s="214">
        <v>0</v>
      </c>
      <c r="BE30" s="214">
        <v>0</v>
      </c>
      <c r="BF30" s="215">
        <v>0</v>
      </c>
      <c r="BG30" s="213" t="s">
        <v>529</v>
      </c>
      <c r="BH30" s="214">
        <v>3</v>
      </c>
      <c r="BI30" s="214">
        <v>0</v>
      </c>
      <c r="BJ30" s="214">
        <v>1</v>
      </c>
      <c r="BK30" s="214">
        <v>0</v>
      </c>
      <c r="BL30" s="214">
        <v>0</v>
      </c>
      <c r="BM30" s="214">
        <v>0</v>
      </c>
      <c r="BN30" s="214">
        <v>0</v>
      </c>
      <c r="BO30" s="214">
        <v>0</v>
      </c>
      <c r="BP30" s="215">
        <v>2</v>
      </c>
      <c r="BQ30" s="213" t="s">
        <v>539</v>
      </c>
      <c r="BR30" s="214">
        <v>3</v>
      </c>
      <c r="BS30" s="214">
        <v>0</v>
      </c>
      <c r="BT30" s="214">
        <v>1</v>
      </c>
      <c r="BU30" s="214">
        <v>0</v>
      </c>
      <c r="BV30" s="214">
        <v>0</v>
      </c>
      <c r="BW30" s="214">
        <v>1</v>
      </c>
      <c r="BX30" s="214">
        <v>0</v>
      </c>
      <c r="BY30" s="214">
        <v>0</v>
      </c>
      <c r="BZ30" s="215">
        <v>1</v>
      </c>
      <c r="CA30" s="213" t="s">
        <v>426</v>
      </c>
      <c r="CB30" s="214">
        <v>3</v>
      </c>
      <c r="CC30" s="214">
        <v>0</v>
      </c>
      <c r="CD30" s="214">
        <v>1</v>
      </c>
      <c r="CE30" s="214">
        <v>0</v>
      </c>
      <c r="CF30" s="214">
        <v>0</v>
      </c>
      <c r="CG30" s="214">
        <v>1</v>
      </c>
      <c r="CH30" s="214">
        <v>0</v>
      </c>
      <c r="CI30" s="214">
        <v>0</v>
      </c>
      <c r="CJ30" s="215">
        <v>1</v>
      </c>
      <c r="CK30" s="213" t="s">
        <v>532</v>
      </c>
      <c r="CL30" s="214">
        <v>3</v>
      </c>
      <c r="CM30" s="214">
        <v>0</v>
      </c>
      <c r="CN30" s="214">
        <v>0</v>
      </c>
      <c r="CO30" s="214">
        <v>0</v>
      </c>
      <c r="CP30" s="214">
        <v>0</v>
      </c>
      <c r="CQ30" s="214">
        <v>1</v>
      </c>
      <c r="CR30" s="214">
        <v>0</v>
      </c>
      <c r="CS30" s="214">
        <v>0</v>
      </c>
      <c r="CT30" s="215">
        <v>0</v>
      </c>
      <c r="CU30" s="213" t="s">
        <v>538</v>
      </c>
      <c r="CV30" s="214">
        <v>3</v>
      </c>
      <c r="CW30" s="214">
        <v>1</v>
      </c>
      <c r="CX30" s="214">
        <v>1</v>
      </c>
      <c r="CY30" s="214">
        <v>0</v>
      </c>
      <c r="CZ30" s="214">
        <v>0</v>
      </c>
      <c r="DA30" s="214">
        <v>0</v>
      </c>
      <c r="DB30" s="214">
        <v>0</v>
      </c>
      <c r="DC30" s="214">
        <v>0</v>
      </c>
      <c r="DD30" s="215">
        <v>1</v>
      </c>
      <c r="DE30" s="213" t="s">
        <v>285</v>
      </c>
      <c r="DF30" s="214">
        <v>3</v>
      </c>
      <c r="DG30" s="214">
        <v>0</v>
      </c>
      <c r="DH30" s="214">
        <v>0</v>
      </c>
      <c r="DI30" s="214">
        <v>0</v>
      </c>
      <c r="DJ30" s="214">
        <v>0</v>
      </c>
      <c r="DK30" s="214">
        <v>2</v>
      </c>
      <c r="DL30" s="214">
        <v>0</v>
      </c>
      <c r="DM30" s="214">
        <v>0</v>
      </c>
      <c r="DN30" s="215">
        <v>0</v>
      </c>
      <c r="DO30" s="213" t="s">
        <v>535</v>
      </c>
      <c r="DP30" s="214">
        <v>3</v>
      </c>
      <c r="DQ30" s="214">
        <v>0</v>
      </c>
      <c r="DR30" s="214">
        <v>1</v>
      </c>
      <c r="DS30" s="214">
        <v>0</v>
      </c>
      <c r="DT30" s="214">
        <v>0</v>
      </c>
      <c r="DU30" s="214">
        <v>0</v>
      </c>
      <c r="DV30" s="214">
        <v>0</v>
      </c>
      <c r="DW30" s="214">
        <v>0</v>
      </c>
      <c r="DX30" s="215">
        <v>1</v>
      </c>
      <c r="DY30" s="249">
        <v>0</v>
      </c>
      <c r="DZ30" s="217">
        <v>0</v>
      </c>
      <c r="EA30" s="217">
        <v>0</v>
      </c>
      <c r="EB30" s="250">
        <v>8</v>
      </c>
      <c r="EC30" s="217">
        <v>1</v>
      </c>
      <c r="ED30" s="219">
        <v>1</v>
      </c>
      <c r="EE30" s="220">
        <v>0</v>
      </c>
      <c r="EF30" s="217">
        <v>0</v>
      </c>
      <c r="EG30" s="217">
        <v>1</v>
      </c>
      <c r="EH30" s="217">
        <v>0</v>
      </c>
      <c r="EI30" s="217">
        <v>0</v>
      </c>
      <c r="EJ30" s="217">
        <v>0</v>
      </c>
      <c r="EK30" s="217">
        <v>0</v>
      </c>
      <c r="EL30" s="217">
        <v>0</v>
      </c>
      <c r="EM30" s="217"/>
      <c r="EN30" s="217"/>
      <c r="EO30" s="217"/>
      <c r="EP30" s="217"/>
      <c r="EQ30" s="217"/>
      <c r="ER30" s="219">
        <f t="shared" si="0"/>
        <v>1</v>
      </c>
      <c r="ES30" s="217">
        <v>0</v>
      </c>
      <c r="ET30" s="217">
        <v>0</v>
      </c>
      <c r="EU30" s="217">
        <v>0</v>
      </c>
      <c r="EV30" s="217">
        <v>0</v>
      </c>
      <c r="EW30" s="217">
        <v>0</v>
      </c>
      <c r="EX30" s="217">
        <v>0</v>
      </c>
      <c r="EY30" s="217">
        <v>0</v>
      </c>
      <c r="EZ30" s="217">
        <v>0</v>
      </c>
      <c r="FA30" s="217">
        <v>0</v>
      </c>
      <c r="FB30" s="217"/>
      <c r="FC30" s="217"/>
      <c r="FD30" s="217"/>
      <c r="FE30" s="217"/>
      <c r="FF30" s="217">
        <f t="shared" si="1"/>
        <v>0</v>
      </c>
      <c r="FG30" s="221">
        <f t="shared" si="34"/>
        <v>0</v>
      </c>
      <c r="FH30" s="221">
        <f t="shared" si="35"/>
        <v>0</v>
      </c>
      <c r="FI30" s="221">
        <f t="shared" si="21"/>
        <v>0</v>
      </c>
      <c r="FJ30" s="221">
        <f t="shared" si="22"/>
        <v>0</v>
      </c>
      <c r="FK30" s="221">
        <f t="shared" si="23"/>
        <v>1</v>
      </c>
      <c r="FL30" s="221">
        <f t="shared" si="24"/>
        <v>0</v>
      </c>
      <c r="FM30" s="221">
        <f t="shared" si="25"/>
        <v>0</v>
      </c>
      <c r="FN30" s="221">
        <f t="shared" si="26"/>
        <v>0</v>
      </c>
      <c r="FO30" s="221">
        <f t="shared" si="27"/>
        <v>0</v>
      </c>
      <c r="FP30" s="221">
        <f t="shared" si="28"/>
        <v>0</v>
      </c>
      <c r="FQ30" s="221">
        <f t="shared" si="29"/>
        <v>0</v>
      </c>
      <c r="FR30" s="221">
        <f t="shared" si="30"/>
        <v>0</v>
      </c>
      <c r="FS30" s="221">
        <f t="shared" si="31"/>
        <v>0</v>
      </c>
      <c r="FT30" s="221">
        <f t="shared" si="32"/>
        <v>0</v>
      </c>
      <c r="FU30" s="221">
        <f t="shared" si="5"/>
        <v>0</v>
      </c>
      <c r="FV30" s="221">
        <f t="shared" si="33"/>
        <v>1</v>
      </c>
      <c r="FW30" s="222"/>
    </row>
    <row r="31" spans="1:179" x14ac:dyDescent="0.25">
      <c r="A31" s="204">
        <v>40305</v>
      </c>
      <c r="B31" s="204" t="s">
        <v>133</v>
      </c>
      <c r="C31" s="204" t="s">
        <v>129</v>
      </c>
      <c r="D31" s="204" t="s">
        <v>547</v>
      </c>
      <c r="E31" s="205">
        <v>2645</v>
      </c>
      <c r="F31" s="206">
        <v>3</v>
      </c>
      <c r="G31" s="207" t="s">
        <v>536</v>
      </c>
      <c r="H31" s="208">
        <v>1</v>
      </c>
      <c r="I31" s="208">
        <v>0</v>
      </c>
      <c r="J31" s="247">
        <v>6</v>
      </c>
      <c r="K31" s="208">
        <v>7</v>
      </c>
      <c r="L31" s="208">
        <v>1</v>
      </c>
      <c r="M31" s="208">
        <v>1</v>
      </c>
      <c r="N31" s="208">
        <v>1</v>
      </c>
      <c r="O31" s="208">
        <v>4</v>
      </c>
      <c r="P31" s="208">
        <v>0</v>
      </c>
      <c r="Q31" s="208">
        <v>0</v>
      </c>
      <c r="R31" s="208">
        <v>25</v>
      </c>
      <c r="S31" s="208"/>
      <c r="T31" s="208"/>
      <c r="U31" s="208">
        <v>0</v>
      </c>
      <c r="V31" s="210">
        <v>0</v>
      </c>
      <c r="W31" s="211">
        <v>0</v>
      </c>
      <c r="X31" s="211">
        <v>0</v>
      </c>
      <c r="Y31" s="211">
        <v>1</v>
      </c>
      <c r="Z31" s="211">
        <v>1</v>
      </c>
      <c r="AA31" s="211">
        <v>0</v>
      </c>
      <c r="AB31" s="248">
        <v>3</v>
      </c>
      <c r="AC31" s="211">
        <v>0</v>
      </c>
      <c r="AD31" s="211">
        <v>0</v>
      </c>
      <c r="AE31" s="211">
        <v>0</v>
      </c>
      <c r="AF31" s="211">
        <v>1</v>
      </c>
      <c r="AG31" s="211">
        <v>5</v>
      </c>
      <c r="AH31" s="211">
        <v>0</v>
      </c>
      <c r="AI31" s="211">
        <v>0</v>
      </c>
      <c r="AJ31" s="211">
        <v>10</v>
      </c>
      <c r="AK31" s="211"/>
      <c r="AL31" s="211"/>
      <c r="AM31" s="213" t="s">
        <v>519</v>
      </c>
      <c r="AN31" s="214">
        <v>4</v>
      </c>
      <c r="AO31" s="214">
        <v>1</v>
      </c>
      <c r="AP31" s="214">
        <v>3</v>
      </c>
      <c r="AQ31" s="214">
        <v>0</v>
      </c>
      <c r="AR31" s="214">
        <v>0</v>
      </c>
      <c r="AS31" s="214">
        <v>0</v>
      </c>
      <c r="AT31" s="214">
        <v>1</v>
      </c>
      <c r="AU31" s="214">
        <v>0</v>
      </c>
      <c r="AV31" s="215">
        <v>3</v>
      </c>
      <c r="AW31" s="213" t="s">
        <v>534</v>
      </c>
      <c r="AX31" s="214">
        <v>5</v>
      </c>
      <c r="AY31" s="214">
        <v>0</v>
      </c>
      <c r="AZ31" s="214">
        <v>1</v>
      </c>
      <c r="BA31" s="214">
        <v>0</v>
      </c>
      <c r="BB31" s="214">
        <v>0</v>
      </c>
      <c r="BC31" s="214">
        <v>0</v>
      </c>
      <c r="BD31" s="214">
        <v>0</v>
      </c>
      <c r="BE31" s="214">
        <v>0</v>
      </c>
      <c r="BF31" s="215">
        <v>1</v>
      </c>
      <c r="BG31" s="213" t="s">
        <v>529</v>
      </c>
      <c r="BH31" s="214">
        <v>5</v>
      </c>
      <c r="BI31" s="214">
        <v>1</v>
      </c>
      <c r="BJ31" s="214">
        <v>2</v>
      </c>
      <c r="BK31" s="214">
        <v>0</v>
      </c>
      <c r="BL31" s="214">
        <v>0</v>
      </c>
      <c r="BM31" s="214">
        <v>1</v>
      </c>
      <c r="BN31" s="214">
        <v>0</v>
      </c>
      <c r="BO31" s="214">
        <v>0</v>
      </c>
      <c r="BP31" s="215">
        <v>2</v>
      </c>
      <c r="BQ31" s="213" t="s">
        <v>539</v>
      </c>
      <c r="BR31" s="214">
        <v>4</v>
      </c>
      <c r="BS31" s="214">
        <v>0</v>
      </c>
      <c r="BT31" s="214">
        <v>2</v>
      </c>
      <c r="BU31" s="214">
        <v>1</v>
      </c>
      <c r="BV31" s="214">
        <v>0</v>
      </c>
      <c r="BW31" s="214">
        <v>0</v>
      </c>
      <c r="BX31" s="214">
        <v>0</v>
      </c>
      <c r="BY31" s="214">
        <v>0</v>
      </c>
      <c r="BZ31" s="215">
        <v>3</v>
      </c>
      <c r="CA31" s="213" t="s">
        <v>426</v>
      </c>
      <c r="CB31" s="214">
        <v>4</v>
      </c>
      <c r="CC31" s="214">
        <v>1</v>
      </c>
      <c r="CD31" s="214">
        <v>1</v>
      </c>
      <c r="CE31" s="214">
        <v>0</v>
      </c>
      <c r="CF31" s="214">
        <v>0</v>
      </c>
      <c r="CG31" s="214">
        <v>0</v>
      </c>
      <c r="CH31" s="214">
        <v>0</v>
      </c>
      <c r="CI31" s="214">
        <v>0</v>
      </c>
      <c r="CJ31" s="215">
        <v>1</v>
      </c>
      <c r="CK31" s="213" t="s">
        <v>532</v>
      </c>
      <c r="CL31" s="214">
        <v>4</v>
      </c>
      <c r="CM31" s="214">
        <v>1</v>
      </c>
      <c r="CN31" s="214">
        <v>1</v>
      </c>
      <c r="CO31" s="214">
        <v>0</v>
      </c>
      <c r="CP31" s="214">
        <v>0</v>
      </c>
      <c r="CQ31" s="214">
        <v>1</v>
      </c>
      <c r="CR31" s="214">
        <v>0</v>
      </c>
      <c r="CS31" s="214">
        <v>0</v>
      </c>
      <c r="CT31" s="215">
        <v>1</v>
      </c>
      <c r="CU31" s="213" t="s">
        <v>543</v>
      </c>
      <c r="CV31" s="214">
        <v>4</v>
      </c>
      <c r="CW31" s="214">
        <v>0</v>
      </c>
      <c r="CX31" s="214">
        <v>0</v>
      </c>
      <c r="CY31" s="214">
        <v>0</v>
      </c>
      <c r="CZ31" s="214">
        <v>0</v>
      </c>
      <c r="DA31" s="214">
        <v>2</v>
      </c>
      <c r="DB31" s="214">
        <v>0</v>
      </c>
      <c r="DC31" s="214">
        <v>0</v>
      </c>
      <c r="DD31" s="215">
        <v>0</v>
      </c>
      <c r="DE31" s="213" t="s">
        <v>538</v>
      </c>
      <c r="DF31" s="214">
        <v>4</v>
      </c>
      <c r="DG31" s="214">
        <v>0</v>
      </c>
      <c r="DH31" s="214">
        <v>1</v>
      </c>
      <c r="DI31" s="214">
        <v>1</v>
      </c>
      <c r="DJ31" s="214">
        <v>0</v>
      </c>
      <c r="DK31" s="214">
        <v>0</v>
      </c>
      <c r="DL31" s="214">
        <v>0</v>
      </c>
      <c r="DM31" s="214">
        <v>0</v>
      </c>
      <c r="DN31" s="215">
        <v>1</v>
      </c>
      <c r="DO31" s="213" t="s">
        <v>535</v>
      </c>
      <c r="DP31" s="214">
        <v>4</v>
      </c>
      <c r="DQ31" s="214">
        <v>0</v>
      </c>
      <c r="DR31" s="214">
        <v>3</v>
      </c>
      <c r="DS31" s="214">
        <v>1</v>
      </c>
      <c r="DT31" s="214">
        <v>0</v>
      </c>
      <c r="DU31" s="214">
        <v>1</v>
      </c>
      <c r="DV31" s="214">
        <v>0</v>
      </c>
      <c r="DW31" s="214">
        <v>0</v>
      </c>
      <c r="DX31" s="215">
        <v>6</v>
      </c>
      <c r="DY31" s="249">
        <v>4</v>
      </c>
      <c r="DZ31" s="217">
        <v>5</v>
      </c>
      <c r="EA31" s="217">
        <v>1</v>
      </c>
      <c r="EB31" s="250">
        <v>5</v>
      </c>
      <c r="EC31" s="217">
        <v>1</v>
      </c>
      <c r="ED31" s="219">
        <v>1</v>
      </c>
      <c r="EE31" s="220">
        <v>0</v>
      </c>
      <c r="EF31" s="217">
        <v>2</v>
      </c>
      <c r="EG31" s="217">
        <v>1</v>
      </c>
      <c r="EH31" s="217">
        <v>0</v>
      </c>
      <c r="EI31" s="217">
        <v>0</v>
      </c>
      <c r="EJ31" s="217">
        <v>0</v>
      </c>
      <c r="EK31" s="217">
        <v>1</v>
      </c>
      <c r="EL31" s="217">
        <v>0</v>
      </c>
      <c r="EM31" s="217">
        <v>0</v>
      </c>
      <c r="EN31" s="217"/>
      <c r="EO31" s="217"/>
      <c r="EP31" s="217"/>
      <c r="EQ31" s="217"/>
      <c r="ER31" s="219">
        <f t="shared" si="0"/>
        <v>4</v>
      </c>
      <c r="ES31" s="217">
        <v>0</v>
      </c>
      <c r="ET31" s="217">
        <v>0</v>
      </c>
      <c r="EU31" s="217">
        <v>0</v>
      </c>
      <c r="EV31" s="217">
        <v>0</v>
      </c>
      <c r="EW31" s="217">
        <v>0</v>
      </c>
      <c r="EX31" s="217">
        <v>1</v>
      </c>
      <c r="EY31" s="217">
        <v>0</v>
      </c>
      <c r="EZ31" s="217">
        <v>0</v>
      </c>
      <c r="FA31" s="217">
        <v>0</v>
      </c>
      <c r="FB31" s="217"/>
      <c r="FC31" s="217"/>
      <c r="FD31" s="217"/>
      <c r="FE31" s="217"/>
      <c r="FF31" s="217">
        <f t="shared" si="1"/>
        <v>1</v>
      </c>
      <c r="FG31" s="221">
        <f t="shared" si="34"/>
        <v>0</v>
      </c>
      <c r="FH31" s="221">
        <f t="shared" si="35"/>
        <v>0</v>
      </c>
      <c r="FI31" s="221">
        <f t="shared" si="21"/>
        <v>0</v>
      </c>
      <c r="FJ31" s="221">
        <f t="shared" si="22"/>
        <v>2</v>
      </c>
      <c r="FK31" s="221">
        <f t="shared" si="23"/>
        <v>1</v>
      </c>
      <c r="FL31" s="221">
        <f t="shared" si="24"/>
        <v>0</v>
      </c>
      <c r="FM31" s="221">
        <f t="shared" si="25"/>
        <v>0</v>
      </c>
      <c r="FN31" s="221">
        <f t="shared" si="26"/>
        <v>-1</v>
      </c>
      <c r="FO31" s="221">
        <f t="shared" si="27"/>
        <v>1</v>
      </c>
      <c r="FP31" s="221">
        <f t="shared" si="28"/>
        <v>0</v>
      </c>
      <c r="FQ31" s="221">
        <f t="shared" si="29"/>
        <v>0</v>
      </c>
      <c r="FR31" s="221">
        <f t="shared" si="30"/>
        <v>0</v>
      </c>
      <c r="FS31" s="221">
        <f t="shared" si="31"/>
        <v>0</v>
      </c>
      <c r="FT31" s="221">
        <f t="shared" si="32"/>
        <v>0</v>
      </c>
      <c r="FU31" s="221">
        <f t="shared" si="5"/>
        <v>0</v>
      </c>
      <c r="FV31" s="221">
        <f t="shared" si="33"/>
        <v>3</v>
      </c>
      <c r="FW31" s="222"/>
    </row>
    <row r="32" spans="1:179" x14ac:dyDescent="0.25">
      <c r="A32" s="204">
        <v>40306</v>
      </c>
      <c r="B32" s="204" t="s">
        <v>133</v>
      </c>
      <c r="C32" s="204" t="s">
        <v>131</v>
      </c>
      <c r="D32" s="204" t="s">
        <v>547</v>
      </c>
      <c r="E32" s="205">
        <v>2991</v>
      </c>
      <c r="F32" s="206">
        <v>4</v>
      </c>
      <c r="G32" s="207" t="s">
        <v>545</v>
      </c>
      <c r="H32" s="208">
        <v>0</v>
      </c>
      <c r="I32" s="208">
        <v>1</v>
      </c>
      <c r="J32" s="247">
        <v>6</v>
      </c>
      <c r="K32" s="208">
        <v>4</v>
      </c>
      <c r="L32" s="208">
        <v>4</v>
      </c>
      <c r="M32" s="208">
        <v>4</v>
      </c>
      <c r="N32" s="208">
        <v>3</v>
      </c>
      <c r="O32" s="208">
        <v>5</v>
      </c>
      <c r="P32" s="208">
        <v>0</v>
      </c>
      <c r="Q32" s="208">
        <v>1</v>
      </c>
      <c r="R32" s="208">
        <v>25</v>
      </c>
      <c r="S32" s="208"/>
      <c r="T32" s="208"/>
      <c r="U32" s="208">
        <v>0</v>
      </c>
      <c r="V32" s="210">
        <v>0</v>
      </c>
      <c r="W32" s="211">
        <v>0</v>
      </c>
      <c r="X32" s="211">
        <v>0</v>
      </c>
      <c r="Y32" s="211">
        <v>0</v>
      </c>
      <c r="Z32" s="211">
        <v>0</v>
      </c>
      <c r="AA32" s="211">
        <v>0</v>
      </c>
      <c r="AB32" s="248">
        <v>2</v>
      </c>
      <c r="AC32" s="211">
        <v>0</v>
      </c>
      <c r="AD32" s="211">
        <v>0</v>
      </c>
      <c r="AE32" s="211">
        <v>0</v>
      </c>
      <c r="AF32" s="211">
        <v>1</v>
      </c>
      <c r="AG32" s="211">
        <v>0</v>
      </c>
      <c r="AH32" s="211">
        <v>0</v>
      </c>
      <c r="AI32" s="211">
        <v>0</v>
      </c>
      <c r="AJ32" s="211">
        <v>6</v>
      </c>
      <c r="AK32" s="211"/>
      <c r="AL32" s="211"/>
      <c r="AM32" s="213" t="s">
        <v>519</v>
      </c>
      <c r="AN32" s="214">
        <v>2</v>
      </c>
      <c r="AO32" s="214">
        <v>0</v>
      </c>
      <c r="AP32" s="214">
        <v>0</v>
      </c>
      <c r="AQ32" s="214">
        <v>0</v>
      </c>
      <c r="AR32" s="214">
        <v>3</v>
      </c>
      <c r="AS32" s="214">
        <v>0</v>
      </c>
      <c r="AT32" s="214">
        <v>0</v>
      </c>
      <c r="AU32" s="214">
        <v>0</v>
      </c>
      <c r="AV32" s="215">
        <v>0</v>
      </c>
      <c r="AW32" s="213" t="s">
        <v>538</v>
      </c>
      <c r="AX32" s="214">
        <v>2</v>
      </c>
      <c r="AY32" s="214">
        <v>0</v>
      </c>
      <c r="AZ32" s="214">
        <v>1</v>
      </c>
      <c r="BA32" s="214">
        <v>0</v>
      </c>
      <c r="BB32" s="214">
        <v>3</v>
      </c>
      <c r="BC32" s="214">
        <v>0</v>
      </c>
      <c r="BD32" s="214">
        <v>0</v>
      </c>
      <c r="BE32" s="214">
        <v>0</v>
      </c>
      <c r="BF32" s="215">
        <v>2</v>
      </c>
      <c r="BG32" s="213" t="s">
        <v>529</v>
      </c>
      <c r="BH32" s="214">
        <v>5</v>
      </c>
      <c r="BI32" s="214">
        <v>1</v>
      </c>
      <c r="BJ32" s="214">
        <v>1</v>
      </c>
      <c r="BK32" s="214">
        <v>0</v>
      </c>
      <c r="BL32" s="214">
        <v>0</v>
      </c>
      <c r="BM32" s="214">
        <v>3</v>
      </c>
      <c r="BN32" s="214">
        <v>0</v>
      </c>
      <c r="BO32" s="214">
        <v>0</v>
      </c>
      <c r="BP32" s="215">
        <v>1</v>
      </c>
      <c r="BQ32" s="213" t="s">
        <v>539</v>
      </c>
      <c r="BR32" s="214">
        <v>4</v>
      </c>
      <c r="BS32" s="214">
        <v>1</v>
      </c>
      <c r="BT32" s="214">
        <v>2</v>
      </c>
      <c r="BU32" s="214">
        <v>0</v>
      </c>
      <c r="BV32" s="214">
        <v>1</v>
      </c>
      <c r="BW32" s="214">
        <v>0</v>
      </c>
      <c r="BX32" s="214">
        <v>0</v>
      </c>
      <c r="BY32" s="214">
        <v>0</v>
      </c>
      <c r="BZ32" s="215">
        <v>2</v>
      </c>
      <c r="CA32" s="213" t="s">
        <v>543</v>
      </c>
      <c r="CB32" s="214">
        <v>3</v>
      </c>
      <c r="CC32" s="214">
        <v>0</v>
      </c>
      <c r="CD32" s="214">
        <v>1</v>
      </c>
      <c r="CE32" s="214">
        <v>2</v>
      </c>
      <c r="CF32" s="214">
        <v>0</v>
      </c>
      <c r="CG32" s="214">
        <v>1</v>
      </c>
      <c r="CH32" s="214">
        <v>1</v>
      </c>
      <c r="CI32" s="214">
        <v>0</v>
      </c>
      <c r="CJ32" s="215">
        <v>1</v>
      </c>
      <c r="CK32" s="213" t="s">
        <v>532</v>
      </c>
      <c r="CL32" s="214">
        <v>4</v>
      </c>
      <c r="CM32" s="214">
        <v>0</v>
      </c>
      <c r="CN32" s="214">
        <v>0</v>
      </c>
      <c r="CO32" s="214">
        <v>0</v>
      </c>
      <c r="CP32" s="214">
        <v>0</v>
      </c>
      <c r="CQ32" s="214">
        <v>2</v>
      </c>
      <c r="CR32" s="214">
        <v>0</v>
      </c>
      <c r="CS32" s="214">
        <v>0</v>
      </c>
      <c r="CT32" s="215">
        <v>0</v>
      </c>
      <c r="CU32" s="213" t="s">
        <v>549</v>
      </c>
      <c r="CV32" s="214">
        <v>3</v>
      </c>
      <c r="CW32" s="214">
        <v>0</v>
      </c>
      <c r="CX32" s="214">
        <v>0</v>
      </c>
      <c r="CY32" s="214">
        <v>0</v>
      </c>
      <c r="CZ32" s="214">
        <v>1</v>
      </c>
      <c r="DA32" s="214">
        <v>1</v>
      </c>
      <c r="DB32" s="214">
        <v>0</v>
      </c>
      <c r="DC32" s="214">
        <v>0</v>
      </c>
      <c r="DD32" s="215">
        <v>0</v>
      </c>
      <c r="DE32" s="213" t="s">
        <v>285</v>
      </c>
      <c r="DF32" s="214">
        <v>4</v>
      </c>
      <c r="DG32" s="214">
        <v>0</v>
      </c>
      <c r="DH32" s="214">
        <v>0</v>
      </c>
      <c r="DI32" s="214">
        <v>0</v>
      </c>
      <c r="DJ32" s="214">
        <v>0</v>
      </c>
      <c r="DK32" s="214">
        <v>3</v>
      </c>
      <c r="DL32" s="214">
        <v>0</v>
      </c>
      <c r="DM32" s="214">
        <v>0</v>
      </c>
      <c r="DN32" s="215">
        <v>0</v>
      </c>
      <c r="DO32" s="213" t="s">
        <v>535</v>
      </c>
      <c r="DP32" s="214">
        <v>4</v>
      </c>
      <c r="DQ32" s="214">
        <v>0</v>
      </c>
      <c r="DR32" s="214">
        <v>1</v>
      </c>
      <c r="DS32" s="214">
        <v>0</v>
      </c>
      <c r="DT32" s="214">
        <v>0</v>
      </c>
      <c r="DU32" s="214">
        <v>2</v>
      </c>
      <c r="DV32" s="214">
        <v>0</v>
      </c>
      <c r="DW32" s="214">
        <v>0</v>
      </c>
      <c r="DX32" s="215">
        <v>1</v>
      </c>
      <c r="DY32" s="249">
        <v>1</v>
      </c>
      <c r="DZ32" s="217">
        <v>0</v>
      </c>
      <c r="EA32" s="217">
        <v>0</v>
      </c>
      <c r="EB32" s="250">
        <v>8</v>
      </c>
      <c r="EC32" s="217">
        <v>3</v>
      </c>
      <c r="ED32" s="219">
        <v>2</v>
      </c>
      <c r="EE32" s="220">
        <v>0</v>
      </c>
      <c r="EF32" s="217">
        <v>0</v>
      </c>
      <c r="EG32" s="217">
        <v>0</v>
      </c>
      <c r="EH32" s="217">
        <v>0</v>
      </c>
      <c r="EI32" s="217">
        <v>0</v>
      </c>
      <c r="EJ32" s="217">
        <v>0</v>
      </c>
      <c r="EK32" s="217">
        <v>0</v>
      </c>
      <c r="EL32" s="217">
        <v>2</v>
      </c>
      <c r="EM32" s="217">
        <v>0</v>
      </c>
      <c r="EN32" s="217"/>
      <c r="EO32" s="217"/>
      <c r="EP32" s="217"/>
      <c r="EQ32" s="217"/>
      <c r="ER32" s="219">
        <f t="shared" si="0"/>
        <v>2</v>
      </c>
      <c r="ES32" s="217">
        <v>0</v>
      </c>
      <c r="ET32" s="217">
        <v>0</v>
      </c>
      <c r="EU32" s="217">
        <v>0</v>
      </c>
      <c r="EV32" s="217">
        <v>4</v>
      </c>
      <c r="EW32" s="217">
        <v>0</v>
      </c>
      <c r="EX32" s="217">
        <v>0</v>
      </c>
      <c r="EY32" s="217">
        <v>0</v>
      </c>
      <c r="EZ32" s="217">
        <v>0</v>
      </c>
      <c r="FA32" s="217"/>
      <c r="FB32" s="217"/>
      <c r="FC32" s="217"/>
      <c r="FD32" s="217"/>
      <c r="FE32" s="217"/>
      <c r="FF32" s="217">
        <f t="shared" si="1"/>
        <v>4</v>
      </c>
      <c r="FG32" s="221">
        <f t="shared" si="34"/>
        <v>0</v>
      </c>
      <c r="FH32" s="221">
        <f t="shared" si="35"/>
        <v>0</v>
      </c>
      <c r="FI32" s="221">
        <f t="shared" si="21"/>
        <v>0</v>
      </c>
      <c r="FJ32" s="221">
        <f t="shared" si="22"/>
        <v>0</v>
      </c>
      <c r="FK32" s="221">
        <f t="shared" si="23"/>
        <v>0</v>
      </c>
      <c r="FL32" s="221">
        <f t="shared" si="24"/>
        <v>-4</v>
      </c>
      <c r="FM32" s="221">
        <f t="shared" si="25"/>
        <v>0</v>
      </c>
      <c r="FN32" s="221">
        <f t="shared" si="26"/>
        <v>0</v>
      </c>
      <c r="FO32" s="221">
        <f t="shared" si="27"/>
        <v>0</v>
      </c>
      <c r="FP32" s="221">
        <f t="shared" si="28"/>
        <v>2</v>
      </c>
      <c r="FQ32" s="221">
        <f t="shared" si="29"/>
        <v>0</v>
      </c>
      <c r="FR32" s="221">
        <f t="shared" si="30"/>
        <v>0</v>
      </c>
      <c r="FS32" s="221">
        <f t="shared" si="31"/>
        <v>0</v>
      </c>
      <c r="FT32" s="221">
        <f t="shared" si="32"/>
        <v>0</v>
      </c>
      <c r="FU32" s="221">
        <f t="shared" si="5"/>
        <v>0</v>
      </c>
      <c r="FV32" s="221">
        <f t="shared" si="33"/>
        <v>-2</v>
      </c>
      <c r="FW32" s="222"/>
    </row>
    <row r="33" spans="1:179" x14ac:dyDescent="0.25">
      <c r="A33" s="204">
        <v>40307</v>
      </c>
      <c r="B33" s="204" t="s">
        <v>133</v>
      </c>
      <c r="C33" s="204" t="s">
        <v>129</v>
      </c>
      <c r="D33" s="204" t="s">
        <v>547</v>
      </c>
      <c r="E33" s="205">
        <v>3635</v>
      </c>
      <c r="F33" s="206">
        <v>5</v>
      </c>
      <c r="G33" s="207" t="s">
        <v>546</v>
      </c>
      <c r="H33" s="208">
        <v>1</v>
      </c>
      <c r="I33" s="208">
        <v>0</v>
      </c>
      <c r="J33" s="247">
        <v>5</v>
      </c>
      <c r="K33" s="208">
        <v>9</v>
      </c>
      <c r="L33" s="208">
        <v>5</v>
      </c>
      <c r="M33" s="208">
        <v>5</v>
      </c>
      <c r="N33" s="208">
        <v>1</v>
      </c>
      <c r="O33" s="208">
        <v>5</v>
      </c>
      <c r="P33" s="208">
        <v>0</v>
      </c>
      <c r="Q33" s="208">
        <v>0</v>
      </c>
      <c r="R33" s="208">
        <v>24</v>
      </c>
      <c r="S33" s="208"/>
      <c r="T33" s="208"/>
      <c r="U33" s="208">
        <v>0</v>
      </c>
      <c r="V33" s="210">
        <v>0</v>
      </c>
      <c r="W33" s="211">
        <v>0</v>
      </c>
      <c r="X33" s="211">
        <v>0</v>
      </c>
      <c r="Y33" s="211">
        <v>1</v>
      </c>
      <c r="Z33" s="211">
        <v>1</v>
      </c>
      <c r="AA33" s="211">
        <v>0</v>
      </c>
      <c r="AB33" s="248">
        <v>4</v>
      </c>
      <c r="AC33" s="211">
        <v>3</v>
      </c>
      <c r="AD33" s="211">
        <v>2</v>
      </c>
      <c r="AE33" s="211">
        <v>1</v>
      </c>
      <c r="AF33" s="211">
        <v>2</v>
      </c>
      <c r="AG33" s="211">
        <v>4</v>
      </c>
      <c r="AH33" s="211">
        <v>0</v>
      </c>
      <c r="AI33" s="211">
        <v>0</v>
      </c>
      <c r="AJ33" s="211">
        <v>18</v>
      </c>
      <c r="AK33" s="211"/>
      <c r="AL33" s="211"/>
      <c r="AM33" s="213" t="s">
        <v>519</v>
      </c>
      <c r="AN33" s="214">
        <v>6</v>
      </c>
      <c r="AO33" s="214">
        <v>0</v>
      </c>
      <c r="AP33" s="214">
        <v>2</v>
      </c>
      <c r="AQ33" s="214">
        <v>0</v>
      </c>
      <c r="AR33" s="214">
        <v>0</v>
      </c>
      <c r="AS33" s="214">
        <v>0</v>
      </c>
      <c r="AT33" s="214">
        <v>0</v>
      </c>
      <c r="AU33" s="214">
        <v>0</v>
      </c>
      <c r="AV33" s="215">
        <v>2</v>
      </c>
      <c r="AW33" s="213" t="s">
        <v>534</v>
      </c>
      <c r="AX33" s="214">
        <v>5</v>
      </c>
      <c r="AY33" s="214">
        <v>3</v>
      </c>
      <c r="AZ33" s="214">
        <v>3</v>
      </c>
      <c r="BA33" s="214">
        <v>1</v>
      </c>
      <c r="BB33" s="214">
        <v>1</v>
      </c>
      <c r="BC33" s="214">
        <v>1</v>
      </c>
      <c r="BD33" s="214">
        <v>0</v>
      </c>
      <c r="BE33" s="214">
        <v>0</v>
      </c>
      <c r="BF33" s="215">
        <v>5</v>
      </c>
      <c r="BG33" s="213" t="s">
        <v>529</v>
      </c>
      <c r="BH33" s="214">
        <v>4</v>
      </c>
      <c r="BI33" s="214">
        <v>2</v>
      </c>
      <c r="BJ33" s="214">
        <v>2</v>
      </c>
      <c r="BK33" s="214">
        <v>1</v>
      </c>
      <c r="BL33" s="214">
        <v>1</v>
      </c>
      <c r="BM33" s="214">
        <v>0</v>
      </c>
      <c r="BN33" s="214">
        <v>0</v>
      </c>
      <c r="BO33" s="214">
        <v>1</v>
      </c>
      <c r="BP33" s="215">
        <v>3</v>
      </c>
      <c r="BQ33" s="213" t="s">
        <v>539</v>
      </c>
      <c r="BR33" s="214">
        <v>4</v>
      </c>
      <c r="BS33" s="214">
        <v>1</v>
      </c>
      <c r="BT33" s="214">
        <v>2</v>
      </c>
      <c r="BU33" s="214">
        <v>1</v>
      </c>
      <c r="BV33" s="214">
        <v>2</v>
      </c>
      <c r="BW33" s="214">
        <v>0</v>
      </c>
      <c r="BX33" s="214">
        <v>0</v>
      </c>
      <c r="BY33" s="214">
        <v>0</v>
      </c>
      <c r="BZ33" s="215">
        <v>2</v>
      </c>
      <c r="CA33" s="213" t="s">
        <v>426</v>
      </c>
      <c r="CB33" s="214">
        <v>5</v>
      </c>
      <c r="CC33" s="214">
        <v>1</v>
      </c>
      <c r="CD33" s="214">
        <v>2</v>
      </c>
      <c r="CE33" s="214">
        <v>3</v>
      </c>
      <c r="CF33" s="214">
        <v>0</v>
      </c>
      <c r="CG33" s="214">
        <v>2</v>
      </c>
      <c r="CH33" s="214">
        <v>0</v>
      </c>
      <c r="CI33" s="214">
        <v>1</v>
      </c>
      <c r="CJ33" s="215">
        <v>2</v>
      </c>
      <c r="CK33" s="213" t="s">
        <v>561</v>
      </c>
      <c r="CL33" s="214">
        <v>5</v>
      </c>
      <c r="CM33" s="214">
        <v>0</v>
      </c>
      <c r="CN33" s="214">
        <v>2</v>
      </c>
      <c r="CO33" s="214">
        <v>0</v>
      </c>
      <c r="CP33" s="214">
        <v>0</v>
      </c>
      <c r="CQ33" s="214">
        <v>2</v>
      </c>
      <c r="CR33" s="214">
        <v>0</v>
      </c>
      <c r="CS33" s="214">
        <v>0</v>
      </c>
      <c r="CT33" s="215">
        <v>3</v>
      </c>
      <c r="CU33" s="213" t="s">
        <v>543</v>
      </c>
      <c r="CV33" s="214">
        <v>5</v>
      </c>
      <c r="CW33" s="214">
        <v>1</v>
      </c>
      <c r="CX33" s="214">
        <v>2</v>
      </c>
      <c r="CY33" s="214">
        <v>2</v>
      </c>
      <c r="CZ33" s="214">
        <v>0</v>
      </c>
      <c r="DA33" s="214">
        <v>1</v>
      </c>
      <c r="DB33" s="214">
        <v>0</v>
      </c>
      <c r="DC33" s="214">
        <v>0</v>
      </c>
      <c r="DD33" s="215">
        <v>2</v>
      </c>
      <c r="DE33" s="213" t="s">
        <v>538</v>
      </c>
      <c r="DF33" s="214">
        <v>4</v>
      </c>
      <c r="DG33" s="214">
        <v>1</v>
      </c>
      <c r="DH33" s="214">
        <v>1</v>
      </c>
      <c r="DI33" s="214">
        <v>0</v>
      </c>
      <c r="DJ33" s="214">
        <v>1</v>
      </c>
      <c r="DK33" s="214">
        <v>1</v>
      </c>
      <c r="DL33" s="214">
        <v>0</v>
      </c>
      <c r="DM33" s="214">
        <v>0</v>
      </c>
      <c r="DN33" s="215">
        <v>1</v>
      </c>
      <c r="DO33" s="213" t="s">
        <v>535</v>
      </c>
      <c r="DP33" s="214">
        <v>5</v>
      </c>
      <c r="DQ33" s="214">
        <v>1</v>
      </c>
      <c r="DR33" s="214">
        <v>4</v>
      </c>
      <c r="DS33" s="214">
        <v>2</v>
      </c>
      <c r="DT33" s="214">
        <v>0</v>
      </c>
      <c r="DU33" s="214">
        <v>0</v>
      </c>
      <c r="DV33" s="214">
        <v>0</v>
      </c>
      <c r="DW33" s="214">
        <v>0</v>
      </c>
      <c r="DX33" s="215">
        <v>6</v>
      </c>
      <c r="DY33" s="249">
        <v>0</v>
      </c>
      <c r="DZ33" s="217">
        <v>0</v>
      </c>
      <c r="EA33" s="217">
        <v>0</v>
      </c>
      <c r="EB33" s="250">
        <v>9</v>
      </c>
      <c r="EC33" s="217">
        <v>3</v>
      </c>
      <c r="ED33" s="219">
        <v>1</v>
      </c>
      <c r="EE33" s="220">
        <v>5</v>
      </c>
      <c r="EF33" s="217">
        <v>1</v>
      </c>
      <c r="EG33" s="217">
        <v>0</v>
      </c>
      <c r="EH33" s="217">
        <v>1</v>
      </c>
      <c r="EI33" s="217">
        <v>0</v>
      </c>
      <c r="EJ33" s="217">
        <v>1</v>
      </c>
      <c r="EK33" s="217">
        <v>1</v>
      </c>
      <c r="EL33" s="217">
        <v>0</v>
      </c>
      <c r="EM33" s="217">
        <v>1</v>
      </c>
      <c r="EN33" s="217"/>
      <c r="EO33" s="217"/>
      <c r="EP33" s="217"/>
      <c r="EQ33" s="217"/>
      <c r="ER33" s="219">
        <f t="shared" si="0"/>
        <v>10</v>
      </c>
      <c r="ES33" s="217">
        <v>1</v>
      </c>
      <c r="ET33" s="217">
        <v>0</v>
      </c>
      <c r="EU33" s="217">
        <v>2</v>
      </c>
      <c r="EV33" s="217">
        <v>1</v>
      </c>
      <c r="EW33" s="217">
        <v>1</v>
      </c>
      <c r="EX33" s="217">
        <v>0</v>
      </c>
      <c r="EY33" s="217">
        <v>1</v>
      </c>
      <c r="EZ33" s="217">
        <v>1</v>
      </c>
      <c r="FA33" s="217">
        <v>0</v>
      </c>
      <c r="FB33" s="217"/>
      <c r="FC33" s="217"/>
      <c r="FD33" s="217"/>
      <c r="FE33" s="217"/>
      <c r="FF33" s="217">
        <f t="shared" si="1"/>
        <v>7</v>
      </c>
      <c r="FG33" s="221">
        <f t="shared" si="34"/>
        <v>0</v>
      </c>
      <c r="FH33" s="221">
        <f t="shared" si="35"/>
        <v>0</v>
      </c>
      <c r="FI33" s="221">
        <f t="shared" si="21"/>
        <v>4</v>
      </c>
      <c r="FJ33" s="221">
        <f t="shared" si="22"/>
        <v>1</v>
      </c>
      <c r="FK33" s="221">
        <f t="shared" si="23"/>
        <v>-2</v>
      </c>
      <c r="FL33" s="221">
        <f t="shared" si="24"/>
        <v>0</v>
      </c>
      <c r="FM33" s="221">
        <f t="shared" si="25"/>
        <v>-1</v>
      </c>
      <c r="FN33" s="221">
        <f t="shared" si="26"/>
        <v>1</v>
      </c>
      <c r="FO33" s="221">
        <f t="shared" si="27"/>
        <v>0</v>
      </c>
      <c r="FP33" s="221">
        <f t="shared" si="28"/>
        <v>-1</v>
      </c>
      <c r="FQ33" s="221">
        <f t="shared" si="29"/>
        <v>1</v>
      </c>
      <c r="FR33" s="221">
        <f t="shared" si="30"/>
        <v>0</v>
      </c>
      <c r="FS33" s="221">
        <f t="shared" si="31"/>
        <v>0</v>
      </c>
      <c r="FT33" s="221">
        <f t="shared" si="32"/>
        <v>0</v>
      </c>
      <c r="FU33" s="221">
        <f t="shared" si="5"/>
        <v>0</v>
      </c>
      <c r="FV33" s="221">
        <f t="shared" si="33"/>
        <v>3</v>
      </c>
      <c r="FW33" s="222"/>
    </row>
    <row r="34" spans="1:179" x14ac:dyDescent="0.25">
      <c r="A34" s="204">
        <v>40308</v>
      </c>
      <c r="B34" s="204" t="s">
        <v>133</v>
      </c>
      <c r="C34" s="204" t="s">
        <v>129</v>
      </c>
      <c r="D34" s="204" t="s">
        <v>551</v>
      </c>
      <c r="E34" s="205">
        <v>2979</v>
      </c>
      <c r="F34" s="206">
        <v>1</v>
      </c>
      <c r="G34" s="207" t="s">
        <v>540</v>
      </c>
      <c r="H34" s="208">
        <v>1</v>
      </c>
      <c r="I34" s="208">
        <v>0</v>
      </c>
      <c r="J34" s="247">
        <v>6</v>
      </c>
      <c r="K34" s="208">
        <v>4</v>
      </c>
      <c r="L34" s="208">
        <v>1</v>
      </c>
      <c r="M34" s="208">
        <v>1</v>
      </c>
      <c r="N34" s="208">
        <v>1</v>
      </c>
      <c r="O34" s="208">
        <v>6</v>
      </c>
      <c r="P34" s="208">
        <v>1</v>
      </c>
      <c r="Q34" s="208">
        <v>0</v>
      </c>
      <c r="R34" s="208">
        <v>23</v>
      </c>
      <c r="S34" s="208"/>
      <c r="T34" s="208"/>
      <c r="U34" s="208">
        <v>0</v>
      </c>
      <c r="V34" s="210">
        <v>0</v>
      </c>
      <c r="W34" s="211">
        <v>0</v>
      </c>
      <c r="X34" s="211">
        <v>0</v>
      </c>
      <c r="Y34" s="211">
        <v>1</v>
      </c>
      <c r="Z34" s="211">
        <v>0</v>
      </c>
      <c r="AA34" s="211">
        <v>0</v>
      </c>
      <c r="AB34" s="248">
        <v>3</v>
      </c>
      <c r="AC34" s="211">
        <v>1</v>
      </c>
      <c r="AD34" s="211">
        <v>0</v>
      </c>
      <c r="AE34" s="211">
        <v>0</v>
      </c>
      <c r="AF34" s="211">
        <v>0</v>
      </c>
      <c r="AG34" s="211">
        <v>5</v>
      </c>
      <c r="AH34" s="211">
        <v>0</v>
      </c>
      <c r="AI34" s="211">
        <v>0</v>
      </c>
      <c r="AJ34" s="211">
        <v>10</v>
      </c>
      <c r="AK34" s="211"/>
      <c r="AL34" s="211"/>
      <c r="AM34" s="213" t="s">
        <v>519</v>
      </c>
      <c r="AN34" s="214">
        <v>4</v>
      </c>
      <c r="AO34" s="214">
        <v>0</v>
      </c>
      <c r="AP34" s="214">
        <v>3</v>
      </c>
      <c r="AQ34" s="214">
        <v>2</v>
      </c>
      <c r="AR34" s="214">
        <v>0</v>
      </c>
      <c r="AS34" s="214">
        <v>1</v>
      </c>
      <c r="AT34" s="214">
        <v>0</v>
      </c>
      <c r="AU34" s="214">
        <v>0</v>
      </c>
      <c r="AV34" s="215">
        <v>5</v>
      </c>
      <c r="AW34" s="213" t="s">
        <v>543</v>
      </c>
      <c r="AX34" s="214">
        <v>5</v>
      </c>
      <c r="AY34" s="214">
        <v>1</v>
      </c>
      <c r="AZ34" s="214">
        <v>2</v>
      </c>
      <c r="BA34" s="214">
        <v>2</v>
      </c>
      <c r="BB34" s="214">
        <v>0</v>
      </c>
      <c r="BC34" s="214">
        <v>1</v>
      </c>
      <c r="BD34" s="214">
        <v>0</v>
      </c>
      <c r="BE34" s="214">
        <v>0</v>
      </c>
      <c r="BF34" s="215">
        <v>2</v>
      </c>
      <c r="BG34" s="213" t="s">
        <v>534</v>
      </c>
      <c r="BH34" s="214">
        <v>2</v>
      </c>
      <c r="BI34" s="214">
        <v>1</v>
      </c>
      <c r="BJ34" s="214">
        <v>0</v>
      </c>
      <c r="BK34" s="214">
        <v>0</v>
      </c>
      <c r="BL34" s="214">
        <v>2</v>
      </c>
      <c r="BM34" s="214">
        <v>0</v>
      </c>
      <c r="BN34" s="214">
        <v>0</v>
      </c>
      <c r="BO34" s="214">
        <v>0</v>
      </c>
      <c r="BP34" s="215">
        <v>0</v>
      </c>
      <c r="BQ34" s="213" t="s">
        <v>539</v>
      </c>
      <c r="BR34" s="214">
        <v>4</v>
      </c>
      <c r="BS34" s="214">
        <v>0</v>
      </c>
      <c r="BT34" s="214">
        <v>2</v>
      </c>
      <c r="BU34" s="214">
        <v>1</v>
      </c>
      <c r="BV34" s="214">
        <v>0</v>
      </c>
      <c r="BW34" s="214">
        <v>2</v>
      </c>
      <c r="BX34" s="214">
        <v>0</v>
      </c>
      <c r="BY34" s="214">
        <v>0</v>
      </c>
      <c r="BZ34" s="215">
        <v>2</v>
      </c>
      <c r="CA34" s="213" t="s">
        <v>426</v>
      </c>
      <c r="CB34" s="214">
        <v>4</v>
      </c>
      <c r="CC34" s="214">
        <v>0</v>
      </c>
      <c r="CD34" s="214">
        <v>1</v>
      </c>
      <c r="CE34" s="214">
        <v>1</v>
      </c>
      <c r="CF34" s="214">
        <v>0</v>
      </c>
      <c r="CG34" s="214">
        <v>1</v>
      </c>
      <c r="CH34" s="214">
        <v>0</v>
      </c>
      <c r="CI34" s="214">
        <v>0</v>
      </c>
      <c r="CJ34" s="215">
        <v>1</v>
      </c>
      <c r="CK34" s="213" t="s">
        <v>561</v>
      </c>
      <c r="CL34" s="214">
        <v>4</v>
      </c>
      <c r="CM34" s="214">
        <v>0</v>
      </c>
      <c r="CN34" s="214">
        <v>1</v>
      </c>
      <c r="CO34" s="214">
        <v>0</v>
      </c>
      <c r="CP34" s="214">
        <v>0</v>
      </c>
      <c r="CQ34" s="214">
        <v>3</v>
      </c>
      <c r="CR34" s="214">
        <v>0</v>
      </c>
      <c r="CS34" s="214">
        <v>0</v>
      </c>
      <c r="CT34" s="215">
        <v>1</v>
      </c>
      <c r="CU34" s="213" t="s">
        <v>532</v>
      </c>
      <c r="CV34" s="214">
        <v>4</v>
      </c>
      <c r="CW34" s="214">
        <v>1</v>
      </c>
      <c r="CX34" s="214">
        <v>1</v>
      </c>
      <c r="CY34" s="214">
        <v>0</v>
      </c>
      <c r="CZ34" s="214">
        <v>0</v>
      </c>
      <c r="DA34" s="214">
        <v>0</v>
      </c>
      <c r="DB34" s="214">
        <v>0</v>
      </c>
      <c r="DC34" s="214">
        <v>0</v>
      </c>
      <c r="DD34" s="215">
        <v>1</v>
      </c>
      <c r="DE34" s="213" t="s">
        <v>285</v>
      </c>
      <c r="DF34" s="214">
        <v>4</v>
      </c>
      <c r="DG34" s="214">
        <v>2</v>
      </c>
      <c r="DH34" s="214">
        <v>1</v>
      </c>
      <c r="DI34" s="214">
        <v>0</v>
      </c>
      <c r="DJ34" s="214">
        <v>0</v>
      </c>
      <c r="DK34" s="214">
        <v>1</v>
      </c>
      <c r="DL34" s="214">
        <v>0</v>
      </c>
      <c r="DM34" s="214">
        <v>0</v>
      </c>
      <c r="DN34" s="215">
        <v>1</v>
      </c>
      <c r="DO34" s="213" t="s">
        <v>535</v>
      </c>
      <c r="DP34" s="214">
        <v>3</v>
      </c>
      <c r="DQ34" s="214">
        <v>1</v>
      </c>
      <c r="DR34" s="214">
        <v>0</v>
      </c>
      <c r="DS34" s="214">
        <v>0</v>
      </c>
      <c r="DT34" s="214">
        <v>0</v>
      </c>
      <c r="DU34" s="214">
        <v>1</v>
      </c>
      <c r="DV34" s="214">
        <v>0</v>
      </c>
      <c r="DW34" s="214">
        <v>0</v>
      </c>
      <c r="DX34" s="215">
        <v>0</v>
      </c>
      <c r="DY34" s="249">
        <f>0+1/3</f>
        <v>0.33333333333333331</v>
      </c>
      <c r="DZ34" s="217">
        <v>0</v>
      </c>
      <c r="EA34" s="217">
        <v>0</v>
      </c>
      <c r="EB34" s="250">
        <f>8+2/3</f>
        <v>8.6666666666666661</v>
      </c>
      <c r="EC34" s="217">
        <v>0</v>
      </c>
      <c r="ED34" s="219">
        <v>1</v>
      </c>
      <c r="EE34" s="220">
        <v>0</v>
      </c>
      <c r="EF34" s="217">
        <v>0</v>
      </c>
      <c r="EG34" s="217">
        <v>0</v>
      </c>
      <c r="EH34" s="217">
        <v>0</v>
      </c>
      <c r="EI34" s="217">
        <v>0</v>
      </c>
      <c r="EJ34" s="217">
        <v>4</v>
      </c>
      <c r="EK34" s="217">
        <v>0</v>
      </c>
      <c r="EL34" s="217">
        <v>0</v>
      </c>
      <c r="EM34" s="217">
        <v>2</v>
      </c>
      <c r="EN34" s="217"/>
      <c r="EO34" s="217"/>
      <c r="EP34" s="217"/>
      <c r="EQ34" s="217"/>
      <c r="ER34" s="219">
        <f t="shared" si="0"/>
        <v>6</v>
      </c>
      <c r="ES34" s="217">
        <v>0</v>
      </c>
      <c r="ET34" s="217">
        <v>0</v>
      </c>
      <c r="EU34" s="217">
        <v>0</v>
      </c>
      <c r="EV34" s="217">
        <v>0</v>
      </c>
      <c r="EW34" s="217">
        <v>0</v>
      </c>
      <c r="EX34" s="217">
        <v>1</v>
      </c>
      <c r="EY34" s="217">
        <v>0</v>
      </c>
      <c r="EZ34" s="217">
        <v>0</v>
      </c>
      <c r="FA34" s="217">
        <v>0</v>
      </c>
      <c r="FB34" s="217"/>
      <c r="FC34" s="217"/>
      <c r="FD34" s="217"/>
      <c r="FE34" s="217"/>
      <c r="FF34" s="217">
        <f t="shared" si="1"/>
        <v>1</v>
      </c>
      <c r="FG34" s="221">
        <f t="shared" si="34"/>
        <v>0</v>
      </c>
      <c r="FH34" s="221">
        <f t="shared" si="35"/>
        <v>0</v>
      </c>
      <c r="FI34" s="221">
        <f t="shared" si="21"/>
        <v>0</v>
      </c>
      <c r="FJ34" s="221">
        <f t="shared" si="22"/>
        <v>0</v>
      </c>
      <c r="FK34" s="221">
        <f t="shared" si="23"/>
        <v>0</v>
      </c>
      <c r="FL34" s="221">
        <f t="shared" si="24"/>
        <v>0</v>
      </c>
      <c r="FM34" s="221">
        <f t="shared" si="25"/>
        <v>0</v>
      </c>
      <c r="FN34" s="221">
        <f t="shared" si="26"/>
        <v>3</v>
      </c>
      <c r="FO34" s="221">
        <f t="shared" si="27"/>
        <v>0</v>
      </c>
      <c r="FP34" s="221">
        <f t="shared" si="28"/>
        <v>0</v>
      </c>
      <c r="FQ34" s="221">
        <f t="shared" si="29"/>
        <v>2</v>
      </c>
      <c r="FR34" s="221">
        <f t="shared" si="30"/>
        <v>0</v>
      </c>
      <c r="FS34" s="221">
        <f t="shared" si="31"/>
        <v>0</v>
      </c>
      <c r="FT34" s="221">
        <f t="shared" si="32"/>
        <v>0</v>
      </c>
      <c r="FU34" s="221">
        <f t="shared" si="5"/>
        <v>0</v>
      </c>
      <c r="FV34" s="221">
        <f t="shared" si="33"/>
        <v>5</v>
      </c>
      <c r="FW34" s="222" t="s">
        <v>562</v>
      </c>
    </row>
    <row r="35" spans="1:179" x14ac:dyDescent="0.25">
      <c r="A35" s="204">
        <v>40310</v>
      </c>
      <c r="B35" s="204" t="s">
        <v>133</v>
      </c>
      <c r="C35" s="204" t="s">
        <v>131</v>
      </c>
      <c r="D35" s="204" t="s">
        <v>551</v>
      </c>
      <c r="E35" s="205"/>
      <c r="F35" s="206">
        <v>2</v>
      </c>
      <c r="G35" s="207" t="s">
        <v>494</v>
      </c>
      <c r="H35" s="208">
        <v>0</v>
      </c>
      <c r="I35" s="208">
        <v>1</v>
      </c>
      <c r="J35" s="247">
        <v>6</v>
      </c>
      <c r="K35" s="208">
        <v>7</v>
      </c>
      <c r="L35" s="208">
        <v>3</v>
      </c>
      <c r="M35" s="208">
        <v>3</v>
      </c>
      <c r="N35" s="208">
        <v>0</v>
      </c>
      <c r="O35" s="208">
        <v>6</v>
      </c>
      <c r="P35" s="208">
        <v>0</v>
      </c>
      <c r="Q35" s="208">
        <v>2</v>
      </c>
      <c r="R35" s="208">
        <v>27</v>
      </c>
      <c r="S35" s="208"/>
      <c r="T35" s="208"/>
      <c r="U35" s="208">
        <v>0</v>
      </c>
      <c r="V35" s="210">
        <v>0</v>
      </c>
      <c r="W35" s="211">
        <v>0</v>
      </c>
      <c r="X35" s="211">
        <v>0</v>
      </c>
      <c r="Y35" s="211">
        <v>0</v>
      </c>
      <c r="Z35" s="211">
        <v>0</v>
      </c>
      <c r="AA35" s="211">
        <v>0</v>
      </c>
      <c r="AB35" s="248">
        <v>0</v>
      </c>
      <c r="AC35" s="211">
        <v>0</v>
      </c>
      <c r="AD35" s="211">
        <v>0</v>
      </c>
      <c r="AE35" s="211">
        <v>0</v>
      </c>
      <c r="AF35" s="211">
        <v>0</v>
      </c>
      <c r="AG35" s="211">
        <v>0</v>
      </c>
      <c r="AH35" s="211">
        <v>0</v>
      </c>
      <c r="AI35" s="211">
        <v>0</v>
      </c>
      <c r="AJ35" s="211">
        <v>0</v>
      </c>
      <c r="AK35" s="211"/>
      <c r="AL35" s="211"/>
      <c r="AM35" s="213" t="s">
        <v>519</v>
      </c>
      <c r="AN35" s="214">
        <v>2</v>
      </c>
      <c r="AO35" s="214">
        <v>1</v>
      </c>
      <c r="AP35" s="214">
        <v>0</v>
      </c>
      <c r="AQ35" s="214">
        <v>0</v>
      </c>
      <c r="AR35" s="214">
        <v>1</v>
      </c>
      <c r="AS35" s="214">
        <v>2</v>
      </c>
      <c r="AT35" s="214">
        <v>1</v>
      </c>
      <c r="AU35" s="214">
        <v>0</v>
      </c>
      <c r="AV35" s="215">
        <v>0</v>
      </c>
      <c r="AW35" s="213" t="s">
        <v>543</v>
      </c>
      <c r="AX35" s="214">
        <v>3</v>
      </c>
      <c r="AY35" s="214">
        <v>0</v>
      </c>
      <c r="AZ35" s="214">
        <v>0</v>
      </c>
      <c r="BA35" s="214">
        <v>0</v>
      </c>
      <c r="BB35" s="214">
        <v>1</v>
      </c>
      <c r="BC35" s="214">
        <v>2</v>
      </c>
      <c r="BD35" s="214">
        <v>0</v>
      </c>
      <c r="BE35" s="214">
        <v>0</v>
      </c>
      <c r="BF35" s="215">
        <v>0</v>
      </c>
      <c r="BG35" s="213" t="s">
        <v>534</v>
      </c>
      <c r="BH35" s="214">
        <v>2</v>
      </c>
      <c r="BI35" s="214">
        <v>0</v>
      </c>
      <c r="BJ35" s="214">
        <v>1</v>
      </c>
      <c r="BK35" s="214">
        <v>1</v>
      </c>
      <c r="BL35" s="214">
        <v>1</v>
      </c>
      <c r="BM35" s="214">
        <v>0</v>
      </c>
      <c r="BN35" s="214">
        <v>0</v>
      </c>
      <c r="BO35" s="214">
        <v>0</v>
      </c>
      <c r="BP35" s="215">
        <v>1</v>
      </c>
      <c r="BQ35" s="213" t="s">
        <v>539</v>
      </c>
      <c r="BR35" s="214">
        <v>3</v>
      </c>
      <c r="BS35" s="214">
        <v>0</v>
      </c>
      <c r="BT35" s="214">
        <v>0</v>
      </c>
      <c r="BU35" s="214">
        <v>0</v>
      </c>
      <c r="BV35" s="214">
        <v>0</v>
      </c>
      <c r="BW35" s="214">
        <v>0</v>
      </c>
      <c r="BX35" s="214">
        <v>0</v>
      </c>
      <c r="BY35" s="214">
        <v>0</v>
      </c>
      <c r="BZ35" s="215">
        <v>0</v>
      </c>
      <c r="CA35" s="213" t="s">
        <v>426</v>
      </c>
      <c r="CB35" s="214">
        <v>2</v>
      </c>
      <c r="CC35" s="214">
        <v>0</v>
      </c>
      <c r="CD35" s="214">
        <v>1</v>
      </c>
      <c r="CE35" s="214">
        <v>0</v>
      </c>
      <c r="CF35" s="214">
        <v>1</v>
      </c>
      <c r="CG35" s="214">
        <v>0</v>
      </c>
      <c r="CH35" s="214">
        <v>0</v>
      </c>
      <c r="CI35" s="214">
        <v>0</v>
      </c>
      <c r="CJ35" s="215">
        <v>1</v>
      </c>
      <c r="CK35" s="213" t="s">
        <v>561</v>
      </c>
      <c r="CL35" s="214">
        <v>3</v>
      </c>
      <c r="CM35" s="214">
        <v>0</v>
      </c>
      <c r="CN35" s="214">
        <v>1</v>
      </c>
      <c r="CO35" s="214">
        <v>0</v>
      </c>
      <c r="CP35" s="214">
        <v>0</v>
      </c>
      <c r="CQ35" s="214">
        <v>2</v>
      </c>
      <c r="CR35" s="214">
        <v>0</v>
      </c>
      <c r="CS35" s="214">
        <v>0</v>
      </c>
      <c r="CT35" s="215">
        <v>1</v>
      </c>
      <c r="CU35" s="213" t="s">
        <v>532</v>
      </c>
      <c r="CV35" s="214">
        <v>3</v>
      </c>
      <c r="CW35" s="214">
        <v>0</v>
      </c>
      <c r="CX35" s="214">
        <v>0</v>
      </c>
      <c r="CY35" s="214">
        <v>0</v>
      </c>
      <c r="CZ35" s="214">
        <v>0</v>
      </c>
      <c r="DA35" s="214">
        <v>0</v>
      </c>
      <c r="DB35" s="214">
        <v>0</v>
      </c>
      <c r="DC35" s="214">
        <v>0</v>
      </c>
      <c r="DD35" s="215">
        <v>0</v>
      </c>
      <c r="DE35" s="213" t="s">
        <v>538</v>
      </c>
      <c r="DF35" s="214">
        <v>3</v>
      </c>
      <c r="DG35" s="214">
        <v>0</v>
      </c>
      <c r="DH35" s="214">
        <v>1</v>
      </c>
      <c r="DI35" s="214">
        <v>0</v>
      </c>
      <c r="DJ35" s="214">
        <v>0</v>
      </c>
      <c r="DK35" s="214">
        <v>0</v>
      </c>
      <c r="DL35" s="214">
        <v>0</v>
      </c>
      <c r="DM35" s="214">
        <v>0</v>
      </c>
      <c r="DN35" s="215">
        <v>1</v>
      </c>
      <c r="DO35" s="213" t="s">
        <v>535</v>
      </c>
      <c r="DP35" s="214">
        <v>3</v>
      </c>
      <c r="DQ35" s="214">
        <v>0</v>
      </c>
      <c r="DR35" s="214">
        <v>0</v>
      </c>
      <c r="DS35" s="214">
        <v>0</v>
      </c>
      <c r="DT35" s="214">
        <v>0</v>
      </c>
      <c r="DU35" s="214">
        <v>2</v>
      </c>
      <c r="DV35" s="214">
        <v>0</v>
      </c>
      <c r="DW35" s="214">
        <v>0</v>
      </c>
      <c r="DX35" s="215">
        <v>0</v>
      </c>
      <c r="DY35" s="249">
        <f>2+1/3</f>
        <v>2.3333333333333335</v>
      </c>
      <c r="DZ35" s="217">
        <v>0</v>
      </c>
      <c r="EA35" s="217">
        <v>0</v>
      </c>
      <c r="EB35" s="250">
        <f>4+2/3</f>
        <v>4.666666666666667</v>
      </c>
      <c r="EC35" s="217">
        <v>0</v>
      </c>
      <c r="ED35" s="219">
        <v>1</v>
      </c>
      <c r="EE35" s="220">
        <v>0</v>
      </c>
      <c r="EF35" s="217">
        <v>0</v>
      </c>
      <c r="EG35" s="217">
        <v>0</v>
      </c>
      <c r="EH35" s="217">
        <v>0</v>
      </c>
      <c r="EI35" s="217">
        <v>1</v>
      </c>
      <c r="EJ35" s="217">
        <v>0</v>
      </c>
      <c r="EK35" s="217">
        <v>0</v>
      </c>
      <c r="EL35" s="217"/>
      <c r="EM35" s="217"/>
      <c r="EN35" s="217"/>
      <c r="EO35" s="217"/>
      <c r="EP35" s="217"/>
      <c r="EQ35" s="217"/>
      <c r="ER35" s="219">
        <f t="shared" si="0"/>
        <v>1</v>
      </c>
      <c r="ES35" s="217">
        <v>3</v>
      </c>
      <c r="ET35" s="217">
        <v>0</v>
      </c>
      <c r="EU35" s="217">
        <v>0</v>
      </c>
      <c r="EV35" s="217">
        <v>0</v>
      </c>
      <c r="EW35" s="217">
        <v>0</v>
      </c>
      <c r="EX35" s="217">
        <v>0</v>
      </c>
      <c r="EY35" s="217"/>
      <c r="EZ35" s="217"/>
      <c r="FA35" s="217"/>
      <c r="FB35" s="217"/>
      <c r="FC35" s="217"/>
      <c r="FD35" s="217"/>
      <c r="FE35" s="217"/>
      <c r="FF35" s="217">
        <f t="shared" si="1"/>
        <v>3</v>
      </c>
      <c r="FG35" s="221">
        <f t="shared" si="34"/>
        <v>0</v>
      </c>
      <c r="FH35" s="221">
        <f t="shared" si="35"/>
        <v>0</v>
      </c>
      <c r="FI35" s="221">
        <f t="shared" si="21"/>
        <v>-3</v>
      </c>
      <c r="FJ35" s="221">
        <f t="shared" si="22"/>
        <v>0</v>
      </c>
      <c r="FK35" s="221">
        <f t="shared" si="23"/>
        <v>0</v>
      </c>
      <c r="FL35" s="221">
        <f t="shared" si="24"/>
        <v>0</v>
      </c>
      <c r="FM35" s="221">
        <f t="shared" si="25"/>
        <v>1</v>
      </c>
      <c r="FN35" s="221">
        <f t="shared" si="26"/>
        <v>0</v>
      </c>
      <c r="FO35" s="221">
        <f t="shared" si="27"/>
        <v>0</v>
      </c>
      <c r="FP35" s="221">
        <f t="shared" si="28"/>
        <v>0</v>
      </c>
      <c r="FQ35" s="221">
        <f t="shared" si="29"/>
        <v>0</v>
      </c>
      <c r="FR35" s="221">
        <f t="shared" si="30"/>
        <v>0</v>
      </c>
      <c r="FS35" s="221">
        <f t="shared" si="31"/>
        <v>0</v>
      </c>
      <c r="FT35" s="221">
        <f t="shared" si="32"/>
        <v>0</v>
      </c>
      <c r="FU35" s="221">
        <f t="shared" si="5"/>
        <v>0</v>
      </c>
      <c r="FV35" s="221">
        <f t="shared" si="33"/>
        <v>-2</v>
      </c>
      <c r="FW35" s="222" t="s">
        <v>475</v>
      </c>
    </row>
    <row r="36" spans="1:179" x14ac:dyDescent="0.25">
      <c r="A36" s="204">
        <v>40310</v>
      </c>
      <c r="B36" s="204" t="s">
        <v>133</v>
      </c>
      <c r="C36" s="204" t="s">
        <v>131</v>
      </c>
      <c r="D36" s="204" t="s">
        <v>551</v>
      </c>
      <c r="E36" s="205">
        <v>4232</v>
      </c>
      <c r="F36" s="206" t="s">
        <v>523</v>
      </c>
      <c r="G36" s="207" t="s">
        <v>563</v>
      </c>
      <c r="H36" s="208">
        <v>0</v>
      </c>
      <c r="I36" s="208">
        <v>1</v>
      </c>
      <c r="J36" s="247">
        <f>2+1/3</f>
        <v>2.3333333333333335</v>
      </c>
      <c r="K36" s="208">
        <v>4</v>
      </c>
      <c r="L36" s="208">
        <v>3</v>
      </c>
      <c r="M36" s="208">
        <v>3</v>
      </c>
      <c r="N36" s="208">
        <v>2</v>
      </c>
      <c r="O36" s="208">
        <v>4</v>
      </c>
      <c r="P36" s="208">
        <v>0</v>
      </c>
      <c r="Q36" s="208">
        <v>0</v>
      </c>
      <c r="R36" s="208">
        <v>13</v>
      </c>
      <c r="S36" s="208"/>
      <c r="T36" s="208"/>
      <c r="U36" s="208">
        <v>1</v>
      </c>
      <c r="V36" s="210">
        <v>0</v>
      </c>
      <c r="W36" s="211">
        <v>0</v>
      </c>
      <c r="X36" s="211">
        <v>0</v>
      </c>
      <c r="Y36" s="211">
        <v>0</v>
      </c>
      <c r="Z36" s="211">
        <v>0</v>
      </c>
      <c r="AA36" s="211">
        <v>0</v>
      </c>
      <c r="AB36" s="248">
        <f>3+2/3</f>
        <v>3.6666666666666665</v>
      </c>
      <c r="AC36" s="211">
        <v>2</v>
      </c>
      <c r="AD36" s="211">
        <v>3</v>
      </c>
      <c r="AE36" s="211">
        <v>3</v>
      </c>
      <c r="AF36" s="211">
        <v>2</v>
      </c>
      <c r="AG36" s="211">
        <v>0</v>
      </c>
      <c r="AH36" s="211">
        <v>1</v>
      </c>
      <c r="AI36" s="211">
        <v>1</v>
      </c>
      <c r="AJ36" s="211">
        <v>16</v>
      </c>
      <c r="AK36" s="211"/>
      <c r="AL36" s="211"/>
      <c r="AM36" s="213" t="s">
        <v>519</v>
      </c>
      <c r="AN36" s="214">
        <v>3</v>
      </c>
      <c r="AO36" s="214">
        <v>0</v>
      </c>
      <c r="AP36" s="214">
        <v>0</v>
      </c>
      <c r="AQ36" s="214">
        <v>0</v>
      </c>
      <c r="AR36" s="214">
        <v>0</v>
      </c>
      <c r="AS36" s="214">
        <v>1</v>
      </c>
      <c r="AT36" s="214">
        <v>0</v>
      </c>
      <c r="AU36" s="214">
        <v>0</v>
      </c>
      <c r="AV36" s="215">
        <v>0</v>
      </c>
      <c r="AW36" s="213" t="s">
        <v>529</v>
      </c>
      <c r="AX36" s="214">
        <v>3</v>
      </c>
      <c r="AY36" s="214">
        <v>0</v>
      </c>
      <c r="AZ36" s="214">
        <v>0</v>
      </c>
      <c r="BA36" s="214">
        <v>0</v>
      </c>
      <c r="BB36" s="214">
        <v>0</v>
      </c>
      <c r="BC36" s="214">
        <v>2</v>
      </c>
      <c r="BD36" s="214">
        <v>0</v>
      </c>
      <c r="BE36" s="214">
        <v>0</v>
      </c>
      <c r="BF36" s="215">
        <v>0</v>
      </c>
      <c r="BG36" s="213" t="s">
        <v>534</v>
      </c>
      <c r="BH36" s="214">
        <v>3</v>
      </c>
      <c r="BI36" s="214">
        <v>0</v>
      </c>
      <c r="BJ36" s="214">
        <v>1</v>
      </c>
      <c r="BK36" s="214">
        <v>0</v>
      </c>
      <c r="BL36" s="214">
        <v>0</v>
      </c>
      <c r="BM36" s="214">
        <v>0</v>
      </c>
      <c r="BN36" s="214">
        <v>0</v>
      </c>
      <c r="BO36" s="214">
        <v>0</v>
      </c>
      <c r="BP36" s="215">
        <v>2</v>
      </c>
      <c r="BQ36" s="213" t="s">
        <v>539</v>
      </c>
      <c r="BR36" s="214">
        <v>3</v>
      </c>
      <c r="BS36" s="214">
        <v>1</v>
      </c>
      <c r="BT36" s="214">
        <v>1</v>
      </c>
      <c r="BU36" s="214">
        <v>1</v>
      </c>
      <c r="BV36" s="214">
        <v>0</v>
      </c>
      <c r="BW36" s="214">
        <v>1</v>
      </c>
      <c r="BX36" s="214">
        <v>0</v>
      </c>
      <c r="BY36" s="214">
        <v>0</v>
      </c>
      <c r="BZ36" s="215">
        <v>4</v>
      </c>
      <c r="CA36" s="213" t="s">
        <v>532</v>
      </c>
      <c r="CB36" s="214">
        <v>3</v>
      </c>
      <c r="CC36" s="214">
        <v>0</v>
      </c>
      <c r="CD36" s="214">
        <v>1</v>
      </c>
      <c r="CE36" s="214">
        <v>0</v>
      </c>
      <c r="CF36" s="214">
        <v>0</v>
      </c>
      <c r="CG36" s="214">
        <v>0</v>
      </c>
      <c r="CH36" s="214">
        <v>0</v>
      </c>
      <c r="CI36" s="214">
        <v>0</v>
      </c>
      <c r="CJ36" s="215">
        <v>1</v>
      </c>
      <c r="CK36" s="213" t="s">
        <v>549</v>
      </c>
      <c r="CL36" s="214">
        <v>3</v>
      </c>
      <c r="CM36" s="214">
        <v>0</v>
      </c>
      <c r="CN36" s="214">
        <v>1</v>
      </c>
      <c r="CO36" s="214">
        <v>0</v>
      </c>
      <c r="CP36" s="214">
        <v>0</v>
      </c>
      <c r="CQ36" s="214">
        <v>2</v>
      </c>
      <c r="CR36" s="214">
        <v>0</v>
      </c>
      <c r="CS36" s="214">
        <v>0</v>
      </c>
      <c r="CT36" s="215">
        <v>1</v>
      </c>
      <c r="CU36" s="213" t="s">
        <v>538</v>
      </c>
      <c r="CV36" s="214">
        <v>2</v>
      </c>
      <c r="CW36" s="214">
        <v>0</v>
      </c>
      <c r="CX36" s="214">
        <v>0</v>
      </c>
      <c r="CY36" s="214">
        <v>0</v>
      </c>
      <c r="CZ36" s="214">
        <v>1</v>
      </c>
      <c r="DA36" s="214">
        <v>0</v>
      </c>
      <c r="DB36" s="214">
        <v>0</v>
      </c>
      <c r="DC36" s="214">
        <v>0</v>
      </c>
      <c r="DD36" s="215">
        <v>0</v>
      </c>
      <c r="DE36" s="213" t="s">
        <v>285</v>
      </c>
      <c r="DF36" s="214">
        <v>3</v>
      </c>
      <c r="DG36" s="214">
        <v>0</v>
      </c>
      <c r="DH36" s="214">
        <v>1</v>
      </c>
      <c r="DI36" s="214">
        <v>0</v>
      </c>
      <c r="DJ36" s="214">
        <v>0</v>
      </c>
      <c r="DK36" s="214">
        <v>2</v>
      </c>
      <c r="DL36" s="214">
        <v>0</v>
      </c>
      <c r="DM36" s="214">
        <v>0</v>
      </c>
      <c r="DN36" s="215">
        <v>1</v>
      </c>
      <c r="DO36" s="213" t="s">
        <v>535</v>
      </c>
      <c r="DP36" s="214">
        <v>3</v>
      </c>
      <c r="DQ36" s="214">
        <v>0</v>
      </c>
      <c r="DR36" s="214">
        <v>0</v>
      </c>
      <c r="DS36" s="214">
        <v>0</v>
      </c>
      <c r="DT36" s="214">
        <v>0</v>
      </c>
      <c r="DU36" s="214">
        <v>2</v>
      </c>
      <c r="DV36" s="214">
        <v>0</v>
      </c>
      <c r="DW36" s="214">
        <v>0</v>
      </c>
      <c r="DX36" s="215">
        <v>0</v>
      </c>
      <c r="DY36" s="249">
        <v>0</v>
      </c>
      <c r="DZ36" s="217">
        <v>0</v>
      </c>
      <c r="EA36" s="217">
        <v>0</v>
      </c>
      <c r="EB36" s="250">
        <v>7</v>
      </c>
      <c r="EC36" s="217">
        <v>0</v>
      </c>
      <c r="ED36" s="219">
        <v>0</v>
      </c>
      <c r="EE36" s="220">
        <v>0</v>
      </c>
      <c r="EF36" s="217">
        <v>1</v>
      </c>
      <c r="EG36" s="217">
        <v>0</v>
      </c>
      <c r="EH36" s="217">
        <v>0</v>
      </c>
      <c r="EI36" s="217">
        <v>0</v>
      </c>
      <c r="EJ36" s="217">
        <v>0</v>
      </c>
      <c r="EK36" s="217">
        <v>0</v>
      </c>
      <c r="EL36" s="217"/>
      <c r="EM36" s="217"/>
      <c r="EN36" s="217"/>
      <c r="EO36" s="217"/>
      <c r="EP36" s="217"/>
      <c r="EQ36" s="217"/>
      <c r="ER36" s="219">
        <f t="shared" si="0"/>
        <v>1</v>
      </c>
      <c r="ES36" s="217">
        <v>1</v>
      </c>
      <c r="ET36" s="217">
        <v>0</v>
      </c>
      <c r="EU36" s="217">
        <v>2</v>
      </c>
      <c r="EV36" s="217">
        <v>3</v>
      </c>
      <c r="EW36" s="217">
        <v>0</v>
      </c>
      <c r="EX36" s="217">
        <v>0</v>
      </c>
      <c r="EY36" s="217"/>
      <c r="EZ36" s="217"/>
      <c r="FA36" s="217"/>
      <c r="FB36" s="217"/>
      <c r="FC36" s="217"/>
      <c r="FD36" s="217"/>
      <c r="FE36" s="217"/>
      <c r="FF36" s="217">
        <f t="shared" si="1"/>
        <v>6</v>
      </c>
      <c r="FG36" s="221">
        <f t="shared" si="34"/>
        <v>0</v>
      </c>
      <c r="FH36" s="221">
        <f t="shared" si="35"/>
        <v>0</v>
      </c>
      <c r="FI36" s="221">
        <f t="shared" si="21"/>
        <v>-1</v>
      </c>
      <c r="FJ36" s="221">
        <f t="shared" si="22"/>
        <v>1</v>
      </c>
      <c r="FK36" s="221">
        <f t="shared" si="23"/>
        <v>-2</v>
      </c>
      <c r="FL36" s="221">
        <f t="shared" si="24"/>
        <v>-3</v>
      </c>
      <c r="FM36" s="221">
        <f t="shared" si="25"/>
        <v>0</v>
      </c>
      <c r="FN36" s="221">
        <f t="shared" si="26"/>
        <v>0</v>
      </c>
      <c r="FO36" s="221">
        <f t="shared" si="27"/>
        <v>0</v>
      </c>
      <c r="FP36" s="221">
        <f t="shared" si="28"/>
        <v>0</v>
      </c>
      <c r="FQ36" s="221">
        <f t="shared" si="29"/>
        <v>0</v>
      </c>
      <c r="FR36" s="221">
        <f t="shared" si="30"/>
        <v>0</v>
      </c>
      <c r="FS36" s="221">
        <f t="shared" si="31"/>
        <v>0</v>
      </c>
      <c r="FT36" s="221">
        <f t="shared" si="32"/>
        <v>0</v>
      </c>
      <c r="FU36" s="221">
        <f t="shared" si="5"/>
        <v>0</v>
      </c>
      <c r="FV36" s="221">
        <f t="shared" si="33"/>
        <v>-5</v>
      </c>
      <c r="FW36" s="222" t="s">
        <v>378</v>
      </c>
    </row>
    <row r="37" spans="1:179" x14ac:dyDescent="0.25">
      <c r="A37" s="204">
        <v>40311</v>
      </c>
      <c r="B37" s="204" t="s">
        <v>19</v>
      </c>
      <c r="C37" s="204" t="s">
        <v>131</v>
      </c>
      <c r="D37" s="204" t="s">
        <v>548</v>
      </c>
      <c r="E37" s="205">
        <v>2853</v>
      </c>
      <c r="F37" s="206">
        <v>3</v>
      </c>
      <c r="G37" s="207" t="s">
        <v>536</v>
      </c>
      <c r="H37" s="208">
        <v>0</v>
      </c>
      <c r="I37" s="208">
        <v>0</v>
      </c>
      <c r="J37" s="247">
        <v>6</v>
      </c>
      <c r="K37" s="208">
        <v>9</v>
      </c>
      <c r="L37" s="208">
        <v>4</v>
      </c>
      <c r="M37" s="208">
        <v>3</v>
      </c>
      <c r="N37" s="208">
        <v>0</v>
      </c>
      <c r="O37" s="208">
        <v>2</v>
      </c>
      <c r="P37" s="208">
        <v>0</v>
      </c>
      <c r="Q37" s="208">
        <v>0</v>
      </c>
      <c r="R37" s="208">
        <v>27</v>
      </c>
      <c r="S37" s="208"/>
      <c r="T37" s="208"/>
      <c r="U37" s="208">
        <v>0</v>
      </c>
      <c r="V37" s="210">
        <v>0</v>
      </c>
      <c r="W37" s="211">
        <v>0</v>
      </c>
      <c r="X37" s="211">
        <v>1</v>
      </c>
      <c r="Y37" s="211">
        <v>0</v>
      </c>
      <c r="Z37" s="211">
        <v>0</v>
      </c>
      <c r="AA37" s="211">
        <v>0</v>
      </c>
      <c r="AB37" s="248">
        <v>7</v>
      </c>
      <c r="AC37" s="211">
        <v>6</v>
      </c>
      <c r="AD37" s="211">
        <v>1</v>
      </c>
      <c r="AE37" s="211">
        <v>1</v>
      </c>
      <c r="AF37" s="211">
        <v>2</v>
      </c>
      <c r="AG37" s="211">
        <v>6</v>
      </c>
      <c r="AH37" s="211">
        <v>0</v>
      </c>
      <c r="AI37" s="211">
        <v>0</v>
      </c>
      <c r="AJ37" s="211">
        <v>27</v>
      </c>
      <c r="AK37" s="211"/>
      <c r="AL37" s="211"/>
      <c r="AM37" s="213" t="s">
        <v>519</v>
      </c>
      <c r="AN37" s="214">
        <v>5</v>
      </c>
      <c r="AO37" s="214">
        <v>1</v>
      </c>
      <c r="AP37" s="214">
        <v>3</v>
      </c>
      <c r="AQ37" s="214">
        <v>0</v>
      </c>
      <c r="AR37" s="214">
        <v>0</v>
      </c>
      <c r="AS37" s="214">
        <v>0</v>
      </c>
      <c r="AT37" s="214">
        <v>0</v>
      </c>
      <c r="AU37" s="214">
        <v>0</v>
      </c>
      <c r="AV37" s="215">
        <v>3</v>
      </c>
      <c r="AW37" s="213" t="s">
        <v>534</v>
      </c>
      <c r="AX37" s="214">
        <v>6</v>
      </c>
      <c r="AY37" s="214">
        <v>2</v>
      </c>
      <c r="AZ37" s="214">
        <v>2</v>
      </c>
      <c r="BA37" s="214">
        <v>2</v>
      </c>
      <c r="BB37" s="214">
        <v>0</v>
      </c>
      <c r="BC37" s="214">
        <v>2</v>
      </c>
      <c r="BD37" s="214">
        <v>0</v>
      </c>
      <c r="BE37" s="214">
        <v>0</v>
      </c>
      <c r="BF37" s="215">
        <v>5</v>
      </c>
      <c r="BG37" s="213" t="s">
        <v>539</v>
      </c>
      <c r="BH37" s="214">
        <v>4</v>
      </c>
      <c r="BI37" s="214">
        <v>1</v>
      </c>
      <c r="BJ37" s="214">
        <v>0</v>
      </c>
      <c r="BK37" s="214">
        <v>0</v>
      </c>
      <c r="BL37" s="214">
        <v>2</v>
      </c>
      <c r="BM37" s="214">
        <v>0</v>
      </c>
      <c r="BN37" s="214">
        <v>0</v>
      </c>
      <c r="BO37" s="214">
        <v>0</v>
      </c>
      <c r="BP37" s="215">
        <v>0</v>
      </c>
      <c r="BQ37" s="213" t="s">
        <v>530</v>
      </c>
      <c r="BR37" s="214">
        <v>6</v>
      </c>
      <c r="BS37" s="214">
        <v>0</v>
      </c>
      <c r="BT37" s="214">
        <v>1</v>
      </c>
      <c r="BU37" s="214">
        <v>0</v>
      </c>
      <c r="BV37" s="214">
        <v>0</v>
      </c>
      <c r="BW37" s="214">
        <v>1</v>
      </c>
      <c r="BX37" s="214">
        <v>0</v>
      </c>
      <c r="BY37" s="214">
        <v>0</v>
      </c>
      <c r="BZ37" s="215">
        <v>1</v>
      </c>
      <c r="CA37" s="213" t="s">
        <v>426</v>
      </c>
      <c r="CB37" s="214">
        <v>6</v>
      </c>
      <c r="CC37" s="214">
        <v>0</v>
      </c>
      <c r="CD37" s="214">
        <v>3</v>
      </c>
      <c r="CE37" s="214">
        <v>2</v>
      </c>
      <c r="CF37" s="214">
        <v>0</v>
      </c>
      <c r="CG37" s="214">
        <v>1</v>
      </c>
      <c r="CH37" s="214">
        <v>0</v>
      </c>
      <c r="CI37" s="214">
        <v>0</v>
      </c>
      <c r="CJ37" s="215">
        <v>3</v>
      </c>
      <c r="CK37" s="213" t="s">
        <v>529</v>
      </c>
      <c r="CL37" s="214">
        <v>6</v>
      </c>
      <c r="CM37" s="214">
        <v>0</v>
      </c>
      <c r="CN37" s="214">
        <v>1</v>
      </c>
      <c r="CO37" s="214">
        <v>0</v>
      </c>
      <c r="CP37" s="214">
        <v>0</v>
      </c>
      <c r="CQ37" s="214">
        <v>2</v>
      </c>
      <c r="CR37" s="214">
        <v>0</v>
      </c>
      <c r="CS37" s="214">
        <v>0</v>
      </c>
      <c r="CT37" s="215">
        <v>1</v>
      </c>
      <c r="CU37" s="213" t="s">
        <v>543</v>
      </c>
      <c r="CV37" s="214">
        <v>6</v>
      </c>
      <c r="CW37" s="214">
        <v>0</v>
      </c>
      <c r="CX37" s="214">
        <v>2</v>
      </c>
      <c r="CY37" s="214">
        <v>0</v>
      </c>
      <c r="CZ37" s="214">
        <v>0</v>
      </c>
      <c r="DA37" s="214">
        <v>1</v>
      </c>
      <c r="DB37" s="214">
        <v>0</v>
      </c>
      <c r="DC37" s="214">
        <v>0</v>
      </c>
      <c r="DD37" s="215">
        <v>2</v>
      </c>
      <c r="DE37" s="213" t="s">
        <v>538</v>
      </c>
      <c r="DF37" s="214">
        <v>4</v>
      </c>
      <c r="DG37" s="214">
        <v>0</v>
      </c>
      <c r="DH37" s="214">
        <v>0</v>
      </c>
      <c r="DI37" s="214">
        <v>0</v>
      </c>
      <c r="DJ37" s="214">
        <v>1</v>
      </c>
      <c r="DK37" s="214">
        <v>1</v>
      </c>
      <c r="DL37" s="214">
        <v>0</v>
      </c>
      <c r="DM37" s="214">
        <v>0</v>
      </c>
      <c r="DN37" s="215">
        <v>0</v>
      </c>
      <c r="DO37" s="213" t="s">
        <v>535</v>
      </c>
      <c r="DP37" s="214">
        <v>5</v>
      </c>
      <c r="DQ37" s="214">
        <v>0</v>
      </c>
      <c r="DR37" s="214">
        <v>0</v>
      </c>
      <c r="DS37" s="214">
        <v>0</v>
      </c>
      <c r="DT37" s="214">
        <v>1</v>
      </c>
      <c r="DU37" s="214">
        <v>3</v>
      </c>
      <c r="DV37" s="214">
        <v>0</v>
      </c>
      <c r="DW37" s="214">
        <v>0</v>
      </c>
      <c r="DX37" s="215">
        <v>0</v>
      </c>
      <c r="DY37" s="249">
        <v>1</v>
      </c>
      <c r="DZ37" s="217">
        <v>0</v>
      </c>
      <c r="EA37" s="217">
        <v>0</v>
      </c>
      <c r="EB37" s="250">
        <v>12</v>
      </c>
      <c r="EC37" s="217">
        <v>0</v>
      </c>
      <c r="ED37" s="219">
        <v>0</v>
      </c>
      <c r="EE37" s="220">
        <v>0</v>
      </c>
      <c r="EF37" s="217">
        <v>0</v>
      </c>
      <c r="EG37" s="217">
        <v>2</v>
      </c>
      <c r="EH37" s="217">
        <v>0</v>
      </c>
      <c r="EI37" s="217">
        <v>0</v>
      </c>
      <c r="EJ37" s="217">
        <v>0</v>
      </c>
      <c r="EK37" s="217">
        <v>0</v>
      </c>
      <c r="EL37" s="217">
        <v>2</v>
      </c>
      <c r="EM37" s="217">
        <v>0</v>
      </c>
      <c r="EN37" s="217">
        <v>0</v>
      </c>
      <c r="EO37" s="217">
        <v>0</v>
      </c>
      <c r="EP37" s="217">
        <v>0</v>
      </c>
      <c r="EQ37" s="217">
        <v>0</v>
      </c>
      <c r="ER37" s="219">
        <f t="shared" si="0"/>
        <v>4</v>
      </c>
      <c r="ES37" s="217">
        <v>0</v>
      </c>
      <c r="ET37" s="217">
        <v>0</v>
      </c>
      <c r="EU37" s="217">
        <v>1</v>
      </c>
      <c r="EV37" s="217">
        <v>2</v>
      </c>
      <c r="EW37" s="217">
        <v>0</v>
      </c>
      <c r="EX37" s="217">
        <v>1</v>
      </c>
      <c r="EY37" s="217">
        <v>0</v>
      </c>
      <c r="EZ37" s="217">
        <v>0</v>
      </c>
      <c r="FA37" s="217">
        <v>0</v>
      </c>
      <c r="FB37" s="217">
        <v>0</v>
      </c>
      <c r="FC37" s="217">
        <v>0</v>
      </c>
      <c r="FD37" s="217">
        <v>0</v>
      </c>
      <c r="FE37" s="217">
        <v>1</v>
      </c>
      <c r="FF37" s="217">
        <f t="shared" si="1"/>
        <v>5</v>
      </c>
      <c r="FG37" s="221">
        <f t="shared" ref="FG37:FG42" si="36">((SUM(L37,AD37))-(FF37))</f>
        <v>0</v>
      </c>
      <c r="FH37" s="221">
        <f t="shared" ref="FH37:FH42" si="37">((SUM(AO37,AY37,BI37,BS37,CC37,CM37,CW37,DG37,DQ37))-(ER37))</f>
        <v>0</v>
      </c>
      <c r="FI37" s="221">
        <f t="shared" si="21"/>
        <v>0</v>
      </c>
      <c r="FJ37" s="221">
        <f t="shared" si="22"/>
        <v>0</v>
      </c>
      <c r="FK37" s="221">
        <f t="shared" si="23"/>
        <v>1</v>
      </c>
      <c r="FL37" s="221">
        <f t="shared" si="24"/>
        <v>-2</v>
      </c>
      <c r="FM37" s="221">
        <f t="shared" si="25"/>
        <v>0</v>
      </c>
      <c r="FN37" s="221">
        <f t="shared" si="26"/>
        <v>-1</v>
      </c>
      <c r="FO37" s="221">
        <f t="shared" si="27"/>
        <v>0</v>
      </c>
      <c r="FP37" s="221">
        <f t="shared" si="28"/>
        <v>2</v>
      </c>
      <c r="FQ37" s="221">
        <f t="shared" si="29"/>
        <v>0</v>
      </c>
      <c r="FR37" s="221">
        <f t="shared" si="30"/>
        <v>0</v>
      </c>
      <c r="FS37" s="221">
        <f t="shared" si="31"/>
        <v>0</v>
      </c>
      <c r="FT37" s="221">
        <f t="shared" si="32"/>
        <v>0</v>
      </c>
      <c r="FU37" s="221">
        <f t="shared" si="5"/>
        <v>-1</v>
      </c>
      <c r="FV37" s="221">
        <f t="shared" si="33"/>
        <v>-1</v>
      </c>
      <c r="FW37" s="222"/>
    </row>
    <row r="38" spans="1:179" x14ac:dyDescent="0.25">
      <c r="A38" s="204">
        <v>40312</v>
      </c>
      <c r="B38" s="204" t="s">
        <v>19</v>
      </c>
      <c r="C38" s="204" t="s">
        <v>131</v>
      </c>
      <c r="D38" s="204" t="s">
        <v>548</v>
      </c>
      <c r="E38" s="205">
        <v>3754</v>
      </c>
      <c r="F38" s="206">
        <v>4</v>
      </c>
      <c r="G38" s="207" t="s">
        <v>545</v>
      </c>
      <c r="H38" s="208">
        <v>0</v>
      </c>
      <c r="I38" s="208">
        <v>1</v>
      </c>
      <c r="J38" s="247">
        <v>6</v>
      </c>
      <c r="K38" s="208">
        <v>7</v>
      </c>
      <c r="L38" s="208">
        <v>4</v>
      </c>
      <c r="M38" s="208">
        <v>3</v>
      </c>
      <c r="N38" s="208">
        <v>0</v>
      </c>
      <c r="O38" s="208">
        <v>7</v>
      </c>
      <c r="P38" s="208">
        <v>0</v>
      </c>
      <c r="Q38" s="208">
        <v>1</v>
      </c>
      <c r="R38" s="208">
        <v>25</v>
      </c>
      <c r="S38" s="208"/>
      <c r="T38" s="208"/>
      <c r="U38" s="208">
        <v>0</v>
      </c>
      <c r="V38" s="210">
        <v>0</v>
      </c>
      <c r="W38" s="211">
        <v>0</v>
      </c>
      <c r="X38" s="211">
        <v>0</v>
      </c>
      <c r="Y38" s="211">
        <v>0</v>
      </c>
      <c r="Z38" s="211">
        <v>0</v>
      </c>
      <c r="AA38" s="211">
        <v>0</v>
      </c>
      <c r="AB38" s="248">
        <v>3</v>
      </c>
      <c r="AC38" s="211">
        <v>1</v>
      </c>
      <c r="AD38" s="211">
        <v>0</v>
      </c>
      <c r="AE38" s="211">
        <v>0</v>
      </c>
      <c r="AF38" s="211">
        <v>0</v>
      </c>
      <c r="AG38" s="211">
        <v>4</v>
      </c>
      <c r="AH38" s="211">
        <v>0</v>
      </c>
      <c r="AI38" s="211">
        <v>1</v>
      </c>
      <c r="AJ38" s="211">
        <v>10</v>
      </c>
      <c r="AK38" s="211"/>
      <c r="AL38" s="211"/>
      <c r="AM38" s="213" t="s">
        <v>519</v>
      </c>
      <c r="AN38" s="214">
        <v>3</v>
      </c>
      <c r="AO38" s="214">
        <v>0</v>
      </c>
      <c r="AP38" s="214">
        <v>1</v>
      </c>
      <c r="AQ38" s="214">
        <v>0</v>
      </c>
      <c r="AR38" s="214">
        <v>1</v>
      </c>
      <c r="AS38" s="214">
        <v>0</v>
      </c>
      <c r="AT38" s="214">
        <v>0</v>
      </c>
      <c r="AU38" s="214">
        <v>0</v>
      </c>
      <c r="AV38" s="215">
        <v>1</v>
      </c>
      <c r="AW38" s="213" t="s">
        <v>538</v>
      </c>
      <c r="AX38" s="214">
        <v>4</v>
      </c>
      <c r="AY38" s="214">
        <v>0</v>
      </c>
      <c r="AZ38" s="214">
        <v>0</v>
      </c>
      <c r="BA38" s="214">
        <v>0</v>
      </c>
      <c r="BB38" s="214">
        <v>0</v>
      </c>
      <c r="BC38" s="214">
        <v>1</v>
      </c>
      <c r="BD38" s="214">
        <v>0</v>
      </c>
      <c r="BE38" s="214">
        <v>0</v>
      </c>
      <c r="BF38" s="215">
        <v>0</v>
      </c>
      <c r="BG38" s="213" t="s">
        <v>534</v>
      </c>
      <c r="BH38" s="214">
        <v>4</v>
      </c>
      <c r="BI38" s="214">
        <v>1</v>
      </c>
      <c r="BJ38" s="214">
        <v>1</v>
      </c>
      <c r="BK38" s="214">
        <v>0</v>
      </c>
      <c r="BL38" s="214">
        <v>0</v>
      </c>
      <c r="BM38" s="214">
        <v>2</v>
      </c>
      <c r="BN38" s="214">
        <v>0</v>
      </c>
      <c r="BO38" s="214">
        <v>0</v>
      </c>
      <c r="BP38" s="215">
        <v>1</v>
      </c>
      <c r="BQ38" s="213" t="s">
        <v>539</v>
      </c>
      <c r="BR38" s="214">
        <v>4</v>
      </c>
      <c r="BS38" s="214">
        <v>0</v>
      </c>
      <c r="BT38" s="214">
        <v>1</v>
      </c>
      <c r="BU38" s="214">
        <v>1</v>
      </c>
      <c r="BV38" s="214">
        <v>0</v>
      </c>
      <c r="BW38" s="214">
        <v>2</v>
      </c>
      <c r="BX38" s="214">
        <v>0</v>
      </c>
      <c r="BY38" s="214">
        <v>0</v>
      </c>
      <c r="BZ38" s="215">
        <v>2</v>
      </c>
      <c r="CA38" s="213" t="s">
        <v>426</v>
      </c>
      <c r="CB38" s="214">
        <v>4</v>
      </c>
      <c r="CC38" s="214">
        <v>0</v>
      </c>
      <c r="CD38" s="214">
        <v>0</v>
      </c>
      <c r="CE38" s="214">
        <v>0</v>
      </c>
      <c r="CF38" s="214">
        <v>0</v>
      </c>
      <c r="CG38" s="214">
        <v>0</v>
      </c>
      <c r="CH38" s="214">
        <v>0</v>
      </c>
      <c r="CI38" s="214">
        <v>0</v>
      </c>
      <c r="CJ38" s="215">
        <v>0</v>
      </c>
      <c r="CK38" s="213" t="s">
        <v>529</v>
      </c>
      <c r="CL38" s="214">
        <v>2</v>
      </c>
      <c r="CM38" s="214">
        <v>0</v>
      </c>
      <c r="CN38" s="214">
        <v>0</v>
      </c>
      <c r="CO38" s="214">
        <v>0</v>
      </c>
      <c r="CP38" s="214">
        <v>2</v>
      </c>
      <c r="CQ38" s="214">
        <v>2</v>
      </c>
      <c r="CR38" s="214">
        <v>0</v>
      </c>
      <c r="CS38" s="214">
        <v>0</v>
      </c>
      <c r="CT38" s="215">
        <v>0</v>
      </c>
      <c r="CU38" s="213" t="s">
        <v>561</v>
      </c>
      <c r="CV38" s="214">
        <v>4</v>
      </c>
      <c r="CW38" s="214">
        <v>0</v>
      </c>
      <c r="CX38" s="214">
        <v>1</v>
      </c>
      <c r="CY38" s="214">
        <v>0</v>
      </c>
      <c r="CZ38" s="214">
        <v>0</v>
      </c>
      <c r="DA38" s="214">
        <v>2</v>
      </c>
      <c r="DB38" s="214">
        <v>0</v>
      </c>
      <c r="DC38" s="214">
        <v>0</v>
      </c>
      <c r="DD38" s="215">
        <v>1</v>
      </c>
      <c r="DE38" s="213" t="s">
        <v>532</v>
      </c>
      <c r="DF38" s="214">
        <v>3</v>
      </c>
      <c r="DG38" s="214">
        <v>0</v>
      </c>
      <c r="DH38" s="214">
        <v>1</v>
      </c>
      <c r="DI38" s="214">
        <v>0</v>
      </c>
      <c r="DJ38" s="214">
        <v>0</v>
      </c>
      <c r="DK38" s="214">
        <v>0</v>
      </c>
      <c r="DL38" s="214">
        <v>0</v>
      </c>
      <c r="DM38" s="214">
        <v>0</v>
      </c>
      <c r="DN38" s="215">
        <v>2</v>
      </c>
      <c r="DO38" s="213" t="s">
        <v>549</v>
      </c>
      <c r="DP38" s="214">
        <v>3</v>
      </c>
      <c r="DQ38" s="214">
        <v>0</v>
      </c>
      <c r="DR38" s="214">
        <v>0</v>
      </c>
      <c r="DS38" s="214">
        <v>0</v>
      </c>
      <c r="DT38" s="214">
        <v>0</v>
      </c>
      <c r="DU38" s="214">
        <v>0</v>
      </c>
      <c r="DV38" s="214">
        <v>0</v>
      </c>
      <c r="DW38" s="214">
        <v>0</v>
      </c>
      <c r="DX38" s="215">
        <v>0</v>
      </c>
      <c r="DY38" s="249">
        <f>1+1/3</f>
        <v>1.3333333333333333</v>
      </c>
      <c r="DZ38" s="217">
        <v>0</v>
      </c>
      <c r="EA38" s="217">
        <v>0</v>
      </c>
      <c r="EB38" s="250">
        <f>7+2/3</f>
        <v>7.666666666666667</v>
      </c>
      <c r="EC38" s="217">
        <v>1</v>
      </c>
      <c r="ED38" s="219">
        <v>0</v>
      </c>
      <c r="EE38" s="220">
        <v>1</v>
      </c>
      <c r="EF38" s="217">
        <v>0</v>
      </c>
      <c r="EG38" s="217">
        <v>0</v>
      </c>
      <c r="EH38" s="217">
        <v>0</v>
      </c>
      <c r="EI38" s="217">
        <v>0</v>
      </c>
      <c r="EJ38" s="217">
        <v>0</v>
      </c>
      <c r="EK38" s="217">
        <v>0</v>
      </c>
      <c r="EL38" s="217">
        <v>0</v>
      </c>
      <c r="EM38" s="217">
        <v>0</v>
      </c>
      <c r="EN38" s="217"/>
      <c r="EO38" s="217"/>
      <c r="EP38" s="217"/>
      <c r="EQ38" s="217"/>
      <c r="ER38" s="219">
        <f t="shared" ref="ER38:ER45" si="38">SUM(EE38:EQ38)</f>
        <v>1</v>
      </c>
      <c r="ES38" s="217">
        <v>0</v>
      </c>
      <c r="ET38" s="217">
        <v>2</v>
      </c>
      <c r="EU38" s="217">
        <v>0</v>
      </c>
      <c r="EV38" s="217">
        <v>0</v>
      </c>
      <c r="EW38" s="217">
        <v>0</v>
      </c>
      <c r="EX38" s="217">
        <v>2</v>
      </c>
      <c r="EY38" s="217">
        <v>0</v>
      </c>
      <c r="EZ38" s="217">
        <v>0</v>
      </c>
      <c r="FA38" s="217">
        <v>0</v>
      </c>
      <c r="FB38" s="217"/>
      <c r="FC38" s="217"/>
      <c r="FD38" s="217"/>
      <c r="FE38" s="217"/>
      <c r="FF38" s="217">
        <f t="shared" ref="FF38:FF45" si="39">SUM(ES38:FE38)</f>
        <v>4</v>
      </c>
      <c r="FG38" s="221">
        <f t="shared" si="36"/>
        <v>0</v>
      </c>
      <c r="FH38" s="221">
        <f t="shared" si="37"/>
        <v>0</v>
      </c>
      <c r="FI38" s="221">
        <f t="shared" si="21"/>
        <v>1</v>
      </c>
      <c r="FJ38" s="221">
        <f t="shared" si="22"/>
        <v>-2</v>
      </c>
      <c r="FK38" s="221">
        <f t="shared" si="23"/>
        <v>0</v>
      </c>
      <c r="FL38" s="221">
        <f t="shared" si="24"/>
        <v>0</v>
      </c>
      <c r="FM38" s="221">
        <f t="shared" si="25"/>
        <v>0</v>
      </c>
      <c r="FN38" s="221">
        <f t="shared" si="26"/>
        <v>-2</v>
      </c>
      <c r="FO38" s="221">
        <f t="shared" si="27"/>
        <v>0</v>
      </c>
      <c r="FP38" s="221">
        <f t="shared" si="28"/>
        <v>0</v>
      </c>
      <c r="FQ38" s="221">
        <f t="shared" si="29"/>
        <v>0</v>
      </c>
      <c r="FR38" s="221">
        <f t="shared" si="30"/>
        <v>0</v>
      </c>
      <c r="FS38" s="221">
        <f t="shared" si="31"/>
        <v>0</v>
      </c>
      <c r="FT38" s="221">
        <f t="shared" si="32"/>
        <v>0</v>
      </c>
      <c r="FU38" s="221">
        <f t="shared" ref="FU38:FU45" si="40">(EQ38-FE38)</f>
        <v>0</v>
      </c>
      <c r="FV38" s="221">
        <f t="shared" si="33"/>
        <v>-3</v>
      </c>
      <c r="FW38" s="222"/>
    </row>
    <row r="39" spans="1:179" x14ac:dyDescent="0.25">
      <c r="A39" s="204">
        <v>40313</v>
      </c>
      <c r="B39" s="204" t="s">
        <v>19</v>
      </c>
      <c r="C39" s="204" t="s">
        <v>131</v>
      </c>
      <c r="D39" s="204" t="s">
        <v>548</v>
      </c>
      <c r="E39" s="205">
        <v>4375</v>
      </c>
      <c r="F39" s="206">
        <v>5</v>
      </c>
      <c r="G39" s="207" t="s">
        <v>546</v>
      </c>
      <c r="H39" s="208">
        <v>0</v>
      </c>
      <c r="I39" s="208">
        <v>0</v>
      </c>
      <c r="J39" s="247">
        <v>6</v>
      </c>
      <c r="K39" s="208">
        <v>2</v>
      </c>
      <c r="L39" s="208">
        <v>0</v>
      </c>
      <c r="M39" s="208">
        <v>0</v>
      </c>
      <c r="N39" s="208">
        <v>3</v>
      </c>
      <c r="O39" s="208">
        <v>5</v>
      </c>
      <c r="P39" s="208">
        <v>0</v>
      </c>
      <c r="Q39" s="208">
        <v>0</v>
      </c>
      <c r="R39" s="208">
        <v>22</v>
      </c>
      <c r="S39" s="208"/>
      <c r="T39" s="208"/>
      <c r="U39" s="208">
        <v>0</v>
      </c>
      <c r="V39" s="210">
        <v>0</v>
      </c>
      <c r="W39" s="211">
        <v>0</v>
      </c>
      <c r="X39" s="211">
        <v>1</v>
      </c>
      <c r="Y39" s="211">
        <v>1</v>
      </c>
      <c r="Z39" s="211">
        <v>0</v>
      </c>
      <c r="AA39" s="211">
        <v>1</v>
      </c>
      <c r="AB39" s="248">
        <v>3</v>
      </c>
      <c r="AC39" s="211">
        <v>5</v>
      </c>
      <c r="AD39" s="211">
        <v>4</v>
      </c>
      <c r="AE39" s="211">
        <v>4</v>
      </c>
      <c r="AF39" s="211">
        <v>1</v>
      </c>
      <c r="AG39" s="211">
        <v>3</v>
      </c>
      <c r="AH39" s="211">
        <v>0</v>
      </c>
      <c r="AI39" s="211">
        <v>0</v>
      </c>
      <c r="AJ39" s="211">
        <v>15</v>
      </c>
      <c r="AK39" s="211"/>
      <c r="AL39" s="211"/>
      <c r="AM39" s="213" t="s">
        <v>519</v>
      </c>
      <c r="AN39" s="214">
        <v>4</v>
      </c>
      <c r="AO39" s="214">
        <v>1</v>
      </c>
      <c r="AP39" s="214">
        <v>1</v>
      </c>
      <c r="AQ39" s="214">
        <v>0</v>
      </c>
      <c r="AR39" s="214">
        <v>0</v>
      </c>
      <c r="AS39" s="214">
        <v>1</v>
      </c>
      <c r="AT39" s="214">
        <v>0</v>
      </c>
      <c r="AU39" s="214">
        <v>0</v>
      </c>
      <c r="AV39" s="215">
        <v>1</v>
      </c>
      <c r="AW39" s="213" t="s">
        <v>534</v>
      </c>
      <c r="AX39" s="214">
        <v>3</v>
      </c>
      <c r="AY39" s="214">
        <v>0</v>
      </c>
      <c r="AZ39" s="214">
        <v>1</v>
      </c>
      <c r="BA39" s="214">
        <v>0</v>
      </c>
      <c r="BB39" s="214">
        <v>0</v>
      </c>
      <c r="BC39" s="214">
        <v>1</v>
      </c>
      <c r="BD39" s="214">
        <v>1</v>
      </c>
      <c r="BE39" s="214">
        <v>0</v>
      </c>
      <c r="BF39" s="215">
        <v>1</v>
      </c>
      <c r="BG39" s="213" t="s">
        <v>539</v>
      </c>
      <c r="BH39" s="214">
        <v>4</v>
      </c>
      <c r="BI39" s="214">
        <v>1</v>
      </c>
      <c r="BJ39" s="214">
        <v>1</v>
      </c>
      <c r="BK39" s="214">
        <v>1</v>
      </c>
      <c r="BL39" s="214">
        <v>0</v>
      </c>
      <c r="BM39" s="214">
        <v>0</v>
      </c>
      <c r="BN39" s="214">
        <v>0</v>
      </c>
      <c r="BO39" s="214">
        <v>0</v>
      </c>
      <c r="BP39" s="215">
        <v>2</v>
      </c>
      <c r="BQ39" s="213" t="s">
        <v>530</v>
      </c>
      <c r="BR39" s="214">
        <v>4</v>
      </c>
      <c r="BS39" s="214">
        <v>1</v>
      </c>
      <c r="BT39" s="214">
        <v>1</v>
      </c>
      <c r="BU39" s="214">
        <v>0</v>
      </c>
      <c r="BV39" s="214">
        <v>0</v>
      </c>
      <c r="BW39" s="214">
        <v>0</v>
      </c>
      <c r="BX39" s="214">
        <v>0</v>
      </c>
      <c r="BY39" s="214">
        <v>0</v>
      </c>
      <c r="BZ39" s="215">
        <v>1</v>
      </c>
      <c r="CA39" s="213" t="s">
        <v>529</v>
      </c>
      <c r="CB39" s="214">
        <v>4</v>
      </c>
      <c r="CC39" s="214">
        <v>0</v>
      </c>
      <c r="CD39" s="214">
        <v>2</v>
      </c>
      <c r="CE39" s="214">
        <v>1</v>
      </c>
      <c r="CF39" s="214">
        <v>0</v>
      </c>
      <c r="CG39" s="214">
        <v>0</v>
      </c>
      <c r="CH39" s="214">
        <v>0</v>
      </c>
      <c r="CI39" s="214">
        <v>0</v>
      </c>
      <c r="CJ39" s="215">
        <v>2</v>
      </c>
      <c r="CK39" s="213" t="s">
        <v>531</v>
      </c>
      <c r="CL39" s="214">
        <v>4</v>
      </c>
      <c r="CM39" s="214">
        <v>0</v>
      </c>
      <c r="CN39" s="214">
        <v>1</v>
      </c>
      <c r="CO39" s="214">
        <v>1</v>
      </c>
      <c r="CP39" s="214">
        <v>0</v>
      </c>
      <c r="CQ39" s="214">
        <v>2</v>
      </c>
      <c r="CR39" s="214">
        <v>0</v>
      </c>
      <c r="CS39" s="214">
        <v>0</v>
      </c>
      <c r="CT39" s="215">
        <v>1</v>
      </c>
      <c r="CU39" s="213" t="s">
        <v>543</v>
      </c>
      <c r="CV39" s="214">
        <v>4</v>
      </c>
      <c r="CW39" s="214">
        <v>0</v>
      </c>
      <c r="CX39" s="214">
        <v>0</v>
      </c>
      <c r="CY39" s="214">
        <v>0</v>
      </c>
      <c r="CZ39" s="214">
        <v>0</v>
      </c>
      <c r="DA39" s="214">
        <v>1</v>
      </c>
      <c r="DB39" s="214">
        <v>0</v>
      </c>
      <c r="DC39" s="214">
        <v>0</v>
      </c>
      <c r="DD39" s="215">
        <v>0</v>
      </c>
      <c r="DE39" s="213" t="s">
        <v>538</v>
      </c>
      <c r="DF39" s="214">
        <v>3</v>
      </c>
      <c r="DG39" s="214">
        <v>0</v>
      </c>
      <c r="DH39" s="214">
        <v>2</v>
      </c>
      <c r="DI39" s="214">
        <v>0</v>
      </c>
      <c r="DJ39" s="214">
        <v>0</v>
      </c>
      <c r="DK39" s="214">
        <v>0</v>
      </c>
      <c r="DL39" s="214">
        <v>0</v>
      </c>
      <c r="DM39" s="214">
        <v>0</v>
      </c>
      <c r="DN39" s="215">
        <v>2</v>
      </c>
      <c r="DO39" s="213" t="s">
        <v>535</v>
      </c>
      <c r="DP39" s="214">
        <v>3</v>
      </c>
      <c r="DQ39" s="214">
        <v>0</v>
      </c>
      <c r="DR39" s="214">
        <v>0</v>
      </c>
      <c r="DS39" s="214">
        <v>0</v>
      </c>
      <c r="DT39" s="214">
        <v>0</v>
      </c>
      <c r="DU39" s="214">
        <v>2</v>
      </c>
      <c r="DV39" s="214">
        <v>0</v>
      </c>
      <c r="DW39" s="214">
        <v>0</v>
      </c>
      <c r="DX39" s="215">
        <v>0</v>
      </c>
      <c r="DY39" s="249">
        <v>2</v>
      </c>
      <c r="DZ39" s="217">
        <v>0</v>
      </c>
      <c r="EA39" s="217">
        <v>1</v>
      </c>
      <c r="EB39" s="250">
        <v>7</v>
      </c>
      <c r="EC39" s="217">
        <v>3</v>
      </c>
      <c r="ED39" s="219">
        <v>1</v>
      </c>
      <c r="EE39" s="220">
        <v>2</v>
      </c>
      <c r="EF39" s="217">
        <v>0</v>
      </c>
      <c r="EG39" s="217">
        <v>0</v>
      </c>
      <c r="EH39" s="217">
        <v>0</v>
      </c>
      <c r="EI39" s="217">
        <v>0</v>
      </c>
      <c r="EJ39" s="217">
        <v>1</v>
      </c>
      <c r="EK39" s="217">
        <v>0</v>
      </c>
      <c r="EL39" s="217">
        <v>0</v>
      </c>
      <c r="EM39" s="217">
        <v>0</v>
      </c>
      <c r="EN39" s="217"/>
      <c r="EO39" s="217"/>
      <c r="EP39" s="217"/>
      <c r="EQ39" s="217"/>
      <c r="ER39" s="219">
        <f t="shared" si="38"/>
        <v>3</v>
      </c>
      <c r="ES39" s="217">
        <v>0</v>
      </c>
      <c r="ET39" s="217">
        <v>0</v>
      </c>
      <c r="EU39" s="217">
        <v>0</v>
      </c>
      <c r="EV39" s="217">
        <v>0</v>
      </c>
      <c r="EW39" s="217">
        <v>0</v>
      </c>
      <c r="EX39" s="217">
        <v>0</v>
      </c>
      <c r="EY39" s="217">
        <v>0</v>
      </c>
      <c r="EZ39" s="217">
        <v>4</v>
      </c>
      <c r="FA39" s="217">
        <v>0</v>
      </c>
      <c r="FB39" s="217"/>
      <c r="FC39" s="217"/>
      <c r="FD39" s="217"/>
      <c r="FE39" s="217"/>
      <c r="FF39" s="217">
        <f t="shared" si="39"/>
        <v>4</v>
      </c>
      <c r="FG39" s="221">
        <f t="shared" si="36"/>
        <v>0</v>
      </c>
      <c r="FH39" s="221">
        <f t="shared" si="37"/>
        <v>0</v>
      </c>
      <c r="FI39" s="221">
        <f t="shared" si="21"/>
        <v>2</v>
      </c>
      <c r="FJ39" s="221">
        <f t="shared" si="22"/>
        <v>0</v>
      </c>
      <c r="FK39" s="221">
        <f t="shared" si="23"/>
        <v>0</v>
      </c>
      <c r="FL39" s="221">
        <f t="shared" si="24"/>
        <v>0</v>
      </c>
      <c r="FM39" s="221">
        <f t="shared" si="25"/>
        <v>0</v>
      </c>
      <c r="FN39" s="221">
        <f t="shared" si="26"/>
        <v>1</v>
      </c>
      <c r="FO39" s="221">
        <f t="shared" si="27"/>
        <v>0</v>
      </c>
      <c r="FP39" s="221">
        <f t="shared" si="28"/>
        <v>-4</v>
      </c>
      <c r="FQ39" s="221">
        <f t="shared" si="29"/>
        <v>0</v>
      </c>
      <c r="FR39" s="221">
        <f t="shared" si="30"/>
        <v>0</v>
      </c>
      <c r="FS39" s="221">
        <f t="shared" si="31"/>
        <v>0</v>
      </c>
      <c r="FT39" s="221">
        <f t="shared" si="32"/>
        <v>0</v>
      </c>
      <c r="FU39" s="221">
        <f t="shared" si="40"/>
        <v>0</v>
      </c>
      <c r="FV39" s="221">
        <f t="shared" si="33"/>
        <v>-1</v>
      </c>
      <c r="FW39" s="222" t="s">
        <v>565</v>
      </c>
    </row>
    <row r="40" spans="1:179" x14ac:dyDescent="0.25">
      <c r="A40" s="204">
        <v>40316</v>
      </c>
      <c r="B40" s="204" t="s">
        <v>133</v>
      </c>
      <c r="C40" s="204" t="s">
        <v>129</v>
      </c>
      <c r="D40" s="204" t="s">
        <v>558</v>
      </c>
      <c r="E40" s="205">
        <v>2534</v>
      </c>
      <c r="F40" s="206">
        <v>1</v>
      </c>
      <c r="G40" s="207" t="s">
        <v>540</v>
      </c>
      <c r="H40" s="208">
        <v>1</v>
      </c>
      <c r="I40" s="208">
        <v>0</v>
      </c>
      <c r="J40" s="247">
        <v>6</v>
      </c>
      <c r="K40" s="208">
        <v>3</v>
      </c>
      <c r="L40" s="208">
        <v>1</v>
      </c>
      <c r="M40" s="208">
        <v>0</v>
      </c>
      <c r="N40" s="208">
        <v>1</v>
      </c>
      <c r="O40" s="208">
        <v>6</v>
      </c>
      <c r="P40" s="208">
        <v>0</v>
      </c>
      <c r="Q40" s="208">
        <v>0</v>
      </c>
      <c r="R40" s="208">
        <v>22</v>
      </c>
      <c r="S40" s="208"/>
      <c r="T40" s="208"/>
      <c r="U40" s="208">
        <v>0</v>
      </c>
      <c r="V40" s="210">
        <v>0</v>
      </c>
      <c r="W40" s="211">
        <v>0</v>
      </c>
      <c r="X40" s="211">
        <v>0</v>
      </c>
      <c r="Y40" s="211">
        <v>0</v>
      </c>
      <c r="Z40" s="211">
        <v>1</v>
      </c>
      <c r="AA40" s="211">
        <v>0</v>
      </c>
      <c r="AB40" s="248">
        <v>3</v>
      </c>
      <c r="AC40" s="211">
        <v>0</v>
      </c>
      <c r="AD40" s="211">
        <v>0</v>
      </c>
      <c r="AE40" s="211">
        <v>0</v>
      </c>
      <c r="AF40" s="211">
        <v>1</v>
      </c>
      <c r="AG40" s="211">
        <v>5</v>
      </c>
      <c r="AH40" s="211">
        <v>0</v>
      </c>
      <c r="AI40" s="211">
        <v>1</v>
      </c>
      <c r="AJ40" s="211">
        <v>11</v>
      </c>
      <c r="AK40" s="211"/>
      <c r="AL40" s="211"/>
      <c r="AM40" s="213" t="s">
        <v>529</v>
      </c>
      <c r="AN40" s="214">
        <v>4</v>
      </c>
      <c r="AO40" s="214">
        <v>1</v>
      </c>
      <c r="AP40" s="214">
        <v>2</v>
      </c>
      <c r="AQ40" s="214">
        <v>1</v>
      </c>
      <c r="AR40" s="214">
        <v>1</v>
      </c>
      <c r="AS40" s="214">
        <v>0</v>
      </c>
      <c r="AT40" s="214">
        <v>0</v>
      </c>
      <c r="AU40" s="214">
        <v>0</v>
      </c>
      <c r="AV40" s="215">
        <v>3</v>
      </c>
      <c r="AW40" s="213" t="s">
        <v>534</v>
      </c>
      <c r="AX40" s="214">
        <v>1</v>
      </c>
      <c r="AY40" s="214">
        <v>0</v>
      </c>
      <c r="AZ40" s="214">
        <v>0</v>
      </c>
      <c r="BA40" s="214">
        <v>0</v>
      </c>
      <c r="BB40" s="214">
        <v>1</v>
      </c>
      <c r="BC40" s="214">
        <v>1</v>
      </c>
      <c r="BD40" s="214">
        <v>1</v>
      </c>
      <c r="BE40" s="214">
        <v>0</v>
      </c>
      <c r="BF40" s="215">
        <v>0</v>
      </c>
      <c r="BG40" s="213" t="s">
        <v>539</v>
      </c>
      <c r="BH40" s="214">
        <v>3</v>
      </c>
      <c r="BI40" s="214">
        <v>1</v>
      </c>
      <c r="BJ40" s="214">
        <v>0</v>
      </c>
      <c r="BK40" s="214">
        <v>0</v>
      </c>
      <c r="BL40" s="214">
        <v>1</v>
      </c>
      <c r="BM40" s="214">
        <v>1</v>
      </c>
      <c r="BN40" s="214">
        <v>0</v>
      </c>
      <c r="BO40" s="214">
        <v>0</v>
      </c>
      <c r="BP40" s="215">
        <v>0</v>
      </c>
      <c r="BQ40" s="213" t="s">
        <v>530</v>
      </c>
      <c r="BR40" s="214">
        <v>4</v>
      </c>
      <c r="BS40" s="214">
        <v>0</v>
      </c>
      <c r="BT40" s="214">
        <v>0</v>
      </c>
      <c r="BU40" s="214">
        <v>0</v>
      </c>
      <c r="BV40" s="214">
        <v>0</v>
      </c>
      <c r="BW40" s="214">
        <v>1</v>
      </c>
      <c r="BX40" s="214">
        <v>0</v>
      </c>
      <c r="BY40" s="214">
        <v>0</v>
      </c>
      <c r="BZ40" s="215">
        <v>0</v>
      </c>
      <c r="CA40" s="213" t="s">
        <v>531</v>
      </c>
      <c r="CB40" s="214">
        <v>4</v>
      </c>
      <c r="CC40" s="214">
        <v>0</v>
      </c>
      <c r="CD40" s="214">
        <v>1</v>
      </c>
      <c r="CE40" s="214">
        <v>0</v>
      </c>
      <c r="CF40" s="214">
        <v>0</v>
      </c>
      <c r="CG40" s="214">
        <v>2</v>
      </c>
      <c r="CH40" s="214">
        <v>0</v>
      </c>
      <c r="CI40" s="214">
        <v>0</v>
      </c>
      <c r="CJ40" s="215">
        <v>1</v>
      </c>
      <c r="CK40" s="213" t="s">
        <v>533</v>
      </c>
      <c r="CL40" s="214">
        <v>4</v>
      </c>
      <c r="CM40" s="214">
        <v>0</v>
      </c>
      <c r="CN40" s="214">
        <v>1</v>
      </c>
      <c r="CO40" s="214">
        <v>1</v>
      </c>
      <c r="CP40" s="214">
        <v>0</v>
      </c>
      <c r="CQ40" s="214">
        <v>2</v>
      </c>
      <c r="CR40" s="214">
        <v>0</v>
      </c>
      <c r="CS40" s="214">
        <v>0</v>
      </c>
      <c r="CT40" s="215">
        <v>2</v>
      </c>
      <c r="CU40" s="213" t="s">
        <v>532</v>
      </c>
      <c r="CV40" s="214">
        <v>4</v>
      </c>
      <c r="CW40" s="214">
        <v>0</v>
      </c>
      <c r="CX40" s="214">
        <v>0</v>
      </c>
      <c r="CY40" s="214">
        <v>0</v>
      </c>
      <c r="CZ40" s="214">
        <v>0</v>
      </c>
      <c r="DA40" s="214">
        <v>1</v>
      </c>
      <c r="DB40" s="214">
        <v>0</v>
      </c>
      <c r="DC40" s="214">
        <v>0</v>
      </c>
      <c r="DD40" s="215">
        <v>0</v>
      </c>
      <c r="DE40" s="213" t="s">
        <v>285</v>
      </c>
      <c r="DF40" s="214">
        <v>4</v>
      </c>
      <c r="DG40" s="214">
        <v>1</v>
      </c>
      <c r="DH40" s="214">
        <v>1</v>
      </c>
      <c r="DI40" s="214">
        <v>0</v>
      </c>
      <c r="DJ40" s="214">
        <v>0</v>
      </c>
      <c r="DK40" s="214">
        <v>0</v>
      </c>
      <c r="DL40" s="214">
        <v>0</v>
      </c>
      <c r="DM40" s="214">
        <v>0</v>
      </c>
      <c r="DN40" s="215">
        <v>1</v>
      </c>
      <c r="DO40" s="213" t="s">
        <v>535</v>
      </c>
      <c r="DP40" s="214">
        <v>4</v>
      </c>
      <c r="DQ40" s="214">
        <v>1</v>
      </c>
      <c r="DR40" s="214">
        <v>1</v>
      </c>
      <c r="DS40" s="214">
        <v>0</v>
      </c>
      <c r="DT40" s="214">
        <v>0</v>
      </c>
      <c r="DU40" s="214">
        <v>3</v>
      </c>
      <c r="DV40" s="214">
        <v>0</v>
      </c>
      <c r="DW40" s="214">
        <v>0</v>
      </c>
      <c r="DX40" s="215">
        <v>1</v>
      </c>
      <c r="DY40" s="249">
        <v>1</v>
      </c>
      <c r="DZ40" s="217">
        <v>0</v>
      </c>
      <c r="EA40" s="217">
        <v>0</v>
      </c>
      <c r="EB40" s="250">
        <v>8</v>
      </c>
      <c r="EC40" s="217">
        <v>2</v>
      </c>
      <c r="ED40" s="219">
        <v>1</v>
      </c>
      <c r="EE40" s="220">
        <v>1</v>
      </c>
      <c r="EF40" s="217">
        <v>0</v>
      </c>
      <c r="EG40" s="217">
        <v>1</v>
      </c>
      <c r="EH40" s="217">
        <v>0</v>
      </c>
      <c r="EI40" s="217">
        <v>0</v>
      </c>
      <c r="EJ40" s="217">
        <v>0</v>
      </c>
      <c r="EK40" s="217">
        <v>1</v>
      </c>
      <c r="EL40" s="217">
        <v>1</v>
      </c>
      <c r="EM40" s="217">
        <v>0</v>
      </c>
      <c r="EN40" s="217"/>
      <c r="EO40" s="217"/>
      <c r="EP40" s="217"/>
      <c r="EQ40" s="217"/>
      <c r="ER40" s="219">
        <f t="shared" si="38"/>
        <v>4</v>
      </c>
      <c r="ES40" s="217">
        <v>0</v>
      </c>
      <c r="ET40" s="217">
        <v>0</v>
      </c>
      <c r="EU40" s="217">
        <v>0</v>
      </c>
      <c r="EV40" s="217">
        <v>1</v>
      </c>
      <c r="EW40" s="217">
        <v>0</v>
      </c>
      <c r="EX40" s="217">
        <v>0</v>
      </c>
      <c r="EY40" s="217">
        <v>0</v>
      </c>
      <c r="EZ40" s="217">
        <v>0</v>
      </c>
      <c r="FA40" s="217">
        <v>0</v>
      </c>
      <c r="FB40" s="217"/>
      <c r="FC40" s="217"/>
      <c r="FD40" s="217"/>
      <c r="FE40" s="217"/>
      <c r="FF40" s="217">
        <f t="shared" si="39"/>
        <v>1</v>
      </c>
      <c r="FG40" s="221">
        <f t="shared" si="36"/>
        <v>0</v>
      </c>
      <c r="FH40" s="221">
        <f t="shared" si="37"/>
        <v>0</v>
      </c>
      <c r="FI40" s="221">
        <f t="shared" si="21"/>
        <v>1</v>
      </c>
      <c r="FJ40" s="221">
        <f t="shared" si="22"/>
        <v>0</v>
      </c>
      <c r="FK40" s="221">
        <f t="shared" si="23"/>
        <v>1</v>
      </c>
      <c r="FL40" s="221">
        <f t="shared" si="24"/>
        <v>-1</v>
      </c>
      <c r="FM40" s="221">
        <f t="shared" si="25"/>
        <v>0</v>
      </c>
      <c r="FN40" s="221">
        <f t="shared" si="26"/>
        <v>0</v>
      </c>
      <c r="FO40" s="221">
        <f t="shared" si="27"/>
        <v>1</v>
      </c>
      <c r="FP40" s="221">
        <f t="shared" si="28"/>
        <v>1</v>
      </c>
      <c r="FQ40" s="221">
        <f t="shared" si="29"/>
        <v>0</v>
      </c>
      <c r="FR40" s="221">
        <f t="shared" si="30"/>
        <v>0</v>
      </c>
      <c r="FS40" s="221">
        <f t="shared" si="31"/>
        <v>0</v>
      </c>
      <c r="FT40" s="221">
        <f t="shared" si="32"/>
        <v>0</v>
      </c>
      <c r="FU40" s="221">
        <f t="shared" si="40"/>
        <v>0</v>
      </c>
      <c r="FV40" s="221">
        <f t="shared" si="33"/>
        <v>3</v>
      </c>
      <c r="FW40" s="222"/>
    </row>
    <row r="41" spans="1:179" x14ac:dyDescent="0.25">
      <c r="A41" s="204">
        <v>40317</v>
      </c>
      <c r="B41" s="204" t="s">
        <v>133</v>
      </c>
      <c r="C41" s="204" t="s">
        <v>131</v>
      </c>
      <c r="D41" s="204" t="s">
        <v>558</v>
      </c>
      <c r="E41" s="205">
        <v>2755</v>
      </c>
      <c r="F41" s="206">
        <v>2</v>
      </c>
      <c r="G41" s="207" t="s">
        <v>566</v>
      </c>
      <c r="H41" s="208">
        <v>0</v>
      </c>
      <c r="I41" s="208">
        <v>1</v>
      </c>
      <c r="J41" s="247">
        <v>3</v>
      </c>
      <c r="K41" s="208">
        <v>7</v>
      </c>
      <c r="L41" s="208">
        <v>4</v>
      </c>
      <c r="M41" s="208">
        <v>4</v>
      </c>
      <c r="N41" s="208">
        <v>2</v>
      </c>
      <c r="O41" s="208">
        <v>1</v>
      </c>
      <c r="P41" s="208">
        <v>0</v>
      </c>
      <c r="Q41" s="208">
        <v>1</v>
      </c>
      <c r="R41" s="208">
        <v>18</v>
      </c>
      <c r="S41" s="208"/>
      <c r="T41" s="208"/>
      <c r="U41" s="208">
        <v>0</v>
      </c>
      <c r="V41" s="210">
        <v>0</v>
      </c>
      <c r="W41" s="211">
        <v>0</v>
      </c>
      <c r="X41" s="211">
        <v>0</v>
      </c>
      <c r="Y41" s="211">
        <v>0</v>
      </c>
      <c r="Z41" s="211">
        <v>0</v>
      </c>
      <c r="AA41" s="211">
        <v>0</v>
      </c>
      <c r="AB41" s="248">
        <v>5</v>
      </c>
      <c r="AC41" s="211">
        <v>4</v>
      </c>
      <c r="AD41" s="211">
        <v>5</v>
      </c>
      <c r="AE41" s="211">
        <v>5</v>
      </c>
      <c r="AF41" s="211">
        <v>4</v>
      </c>
      <c r="AG41" s="211">
        <v>2</v>
      </c>
      <c r="AH41" s="211">
        <v>1</v>
      </c>
      <c r="AI41" s="211">
        <v>2</v>
      </c>
      <c r="AJ41" s="211">
        <v>25</v>
      </c>
      <c r="AK41" s="211"/>
      <c r="AL41" s="211"/>
      <c r="AM41" s="213" t="s">
        <v>519</v>
      </c>
      <c r="AN41" s="214">
        <v>3</v>
      </c>
      <c r="AO41" s="214">
        <v>0</v>
      </c>
      <c r="AP41" s="214">
        <v>0</v>
      </c>
      <c r="AQ41" s="214">
        <v>0</v>
      </c>
      <c r="AR41" s="214">
        <v>1</v>
      </c>
      <c r="AS41" s="214">
        <v>1</v>
      </c>
      <c r="AT41" s="214">
        <v>0</v>
      </c>
      <c r="AU41" s="214">
        <v>0</v>
      </c>
      <c r="AV41" s="215">
        <v>0</v>
      </c>
      <c r="AW41" s="213" t="s">
        <v>534</v>
      </c>
      <c r="AX41" s="214">
        <v>4</v>
      </c>
      <c r="AY41" s="214">
        <v>1</v>
      </c>
      <c r="AZ41" s="214">
        <v>1</v>
      </c>
      <c r="BA41" s="214">
        <v>0</v>
      </c>
      <c r="BB41" s="214">
        <v>0</v>
      </c>
      <c r="BC41" s="214">
        <v>1</v>
      </c>
      <c r="BD41" s="214">
        <v>0</v>
      </c>
      <c r="BE41" s="214">
        <v>0</v>
      </c>
      <c r="BF41" s="215">
        <v>1</v>
      </c>
      <c r="BG41" s="213" t="s">
        <v>539</v>
      </c>
      <c r="BH41" s="214">
        <v>3</v>
      </c>
      <c r="BI41" s="214">
        <v>0</v>
      </c>
      <c r="BJ41" s="214">
        <v>0</v>
      </c>
      <c r="BK41" s="214">
        <v>0</v>
      </c>
      <c r="BL41" s="214">
        <v>0</v>
      </c>
      <c r="BM41" s="214">
        <v>1</v>
      </c>
      <c r="BN41" s="214">
        <v>1</v>
      </c>
      <c r="BO41" s="214">
        <v>0</v>
      </c>
      <c r="BP41" s="215">
        <v>0</v>
      </c>
      <c r="BQ41" s="213" t="s">
        <v>426</v>
      </c>
      <c r="BR41" s="214">
        <v>2</v>
      </c>
      <c r="BS41" s="214">
        <v>0</v>
      </c>
      <c r="BT41" s="214">
        <v>0</v>
      </c>
      <c r="BU41" s="214">
        <v>0</v>
      </c>
      <c r="BV41" s="214">
        <v>2</v>
      </c>
      <c r="BW41" s="214">
        <v>0</v>
      </c>
      <c r="BX41" s="214">
        <v>0</v>
      </c>
      <c r="BY41" s="214">
        <v>0</v>
      </c>
      <c r="BZ41" s="215">
        <v>0</v>
      </c>
      <c r="CA41" s="213" t="s">
        <v>529</v>
      </c>
      <c r="CB41" s="214">
        <v>4</v>
      </c>
      <c r="CC41" s="214">
        <v>0</v>
      </c>
      <c r="CD41" s="214">
        <v>1</v>
      </c>
      <c r="CE41" s="214">
        <v>0</v>
      </c>
      <c r="CF41" s="214">
        <v>0</v>
      </c>
      <c r="CG41" s="214">
        <v>2</v>
      </c>
      <c r="CH41" s="214">
        <v>0</v>
      </c>
      <c r="CI41" s="214">
        <v>0</v>
      </c>
      <c r="CJ41" s="215">
        <v>1</v>
      </c>
      <c r="CK41" s="213" t="s">
        <v>533</v>
      </c>
      <c r="CL41" s="214">
        <v>4</v>
      </c>
      <c r="CM41" s="214">
        <v>0</v>
      </c>
      <c r="CN41" s="214">
        <v>2</v>
      </c>
      <c r="CO41" s="214">
        <v>1</v>
      </c>
      <c r="CP41" s="214">
        <v>0</v>
      </c>
      <c r="CQ41" s="214">
        <v>0</v>
      </c>
      <c r="CR41" s="214">
        <v>0</v>
      </c>
      <c r="CS41" s="214">
        <v>0</v>
      </c>
      <c r="CT41" s="215">
        <v>2</v>
      </c>
      <c r="CU41" s="213" t="s">
        <v>532</v>
      </c>
      <c r="CV41" s="214">
        <v>4</v>
      </c>
      <c r="CW41" s="214">
        <v>0</v>
      </c>
      <c r="CX41" s="214">
        <v>1</v>
      </c>
      <c r="CY41" s="214">
        <v>0</v>
      </c>
      <c r="CZ41" s="214">
        <v>0</v>
      </c>
      <c r="DA41" s="214">
        <v>0</v>
      </c>
      <c r="DB41" s="214">
        <v>0</v>
      </c>
      <c r="DC41" s="214">
        <v>0</v>
      </c>
      <c r="DD41" s="215">
        <v>1</v>
      </c>
      <c r="DE41" s="213" t="s">
        <v>538</v>
      </c>
      <c r="DF41" s="214">
        <v>3</v>
      </c>
      <c r="DG41" s="214">
        <v>0</v>
      </c>
      <c r="DH41" s="214">
        <v>0</v>
      </c>
      <c r="DI41" s="214">
        <v>0</v>
      </c>
      <c r="DJ41" s="214">
        <v>1</v>
      </c>
      <c r="DK41" s="214">
        <v>1</v>
      </c>
      <c r="DL41" s="214">
        <v>0</v>
      </c>
      <c r="DM41" s="214">
        <v>0</v>
      </c>
      <c r="DN41" s="215">
        <v>0</v>
      </c>
      <c r="DO41" s="213" t="s">
        <v>535</v>
      </c>
      <c r="DP41" s="214">
        <v>4</v>
      </c>
      <c r="DQ41" s="214">
        <v>0</v>
      </c>
      <c r="DR41" s="214">
        <v>0</v>
      </c>
      <c r="DS41" s="214">
        <v>0</v>
      </c>
      <c r="DT41" s="214">
        <v>0</v>
      </c>
      <c r="DU41" s="214">
        <v>0</v>
      </c>
      <c r="DV41" s="214">
        <v>0</v>
      </c>
      <c r="DW41" s="214">
        <v>0</v>
      </c>
      <c r="DX41" s="215">
        <v>0</v>
      </c>
      <c r="DY41" s="249">
        <v>0</v>
      </c>
      <c r="DZ41" s="217">
        <v>0</v>
      </c>
      <c r="EA41" s="217">
        <v>0</v>
      </c>
      <c r="EB41" s="250">
        <v>9</v>
      </c>
      <c r="EC41" s="217">
        <v>1</v>
      </c>
      <c r="ED41" s="219">
        <v>1</v>
      </c>
      <c r="EE41" s="220">
        <v>0</v>
      </c>
      <c r="EF41" s="217">
        <v>0</v>
      </c>
      <c r="EG41" s="217">
        <v>0</v>
      </c>
      <c r="EH41" s="217">
        <v>1</v>
      </c>
      <c r="EI41" s="217">
        <v>0</v>
      </c>
      <c r="EJ41" s="217">
        <v>0</v>
      </c>
      <c r="EK41" s="217">
        <v>0</v>
      </c>
      <c r="EL41" s="217">
        <v>0</v>
      </c>
      <c r="EM41" s="217">
        <v>0</v>
      </c>
      <c r="EN41" s="217"/>
      <c r="EO41" s="217"/>
      <c r="EP41" s="217"/>
      <c r="EQ41" s="217"/>
      <c r="ER41" s="219">
        <f t="shared" si="38"/>
        <v>1</v>
      </c>
      <c r="ES41" s="217">
        <v>1</v>
      </c>
      <c r="ET41" s="217">
        <v>3</v>
      </c>
      <c r="EU41" s="217">
        <v>0</v>
      </c>
      <c r="EV41" s="217">
        <v>1</v>
      </c>
      <c r="EW41" s="217">
        <v>0</v>
      </c>
      <c r="EX41" s="217">
        <v>1</v>
      </c>
      <c r="EY41" s="217">
        <v>3</v>
      </c>
      <c r="EZ41" s="217">
        <v>0</v>
      </c>
      <c r="FA41" s="217"/>
      <c r="FB41" s="217"/>
      <c r="FC41" s="217"/>
      <c r="FD41" s="217"/>
      <c r="FE41" s="217"/>
      <c r="FF41" s="217">
        <f t="shared" si="39"/>
        <v>9</v>
      </c>
      <c r="FG41" s="221">
        <f t="shared" si="36"/>
        <v>0</v>
      </c>
      <c r="FH41" s="221">
        <f t="shared" si="37"/>
        <v>0</v>
      </c>
      <c r="FI41" s="221">
        <f t="shared" si="21"/>
        <v>-1</v>
      </c>
      <c r="FJ41" s="221">
        <f t="shared" si="22"/>
        <v>-3</v>
      </c>
      <c r="FK41" s="221">
        <f t="shared" si="23"/>
        <v>0</v>
      </c>
      <c r="FL41" s="221">
        <f t="shared" si="24"/>
        <v>0</v>
      </c>
      <c r="FM41" s="221">
        <f t="shared" si="25"/>
        <v>0</v>
      </c>
      <c r="FN41" s="221">
        <f t="shared" si="26"/>
        <v>-1</v>
      </c>
      <c r="FO41" s="221">
        <f t="shared" si="27"/>
        <v>-3</v>
      </c>
      <c r="FP41" s="221">
        <f t="shared" si="28"/>
        <v>0</v>
      </c>
      <c r="FQ41" s="221">
        <f t="shared" si="29"/>
        <v>0</v>
      </c>
      <c r="FR41" s="221">
        <f t="shared" si="30"/>
        <v>0</v>
      </c>
      <c r="FS41" s="221">
        <f t="shared" si="31"/>
        <v>0</v>
      </c>
      <c r="FT41" s="221">
        <f t="shared" si="32"/>
        <v>0</v>
      </c>
      <c r="FU41" s="221">
        <f t="shared" si="40"/>
        <v>0</v>
      </c>
      <c r="FV41" s="221">
        <f t="shared" si="33"/>
        <v>-8</v>
      </c>
      <c r="FW41" s="222"/>
    </row>
    <row r="42" spans="1:179" x14ac:dyDescent="0.25">
      <c r="A42" s="204">
        <v>40318</v>
      </c>
      <c r="B42" s="204" t="s">
        <v>133</v>
      </c>
      <c r="C42" s="204" t="s">
        <v>131</v>
      </c>
      <c r="D42" s="204" t="s">
        <v>558</v>
      </c>
      <c r="E42" s="205">
        <v>5613</v>
      </c>
      <c r="F42" s="206">
        <v>3</v>
      </c>
      <c r="G42" s="207" t="s">
        <v>536</v>
      </c>
      <c r="H42" s="208">
        <v>0</v>
      </c>
      <c r="I42" s="208">
        <v>1</v>
      </c>
      <c r="J42" s="247">
        <v>6</v>
      </c>
      <c r="K42" s="208">
        <v>9</v>
      </c>
      <c r="L42" s="208">
        <v>4</v>
      </c>
      <c r="M42" s="208">
        <v>4</v>
      </c>
      <c r="N42" s="208">
        <v>2</v>
      </c>
      <c r="O42" s="208">
        <v>7</v>
      </c>
      <c r="P42" s="208">
        <v>0</v>
      </c>
      <c r="Q42" s="208">
        <v>1</v>
      </c>
      <c r="R42" s="208">
        <v>26</v>
      </c>
      <c r="S42" s="208"/>
      <c r="T42" s="208"/>
      <c r="U42" s="208">
        <v>0</v>
      </c>
      <c r="V42" s="210">
        <v>0</v>
      </c>
      <c r="W42" s="211">
        <v>0</v>
      </c>
      <c r="X42" s="211">
        <v>0</v>
      </c>
      <c r="Y42" s="211">
        <v>0</v>
      </c>
      <c r="Z42" s="211">
        <v>0</v>
      </c>
      <c r="AA42" s="211">
        <v>0</v>
      </c>
      <c r="AB42" s="248">
        <v>2</v>
      </c>
      <c r="AC42" s="211">
        <v>2</v>
      </c>
      <c r="AD42" s="211">
        <v>3</v>
      </c>
      <c r="AE42" s="211">
        <v>3</v>
      </c>
      <c r="AF42" s="211">
        <v>2</v>
      </c>
      <c r="AG42" s="211">
        <v>0</v>
      </c>
      <c r="AH42" s="211">
        <v>1</v>
      </c>
      <c r="AI42" s="211">
        <v>0</v>
      </c>
      <c r="AJ42" s="211">
        <v>10</v>
      </c>
      <c r="AK42" s="211"/>
      <c r="AL42" s="211"/>
      <c r="AM42" s="213" t="s">
        <v>519</v>
      </c>
      <c r="AN42" s="214">
        <v>3</v>
      </c>
      <c r="AO42" s="214">
        <v>2</v>
      </c>
      <c r="AP42" s="214">
        <v>3</v>
      </c>
      <c r="AQ42" s="214">
        <v>2</v>
      </c>
      <c r="AR42" s="214">
        <v>2</v>
      </c>
      <c r="AS42" s="214">
        <v>0</v>
      </c>
      <c r="AT42" s="214">
        <v>0</v>
      </c>
      <c r="AU42" s="214">
        <v>0</v>
      </c>
      <c r="AV42" s="215">
        <v>3</v>
      </c>
      <c r="AW42" s="213" t="s">
        <v>534</v>
      </c>
      <c r="AX42" s="214">
        <v>3</v>
      </c>
      <c r="AY42" s="214">
        <v>0</v>
      </c>
      <c r="AZ42" s="214">
        <v>1</v>
      </c>
      <c r="BA42" s="214">
        <v>1</v>
      </c>
      <c r="BB42" s="214">
        <v>1</v>
      </c>
      <c r="BC42" s="214">
        <v>1</v>
      </c>
      <c r="BD42" s="214">
        <v>0</v>
      </c>
      <c r="BE42" s="214">
        <v>1</v>
      </c>
      <c r="BF42" s="215">
        <v>2</v>
      </c>
      <c r="BG42" s="213" t="s">
        <v>539</v>
      </c>
      <c r="BH42" s="214">
        <v>3</v>
      </c>
      <c r="BI42" s="214">
        <v>0</v>
      </c>
      <c r="BJ42" s="214">
        <v>0</v>
      </c>
      <c r="BK42" s="214">
        <v>0</v>
      </c>
      <c r="BL42" s="214">
        <v>2</v>
      </c>
      <c r="BM42" s="214">
        <v>1</v>
      </c>
      <c r="BN42" s="214">
        <v>0</v>
      </c>
      <c r="BO42" s="214">
        <v>0</v>
      </c>
      <c r="BP42" s="215">
        <v>0</v>
      </c>
      <c r="BQ42" s="213" t="s">
        <v>530</v>
      </c>
      <c r="BR42" s="214">
        <v>4</v>
      </c>
      <c r="BS42" s="214">
        <v>0</v>
      </c>
      <c r="BT42" s="214">
        <v>1</v>
      </c>
      <c r="BU42" s="214">
        <v>1</v>
      </c>
      <c r="BV42" s="214">
        <v>1</v>
      </c>
      <c r="BW42" s="214">
        <v>1</v>
      </c>
      <c r="BX42" s="214">
        <v>0</v>
      </c>
      <c r="BY42" s="214">
        <v>0</v>
      </c>
      <c r="BZ42" s="215">
        <v>1</v>
      </c>
      <c r="CA42" s="213" t="s">
        <v>531</v>
      </c>
      <c r="CB42" s="214">
        <v>4</v>
      </c>
      <c r="CC42" s="214">
        <v>0</v>
      </c>
      <c r="CD42" s="214">
        <v>1</v>
      </c>
      <c r="CE42" s="214">
        <v>0</v>
      </c>
      <c r="CF42" s="214">
        <v>0</v>
      </c>
      <c r="CG42" s="214">
        <v>0</v>
      </c>
      <c r="CH42" s="214">
        <v>0</v>
      </c>
      <c r="CI42" s="214">
        <v>0</v>
      </c>
      <c r="CJ42" s="215">
        <v>1</v>
      </c>
      <c r="CK42" s="213" t="s">
        <v>533</v>
      </c>
      <c r="CL42" s="214">
        <v>4</v>
      </c>
      <c r="CM42" s="214">
        <v>0</v>
      </c>
      <c r="CN42" s="214">
        <v>1</v>
      </c>
      <c r="CO42" s="214">
        <v>0</v>
      </c>
      <c r="CP42" s="214">
        <v>0</v>
      </c>
      <c r="CQ42" s="214">
        <v>2</v>
      </c>
      <c r="CR42" s="214">
        <v>0</v>
      </c>
      <c r="CS42" s="214">
        <v>0</v>
      </c>
      <c r="CT42" s="215">
        <v>1</v>
      </c>
      <c r="CU42" s="213" t="s">
        <v>532</v>
      </c>
      <c r="CV42" s="214">
        <v>3</v>
      </c>
      <c r="CW42" s="214">
        <v>1</v>
      </c>
      <c r="CX42" s="214">
        <v>1</v>
      </c>
      <c r="CY42" s="214">
        <v>0</v>
      </c>
      <c r="CZ42" s="214">
        <v>1</v>
      </c>
      <c r="DA42" s="214">
        <v>1</v>
      </c>
      <c r="DB42" s="214">
        <v>0</v>
      </c>
      <c r="DC42" s="214">
        <v>0</v>
      </c>
      <c r="DD42" s="215">
        <v>2</v>
      </c>
      <c r="DE42" s="213" t="s">
        <v>285</v>
      </c>
      <c r="DF42" s="214">
        <v>4</v>
      </c>
      <c r="DG42" s="214">
        <v>0</v>
      </c>
      <c r="DH42" s="214">
        <v>0</v>
      </c>
      <c r="DI42" s="214">
        <v>0</v>
      </c>
      <c r="DJ42" s="214">
        <v>0</v>
      </c>
      <c r="DK42" s="214">
        <v>2</v>
      </c>
      <c r="DL42" s="214">
        <v>0</v>
      </c>
      <c r="DM42" s="214">
        <v>0</v>
      </c>
      <c r="DN42" s="215">
        <v>0</v>
      </c>
      <c r="DO42" s="213" t="s">
        <v>535</v>
      </c>
      <c r="DP42" s="214">
        <v>3</v>
      </c>
      <c r="DQ42" s="214">
        <v>2</v>
      </c>
      <c r="DR42" s="214">
        <v>1</v>
      </c>
      <c r="DS42" s="214">
        <v>0</v>
      </c>
      <c r="DT42" s="214">
        <v>0</v>
      </c>
      <c r="DU42" s="214">
        <v>2</v>
      </c>
      <c r="DV42" s="214">
        <v>0</v>
      </c>
      <c r="DW42" s="214">
        <v>0</v>
      </c>
      <c r="DX42" s="215">
        <v>3</v>
      </c>
      <c r="DY42" s="249">
        <v>0</v>
      </c>
      <c r="DZ42" s="217">
        <v>0</v>
      </c>
      <c r="EA42" s="217">
        <v>0</v>
      </c>
      <c r="EB42" s="250">
        <v>9</v>
      </c>
      <c r="EC42" s="217">
        <v>4</v>
      </c>
      <c r="ED42" s="219">
        <v>3</v>
      </c>
      <c r="EE42" s="220">
        <v>0</v>
      </c>
      <c r="EF42" s="217">
        <v>0</v>
      </c>
      <c r="EG42" s="217">
        <v>0</v>
      </c>
      <c r="EH42" s="217">
        <v>0</v>
      </c>
      <c r="EI42" s="217">
        <v>0</v>
      </c>
      <c r="EJ42" s="217">
        <v>2</v>
      </c>
      <c r="EK42" s="217">
        <v>0</v>
      </c>
      <c r="EL42" s="217">
        <v>0</v>
      </c>
      <c r="EM42" s="217">
        <v>3</v>
      </c>
      <c r="EN42" s="217"/>
      <c r="EO42" s="217"/>
      <c r="EP42" s="217"/>
      <c r="EQ42" s="217"/>
      <c r="ER42" s="219">
        <f t="shared" si="38"/>
        <v>5</v>
      </c>
      <c r="ES42" s="217">
        <v>0</v>
      </c>
      <c r="ET42" s="217">
        <v>1</v>
      </c>
      <c r="EU42" s="217">
        <v>0</v>
      </c>
      <c r="EV42" s="217">
        <v>3</v>
      </c>
      <c r="EW42" s="217">
        <v>0</v>
      </c>
      <c r="EX42" s="217">
        <v>0</v>
      </c>
      <c r="EY42" s="217">
        <v>0</v>
      </c>
      <c r="EZ42" s="217">
        <v>3</v>
      </c>
      <c r="FA42" s="217"/>
      <c r="FB42" s="217"/>
      <c r="FC42" s="217"/>
      <c r="FD42" s="217"/>
      <c r="FE42" s="217"/>
      <c r="FF42" s="217">
        <f t="shared" si="39"/>
        <v>7</v>
      </c>
      <c r="FG42" s="221">
        <f t="shared" si="36"/>
        <v>0</v>
      </c>
      <c r="FH42" s="221">
        <f t="shared" si="37"/>
        <v>0</v>
      </c>
      <c r="FI42" s="221">
        <f t="shared" ref="FI42:FT42" si="41">(EE42-ES42)</f>
        <v>0</v>
      </c>
      <c r="FJ42" s="221">
        <f t="shared" si="41"/>
        <v>-1</v>
      </c>
      <c r="FK42" s="221">
        <f t="shared" si="41"/>
        <v>0</v>
      </c>
      <c r="FL42" s="221">
        <f t="shared" si="41"/>
        <v>-3</v>
      </c>
      <c r="FM42" s="221">
        <f t="shared" si="41"/>
        <v>0</v>
      </c>
      <c r="FN42" s="221">
        <f t="shared" si="41"/>
        <v>2</v>
      </c>
      <c r="FO42" s="221">
        <f t="shared" si="41"/>
        <v>0</v>
      </c>
      <c r="FP42" s="221">
        <f t="shared" si="41"/>
        <v>-3</v>
      </c>
      <c r="FQ42" s="221">
        <f t="shared" si="41"/>
        <v>3</v>
      </c>
      <c r="FR42" s="221">
        <f t="shared" si="41"/>
        <v>0</v>
      </c>
      <c r="FS42" s="221">
        <f t="shared" si="41"/>
        <v>0</v>
      </c>
      <c r="FT42" s="221">
        <f t="shared" si="41"/>
        <v>0</v>
      </c>
      <c r="FU42" s="221">
        <f t="shared" si="40"/>
        <v>0</v>
      </c>
      <c r="FV42" s="221">
        <f t="shared" ref="FV42:FV55" si="42">(ER42-FF42)</f>
        <v>-2</v>
      </c>
      <c r="FW42" s="222"/>
    </row>
    <row r="43" spans="1:179" x14ac:dyDescent="0.25">
      <c r="A43" s="204">
        <v>40319</v>
      </c>
      <c r="B43" s="204" t="s">
        <v>133</v>
      </c>
      <c r="C43" s="204" t="s">
        <v>129</v>
      </c>
      <c r="D43" s="204" t="s">
        <v>544</v>
      </c>
      <c r="E43" s="205">
        <v>9240</v>
      </c>
      <c r="F43" s="206">
        <v>4</v>
      </c>
      <c r="G43" s="207" t="s">
        <v>545</v>
      </c>
      <c r="H43" s="208">
        <v>1</v>
      </c>
      <c r="I43" s="208">
        <v>0</v>
      </c>
      <c r="J43" s="247">
        <v>7</v>
      </c>
      <c r="K43" s="208">
        <v>5</v>
      </c>
      <c r="L43" s="208">
        <v>2</v>
      </c>
      <c r="M43" s="208">
        <v>1</v>
      </c>
      <c r="N43" s="208">
        <v>0</v>
      </c>
      <c r="O43" s="208">
        <v>5</v>
      </c>
      <c r="P43" s="208">
        <v>0</v>
      </c>
      <c r="Q43" s="208">
        <v>0</v>
      </c>
      <c r="R43" s="208">
        <v>25</v>
      </c>
      <c r="S43" s="208"/>
      <c r="T43" s="208"/>
      <c r="U43" s="208">
        <v>0</v>
      </c>
      <c r="V43" s="210">
        <v>0</v>
      </c>
      <c r="W43" s="211">
        <v>0</v>
      </c>
      <c r="X43" s="211">
        <v>0</v>
      </c>
      <c r="Y43" s="211">
        <v>0</v>
      </c>
      <c r="Z43" s="211">
        <v>1</v>
      </c>
      <c r="AA43" s="211">
        <v>0</v>
      </c>
      <c r="AB43" s="248">
        <v>2</v>
      </c>
      <c r="AC43" s="211">
        <v>1</v>
      </c>
      <c r="AD43" s="211">
        <v>0</v>
      </c>
      <c r="AE43" s="211">
        <v>0</v>
      </c>
      <c r="AF43" s="211">
        <v>1</v>
      </c>
      <c r="AG43" s="211">
        <v>0</v>
      </c>
      <c r="AH43" s="211">
        <v>0</v>
      </c>
      <c r="AI43" s="211">
        <v>0</v>
      </c>
      <c r="AJ43" s="211">
        <v>7</v>
      </c>
      <c r="AK43" s="211"/>
      <c r="AL43" s="211"/>
      <c r="AM43" s="213" t="s">
        <v>519</v>
      </c>
      <c r="AN43" s="214">
        <v>5</v>
      </c>
      <c r="AO43" s="214">
        <v>0</v>
      </c>
      <c r="AP43" s="214">
        <v>1</v>
      </c>
      <c r="AQ43" s="214">
        <v>0</v>
      </c>
      <c r="AR43" s="214">
        <v>0</v>
      </c>
      <c r="AS43" s="214">
        <v>2</v>
      </c>
      <c r="AT43" s="214">
        <v>0</v>
      </c>
      <c r="AU43" s="214">
        <v>0</v>
      </c>
      <c r="AV43" s="215">
        <v>1</v>
      </c>
      <c r="AW43" s="213" t="s">
        <v>534</v>
      </c>
      <c r="AX43" s="214">
        <v>5</v>
      </c>
      <c r="AY43" s="214">
        <v>1</v>
      </c>
      <c r="AZ43" s="214">
        <v>2</v>
      </c>
      <c r="BA43" s="214">
        <v>0</v>
      </c>
      <c r="BB43" s="214">
        <v>0</v>
      </c>
      <c r="BC43" s="214">
        <v>0</v>
      </c>
      <c r="BD43" s="214">
        <v>0</v>
      </c>
      <c r="BE43" s="214">
        <v>0</v>
      </c>
      <c r="BF43" s="215">
        <v>3</v>
      </c>
      <c r="BG43" s="213" t="s">
        <v>531</v>
      </c>
      <c r="BH43" s="214">
        <v>5</v>
      </c>
      <c r="BI43" s="214">
        <v>0</v>
      </c>
      <c r="BJ43" s="214">
        <v>1</v>
      </c>
      <c r="BK43" s="214">
        <v>0</v>
      </c>
      <c r="BL43" s="214">
        <v>0</v>
      </c>
      <c r="BM43" s="214">
        <v>0</v>
      </c>
      <c r="BN43" s="214">
        <v>0</v>
      </c>
      <c r="BO43" s="214">
        <v>0</v>
      </c>
      <c r="BP43" s="215">
        <v>3</v>
      </c>
      <c r="BQ43" s="213" t="s">
        <v>530</v>
      </c>
      <c r="BR43" s="214">
        <v>3</v>
      </c>
      <c r="BS43" s="214">
        <v>2</v>
      </c>
      <c r="BT43" s="214">
        <v>1</v>
      </c>
      <c r="BU43" s="214">
        <v>2</v>
      </c>
      <c r="BV43" s="214">
        <v>1</v>
      </c>
      <c r="BW43" s="214">
        <v>1</v>
      </c>
      <c r="BX43" s="214">
        <v>0</v>
      </c>
      <c r="BY43" s="214">
        <v>0</v>
      </c>
      <c r="BZ43" s="215">
        <v>4</v>
      </c>
      <c r="CA43" s="213" t="s">
        <v>529</v>
      </c>
      <c r="CB43" s="214">
        <v>3</v>
      </c>
      <c r="CC43" s="214">
        <v>0</v>
      </c>
      <c r="CD43" s="214">
        <v>0</v>
      </c>
      <c r="CE43" s="214">
        <v>0</v>
      </c>
      <c r="CF43" s="214">
        <v>0</v>
      </c>
      <c r="CG43" s="214">
        <v>2</v>
      </c>
      <c r="CH43" s="214">
        <v>1</v>
      </c>
      <c r="CI43" s="214">
        <v>0</v>
      </c>
      <c r="CJ43" s="215">
        <v>0</v>
      </c>
      <c r="CK43" s="213" t="s">
        <v>533</v>
      </c>
      <c r="CL43" s="214">
        <v>4</v>
      </c>
      <c r="CM43" s="214">
        <v>0</v>
      </c>
      <c r="CN43" s="214">
        <v>1</v>
      </c>
      <c r="CO43" s="214">
        <v>1</v>
      </c>
      <c r="CP43" s="214">
        <v>0</v>
      </c>
      <c r="CQ43" s="214">
        <v>2</v>
      </c>
      <c r="CR43" s="214">
        <v>0</v>
      </c>
      <c r="CS43" s="214">
        <v>0</v>
      </c>
      <c r="CT43" s="215">
        <v>1</v>
      </c>
      <c r="CU43" s="213" t="s">
        <v>543</v>
      </c>
      <c r="CV43" s="214">
        <v>4</v>
      </c>
      <c r="CW43" s="214">
        <v>1</v>
      </c>
      <c r="CX43" s="214">
        <v>1</v>
      </c>
      <c r="CY43" s="214">
        <v>0</v>
      </c>
      <c r="CZ43" s="214">
        <v>0</v>
      </c>
      <c r="DA43" s="214">
        <v>0</v>
      </c>
      <c r="DB43" s="214">
        <v>0</v>
      </c>
      <c r="DC43" s="214">
        <v>0</v>
      </c>
      <c r="DD43" s="215">
        <v>1</v>
      </c>
      <c r="DE43" s="213" t="s">
        <v>532</v>
      </c>
      <c r="DF43" s="214">
        <v>4</v>
      </c>
      <c r="DG43" s="214">
        <v>1</v>
      </c>
      <c r="DH43" s="214">
        <v>1</v>
      </c>
      <c r="DI43" s="214">
        <v>0</v>
      </c>
      <c r="DJ43" s="214">
        <v>0</v>
      </c>
      <c r="DK43" s="214">
        <v>1</v>
      </c>
      <c r="DL43" s="214">
        <v>0</v>
      </c>
      <c r="DM43" s="214">
        <v>0</v>
      </c>
      <c r="DN43" s="215">
        <v>2</v>
      </c>
      <c r="DO43" s="213" t="s">
        <v>538</v>
      </c>
      <c r="DP43" s="214">
        <v>4</v>
      </c>
      <c r="DQ43" s="214">
        <v>1</v>
      </c>
      <c r="DR43" s="214">
        <v>3</v>
      </c>
      <c r="DS43" s="214">
        <v>2</v>
      </c>
      <c r="DT43" s="214">
        <v>0</v>
      </c>
      <c r="DU43" s="214">
        <v>0</v>
      </c>
      <c r="DV43" s="214">
        <v>0</v>
      </c>
      <c r="DW43" s="214">
        <v>0</v>
      </c>
      <c r="DX43" s="215">
        <v>3</v>
      </c>
      <c r="DY43" s="249">
        <v>3</v>
      </c>
      <c r="DZ43" s="217">
        <v>0</v>
      </c>
      <c r="EA43" s="217">
        <v>0</v>
      </c>
      <c r="EB43" s="250">
        <v>6</v>
      </c>
      <c r="EC43" s="217">
        <v>1</v>
      </c>
      <c r="ED43" s="219">
        <v>1</v>
      </c>
      <c r="EE43" s="220">
        <v>2</v>
      </c>
      <c r="EF43" s="217">
        <v>1</v>
      </c>
      <c r="EG43" s="217">
        <v>1</v>
      </c>
      <c r="EH43" s="217">
        <v>0</v>
      </c>
      <c r="EI43" s="217">
        <v>0</v>
      </c>
      <c r="EJ43" s="217">
        <v>1</v>
      </c>
      <c r="EK43" s="217">
        <v>0</v>
      </c>
      <c r="EL43" s="217">
        <v>0</v>
      </c>
      <c r="EM43" s="217">
        <v>1</v>
      </c>
      <c r="EN43" s="217"/>
      <c r="EO43" s="217"/>
      <c r="EP43" s="217"/>
      <c r="EQ43" s="217"/>
      <c r="ER43" s="219">
        <f t="shared" si="38"/>
        <v>6</v>
      </c>
      <c r="ES43" s="217">
        <v>0</v>
      </c>
      <c r="ET43" s="217">
        <v>0</v>
      </c>
      <c r="EU43" s="217">
        <v>1</v>
      </c>
      <c r="EV43" s="217">
        <v>1</v>
      </c>
      <c r="EW43" s="217">
        <v>0</v>
      </c>
      <c r="EX43" s="217">
        <v>0</v>
      </c>
      <c r="EY43" s="217">
        <v>0</v>
      </c>
      <c r="EZ43" s="217">
        <v>0</v>
      </c>
      <c r="FA43" s="217">
        <v>0</v>
      </c>
      <c r="FB43" s="217"/>
      <c r="FC43" s="217"/>
      <c r="FD43" s="217"/>
      <c r="FE43" s="217"/>
      <c r="FF43" s="217">
        <f t="shared" si="39"/>
        <v>2</v>
      </c>
      <c r="FG43" s="221">
        <f t="shared" ref="FG43:FG55" si="43">((SUM(L43,AD43))-(FF43))</f>
        <v>0</v>
      </c>
      <c r="FH43" s="221">
        <f t="shared" ref="FH43:FH55" si="44">((SUM(AO43,AY43,BI43,BS43,CC43,CM43,CW43,DG43,DQ43))-(ER43))</f>
        <v>0</v>
      </c>
      <c r="FI43" s="221">
        <f t="shared" ref="FI43:FT45" si="45">(EE43-ES43)</f>
        <v>2</v>
      </c>
      <c r="FJ43" s="221">
        <f t="shared" si="45"/>
        <v>1</v>
      </c>
      <c r="FK43" s="221">
        <f t="shared" si="45"/>
        <v>0</v>
      </c>
      <c r="FL43" s="221">
        <f t="shared" si="45"/>
        <v>-1</v>
      </c>
      <c r="FM43" s="221">
        <f t="shared" si="45"/>
        <v>0</v>
      </c>
      <c r="FN43" s="221">
        <f t="shared" si="45"/>
        <v>1</v>
      </c>
      <c r="FO43" s="221">
        <f t="shared" si="45"/>
        <v>0</v>
      </c>
      <c r="FP43" s="221">
        <f t="shared" si="45"/>
        <v>0</v>
      </c>
      <c r="FQ43" s="221">
        <f t="shared" si="45"/>
        <v>1</v>
      </c>
      <c r="FR43" s="221">
        <f t="shared" si="45"/>
        <v>0</v>
      </c>
      <c r="FS43" s="221">
        <f t="shared" si="45"/>
        <v>0</v>
      </c>
      <c r="FT43" s="221">
        <f t="shared" si="45"/>
        <v>0</v>
      </c>
      <c r="FU43" s="221">
        <f t="shared" si="40"/>
        <v>0</v>
      </c>
      <c r="FV43" s="221">
        <f t="shared" si="42"/>
        <v>4</v>
      </c>
      <c r="FW43" s="222"/>
    </row>
    <row r="44" spans="1:179" x14ac:dyDescent="0.25">
      <c r="A44" s="204">
        <v>40320</v>
      </c>
      <c r="B44" s="204" t="s">
        <v>133</v>
      </c>
      <c r="C44" s="204" t="s">
        <v>129</v>
      </c>
      <c r="D44" s="204" t="s">
        <v>544</v>
      </c>
      <c r="E44" s="205">
        <v>8854</v>
      </c>
      <c r="F44" s="206">
        <v>5</v>
      </c>
      <c r="G44" s="207" t="s">
        <v>546</v>
      </c>
      <c r="H44" s="208">
        <v>0</v>
      </c>
      <c r="I44" s="208">
        <v>0</v>
      </c>
      <c r="J44" s="247">
        <f>4+2/3</f>
        <v>4.666666666666667</v>
      </c>
      <c r="K44" s="208">
        <v>8</v>
      </c>
      <c r="L44" s="208">
        <v>6</v>
      </c>
      <c r="M44" s="208">
        <v>6</v>
      </c>
      <c r="N44" s="208">
        <v>3</v>
      </c>
      <c r="O44" s="208">
        <v>1</v>
      </c>
      <c r="P44" s="208">
        <v>1</v>
      </c>
      <c r="Q44" s="208">
        <v>1</v>
      </c>
      <c r="R44" s="208">
        <v>25</v>
      </c>
      <c r="S44" s="208"/>
      <c r="T44" s="208"/>
      <c r="U44" s="208">
        <v>1</v>
      </c>
      <c r="V44" s="210">
        <v>0</v>
      </c>
      <c r="W44" s="211">
        <v>1</v>
      </c>
      <c r="X44" s="211">
        <v>0</v>
      </c>
      <c r="Y44" s="211">
        <v>0</v>
      </c>
      <c r="Z44" s="211">
        <v>1</v>
      </c>
      <c r="AA44" s="211">
        <v>0</v>
      </c>
      <c r="AB44" s="248">
        <f>4+1/3</f>
        <v>4.333333333333333</v>
      </c>
      <c r="AC44" s="211">
        <v>3</v>
      </c>
      <c r="AD44" s="211">
        <v>1</v>
      </c>
      <c r="AE44" s="211">
        <v>1</v>
      </c>
      <c r="AF44" s="211">
        <v>1</v>
      </c>
      <c r="AG44" s="211">
        <v>4</v>
      </c>
      <c r="AH44" s="211">
        <v>1</v>
      </c>
      <c r="AI44" s="211">
        <v>0</v>
      </c>
      <c r="AJ44" s="211">
        <v>16</v>
      </c>
      <c r="AK44" s="211"/>
      <c r="AL44" s="211"/>
      <c r="AM44" s="213" t="s">
        <v>519</v>
      </c>
      <c r="AN44" s="214">
        <v>4</v>
      </c>
      <c r="AO44" s="214">
        <v>1</v>
      </c>
      <c r="AP44" s="214">
        <v>2</v>
      </c>
      <c r="AQ44" s="214">
        <v>1</v>
      </c>
      <c r="AR44" s="214">
        <v>1</v>
      </c>
      <c r="AS44" s="214">
        <v>0</v>
      </c>
      <c r="AT44" s="214">
        <v>0</v>
      </c>
      <c r="AU44" s="214">
        <v>0</v>
      </c>
      <c r="AV44" s="215">
        <v>2</v>
      </c>
      <c r="AW44" s="213" t="s">
        <v>534</v>
      </c>
      <c r="AX44" s="214">
        <v>2</v>
      </c>
      <c r="AY44" s="214">
        <v>0</v>
      </c>
      <c r="AZ44" s="214">
        <v>0</v>
      </c>
      <c r="BA44" s="214">
        <v>0</v>
      </c>
      <c r="BB44" s="214">
        <v>3</v>
      </c>
      <c r="BC44" s="214">
        <v>1</v>
      </c>
      <c r="BD44" s="214">
        <v>0</v>
      </c>
      <c r="BE44" s="214">
        <v>0</v>
      </c>
      <c r="BF44" s="215">
        <v>0</v>
      </c>
      <c r="BG44" s="213" t="s">
        <v>539</v>
      </c>
      <c r="BH44" s="214">
        <v>5</v>
      </c>
      <c r="BI44" s="214">
        <v>0</v>
      </c>
      <c r="BJ44" s="214">
        <v>2</v>
      </c>
      <c r="BK44" s="214">
        <v>0</v>
      </c>
      <c r="BL44" s="214">
        <v>0</v>
      </c>
      <c r="BM44" s="214">
        <v>0</v>
      </c>
      <c r="BN44" s="214">
        <v>0</v>
      </c>
      <c r="BO44" s="214">
        <v>0</v>
      </c>
      <c r="BP44" s="215">
        <v>0</v>
      </c>
      <c r="BQ44" s="213" t="s">
        <v>426</v>
      </c>
      <c r="BR44" s="214">
        <v>5</v>
      </c>
      <c r="BS44" s="214">
        <v>1</v>
      </c>
      <c r="BT44" s="214">
        <v>0</v>
      </c>
      <c r="BU44" s="214">
        <v>0</v>
      </c>
      <c r="BV44" s="214">
        <v>0</v>
      </c>
      <c r="BW44" s="214">
        <v>0</v>
      </c>
      <c r="BX44" s="214">
        <v>0</v>
      </c>
      <c r="BY44" s="214">
        <v>0</v>
      </c>
      <c r="BZ44" s="215">
        <v>0</v>
      </c>
      <c r="CA44" s="213" t="s">
        <v>529</v>
      </c>
      <c r="CB44" s="214">
        <v>5</v>
      </c>
      <c r="CC44" s="214">
        <v>2</v>
      </c>
      <c r="CD44" s="214">
        <v>2</v>
      </c>
      <c r="CE44" s="214">
        <v>2</v>
      </c>
      <c r="CF44" s="214">
        <v>0</v>
      </c>
      <c r="CG44" s="214">
        <v>1</v>
      </c>
      <c r="CH44" s="214">
        <v>0</v>
      </c>
      <c r="CI44" s="214">
        <v>0</v>
      </c>
      <c r="CJ44" s="215">
        <v>7</v>
      </c>
      <c r="CK44" s="213" t="s">
        <v>533</v>
      </c>
      <c r="CL44" s="214">
        <v>4</v>
      </c>
      <c r="CM44" s="214">
        <v>1</v>
      </c>
      <c r="CN44" s="214">
        <v>1</v>
      </c>
      <c r="CO44" s="214">
        <v>0</v>
      </c>
      <c r="CP44" s="214">
        <v>0</v>
      </c>
      <c r="CQ44" s="214">
        <v>0</v>
      </c>
      <c r="CR44" s="214">
        <v>0</v>
      </c>
      <c r="CS44" s="214">
        <v>0</v>
      </c>
      <c r="CT44" s="215">
        <v>2</v>
      </c>
      <c r="CU44" s="213" t="s">
        <v>543</v>
      </c>
      <c r="CV44" s="214">
        <v>2</v>
      </c>
      <c r="CW44" s="214">
        <v>2</v>
      </c>
      <c r="CX44" s="214">
        <v>0</v>
      </c>
      <c r="CY44" s="214">
        <v>0</v>
      </c>
      <c r="CZ44" s="214">
        <v>1</v>
      </c>
      <c r="DA44" s="214">
        <v>0</v>
      </c>
      <c r="DB44" s="214">
        <v>1</v>
      </c>
      <c r="DC44" s="214">
        <v>0</v>
      </c>
      <c r="DD44" s="215">
        <v>0</v>
      </c>
      <c r="DE44" s="213" t="s">
        <v>538</v>
      </c>
      <c r="DF44" s="214">
        <v>2</v>
      </c>
      <c r="DG44" s="214">
        <v>0</v>
      </c>
      <c r="DH44" s="214">
        <v>0</v>
      </c>
      <c r="DI44" s="214">
        <v>1</v>
      </c>
      <c r="DJ44" s="214">
        <v>1</v>
      </c>
      <c r="DK44" s="214">
        <v>1</v>
      </c>
      <c r="DL44" s="214">
        <v>0</v>
      </c>
      <c r="DM44" s="214">
        <v>1</v>
      </c>
      <c r="DN44" s="215">
        <v>0</v>
      </c>
      <c r="DO44" s="213" t="s">
        <v>535</v>
      </c>
      <c r="DP44" s="214">
        <v>4</v>
      </c>
      <c r="DQ44" s="214">
        <v>3</v>
      </c>
      <c r="DR44" s="214">
        <v>4</v>
      </c>
      <c r="DS44" s="214">
        <v>3</v>
      </c>
      <c r="DT44" s="214">
        <v>0</v>
      </c>
      <c r="DU44" s="214">
        <v>0</v>
      </c>
      <c r="DV44" s="214">
        <v>0</v>
      </c>
      <c r="DW44" s="214">
        <v>0</v>
      </c>
      <c r="DX44" s="215">
        <v>9</v>
      </c>
      <c r="DY44" s="249">
        <v>0</v>
      </c>
      <c r="DZ44" s="217">
        <v>0</v>
      </c>
      <c r="EA44" s="217">
        <v>0</v>
      </c>
      <c r="EB44" s="250">
        <v>9</v>
      </c>
      <c r="EC44" s="217">
        <v>6</v>
      </c>
      <c r="ED44" s="219">
        <v>3</v>
      </c>
      <c r="EE44" s="220">
        <v>0</v>
      </c>
      <c r="EF44" s="217">
        <v>0</v>
      </c>
      <c r="EG44" s="217">
        <v>2</v>
      </c>
      <c r="EH44" s="217">
        <v>0</v>
      </c>
      <c r="EI44" s="217">
        <v>2</v>
      </c>
      <c r="EJ44" s="217">
        <v>4</v>
      </c>
      <c r="EK44" s="217">
        <v>2</v>
      </c>
      <c r="EL44" s="217">
        <v>0</v>
      </c>
      <c r="EM44" s="217">
        <v>0</v>
      </c>
      <c r="EN44" s="217"/>
      <c r="EO44" s="217"/>
      <c r="EP44" s="217"/>
      <c r="EQ44" s="217"/>
      <c r="ER44" s="219">
        <f t="shared" si="38"/>
        <v>10</v>
      </c>
      <c r="ES44" s="217">
        <v>0</v>
      </c>
      <c r="ET44" s="217">
        <v>2</v>
      </c>
      <c r="EU44" s="217">
        <v>0</v>
      </c>
      <c r="EV44" s="217">
        <v>1</v>
      </c>
      <c r="EW44" s="217">
        <v>3</v>
      </c>
      <c r="EX44" s="217">
        <v>0</v>
      </c>
      <c r="EY44" s="217">
        <v>0</v>
      </c>
      <c r="EZ44" s="217">
        <v>1</v>
      </c>
      <c r="FA44" s="217">
        <v>0</v>
      </c>
      <c r="FB44" s="217"/>
      <c r="FC44" s="217"/>
      <c r="FD44" s="217"/>
      <c r="FE44" s="217"/>
      <c r="FF44" s="217">
        <f t="shared" si="39"/>
        <v>7</v>
      </c>
      <c r="FG44" s="221">
        <f t="shared" si="43"/>
        <v>0</v>
      </c>
      <c r="FH44" s="221">
        <f t="shared" si="44"/>
        <v>0</v>
      </c>
      <c r="FI44" s="221">
        <f t="shared" si="45"/>
        <v>0</v>
      </c>
      <c r="FJ44" s="221">
        <f t="shared" si="45"/>
        <v>-2</v>
      </c>
      <c r="FK44" s="221">
        <f t="shared" si="45"/>
        <v>2</v>
      </c>
      <c r="FL44" s="221">
        <f t="shared" si="45"/>
        <v>-1</v>
      </c>
      <c r="FM44" s="221">
        <f t="shared" si="45"/>
        <v>-1</v>
      </c>
      <c r="FN44" s="221">
        <f t="shared" si="45"/>
        <v>4</v>
      </c>
      <c r="FO44" s="221">
        <f t="shared" si="45"/>
        <v>2</v>
      </c>
      <c r="FP44" s="221">
        <f t="shared" si="45"/>
        <v>-1</v>
      </c>
      <c r="FQ44" s="221">
        <f t="shared" si="45"/>
        <v>0</v>
      </c>
      <c r="FR44" s="221">
        <f t="shared" si="45"/>
        <v>0</v>
      </c>
      <c r="FS44" s="221">
        <f t="shared" si="45"/>
        <v>0</v>
      </c>
      <c r="FT44" s="221">
        <f t="shared" si="45"/>
        <v>0</v>
      </c>
      <c r="FU44" s="221">
        <f t="shared" si="40"/>
        <v>0</v>
      </c>
      <c r="FV44" s="221">
        <f t="shared" si="42"/>
        <v>3</v>
      </c>
      <c r="FW44" s="222" t="s">
        <v>579</v>
      </c>
    </row>
    <row r="45" spans="1:179" x14ac:dyDescent="0.25">
      <c r="A45" s="204">
        <v>40320</v>
      </c>
      <c r="B45" s="204" t="s">
        <v>133</v>
      </c>
      <c r="C45" s="204" t="s">
        <v>129</v>
      </c>
      <c r="D45" s="204" t="s">
        <v>544</v>
      </c>
      <c r="E45" s="205">
        <v>9093</v>
      </c>
      <c r="F45" s="206" t="s">
        <v>523</v>
      </c>
      <c r="G45" s="207" t="s">
        <v>580</v>
      </c>
      <c r="H45" s="208">
        <v>1</v>
      </c>
      <c r="I45" s="208">
        <v>0</v>
      </c>
      <c r="J45" s="247">
        <v>5</v>
      </c>
      <c r="K45" s="208">
        <v>4</v>
      </c>
      <c r="L45" s="208">
        <v>1</v>
      </c>
      <c r="M45" s="208">
        <v>1</v>
      </c>
      <c r="N45" s="208">
        <v>0</v>
      </c>
      <c r="O45" s="208">
        <v>4</v>
      </c>
      <c r="P45" s="208">
        <v>1</v>
      </c>
      <c r="Q45" s="208">
        <v>0</v>
      </c>
      <c r="R45" s="208">
        <v>18</v>
      </c>
      <c r="S45" s="208"/>
      <c r="T45" s="208"/>
      <c r="U45" s="208">
        <v>0</v>
      </c>
      <c r="V45" s="210">
        <v>0</v>
      </c>
      <c r="W45" s="211">
        <v>0</v>
      </c>
      <c r="X45" s="211">
        <v>0</v>
      </c>
      <c r="Y45" s="211">
        <v>1</v>
      </c>
      <c r="Z45" s="211">
        <v>0</v>
      </c>
      <c r="AA45" s="211">
        <v>0</v>
      </c>
      <c r="AB45" s="248">
        <v>4</v>
      </c>
      <c r="AC45" s="211">
        <v>4</v>
      </c>
      <c r="AD45" s="211">
        <v>1</v>
      </c>
      <c r="AE45" s="211">
        <v>1</v>
      </c>
      <c r="AF45" s="211">
        <v>2</v>
      </c>
      <c r="AG45" s="211">
        <v>4</v>
      </c>
      <c r="AH45" s="211">
        <v>0</v>
      </c>
      <c r="AI45" s="211">
        <v>0</v>
      </c>
      <c r="AJ45" s="211">
        <v>18</v>
      </c>
      <c r="AK45" s="211"/>
      <c r="AL45" s="211"/>
      <c r="AM45" s="213" t="s">
        <v>519</v>
      </c>
      <c r="AN45" s="214">
        <v>5</v>
      </c>
      <c r="AO45" s="214">
        <v>1</v>
      </c>
      <c r="AP45" s="214">
        <v>1</v>
      </c>
      <c r="AQ45" s="214">
        <v>1</v>
      </c>
      <c r="AR45" s="214">
        <v>0</v>
      </c>
      <c r="AS45" s="214">
        <v>0</v>
      </c>
      <c r="AT45" s="214">
        <v>0</v>
      </c>
      <c r="AU45" s="214">
        <v>0</v>
      </c>
      <c r="AV45" s="215">
        <v>1</v>
      </c>
      <c r="AW45" s="213" t="s">
        <v>534</v>
      </c>
      <c r="AX45" s="214">
        <v>5</v>
      </c>
      <c r="AY45" s="214">
        <v>1</v>
      </c>
      <c r="AZ45" s="214">
        <v>1</v>
      </c>
      <c r="BA45" s="214">
        <v>2</v>
      </c>
      <c r="BB45" s="214">
        <v>0</v>
      </c>
      <c r="BC45" s="214">
        <v>1</v>
      </c>
      <c r="BD45" s="214">
        <v>0</v>
      </c>
      <c r="BE45" s="214">
        <v>0</v>
      </c>
      <c r="BF45" s="215">
        <v>4</v>
      </c>
      <c r="BG45" s="213" t="s">
        <v>539</v>
      </c>
      <c r="BH45" s="214">
        <v>5</v>
      </c>
      <c r="BI45" s="214">
        <v>0</v>
      </c>
      <c r="BJ45" s="214">
        <v>1</v>
      </c>
      <c r="BK45" s="214">
        <v>0</v>
      </c>
      <c r="BL45" s="214">
        <v>0</v>
      </c>
      <c r="BM45" s="214">
        <v>0</v>
      </c>
      <c r="BN45" s="214">
        <v>0</v>
      </c>
      <c r="BO45" s="214">
        <v>0</v>
      </c>
      <c r="BP45" s="215">
        <v>1</v>
      </c>
      <c r="BQ45" s="213" t="s">
        <v>530</v>
      </c>
      <c r="BR45" s="214">
        <v>3</v>
      </c>
      <c r="BS45" s="214">
        <v>1</v>
      </c>
      <c r="BT45" s="214">
        <v>0</v>
      </c>
      <c r="BU45" s="214">
        <v>0</v>
      </c>
      <c r="BV45" s="214">
        <v>2</v>
      </c>
      <c r="BW45" s="214">
        <v>1</v>
      </c>
      <c r="BX45" s="214">
        <v>0</v>
      </c>
      <c r="BY45" s="214">
        <v>0</v>
      </c>
      <c r="BZ45" s="215">
        <v>0</v>
      </c>
      <c r="CA45" s="213" t="s">
        <v>529</v>
      </c>
      <c r="CB45" s="214">
        <v>3</v>
      </c>
      <c r="CC45" s="214">
        <v>0</v>
      </c>
      <c r="CD45" s="214">
        <v>1</v>
      </c>
      <c r="CE45" s="214">
        <v>0</v>
      </c>
      <c r="CF45" s="214">
        <v>1</v>
      </c>
      <c r="CG45" s="214">
        <v>0</v>
      </c>
      <c r="CH45" s="214">
        <v>0</v>
      </c>
      <c r="CI45" s="214">
        <v>0</v>
      </c>
      <c r="CJ45" s="215">
        <v>1</v>
      </c>
      <c r="CK45" s="213" t="s">
        <v>531</v>
      </c>
      <c r="CL45" s="214">
        <v>3</v>
      </c>
      <c r="CM45" s="214">
        <v>1</v>
      </c>
      <c r="CN45" s="214">
        <v>0</v>
      </c>
      <c r="CO45" s="214">
        <v>0</v>
      </c>
      <c r="CP45" s="214">
        <v>0</v>
      </c>
      <c r="CQ45" s="214">
        <v>0</v>
      </c>
      <c r="CR45" s="214">
        <v>0</v>
      </c>
      <c r="CS45" s="214">
        <v>0</v>
      </c>
      <c r="CT45" s="215">
        <v>0</v>
      </c>
      <c r="CU45" s="213" t="s">
        <v>532</v>
      </c>
      <c r="CV45" s="214">
        <v>4</v>
      </c>
      <c r="CW45" s="214">
        <v>0</v>
      </c>
      <c r="CX45" s="214">
        <v>1</v>
      </c>
      <c r="CY45" s="214">
        <v>0</v>
      </c>
      <c r="CZ45" s="214">
        <v>0</v>
      </c>
      <c r="DA45" s="214">
        <v>0</v>
      </c>
      <c r="DB45" s="214">
        <v>0</v>
      </c>
      <c r="DC45" s="214">
        <v>0</v>
      </c>
      <c r="DD45" s="215">
        <v>1</v>
      </c>
      <c r="DE45" s="213" t="s">
        <v>285</v>
      </c>
      <c r="DF45" s="214">
        <v>3</v>
      </c>
      <c r="DG45" s="214">
        <v>1</v>
      </c>
      <c r="DH45" s="214">
        <v>2</v>
      </c>
      <c r="DI45" s="214">
        <v>0</v>
      </c>
      <c r="DJ45" s="214">
        <v>1</v>
      </c>
      <c r="DK45" s="214">
        <v>0</v>
      </c>
      <c r="DL45" s="214">
        <v>0</v>
      </c>
      <c r="DM45" s="214">
        <v>0</v>
      </c>
      <c r="DN45" s="215">
        <v>2</v>
      </c>
      <c r="DO45" s="213" t="s">
        <v>535</v>
      </c>
      <c r="DP45" s="214">
        <v>3</v>
      </c>
      <c r="DQ45" s="214">
        <v>0</v>
      </c>
      <c r="DR45" s="214">
        <v>0</v>
      </c>
      <c r="DS45" s="214">
        <v>1</v>
      </c>
      <c r="DT45" s="214">
        <v>0</v>
      </c>
      <c r="DU45" s="214">
        <v>3</v>
      </c>
      <c r="DV45" s="214">
        <v>1</v>
      </c>
      <c r="DW45" s="214">
        <v>0</v>
      </c>
      <c r="DX45" s="215">
        <v>0</v>
      </c>
      <c r="DY45" s="249">
        <v>2</v>
      </c>
      <c r="DZ45" s="217">
        <v>0</v>
      </c>
      <c r="EA45" s="217">
        <v>1</v>
      </c>
      <c r="EB45" s="250">
        <v>7</v>
      </c>
      <c r="EC45" s="217">
        <v>1</v>
      </c>
      <c r="ED45" s="219">
        <v>0</v>
      </c>
      <c r="EE45" s="220">
        <v>0</v>
      </c>
      <c r="EF45" s="217">
        <v>2</v>
      </c>
      <c r="EG45" s="217">
        <v>0</v>
      </c>
      <c r="EH45" s="217">
        <v>3</v>
      </c>
      <c r="EI45" s="217">
        <v>0</v>
      </c>
      <c r="EJ45" s="217">
        <v>0</v>
      </c>
      <c r="EK45" s="217">
        <v>0</v>
      </c>
      <c r="EL45" s="217">
        <v>0</v>
      </c>
      <c r="EM45" s="217">
        <v>0</v>
      </c>
      <c r="EN45" s="217"/>
      <c r="EO45" s="217"/>
      <c r="EP45" s="217"/>
      <c r="EQ45" s="217"/>
      <c r="ER45" s="219">
        <f t="shared" si="38"/>
        <v>5</v>
      </c>
      <c r="ES45" s="217">
        <v>0</v>
      </c>
      <c r="ET45" s="217">
        <v>0</v>
      </c>
      <c r="EU45" s="217">
        <v>0</v>
      </c>
      <c r="EV45" s="217">
        <v>0</v>
      </c>
      <c r="EW45" s="217">
        <v>1</v>
      </c>
      <c r="EX45" s="217">
        <v>0</v>
      </c>
      <c r="EY45" s="217">
        <v>0</v>
      </c>
      <c r="EZ45" s="217">
        <v>0</v>
      </c>
      <c r="FA45" s="217">
        <v>1</v>
      </c>
      <c r="FB45" s="217"/>
      <c r="FC45" s="217"/>
      <c r="FD45" s="217"/>
      <c r="FE45" s="217"/>
      <c r="FF45" s="217">
        <f t="shared" si="39"/>
        <v>2</v>
      </c>
      <c r="FG45" s="221">
        <f t="shared" si="43"/>
        <v>0</v>
      </c>
      <c r="FH45" s="221">
        <f t="shared" si="44"/>
        <v>0</v>
      </c>
      <c r="FI45" s="221">
        <f t="shared" si="45"/>
        <v>0</v>
      </c>
      <c r="FJ45" s="221">
        <f t="shared" si="45"/>
        <v>2</v>
      </c>
      <c r="FK45" s="221">
        <f t="shared" si="45"/>
        <v>0</v>
      </c>
      <c r="FL45" s="221">
        <f t="shared" si="45"/>
        <v>3</v>
      </c>
      <c r="FM45" s="221">
        <f t="shared" si="45"/>
        <v>-1</v>
      </c>
      <c r="FN45" s="221">
        <f t="shared" si="45"/>
        <v>0</v>
      </c>
      <c r="FO45" s="221">
        <f t="shared" si="45"/>
        <v>0</v>
      </c>
      <c r="FP45" s="221">
        <f t="shared" si="45"/>
        <v>0</v>
      </c>
      <c r="FQ45" s="221">
        <f t="shared" si="45"/>
        <v>-1</v>
      </c>
      <c r="FR45" s="221">
        <f t="shared" si="45"/>
        <v>0</v>
      </c>
      <c r="FS45" s="221">
        <f t="shared" si="45"/>
        <v>0</v>
      </c>
      <c r="FT45" s="221">
        <f t="shared" si="45"/>
        <v>0</v>
      </c>
      <c r="FU45" s="221">
        <f t="shared" si="40"/>
        <v>0</v>
      </c>
      <c r="FV45" s="221">
        <f t="shared" si="42"/>
        <v>3</v>
      </c>
      <c r="FW45" s="222" t="s">
        <v>581</v>
      </c>
    </row>
    <row r="46" spans="1:179" x14ac:dyDescent="0.25">
      <c r="A46" s="204">
        <v>40321</v>
      </c>
      <c r="B46" s="204" t="s">
        <v>133</v>
      </c>
      <c r="C46" s="204" t="s">
        <v>129</v>
      </c>
      <c r="D46" s="204" t="s">
        <v>544</v>
      </c>
      <c r="E46" s="205">
        <v>8929</v>
      </c>
      <c r="F46" s="206">
        <v>1</v>
      </c>
      <c r="G46" s="207" t="s">
        <v>540</v>
      </c>
      <c r="H46" s="208">
        <v>1</v>
      </c>
      <c r="I46" s="208">
        <v>0</v>
      </c>
      <c r="J46" s="247">
        <v>6</v>
      </c>
      <c r="K46" s="208">
        <v>6</v>
      </c>
      <c r="L46" s="208">
        <v>2</v>
      </c>
      <c r="M46" s="208">
        <v>2</v>
      </c>
      <c r="N46" s="208">
        <v>3</v>
      </c>
      <c r="O46" s="208">
        <v>4</v>
      </c>
      <c r="P46" s="208">
        <v>0</v>
      </c>
      <c r="Q46" s="208">
        <v>0</v>
      </c>
      <c r="R46" s="208">
        <v>26</v>
      </c>
      <c r="S46" s="208"/>
      <c r="T46" s="208"/>
      <c r="U46" s="208">
        <v>0</v>
      </c>
      <c r="V46" s="210">
        <v>0</v>
      </c>
      <c r="W46" s="211">
        <v>0</v>
      </c>
      <c r="X46" s="211">
        <v>0</v>
      </c>
      <c r="Y46" s="211">
        <v>0</v>
      </c>
      <c r="Z46" s="211">
        <v>1</v>
      </c>
      <c r="AA46" s="211">
        <v>0</v>
      </c>
      <c r="AB46" s="248">
        <v>3</v>
      </c>
      <c r="AC46" s="211">
        <v>4</v>
      </c>
      <c r="AD46" s="211">
        <v>2</v>
      </c>
      <c r="AE46" s="211">
        <v>2</v>
      </c>
      <c r="AF46" s="211">
        <v>4</v>
      </c>
      <c r="AG46" s="211">
        <v>4</v>
      </c>
      <c r="AH46" s="211">
        <v>1</v>
      </c>
      <c r="AI46" s="211">
        <v>0</v>
      </c>
      <c r="AJ46" s="211">
        <v>17</v>
      </c>
      <c r="AK46" s="211"/>
      <c r="AL46" s="211"/>
      <c r="AM46" s="213" t="s">
        <v>519</v>
      </c>
      <c r="AN46" s="214">
        <v>5</v>
      </c>
      <c r="AO46" s="214">
        <v>2</v>
      </c>
      <c r="AP46" s="214">
        <v>3</v>
      </c>
      <c r="AQ46" s="214">
        <v>1</v>
      </c>
      <c r="AR46" s="214">
        <v>0</v>
      </c>
      <c r="AS46" s="214">
        <v>1</v>
      </c>
      <c r="AT46" s="214">
        <v>0</v>
      </c>
      <c r="AU46" s="214">
        <v>0</v>
      </c>
      <c r="AV46" s="215">
        <v>5</v>
      </c>
      <c r="AW46" s="213" t="s">
        <v>534</v>
      </c>
      <c r="AX46" s="214">
        <v>3</v>
      </c>
      <c r="AY46" s="214">
        <v>0</v>
      </c>
      <c r="AZ46" s="214">
        <v>2</v>
      </c>
      <c r="BA46" s="214">
        <v>1</v>
      </c>
      <c r="BB46" s="214">
        <v>1</v>
      </c>
      <c r="BC46" s="214">
        <v>1</v>
      </c>
      <c r="BD46" s="214">
        <v>0</v>
      </c>
      <c r="BE46" s="214">
        <v>0</v>
      </c>
      <c r="BF46" s="215">
        <v>3</v>
      </c>
      <c r="BG46" s="213" t="s">
        <v>529</v>
      </c>
      <c r="BH46" s="214">
        <v>5</v>
      </c>
      <c r="BI46" s="214">
        <v>1</v>
      </c>
      <c r="BJ46" s="214">
        <v>1</v>
      </c>
      <c r="BK46" s="214">
        <v>1</v>
      </c>
      <c r="BL46" s="214">
        <v>0</v>
      </c>
      <c r="BM46" s="214">
        <v>1</v>
      </c>
      <c r="BN46" s="214">
        <v>0</v>
      </c>
      <c r="BO46" s="214">
        <v>0</v>
      </c>
      <c r="BP46" s="215">
        <v>1</v>
      </c>
      <c r="BQ46" s="213" t="s">
        <v>426</v>
      </c>
      <c r="BR46" s="214">
        <v>5</v>
      </c>
      <c r="BS46" s="214">
        <v>0</v>
      </c>
      <c r="BT46" s="214">
        <v>0</v>
      </c>
      <c r="BU46" s="214">
        <v>0</v>
      </c>
      <c r="BV46" s="214">
        <v>0</v>
      </c>
      <c r="BW46" s="214">
        <v>1</v>
      </c>
      <c r="BX46" s="214">
        <v>0</v>
      </c>
      <c r="BY46" s="214">
        <v>0</v>
      </c>
      <c r="BZ46" s="215">
        <v>0</v>
      </c>
      <c r="CA46" s="213" t="s">
        <v>533</v>
      </c>
      <c r="CB46" s="214">
        <v>5</v>
      </c>
      <c r="CC46" s="214">
        <v>1</v>
      </c>
      <c r="CD46" s="214">
        <v>2</v>
      </c>
      <c r="CE46" s="214">
        <v>1</v>
      </c>
      <c r="CF46" s="214">
        <v>0</v>
      </c>
      <c r="CG46" s="214">
        <v>0</v>
      </c>
      <c r="CH46" s="214">
        <v>0</v>
      </c>
      <c r="CI46" s="214">
        <v>0</v>
      </c>
      <c r="CJ46" s="215">
        <v>3</v>
      </c>
      <c r="CK46" s="213" t="s">
        <v>531</v>
      </c>
      <c r="CL46" s="214">
        <v>3</v>
      </c>
      <c r="CM46" s="214">
        <v>0</v>
      </c>
      <c r="CN46" s="214">
        <v>1</v>
      </c>
      <c r="CO46" s="214">
        <v>0</v>
      </c>
      <c r="CP46" s="214">
        <v>1</v>
      </c>
      <c r="CQ46" s="214">
        <v>0</v>
      </c>
      <c r="CR46" s="214">
        <v>0</v>
      </c>
      <c r="CS46" s="214">
        <v>0</v>
      </c>
      <c r="CT46" s="215">
        <v>1</v>
      </c>
      <c r="CU46" s="213" t="s">
        <v>532</v>
      </c>
      <c r="CV46" s="214">
        <v>4</v>
      </c>
      <c r="CW46" s="214">
        <v>2</v>
      </c>
      <c r="CX46" s="214">
        <v>3</v>
      </c>
      <c r="CY46" s="214">
        <v>2</v>
      </c>
      <c r="CZ46" s="214">
        <v>0</v>
      </c>
      <c r="DA46" s="214">
        <v>0</v>
      </c>
      <c r="DB46" s="214">
        <v>0</v>
      </c>
      <c r="DC46" s="214">
        <v>0</v>
      </c>
      <c r="DD46" s="215">
        <v>6</v>
      </c>
      <c r="DE46" s="213" t="s">
        <v>538</v>
      </c>
      <c r="DF46" s="214">
        <v>3</v>
      </c>
      <c r="DG46" s="214">
        <v>0</v>
      </c>
      <c r="DH46" s="214">
        <v>0</v>
      </c>
      <c r="DI46" s="214">
        <v>0</v>
      </c>
      <c r="DJ46" s="214">
        <v>0</v>
      </c>
      <c r="DK46" s="214">
        <v>1</v>
      </c>
      <c r="DL46" s="214">
        <v>1</v>
      </c>
      <c r="DM46" s="214">
        <v>0</v>
      </c>
      <c r="DN46" s="215">
        <v>0</v>
      </c>
      <c r="DO46" s="213" t="s">
        <v>535</v>
      </c>
      <c r="DP46" s="214">
        <v>4</v>
      </c>
      <c r="DQ46" s="214">
        <v>0</v>
      </c>
      <c r="DR46" s="214">
        <v>1</v>
      </c>
      <c r="DS46" s="214">
        <v>0</v>
      </c>
      <c r="DT46" s="214">
        <v>0</v>
      </c>
      <c r="DU46" s="214">
        <v>1</v>
      </c>
      <c r="DV46" s="214">
        <v>0</v>
      </c>
      <c r="DW46" s="214">
        <v>0</v>
      </c>
      <c r="DX46" s="215">
        <v>1</v>
      </c>
      <c r="DY46" s="249">
        <v>0</v>
      </c>
      <c r="DZ46" s="217">
        <v>0</v>
      </c>
      <c r="EA46" s="217">
        <v>0</v>
      </c>
      <c r="EB46" s="250">
        <v>9</v>
      </c>
      <c r="EC46" s="217">
        <v>0</v>
      </c>
      <c r="ED46" s="219">
        <v>2</v>
      </c>
      <c r="EE46" s="220">
        <v>2</v>
      </c>
      <c r="EF46" s="217">
        <v>0</v>
      </c>
      <c r="EG46" s="217">
        <v>0</v>
      </c>
      <c r="EH46" s="217">
        <v>1</v>
      </c>
      <c r="EI46" s="217">
        <v>1</v>
      </c>
      <c r="EJ46" s="217">
        <v>1</v>
      </c>
      <c r="EK46" s="217">
        <v>1</v>
      </c>
      <c r="EL46" s="217">
        <v>0</v>
      </c>
      <c r="EM46" s="217">
        <v>0</v>
      </c>
      <c r="EN46" s="217"/>
      <c r="EO46" s="217"/>
      <c r="EP46" s="217"/>
      <c r="EQ46" s="217"/>
      <c r="ER46" s="219">
        <f t="shared" ref="ER46:ER55" si="46">SUM(EE46:EQ46)</f>
        <v>6</v>
      </c>
      <c r="ES46" s="217">
        <v>0</v>
      </c>
      <c r="ET46" s="217">
        <v>2</v>
      </c>
      <c r="EU46" s="217">
        <v>0</v>
      </c>
      <c r="EV46" s="217">
        <v>0</v>
      </c>
      <c r="EW46" s="217">
        <v>0</v>
      </c>
      <c r="EX46" s="217">
        <v>0</v>
      </c>
      <c r="EY46" s="217">
        <v>0</v>
      </c>
      <c r="EZ46" s="217">
        <v>1</v>
      </c>
      <c r="FA46" s="217">
        <v>1</v>
      </c>
      <c r="FB46" s="217"/>
      <c r="FC46" s="217"/>
      <c r="FD46" s="217"/>
      <c r="FE46" s="217"/>
      <c r="FF46" s="217">
        <f t="shared" ref="FF46:FF55" si="47">SUM(ES46:FE46)</f>
        <v>4</v>
      </c>
      <c r="FG46" s="221">
        <f t="shared" si="43"/>
        <v>0</v>
      </c>
      <c r="FH46" s="221">
        <f t="shared" si="44"/>
        <v>0</v>
      </c>
      <c r="FI46" s="221">
        <f t="shared" ref="FI46:FI55" si="48">(EE46-ES46)</f>
        <v>2</v>
      </c>
      <c r="FJ46" s="221">
        <f t="shared" ref="FJ46:FJ55" si="49">(EF46-ET46)</f>
        <v>-2</v>
      </c>
      <c r="FK46" s="221">
        <f t="shared" ref="FK46:FK55" si="50">(EG46-EU46)</f>
        <v>0</v>
      </c>
      <c r="FL46" s="221">
        <f t="shared" ref="FL46:FL55" si="51">(EH46-EV46)</f>
        <v>1</v>
      </c>
      <c r="FM46" s="221">
        <f t="shared" ref="FM46:FM55" si="52">(EI46-EW46)</f>
        <v>1</v>
      </c>
      <c r="FN46" s="221">
        <f t="shared" ref="FN46:FN55" si="53">(EJ46-EX46)</f>
        <v>1</v>
      </c>
      <c r="FO46" s="221">
        <f t="shared" ref="FO46:FO55" si="54">(EK46-EY46)</f>
        <v>1</v>
      </c>
      <c r="FP46" s="221">
        <f t="shared" ref="FP46:FP55" si="55">(EL46-EZ46)</f>
        <v>-1</v>
      </c>
      <c r="FQ46" s="221">
        <f t="shared" ref="FQ46:FQ55" si="56">(EM46-FA46)</f>
        <v>-1</v>
      </c>
      <c r="FR46" s="221">
        <f t="shared" ref="FR46:FR55" si="57">(EN46-FB46)</f>
        <v>0</v>
      </c>
      <c r="FS46" s="221">
        <f t="shared" ref="FS46:FS55" si="58">(EO46-FC46)</f>
        <v>0</v>
      </c>
      <c r="FT46" s="221">
        <f t="shared" ref="FT46:FT55" si="59">(EP46-FD46)</f>
        <v>0</v>
      </c>
      <c r="FU46" s="221">
        <f t="shared" ref="FU46:FU55" si="60">(EQ46-FE46)</f>
        <v>0</v>
      </c>
      <c r="FV46" s="221">
        <f t="shared" si="42"/>
        <v>2</v>
      </c>
      <c r="FW46" s="222"/>
    </row>
    <row r="47" spans="1:179" x14ac:dyDescent="0.25">
      <c r="A47" s="204">
        <v>40322</v>
      </c>
      <c r="B47" s="204" t="s">
        <v>133</v>
      </c>
      <c r="C47" s="204" t="s">
        <v>129</v>
      </c>
      <c r="D47" s="204" t="s">
        <v>544</v>
      </c>
      <c r="E47" s="205">
        <v>8595</v>
      </c>
      <c r="F47" s="206">
        <v>2</v>
      </c>
      <c r="G47" s="207" t="s">
        <v>566</v>
      </c>
      <c r="H47" s="208">
        <v>1</v>
      </c>
      <c r="I47" s="208">
        <v>0</v>
      </c>
      <c r="J47" s="247">
        <v>5</v>
      </c>
      <c r="K47" s="208">
        <v>2</v>
      </c>
      <c r="L47" s="208">
        <v>0</v>
      </c>
      <c r="M47" s="208">
        <v>0</v>
      </c>
      <c r="N47" s="208">
        <v>0</v>
      </c>
      <c r="O47" s="208">
        <v>6</v>
      </c>
      <c r="P47" s="208">
        <v>0</v>
      </c>
      <c r="Q47" s="208">
        <v>0</v>
      </c>
      <c r="R47" s="208">
        <v>17</v>
      </c>
      <c r="S47" s="208"/>
      <c r="T47" s="208"/>
      <c r="U47" s="208">
        <v>0</v>
      </c>
      <c r="V47" s="210">
        <v>0</v>
      </c>
      <c r="W47" s="211">
        <v>0</v>
      </c>
      <c r="X47" s="211">
        <v>0</v>
      </c>
      <c r="Y47" s="211">
        <v>1</v>
      </c>
      <c r="Z47" s="211">
        <v>0</v>
      </c>
      <c r="AA47" s="211">
        <v>0</v>
      </c>
      <c r="AB47" s="248">
        <v>4</v>
      </c>
      <c r="AC47" s="211">
        <v>3</v>
      </c>
      <c r="AD47" s="211">
        <v>0</v>
      </c>
      <c r="AE47" s="211">
        <v>0</v>
      </c>
      <c r="AF47" s="211">
        <v>1</v>
      </c>
      <c r="AG47" s="211">
        <v>2</v>
      </c>
      <c r="AH47" s="211">
        <v>0</v>
      </c>
      <c r="AI47" s="211">
        <v>1</v>
      </c>
      <c r="AJ47" s="211">
        <v>15</v>
      </c>
      <c r="AK47" s="211"/>
      <c r="AL47" s="211"/>
      <c r="AM47" s="213" t="s">
        <v>519</v>
      </c>
      <c r="AN47" s="214">
        <v>4</v>
      </c>
      <c r="AO47" s="214">
        <v>2</v>
      </c>
      <c r="AP47" s="214">
        <v>2</v>
      </c>
      <c r="AQ47" s="214">
        <v>0</v>
      </c>
      <c r="AR47" s="214">
        <v>0</v>
      </c>
      <c r="AS47" s="214">
        <v>1</v>
      </c>
      <c r="AT47" s="214">
        <v>0</v>
      </c>
      <c r="AU47" s="214">
        <v>0</v>
      </c>
      <c r="AV47" s="215">
        <v>4</v>
      </c>
      <c r="AW47" s="213" t="s">
        <v>534</v>
      </c>
      <c r="AX47" s="214">
        <v>4</v>
      </c>
      <c r="AY47" s="214">
        <v>1</v>
      </c>
      <c r="AZ47" s="214">
        <v>2</v>
      </c>
      <c r="BA47" s="214">
        <v>1</v>
      </c>
      <c r="BB47" s="214">
        <v>0</v>
      </c>
      <c r="BC47" s="214">
        <v>0</v>
      </c>
      <c r="BD47" s="214">
        <v>0</v>
      </c>
      <c r="BE47" s="214">
        <v>0</v>
      </c>
      <c r="BF47" s="215">
        <v>2</v>
      </c>
      <c r="BG47" s="213" t="s">
        <v>529</v>
      </c>
      <c r="BH47" s="214">
        <v>3</v>
      </c>
      <c r="BI47" s="214">
        <v>0</v>
      </c>
      <c r="BJ47" s="214">
        <v>1</v>
      </c>
      <c r="BK47" s="214">
        <v>1</v>
      </c>
      <c r="BL47" s="214">
        <v>0</v>
      </c>
      <c r="BM47" s="214">
        <v>0</v>
      </c>
      <c r="BN47" s="214">
        <v>1</v>
      </c>
      <c r="BO47" s="214">
        <v>0</v>
      </c>
      <c r="BP47" s="215">
        <v>1</v>
      </c>
      <c r="BQ47" s="213" t="s">
        <v>530</v>
      </c>
      <c r="BR47" s="214">
        <v>3</v>
      </c>
      <c r="BS47" s="214">
        <v>1</v>
      </c>
      <c r="BT47" s="214">
        <v>0</v>
      </c>
      <c r="BU47" s="214">
        <v>0</v>
      </c>
      <c r="BV47" s="214">
        <v>1</v>
      </c>
      <c r="BW47" s="214">
        <v>1</v>
      </c>
      <c r="BX47" s="214">
        <v>0</v>
      </c>
      <c r="BY47" s="214">
        <v>0</v>
      </c>
      <c r="BZ47" s="215">
        <v>0</v>
      </c>
      <c r="CA47" s="213" t="s">
        <v>533</v>
      </c>
      <c r="CB47" s="214">
        <v>4</v>
      </c>
      <c r="CC47" s="214">
        <v>0</v>
      </c>
      <c r="CD47" s="214">
        <v>0</v>
      </c>
      <c r="CE47" s="214">
        <v>0</v>
      </c>
      <c r="CF47" s="214">
        <v>0</v>
      </c>
      <c r="CG47" s="214">
        <v>0</v>
      </c>
      <c r="CH47" s="214">
        <v>0</v>
      </c>
      <c r="CI47" s="214">
        <v>0</v>
      </c>
      <c r="CJ47" s="215">
        <v>0</v>
      </c>
      <c r="CK47" s="213" t="s">
        <v>531</v>
      </c>
      <c r="CL47" s="214">
        <v>4</v>
      </c>
      <c r="CM47" s="214">
        <v>1</v>
      </c>
      <c r="CN47" s="214">
        <v>2</v>
      </c>
      <c r="CO47" s="214">
        <v>1</v>
      </c>
      <c r="CP47" s="214">
        <v>0</v>
      </c>
      <c r="CQ47" s="214">
        <v>2</v>
      </c>
      <c r="CR47" s="214">
        <v>0</v>
      </c>
      <c r="CS47" s="214">
        <v>0</v>
      </c>
      <c r="CT47" s="215">
        <v>3</v>
      </c>
      <c r="CU47" s="213" t="s">
        <v>532</v>
      </c>
      <c r="CV47" s="214">
        <v>4</v>
      </c>
      <c r="CW47" s="214">
        <v>0</v>
      </c>
      <c r="CX47" s="214">
        <v>1</v>
      </c>
      <c r="CY47" s="214">
        <v>0</v>
      </c>
      <c r="CZ47" s="214">
        <v>0</v>
      </c>
      <c r="DA47" s="214">
        <v>1</v>
      </c>
      <c r="DB47" s="214">
        <v>0</v>
      </c>
      <c r="DC47" s="214">
        <v>0</v>
      </c>
      <c r="DD47" s="215">
        <v>1</v>
      </c>
      <c r="DE47" s="213" t="s">
        <v>538</v>
      </c>
      <c r="DF47" s="214">
        <v>4</v>
      </c>
      <c r="DG47" s="214">
        <v>0</v>
      </c>
      <c r="DH47" s="214">
        <v>0</v>
      </c>
      <c r="DI47" s="214">
        <v>0</v>
      </c>
      <c r="DJ47" s="214">
        <v>0</v>
      </c>
      <c r="DK47" s="214">
        <v>2</v>
      </c>
      <c r="DL47" s="214">
        <v>0</v>
      </c>
      <c r="DM47" s="214">
        <v>0</v>
      </c>
      <c r="DN47" s="215">
        <v>0</v>
      </c>
      <c r="DO47" s="213" t="s">
        <v>535</v>
      </c>
      <c r="DP47" s="214">
        <v>4</v>
      </c>
      <c r="DQ47" s="214">
        <v>0</v>
      </c>
      <c r="DR47" s="214">
        <v>0</v>
      </c>
      <c r="DS47" s="214">
        <v>0</v>
      </c>
      <c r="DT47" s="214">
        <v>0</v>
      </c>
      <c r="DU47" s="214">
        <v>2</v>
      </c>
      <c r="DV47" s="214">
        <v>0</v>
      </c>
      <c r="DW47" s="214">
        <v>0</v>
      </c>
      <c r="DX47" s="215">
        <v>0</v>
      </c>
      <c r="DY47" s="249">
        <v>0</v>
      </c>
      <c r="DZ47" s="217">
        <v>0</v>
      </c>
      <c r="EA47" s="217">
        <v>0</v>
      </c>
      <c r="EB47" s="250">
        <v>9</v>
      </c>
      <c r="EC47" s="217">
        <v>1</v>
      </c>
      <c r="ED47" s="219">
        <v>1</v>
      </c>
      <c r="EE47" s="220">
        <v>0</v>
      </c>
      <c r="EF47" s="217">
        <v>2</v>
      </c>
      <c r="EG47" s="217">
        <v>2</v>
      </c>
      <c r="EH47" s="217">
        <v>0</v>
      </c>
      <c r="EI47" s="217">
        <v>1</v>
      </c>
      <c r="EJ47" s="217">
        <v>0</v>
      </c>
      <c r="EK47" s="217">
        <v>0</v>
      </c>
      <c r="EL47" s="217">
        <v>0</v>
      </c>
      <c r="EM47" s="217">
        <v>0</v>
      </c>
      <c r="EN47" s="217"/>
      <c r="EO47" s="217"/>
      <c r="EP47" s="217"/>
      <c r="EQ47" s="217"/>
      <c r="ER47" s="219">
        <f t="shared" si="46"/>
        <v>5</v>
      </c>
      <c r="ES47" s="217">
        <v>0</v>
      </c>
      <c r="ET47" s="217">
        <v>0</v>
      </c>
      <c r="EU47" s="217">
        <v>0</v>
      </c>
      <c r="EV47" s="217">
        <v>0</v>
      </c>
      <c r="EW47" s="217">
        <v>0</v>
      </c>
      <c r="EX47" s="217">
        <v>0</v>
      </c>
      <c r="EY47" s="217">
        <v>0</v>
      </c>
      <c r="EZ47" s="217">
        <v>0</v>
      </c>
      <c r="FA47" s="217">
        <v>0</v>
      </c>
      <c r="FB47" s="217"/>
      <c r="FC47" s="217"/>
      <c r="FD47" s="217"/>
      <c r="FE47" s="217"/>
      <c r="FF47" s="217">
        <f t="shared" si="47"/>
        <v>0</v>
      </c>
      <c r="FG47" s="221">
        <f t="shared" si="43"/>
        <v>0</v>
      </c>
      <c r="FH47" s="221">
        <f t="shared" si="44"/>
        <v>0</v>
      </c>
      <c r="FI47" s="221">
        <f t="shared" si="48"/>
        <v>0</v>
      </c>
      <c r="FJ47" s="221">
        <f t="shared" si="49"/>
        <v>2</v>
      </c>
      <c r="FK47" s="221">
        <f t="shared" si="50"/>
        <v>2</v>
      </c>
      <c r="FL47" s="221">
        <f t="shared" si="51"/>
        <v>0</v>
      </c>
      <c r="FM47" s="221">
        <f t="shared" si="52"/>
        <v>1</v>
      </c>
      <c r="FN47" s="221">
        <f t="shared" si="53"/>
        <v>0</v>
      </c>
      <c r="FO47" s="221">
        <f t="shared" si="54"/>
        <v>0</v>
      </c>
      <c r="FP47" s="221">
        <f t="shared" si="55"/>
        <v>0</v>
      </c>
      <c r="FQ47" s="221">
        <f t="shared" si="56"/>
        <v>0</v>
      </c>
      <c r="FR47" s="221">
        <f t="shared" si="57"/>
        <v>0</v>
      </c>
      <c r="FS47" s="221">
        <f t="shared" si="58"/>
        <v>0</v>
      </c>
      <c r="FT47" s="221">
        <f t="shared" si="59"/>
        <v>0</v>
      </c>
      <c r="FU47" s="221">
        <f t="shared" si="60"/>
        <v>0</v>
      </c>
      <c r="FV47" s="221">
        <f t="shared" si="42"/>
        <v>5</v>
      </c>
      <c r="FW47" s="222"/>
    </row>
    <row r="48" spans="1:179" x14ac:dyDescent="0.25">
      <c r="A48" s="204">
        <v>40323</v>
      </c>
      <c r="B48" s="204" t="s">
        <v>19</v>
      </c>
      <c r="C48" s="204" t="s">
        <v>129</v>
      </c>
      <c r="D48" s="204" t="s">
        <v>550</v>
      </c>
      <c r="E48" s="205">
        <v>2564</v>
      </c>
      <c r="F48" s="206">
        <v>3</v>
      </c>
      <c r="G48" s="207" t="s">
        <v>536</v>
      </c>
      <c r="H48" s="208">
        <v>1</v>
      </c>
      <c r="I48" s="208">
        <v>0</v>
      </c>
      <c r="J48" s="247">
        <v>5</v>
      </c>
      <c r="K48" s="208">
        <v>2</v>
      </c>
      <c r="L48" s="208">
        <v>0</v>
      </c>
      <c r="M48" s="208">
        <v>0</v>
      </c>
      <c r="N48" s="208">
        <v>3</v>
      </c>
      <c r="O48" s="208">
        <v>7</v>
      </c>
      <c r="P48" s="208">
        <v>0</v>
      </c>
      <c r="Q48" s="208">
        <v>1</v>
      </c>
      <c r="R48" s="208">
        <v>20</v>
      </c>
      <c r="S48" s="208"/>
      <c r="T48" s="208"/>
      <c r="U48" s="208">
        <v>0</v>
      </c>
      <c r="V48" s="210">
        <v>0</v>
      </c>
      <c r="W48" s="211">
        <v>0</v>
      </c>
      <c r="X48" s="211">
        <v>0</v>
      </c>
      <c r="Y48" s="211">
        <v>1</v>
      </c>
      <c r="Z48" s="211">
        <v>1</v>
      </c>
      <c r="AA48" s="211">
        <v>0</v>
      </c>
      <c r="AB48" s="248">
        <v>4</v>
      </c>
      <c r="AC48" s="211">
        <v>5</v>
      </c>
      <c r="AD48" s="211">
        <v>2</v>
      </c>
      <c r="AE48" s="211">
        <v>2</v>
      </c>
      <c r="AF48" s="211">
        <v>1</v>
      </c>
      <c r="AG48" s="211">
        <v>7</v>
      </c>
      <c r="AH48" s="211">
        <v>0</v>
      </c>
      <c r="AI48" s="211">
        <v>0</v>
      </c>
      <c r="AJ48" s="211">
        <v>17</v>
      </c>
      <c r="AK48" s="211"/>
      <c r="AL48" s="211"/>
      <c r="AM48" s="213" t="s">
        <v>519</v>
      </c>
      <c r="AN48" s="214">
        <v>4</v>
      </c>
      <c r="AO48" s="214">
        <v>1</v>
      </c>
      <c r="AP48" s="214">
        <v>1</v>
      </c>
      <c r="AQ48" s="214">
        <v>1</v>
      </c>
      <c r="AR48" s="214">
        <v>0</v>
      </c>
      <c r="AS48" s="214">
        <v>1</v>
      </c>
      <c r="AT48" s="214">
        <v>0</v>
      </c>
      <c r="AU48" s="214">
        <v>0</v>
      </c>
      <c r="AV48" s="215">
        <v>2</v>
      </c>
      <c r="AW48" s="213" t="s">
        <v>534</v>
      </c>
      <c r="AX48" s="214">
        <v>4</v>
      </c>
      <c r="AY48" s="214">
        <v>0</v>
      </c>
      <c r="AZ48" s="214">
        <v>1</v>
      </c>
      <c r="BA48" s="214">
        <v>0</v>
      </c>
      <c r="BB48" s="214">
        <v>0</v>
      </c>
      <c r="BC48" s="214">
        <v>1</v>
      </c>
      <c r="BD48" s="214">
        <v>0</v>
      </c>
      <c r="BE48" s="214">
        <v>0</v>
      </c>
      <c r="BF48" s="215">
        <v>1</v>
      </c>
      <c r="BG48" s="213" t="s">
        <v>529</v>
      </c>
      <c r="BH48" s="214">
        <v>3</v>
      </c>
      <c r="BI48" s="214">
        <v>0</v>
      </c>
      <c r="BJ48" s="214">
        <v>1</v>
      </c>
      <c r="BK48" s="214">
        <v>0</v>
      </c>
      <c r="BL48" s="214">
        <v>0</v>
      </c>
      <c r="BM48" s="214">
        <v>0</v>
      </c>
      <c r="BN48" s="214">
        <v>0</v>
      </c>
      <c r="BO48" s="214">
        <v>0</v>
      </c>
      <c r="BP48" s="215">
        <v>1</v>
      </c>
      <c r="BQ48" s="213" t="s">
        <v>530</v>
      </c>
      <c r="BR48" s="214">
        <v>3</v>
      </c>
      <c r="BS48" s="214">
        <v>0</v>
      </c>
      <c r="BT48" s="214">
        <v>0</v>
      </c>
      <c r="BU48" s="214">
        <v>0</v>
      </c>
      <c r="BV48" s="214">
        <v>1</v>
      </c>
      <c r="BW48" s="214">
        <v>1</v>
      </c>
      <c r="BX48" s="214">
        <v>0</v>
      </c>
      <c r="BY48" s="214">
        <v>0</v>
      </c>
      <c r="BZ48" s="215">
        <v>0</v>
      </c>
      <c r="CA48" s="213" t="s">
        <v>539</v>
      </c>
      <c r="CB48" s="214">
        <v>4</v>
      </c>
      <c r="CC48" s="214">
        <v>1</v>
      </c>
      <c r="CD48" s="214">
        <v>2</v>
      </c>
      <c r="CE48" s="214">
        <v>0</v>
      </c>
      <c r="CF48" s="214">
        <v>0</v>
      </c>
      <c r="CG48" s="214">
        <v>0</v>
      </c>
      <c r="CH48" s="214">
        <v>0</v>
      </c>
      <c r="CI48" s="214">
        <v>0</v>
      </c>
      <c r="CJ48" s="215">
        <v>2</v>
      </c>
      <c r="CK48" s="213" t="s">
        <v>531</v>
      </c>
      <c r="CL48" s="214">
        <v>4</v>
      </c>
      <c r="CM48" s="214">
        <v>0</v>
      </c>
      <c r="CN48" s="214">
        <v>2</v>
      </c>
      <c r="CO48" s="214">
        <v>0</v>
      </c>
      <c r="CP48" s="214">
        <v>0</v>
      </c>
      <c r="CQ48" s="214">
        <v>0</v>
      </c>
      <c r="CR48" s="214">
        <v>0</v>
      </c>
      <c r="CS48" s="214">
        <v>0</v>
      </c>
      <c r="CT48" s="215">
        <v>2</v>
      </c>
      <c r="CU48" s="213" t="s">
        <v>543</v>
      </c>
      <c r="CV48" s="214">
        <v>3</v>
      </c>
      <c r="CW48" s="214">
        <v>0</v>
      </c>
      <c r="CX48" s="214">
        <v>2</v>
      </c>
      <c r="CY48" s="214">
        <v>0</v>
      </c>
      <c r="CZ48" s="214">
        <v>1</v>
      </c>
      <c r="DA48" s="214">
        <v>0</v>
      </c>
      <c r="DB48" s="214">
        <v>0</v>
      </c>
      <c r="DC48" s="214">
        <v>0</v>
      </c>
      <c r="DD48" s="215">
        <v>3</v>
      </c>
      <c r="DE48" s="213" t="s">
        <v>538</v>
      </c>
      <c r="DF48" s="214">
        <v>4</v>
      </c>
      <c r="DG48" s="214">
        <v>0</v>
      </c>
      <c r="DH48" s="214">
        <v>0</v>
      </c>
      <c r="DI48" s="214">
        <v>1</v>
      </c>
      <c r="DJ48" s="214">
        <v>0</v>
      </c>
      <c r="DK48" s="214">
        <v>1</v>
      </c>
      <c r="DL48" s="214">
        <v>0</v>
      </c>
      <c r="DM48" s="214">
        <v>0</v>
      </c>
      <c r="DN48" s="215">
        <v>0</v>
      </c>
      <c r="DO48" s="213" t="s">
        <v>535</v>
      </c>
      <c r="DP48" s="214">
        <v>2</v>
      </c>
      <c r="DQ48" s="214">
        <v>1</v>
      </c>
      <c r="DR48" s="214">
        <v>0</v>
      </c>
      <c r="DS48" s="214">
        <v>0</v>
      </c>
      <c r="DT48" s="214">
        <v>1</v>
      </c>
      <c r="DU48" s="214">
        <v>0</v>
      </c>
      <c r="DV48" s="214">
        <v>0</v>
      </c>
      <c r="DW48" s="214">
        <v>0</v>
      </c>
      <c r="DX48" s="215">
        <v>0</v>
      </c>
      <c r="DY48" s="249">
        <v>0</v>
      </c>
      <c r="DZ48" s="217">
        <v>0</v>
      </c>
      <c r="EA48" s="217">
        <v>0</v>
      </c>
      <c r="EB48" s="250">
        <v>8</v>
      </c>
      <c r="EC48" s="217">
        <v>4</v>
      </c>
      <c r="ED48" s="219">
        <v>1</v>
      </c>
      <c r="EE48" s="220">
        <v>0</v>
      </c>
      <c r="EF48" s="217">
        <v>0</v>
      </c>
      <c r="EG48" s="217">
        <v>0</v>
      </c>
      <c r="EH48" s="217">
        <v>1</v>
      </c>
      <c r="EI48" s="217">
        <v>0</v>
      </c>
      <c r="EJ48" s="217">
        <v>0</v>
      </c>
      <c r="EK48" s="217">
        <v>2</v>
      </c>
      <c r="EL48" s="217">
        <v>0</v>
      </c>
      <c r="EM48" s="217"/>
      <c r="EN48" s="217"/>
      <c r="EO48" s="217"/>
      <c r="EP48" s="217"/>
      <c r="EQ48" s="217"/>
      <c r="ER48" s="219">
        <f t="shared" si="46"/>
        <v>3</v>
      </c>
      <c r="ES48" s="217">
        <v>0</v>
      </c>
      <c r="ET48" s="217">
        <v>0</v>
      </c>
      <c r="EU48" s="217">
        <v>0</v>
      </c>
      <c r="EV48" s="217">
        <v>0</v>
      </c>
      <c r="EW48" s="217">
        <v>0</v>
      </c>
      <c r="EX48" s="217">
        <v>0</v>
      </c>
      <c r="EY48" s="217">
        <v>0</v>
      </c>
      <c r="EZ48" s="217">
        <v>2</v>
      </c>
      <c r="FA48" s="217">
        <v>0</v>
      </c>
      <c r="FB48" s="217"/>
      <c r="FC48" s="217"/>
      <c r="FD48" s="217"/>
      <c r="FE48" s="217"/>
      <c r="FF48" s="217">
        <f t="shared" si="47"/>
        <v>2</v>
      </c>
      <c r="FG48" s="221">
        <f t="shared" si="43"/>
        <v>0</v>
      </c>
      <c r="FH48" s="221">
        <f t="shared" si="44"/>
        <v>0</v>
      </c>
      <c r="FI48" s="221">
        <f t="shared" si="48"/>
        <v>0</v>
      </c>
      <c r="FJ48" s="221">
        <f t="shared" si="49"/>
        <v>0</v>
      </c>
      <c r="FK48" s="221">
        <f t="shared" si="50"/>
        <v>0</v>
      </c>
      <c r="FL48" s="221">
        <f t="shared" si="51"/>
        <v>1</v>
      </c>
      <c r="FM48" s="221">
        <f t="shared" si="52"/>
        <v>0</v>
      </c>
      <c r="FN48" s="221">
        <f t="shared" si="53"/>
        <v>0</v>
      </c>
      <c r="FO48" s="221">
        <f t="shared" si="54"/>
        <v>2</v>
      </c>
      <c r="FP48" s="221">
        <f t="shared" si="55"/>
        <v>-2</v>
      </c>
      <c r="FQ48" s="221">
        <f t="shared" si="56"/>
        <v>0</v>
      </c>
      <c r="FR48" s="221">
        <f t="shared" si="57"/>
        <v>0</v>
      </c>
      <c r="FS48" s="221">
        <f t="shared" si="58"/>
        <v>0</v>
      </c>
      <c r="FT48" s="221">
        <f t="shared" si="59"/>
        <v>0</v>
      </c>
      <c r="FU48" s="221">
        <f t="shared" si="60"/>
        <v>0</v>
      </c>
      <c r="FV48" s="221">
        <f t="shared" si="42"/>
        <v>1</v>
      </c>
      <c r="FW48" s="222"/>
    </row>
    <row r="49" spans="1:179" x14ac:dyDescent="0.25">
      <c r="A49" s="204">
        <v>40324</v>
      </c>
      <c r="B49" s="204" t="s">
        <v>19</v>
      </c>
      <c r="C49" s="204" t="s">
        <v>129</v>
      </c>
      <c r="D49" s="204" t="s">
        <v>550</v>
      </c>
      <c r="E49" s="205">
        <v>2341</v>
      </c>
      <c r="F49" s="206">
        <v>4</v>
      </c>
      <c r="G49" s="207" t="s">
        <v>545</v>
      </c>
      <c r="H49" s="208">
        <v>1</v>
      </c>
      <c r="I49" s="208">
        <v>0</v>
      </c>
      <c r="J49" s="247">
        <v>6</v>
      </c>
      <c r="K49" s="208">
        <v>6</v>
      </c>
      <c r="L49" s="208">
        <v>1</v>
      </c>
      <c r="M49" s="208">
        <v>1</v>
      </c>
      <c r="N49" s="208">
        <v>1</v>
      </c>
      <c r="O49" s="208">
        <v>8</v>
      </c>
      <c r="P49" s="208">
        <v>0</v>
      </c>
      <c r="Q49" s="208">
        <v>0</v>
      </c>
      <c r="R49" s="208">
        <v>24</v>
      </c>
      <c r="S49" s="208"/>
      <c r="T49" s="208"/>
      <c r="U49" s="208">
        <v>0</v>
      </c>
      <c r="V49" s="210">
        <v>0</v>
      </c>
      <c r="W49" s="211">
        <v>0</v>
      </c>
      <c r="X49" s="211">
        <v>0</v>
      </c>
      <c r="Y49" s="211">
        <v>1</v>
      </c>
      <c r="Z49" s="211">
        <v>1</v>
      </c>
      <c r="AA49" s="211">
        <v>0</v>
      </c>
      <c r="AB49" s="248">
        <v>3</v>
      </c>
      <c r="AC49" s="211">
        <v>0</v>
      </c>
      <c r="AD49" s="211">
        <v>0</v>
      </c>
      <c r="AE49" s="211">
        <v>0</v>
      </c>
      <c r="AF49" s="211">
        <v>1</v>
      </c>
      <c r="AG49" s="211">
        <v>4</v>
      </c>
      <c r="AH49" s="211">
        <v>0</v>
      </c>
      <c r="AI49" s="211">
        <v>0</v>
      </c>
      <c r="AJ49" s="211">
        <v>9</v>
      </c>
      <c r="AK49" s="211"/>
      <c r="AL49" s="211"/>
      <c r="AM49" s="213" t="s">
        <v>519</v>
      </c>
      <c r="AN49" s="214">
        <v>4</v>
      </c>
      <c r="AO49" s="214">
        <v>0</v>
      </c>
      <c r="AP49" s="214">
        <v>0</v>
      </c>
      <c r="AQ49" s="214">
        <v>0</v>
      </c>
      <c r="AR49" s="214">
        <v>1</v>
      </c>
      <c r="AS49" s="214">
        <v>0</v>
      </c>
      <c r="AT49" s="214">
        <v>0</v>
      </c>
      <c r="AU49" s="214">
        <v>0</v>
      </c>
      <c r="AV49" s="215">
        <v>0</v>
      </c>
      <c r="AW49" s="213" t="s">
        <v>534</v>
      </c>
      <c r="AX49" s="214">
        <v>4</v>
      </c>
      <c r="AY49" s="214">
        <v>1</v>
      </c>
      <c r="AZ49" s="214">
        <v>1</v>
      </c>
      <c r="BA49" s="214">
        <v>0</v>
      </c>
      <c r="BB49" s="214">
        <v>1</v>
      </c>
      <c r="BC49" s="214">
        <v>1</v>
      </c>
      <c r="BD49" s="214">
        <v>0</v>
      </c>
      <c r="BE49" s="214">
        <v>0</v>
      </c>
      <c r="BF49" s="215">
        <v>2</v>
      </c>
      <c r="BG49" s="213" t="s">
        <v>529</v>
      </c>
      <c r="BH49" s="214">
        <v>4</v>
      </c>
      <c r="BI49" s="214">
        <v>0</v>
      </c>
      <c r="BJ49" s="214">
        <v>1</v>
      </c>
      <c r="BK49" s="214">
        <v>0</v>
      </c>
      <c r="BL49" s="214">
        <v>0</v>
      </c>
      <c r="BM49" s="214">
        <v>1</v>
      </c>
      <c r="BN49" s="214">
        <v>0</v>
      </c>
      <c r="BO49" s="214">
        <v>0</v>
      </c>
      <c r="BP49" s="215">
        <v>1</v>
      </c>
      <c r="BQ49" s="213" t="s">
        <v>530</v>
      </c>
      <c r="BR49" s="214">
        <v>3</v>
      </c>
      <c r="BS49" s="214">
        <v>0</v>
      </c>
      <c r="BT49" s="214">
        <v>1</v>
      </c>
      <c r="BU49" s="214">
        <v>0</v>
      </c>
      <c r="BV49" s="214">
        <v>1</v>
      </c>
      <c r="BW49" s="214">
        <v>1</v>
      </c>
      <c r="BX49" s="214">
        <v>0</v>
      </c>
      <c r="BY49" s="214">
        <v>0</v>
      </c>
      <c r="BZ49" s="215">
        <v>1</v>
      </c>
      <c r="CA49" s="213" t="s">
        <v>539</v>
      </c>
      <c r="CB49" s="214">
        <v>4</v>
      </c>
      <c r="CC49" s="214">
        <v>1</v>
      </c>
      <c r="CD49" s="214">
        <v>2</v>
      </c>
      <c r="CE49" s="214">
        <v>0</v>
      </c>
      <c r="CF49" s="214">
        <v>0</v>
      </c>
      <c r="CG49" s="214">
        <v>0</v>
      </c>
      <c r="CH49" s="214">
        <v>0</v>
      </c>
      <c r="CI49" s="214">
        <v>0</v>
      </c>
      <c r="CJ49" s="215">
        <v>4</v>
      </c>
      <c r="CK49" s="213" t="s">
        <v>531</v>
      </c>
      <c r="CL49" s="214">
        <v>4</v>
      </c>
      <c r="CM49" s="214">
        <v>1</v>
      </c>
      <c r="CN49" s="214">
        <v>1</v>
      </c>
      <c r="CO49" s="214">
        <v>0</v>
      </c>
      <c r="CP49" s="214">
        <v>0</v>
      </c>
      <c r="CQ49" s="214">
        <v>0</v>
      </c>
      <c r="CR49" s="214">
        <v>0</v>
      </c>
      <c r="CS49" s="214">
        <v>0</v>
      </c>
      <c r="CT49" s="215">
        <v>1</v>
      </c>
      <c r="CU49" s="213" t="s">
        <v>543</v>
      </c>
      <c r="CV49" s="214">
        <v>3</v>
      </c>
      <c r="CW49" s="214">
        <v>0</v>
      </c>
      <c r="CX49" s="214">
        <v>1</v>
      </c>
      <c r="CY49" s="214">
        <v>0</v>
      </c>
      <c r="CZ49" s="214">
        <v>0</v>
      </c>
      <c r="DA49" s="214">
        <v>2</v>
      </c>
      <c r="DB49" s="214">
        <v>0</v>
      </c>
      <c r="DC49" s="214">
        <v>0</v>
      </c>
      <c r="DD49" s="215">
        <v>1</v>
      </c>
      <c r="DE49" s="213" t="s">
        <v>532</v>
      </c>
      <c r="DF49" s="214">
        <v>4</v>
      </c>
      <c r="DG49" s="214">
        <v>1</v>
      </c>
      <c r="DH49" s="214">
        <v>3</v>
      </c>
      <c r="DI49" s="214">
        <v>2</v>
      </c>
      <c r="DJ49" s="214">
        <v>0</v>
      </c>
      <c r="DK49" s="214">
        <v>1</v>
      </c>
      <c r="DL49" s="214">
        <v>0</v>
      </c>
      <c r="DM49" s="214">
        <v>0</v>
      </c>
      <c r="DN49" s="215">
        <v>4</v>
      </c>
      <c r="DO49" s="213" t="s">
        <v>285</v>
      </c>
      <c r="DP49" s="214">
        <v>3</v>
      </c>
      <c r="DQ49" s="214">
        <v>0</v>
      </c>
      <c r="DR49" s="214">
        <v>0</v>
      </c>
      <c r="DS49" s="214">
        <v>1</v>
      </c>
      <c r="DT49" s="214">
        <v>0</v>
      </c>
      <c r="DU49" s="214">
        <v>1</v>
      </c>
      <c r="DV49" s="214">
        <v>0</v>
      </c>
      <c r="DW49" s="214">
        <v>0</v>
      </c>
      <c r="DX49" s="215">
        <v>0</v>
      </c>
      <c r="DY49" s="249">
        <v>5</v>
      </c>
      <c r="DZ49" s="217">
        <v>1</v>
      </c>
      <c r="EA49" s="217">
        <v>1</v>
      </c>
      <c r="EB49" s="250">
        <v>3</v>
      </c>
      <c r="EC49" s="217">
        <v>0</v>
      </c>
      <c r="ED49" s="219">
        <v>0</v>
      </c>
      <c r="EE49" s="220">
        <v>0</v>
      </c>
      <c r="EF49" s="217">
        <v>1</v>
      </c>
      <c r="EG49" s="217">
        <v>1</v>
      </c>
      <c r="EH49" s="217">
        <v>0</v>
      </c>
      <c r="EI49" s="217">
        <v>0</v>
      </c>
      <c r="EJ49" s="217">
        <v>0</v>
      </c>
      <c r="EK49" s="217">
        <v>0</v>
      </c>
      <c r="EL49" s="217">
        <v>0</v>
      </c>
      <c r="EM49" s="217">
        <v>2</v>
      </c>
      <c r="EN49" s="217"/>
      <c r="EO49" s="217"/>
      <c r="EP49" s="217"/>
      <c r="EQ49" s="217"/>
      <c r="ER49" s="219">
        <f t="shared" si="46"/>
        <v>4</v>
      </c>
      <c r="ES49" s="217">
        <v>0</v>
      </c>
      <c r="ET49" s="217">
        <v>1</v>
      </c>
      <c r="EU49" s="217">
        <v>0</v>
      </c>
      <c r="EV49" s="217">
        <v>0</v>
      </c>
      <c r="EW49" s="217">
        <v>0</v>
      </c>
      <c r="EX49" s="217">
        <v>0</v>
      </c>
      <c r="EY49" s="217">
        <v>0</v>
      </c>
      <c r="EZ49" s="217">
        <v>0</v>
      </c>
      <c r="FA49" s="217">
        <v>0</v>
      </c>
      <c r="FB49" s="217"/>
      <c r="FC49" s="217"/>
      <c r="FD49" s="217"/>
      <c r="FE49" s="217"/>
      <c r="FF49" s="217">
        <f t="shared" si="47"/>
        <v>1</v>
      </c>
      <c r="FG49" s="221">
        <f t="shared" si="43"/>
        <v>0</v>
      </c>
      <c r="FH49" s="221">
        <f t="shared" si="44"/>
        <v>0</v>
      </c>
      <c r="FI49" s="221">
        <f t="shared" si="48"/>
        <v>0</v>
      </c>
      <c r="FJ49" s="221">
        <f t="shared" si="49"/>
        <v>0</v>
      </c>
      <c r="FK49" s="221">
        <f t="shared" si="50"/>
        <v>1</v>
      </c>
      <c r="FL49" s="221">
        <f t="shared" si="51"/>
        <v>0</v>
      </c>
      <c r="FM49" s="221">
        <f t="shared" si="52"/>
        <v>0</v>
      </c>
      <c r="FN49" s="221">
        <f t="shared" si="53"/>
        <v>0</v>
      </c>
      <c r="FO49" s="221">
        <f t="shared" si="54"/>
        <v>0</v>
      </c>
      <c r="FP49" s="221">
        <f t="shared" si="55"/>
        <v>0</v>
      </c>
      <c r="FQ49" s="221">
        <f t="shared" si="56"/>
        <v>2</v>
      </c>
      <c r="FR49" s="221">
        <f t="shared" si="57"/>
        <v>0</v>
      </c>
      <c r="FS49" s="221">
        <f t="shared" si="58"/>
        <v>0</v>
      </c>
      <c r="FT49" s="221">
        <f t="shared" si="59"/>
        <v>0</v>
      </c>
      <c r="FU49" s="221">
        <f t="shared" si="60"/>
        <v>0</v>
      </c>
      <c r="FV49" s="221">
        <f t="shared" si="42"/>
        <v>3</v>
      </c>
      <c r="FW49" s="222"/>
    </row>
    <row r="50" spans="1:179" x14ac:dyDescent="0.25">
      <c r="A50" s="204">
        <v>40325</v>
      </c>
      <c r="B50" s="204" t="s">
        <v>19</v>
      </c>
      <c r="C50" s="204" t="s">
        <v>131</v>
      </c>
      <c r="D50" s="204" t="s">
        <v>550</v>
      </c>
      <c r="E50" s="205">
        <v>2962</v>
      </c>
      <c r="F50" s="206">
        <v>5</v>
      </c>
      <c r="G50" s="207" t="s">
        <v>546</v>
      </c>
      <c r="H50" s="208">
        <v>0</v>
      </c>
      <c r="I50" s="208">
        <v>1</v>
      </c>
      <c r="J50" s="247">
        <v>4</v>
      </c>
      <c r="K50" s="208">
        <v>2</v>
      </c>
      <c r="L50" s="208">
        <v>4</v>
      </c>
      <c r="M50" s="208">
        <v>4</v>
      </c>
      <c r="N50" s="208">
        <v>6</v>
      </c>
      <c r="O50" s="208">
        <v>4</v>
      </c>
      <c r="P50" s="208">
        <v>2</v>
      </c>
      <c r="Q50" s="208">
        <v>1</v>
      </c>
      <c r="R50" s="208">
        <v>20</v>
      </c>
      <c r="S50" s="208"/>
      <c r="T50" s="208"/>
      <c r="U50" s="208">
        <v>0</v>
      </c>
      <c r="V50" s="210">
        <v>0</v>
      </c>
      <c r="W50" s="211">
        <v>0</v>
      </c>
      <c r="X50" s="211">
        <v>0</v>
      </c>
      <c r="Y50" s="211">
        <v>0</v>
      </c>
      <c r="Z50" s="211">
        <v>0</v>
      </c>
      <c r="AA50" s="211">
        <v>0</v>
      </c>
      <c r="AB50" s="248">
        <v>5</v>
      </c>
      <c r="AC50" s="211">
        <v>8</v>
      </c>
      <c r="AD50" s="211">
        <v>6</v>
      </c>
      <c r="AE50" s="211">
        <v>2</v>
      </c>
      <c r="AF50" s="211">
        <v>5</v>
      </c>
      <c r="AG50" s="211">
        <v>4</v>
      </c>
      <c r="AH50" s="211">
        <v>0</v>
      </c>
      <c r="AI50" s="211">
        <v>1</v>
      </c>
      <c r="AJ50" s="211">
        <v>30</v>
      </c>
      <c r="AK50" s="211"/>
      <c r="AL50" s="211"/>
      <c r="AM50" s="213" t="s">
        <v>519</v>
      </c>
      <c r="AN50" s="214">
        <v>4</v>
      </c>
      <c r="AO50" s="214">
        <v>0</v>
      </c>
      <c r="AP50" s="214">
        <v>0</v>
      </c>
      <c r="AQ50" s="214">
        <v>0</v>
      </c>
      <c r="AR50" s="214">
        <v>0</v>
      </c>
      <c r="AS50" s="214">
        <v>2</v>
      </c>
      <c r="AT50" s="214">
        <v>0</v>
      </c>
      <c r="AU50" s="214">
        <v>0</v>
      </c>
      <c r="AV50" s="215">
        <v>0</v>
      </c>
      <c r="AW50" s="213" t="s">
        <v>534</v>
      </c>
      <c r="AX50" s="214">
        <v>2</v>
      </c>
      <c r="AY50" s="214">
        <v>1</v>
      </c>
      <c r="AZ50" s="214">
        <v>0</v>
      </c>
      <c r="BA50" s="214">
        <v>0</v>
      </c>
      <c r="BB50" s="214">
        <v>2</v>
      </c>
      <c r="BC50" s="214">
        <v>0</v>
      </c>
      <c r="BD50" s="214">
        <v>0</v>
      </c>
      <c r="BE50" s="214">
        <v>0</v>
      </c>
      <c r="BF50" s="215">
        <v>0</v>
      </c>
      <c r="BG50" s="213" t="s">
        <v>529</v>
      </c>
      <c r="BH50" s="214">
        <v>4</v>
      </c>
      <c r="BI50" s="214">
        <v>1</v>
      </c>
      <c r="BJ50" s="214">
        <v>3</v>
      </c>
      <c r="BK50" s="214">
        <v>0</v>
      </c>
      <c r="BL50" s="214">
        <v>0</v>
      </c>
      <c r="BM50" s="214">
        <v>0</v>
      </c>
      <c r="BN50" s="214">
        <v>0</v>
      </c>
      <c r="BO50" s="214">
        <v>0</v>
      </c>
      <c r="BP50" s="215">
        <v>5</v>
      </c>
      <c r="BQ50" s="213" t="s">
        <v>530</v>
      </c>
      <c r="BR50" s="214">
        <v>4</v>
      </c>
      <c r="BS50" s="214">
        <v>0</v>
      </c>
      <c r="BT50" s="214">
        <v>1</v>
      </c>
      <c r="BU50" s="214">
        <v>2</v>
      </c>
      <c r="BV50" s="214">
        <v>0</v>
      </c>
      <c r="BW50" s="214">
        <v>1</v>
      </c>
      <c r="BX50" s="214">
        <v>0</v>
      </c>
      <c r="BY50" s="214">
        <v>0</v>
      </c>
      <c r="BZ50" s="215">
        <v>2</v>
      </c>
      <c r="CA50" s="213" t="s">
        <v>539</v>
      </c>
      <c r="CB50" s="214">
        <v>4</v>
      </c>
      <c r="CC50" s="214">
        <v>0</v>
      </c>
      <c r="CD50" s="214">
        <v>0</v>
      </c>
      <c r="CE50" s="214">
        <v>0</v>
      </c>
      <c r="CF50" s="214">
        <v>0</v>
      </c>
      <c r="CG50" s="214">
        <v>2</v>
      </c>
      <c r="CH50" s="214">
        <v>0</v>
      </c>
      <c r="CI50" s="214">
        <v>0</v>
      </c>
      <c r="CJ50" s="215">
        <v>0</v>
      </c>
      <c r="CK50" s="213" t="s">
        <v>531</v>
      </c>
      <c r="CL50" s="214">
        <v>3</v>
      </c>
      <c r="CM50" s="214">
        <v>0</v>
      </c>
      <c r="CN50" s="214">
        <v>0</v>
      </c>
      <c r="CO50" s="214">
        <v>0</v>
      </c>
      <c r="CP50" s="214">
        <v>1</v>
      </c>
      <c r="CQ50" s="214">
        <v>1</v>
      </c>
      <c r="CR50" s="214">
        <v>0</v>
      </c>
      <c r="CS50" s="214">
        <v>0</v>
      </c>
      <c r="CT50" s="215">
        <v>0</v>
      </c>
      <c r="CU50" s="213" t="s">
        <v>532</v>
      </c>
      <c r="CV50" s="214">
        <v>3</v>
      </c>
      <c r="CW50" s="214">
        <v>0</v>
      </c>
      <c r="CX50" s="214">
        <v>0</v>
      </c>
      <c r="CY50" s="214">
        <v>0</v>
      </c>
      <c r="CZ50" s="214">
        <v>1</v>
      </c>
      <c r="DA50" s="214">
        <v>0</v>
      </c>
      <c r="DB50" s="214">
        <v>0</v>
      </c>
      <c r="DC50" s="214">
        <v>0</v>
      </c>
      <c r="DD50" s="215">
        <v>0</v>
      </c>
      <c r="DE50" s="213" t="s">
        <v>285</v>
      </c>
      <c r="DF50" s="214">
        <v>3</v>
      </c>
      <c r="DG50" s="214">
        <v>0</v>
      </c>
      <c r="DH50" s="214">
        <v>0</v>
      </c>
      <c r="DI50" s="214">
        <v>0</v>
      </c>
      <c r="DJ50" s="214">
        <v>0</v>
      </c>
      <c r="DK50" s="214">
        <v>1</v>
      </c>
      <c r="DL50" s="214">
        <v>1</v>
      </c>
      <c r="DM50" s="214">
        <v>0</v>
      </c>
      <c r="DN50" s="215">
        <v>0</v>
      </c>
      <c r="DO50" s="213" t="s">
        <v>535</v>
      </c>
      <c r="DP50" s="214">
        <v>3</v>
      </c>
      <c r="DQ50" s="214">
        <v>0</v>
      </c>
      <c r="DR50" s="214">
        <v>1</v>
      </c>
      <c r="DS50" s="214">
        <v>0</v>
      </c>
      <c r="DT50" s="214">
        <v>0</v>
      </c>
      <c r="DU50" s="214">
        <v>1</v>
      </c>
      <c r="DV50" s="214">
        <v>0</v>
      </c>
      <c r="DW50" s="214">
        <v>0</v>
      </c>
      <c r="DX50" s="215">
        <v>2</v>
      </c>
      <c r="DY50" s="249">
        <v>0</v>
      </c>
      <c r="DZ50" s="217">
        <v>0</v>
      </c>
      <c r="EA50" s="217">
        <v>0</v>
      </c>
      <c r="EB50" s="250">
        <v>9</v>
      </c>
      <c r="EC50" s="217">
        <v>0</v>
      </c>
      <c r="ED50" s="219">
        <v>0</v>
      </c>
      <c r="EE50" s="220">
        <v>0</v>
      </c>
      <c r="EF50" s="217">
        <v>0</v>
      </c>
      <c r="EG50" s="217">
        <v>0</v>
      </c>
      <c r="EH50" s="217">
        <v>0</v>
      </c>
      <c r="EI50" s="217">
        <v>0</v>
      </c>
      <c r="EJ50" s="217">
        <v>0</v>
      </c>
      <c r="EK50" s="217">
        <v>0</v>
      </c>
      <c r="EL50" s="217">
        <v>0</v>
      </c>
      <c r="EM50" s="217">
        <v>2</v>
      </c>
      <c r="EN50" s="217"/>
      <c r="EO50" s="217"/>
      <c r="EP50" s="217"/>
      <c r="EQ50" s="217"/>
      <c r="ER50" s="219">
        <f t="shared" si="46"/>
        <v>2</v>
      </c>
      <c r="ES50" s="217">
        <v>2</v>
      </c>
      <c r="ET50" s="217">
        <v>0</v>
      </c>
      <c r="EU50" s="217">
        <v>2</v>
      </c>
      <c r="EV50" s="217">
        <v>0</v>
      </c>
      <c r="EW50" s="217">
        <v>1</v>
      </c>
      <c r="EX50" s="217">
        <v>0</v>
      </c>
      <c r="EY50" s="217">
        <v>2</v>
      </c>
      <c r="EZ50" s="217">
        <v>3</v>
      </c>
      <c r="FA50" s="217">
        <v>0</v>
      </c>
      <c r="FB50" s="217"/>
      <c r="FC50" s="217"/>
      <c r="FD50" s="217"/>
      <c r="FE50" s="217"/>
      <c r="FF50" s="217">
        <f t="shared" si="47"/>
        <v>10</v>
      </c>
      <c r="FG50" s="221">
        <f t="shared" si="43"/>
        <v>0</v>
      </c>
      <c r="FH50" s="221">
        <f t="shared" si="44"/>
        <v>0</v>
      </c>
      <c r="FI50" s="221">
        <f t="shared" si="48"/>
        <v>-2</v>
      </c>
      <c r="FJ50" s="221">
        <f t="shared" si="49"/>
        <v>0</v>
      </c>
      <c r="FK50" s="221">
        <f t="shared" si="50"/>
        <v>-2</v>
      </c>
      <c r="FL50" s="221">
        <f t="shared" si="51"/>
        <v>0</v>
      </c>
      <c r="FM50" s="221">
        <f t="shared" si="52"/>
        <v>-1</v>
      </c>
      <c r="FN50" s="221">
        <f t="shared" si="53"/>
        <v>0</v>
      </c>
      <c r="FO50" s="221">
        <f t="shared" si="54"/>
        <v>-2</v>
      </c>
      <c r="FP50" s="221">
        <f t="shared" si="55"/>
        <v>-3</v>
      </c>
      <c r="FQ50" s="221">
        <f t="shared" si="56"/>
        <v>2</v>
      </c>
      <c r="FR50" s="221">
        <f t="shared" si="57"/>
        <v>0</v>
      </c>
      <c r="FS50" s="221">
        <f t="shared" si="58"/>
        <v>0</v>
      </c>
      <c r="FT50" s="221">
        <f t="shared" si="59"/>
        <v>0</v>
      </c>
      <c r="FU50" s="221">
        <f t="shared" si="60"/>
        <v>0</v>
      </c>
      <c r="FV50" s="221">
        <f t="shared" si="42"/>
        <v>-8</v>
      </c>
      <c r="FW50" s="222"/>
    </row>
    <row r="51" spans="1:179" x14ac:dyDescent="0.25">
      <c r="A51" s="204">
        <v>40326</v>
      </c>
      <c r="B51" s="204" t="s">
        <v>19</v>
      </c>
      <c r="C51" s="204" t="s">
        <v>131</v>
      </c>
      <c r="D51" s="204" t="s">
        <v>537</v>
      </c>
      <c r="E51" s="205">
        <v>3670</v>
      </c>
      <c r="F51" s="206">
        <v>1</v>
      </c>
      <c r="G51" s="207" t="s">
        <v>540</v>
      </c>
      <c r="H51" s="208">
        <v>0</v>
      </c>
      <c r="I51" s="208">
        <v>1</v>
      </c>
      <c r="J51" s="247">
        <v>5</v>
      </c>
      <c r="K51" s="208">
        <v>2</v>
      </c>
      <c r="L51" s="208">
        <v>3</v>
      </c>
      <c r="M51" s="208">
        <v>0</v>
      </c>
      <c r="N51" s="208">
        <v>4</v>
      </c>
      <c r="O51" s="208">
        <v>7</v>
      </c>
      <c r="P51" s="208">
        <v>0</v>
      </c>
      <c r="Q51" s="208">
        <v>0</v>
      </c>
      <c r="R51" s="208">
        <v>22</v>
      </c>
      <c r="S51" s="208"/>
      <c r="T51" s="208"/>
      <c r="U51" s="208">
        <v>0</v>
      </c>
      <c r="V51" s="210">
        <v>0</v>
      </c>
      <c r="W51" s="211">
        <v>0</v>
      </c>
      <c r="X51" s="211">
        <v>0</v>
      </c>
      <c r="Y51" s="211">
        <v>0</v>
      </c>
      <c r="Z51" s="211">
        <v>0</v>
      </c>
      <c r="AA51" s="211">
        <v>0</v>
      </c>
      <c r="AB51" s="248">
        <v>4</v>
      </c>
      <c r="AC51" s="211">
        <v>4</v>
      </c>
      <c r="AD51" s="211">
        <v>2</v>
      </c>
      <c r="AE51" s="211">
        <v>2</v>
      </c>
      <c r="AF51" s="211">
        <v>2</v>
      </c>
      <c r="AG51" s="211">
        <v>7</v>
      </c>
      <c r="AH51" s="211">
        <v>0</v>
      </c>
      <c r="AI51" s="211">
        <v>0</v>
      </c>
      <c r="AJ51" s="211">
        <v>18</v>
      </c>
      <c r="AK51" s="211"/>
      <c r="AL51" s="211"/>
      <c r="AM51" s="213" t="s">
        <v>519</v>
      </c>
      <c r="AN51" s="214">
        <v>4</v>
      </c>
      <c r="AO51" s="214">
        <v>0</v>
      </c>
      <c r="AP51" s="214">
        <v>0</v>
      </c>
      <c r="AQ51" s="214">
        <v>0</v>
      </c>
      <c r="AR51" s="214">
        <v>1</v>
      </c>
      <c r="AS51" s="214">
        <v>0</v>
      </c>
      <c r="AT51" s="214">
        <v>0</v>
      </c>
      <c r="AU51" s="214">
        <v>0</v>
      </c>
      <c r="AV51" s="215">
        <v>0</v>
      </c>
      <c r="AW51" s="213" t="s">
        <v>543</v>
      </c>
      <c r="AX51" s="214">
        <v>4</v>
      </c>
      <c r="AY51" s="214">
        <v>1</v>
      </c>
      <c r="AZ51" s="214">
        <v>0</v>
      </c>
      <c r="BA51" s="214">
        <v>0</v>
      </c>
      <c r="BB51" s="214">
        <v>0</v>
      </c>
      <c r="BC51" s="214">
        <v>1</v>
      </c>
      <c r="BD51" s="214">
        <v>1</v>
      </c>
      <c r="BE51" s="214">
        <v>0</v>
      </c>
      <c r="BF51" s="215">
        <v>0</v>
      </c>
      <c r="BG51" s="213" t="s">
        <v>529</v>
      </c>
      <c r="BH51" s="214">
        <v>5</v>
      </c>
      <c r="BI51" s="214">
        <v>1</v>
      </c>
      <c r="BJ51" s="214">
        <v>0</v>
      </c>
      <c r="BK51" s="214">
        <v>0</v>
      </c>
      <c r="BL51" s="214">
        <v>0</v>
      </c>
      <c r="BM51" s="214">
        <v>4</v>
      </c>
      <c r="BN51" s="214">
        <v>0</v>
      </c>
      <c r="BO51" s="214">
        <v>0</v>
      </c>
      <c r="BP51" s="215">
        <v>0</v>
      </c>
      <c r="BQ51" s="213" t="s">
        <v>539</v>
      </c>
      <c r="BR51" s="214">
        <v>5</v>
      </c>
      <c r="BS51" s="214">
        <v>1</v>
      </c>
      <c r="BT51" s="214">
        <v>2</v>
      </c>
      <c r="BU51" s="214">
        <v>1</v>
      </c>
      <c r="BV51" s="214">
        <v>0</v>
      </c>
      <c r="BW51" s="214">
        <v>1</v>
      </c>
      <c r="BX51" s="214">
        <v>0</v>
      </c>
      <c r="BY51" s="214">
        <v>0</v>
      </c>
      <c r="BZ51" s="215">
        <v>4</v>
      </c>
      <c r="CA51" s="213" t="s">
        <v>531</v>
      </c>
      <c r="CB51" s="214">
        <v>4</v>
      </c>
      <c r="CC51" s="214">
        <v>0</v>
      </c>
      <c r="CD51" s="214">
        <v>3</v>
      </c>
      <c r="CE51" s="214">
        <v>1</v>
      </c>
      <c r="CF51" s="214">
        <v>0</v>
      </c>
      <c r="CG51" s="214">
        <v>0</v>
      </c>
      <c r="CH51" s="214">
        <v>0</v>
      </c>
      <c r="CI51" s="214">
        <v>0</v>
      </c>
      <c r="CJ51" s="215">
        <v>4</v>
      </c>
      <c r="CK51" s="213" t="s">
        <v>426</v>
      </c>
      <c r="CL51" s="214">
        <v>4</v>
      </c>
      <c r="CM51" s="214">
        <v>0</v>
      </c>
      <c r="CN51" s="214">
        <v>0</v>
      </c>
      <c r="CO51" s="214">
        <v>0</v>
      </c>
      <c r="CP51" s="214">
        <v>0</v>
      </c>
      <c r="CQ51" s="214">
        <v>1</v>
      </c>
      <c r="CR51" s="214">
        <v>0</v>
      </c>
      <c r="CS51" s="214">
        <v>0</v>
      </c>
      <c r="CT51" s="215">
        <v>0</v>
      </c>
      <c r="CU51" s="213" t="s">
        <v>532</v>
      </c>
      <c r="CV51" s="214">
        <v>4</v>
      </c>
      <c r="CW51" s="214">
        <v>0</v>
      </c>
      <c r="CX51" s="214">
        <v>1</v>
      </c>
      <c r="CY51" s="214">
        <v>1</v>
      </c>
      <c r="CZ51" s="214">
        <v>0</v>
      </c>
      <c r="DA51" s="214">
        <v>0</v>
      </c>
      <c r="DB51" s="214">
        <v>0</v>
      </c>
      <c r="DC51" s="214">
        <v>0</v>
      </c>
      <c r="DD51" s="215">
        <v>1</v>
      </c>
      <c r="DE51" s="213" t="s">
        <v>285</v>
      </c>
      <c r="DF51" s="214">
        <v>2</v>
      </c>
      <c r="DG51" s="214">
        <v>1</v>
      </c>
      <c r="DH51" s="214">
        <v>1</v>
      </c>
      <c r="DI51" s="214">
        <v>0</v>
      </c>
      <c r="DJ51" s="214">
        <v>0</v>
      </c>
      <c r="DK51" s="214">
        <v>0</v>
      </c>
      <c r="DL51" s="214">
        <v>0</v>
      </c>
      <c r="DM51" s="214">
        <v>0</v>
      </c>
      <c r="DN51" s="215">
        <v>1</v>
      </c>
      <c r="DO51" s="213" t="s">
        <v>535</v>
      </c>
      <c r="DP51" s="214">
        <v>2</v>
      </c>
      <c r="DQ51" s="214">
        <v>0</v>
      </c>
      <c r="DR51" s="214">
        <v>1</v>
      </c>
      <c r="DS51" s="214">
        <v>0</v>
      </c>
      <c r="DT51" s="214">
        <v>1</v>
      </c>
      <c r="DU51" s="214">
        <v>0</v>
      </c>
      <c r="DV51" s="214">
        <v>1</v>
      </c>
      <c r="DW51" s="214">
        <v>0</v>
      </c>
      <c r="DX51" s="215">
        <v>1</v>
      </c>
      <c r="DY51" s="249">
        <v>3</v>
      </c>
      <c r="DZ51" s="217">
        <v>1</v>
      </c>
      <c r="EA51" s="217">
        <v>0</v>
      </c>
      <c r="EB51" s="250">
        <v>6</v>
      </c>
      <c r="EC51" s="217">
        <v>0</v>
      </c>
      <c r="ED51" s="219">
        <v>1</v>
      </c>
      <c r="EE51" s="220">
        <v>0</v>
      </c>
      <c r="EF51" s="217">
        <v>1</v>
      </c>
      <c r="EG51" s="217">
        <v>1</v>
      </c>
      <c r="EH51" s="217">
        <v>0</v>
      </c>
      <c r="EI51" s="217">
        <v>0</v>
      </c>
      <c r="EJ51" s="217">
        <v>0</v>
      </c>
      <c r="EK51" s="217">
        <v>1</v>
      </c>
      <c r="EL51" s="217">
        <v>1</v>
      </c>
      <c r="EM51" s="217">
        <v>0</v>
      </c>
      <c r="EN51" s="217"/>
      <c r="EO51" s="217"/>
      <c r="EP51" s="217"/>
      <c r="EQ51" s="217"/>
      <c r="ER51" s="219">
        <f t="shared" si="46"/>
        <v>4</v>
      </c>
      <c r="ES51" s="217">
        <v>0</v>
      </c>
      <c r="ET51" s="217">
        <v>0</v>
      </c>
      <c r="EU51" s="217">
        <v>0</v>
      </c>
      <c r="EV51" s="217">
        <v>3</v>
      </c>
      <c r="EW51" s="217">
        <v>0</v>
      </c>
      <c r="EX51" s="217">
        <v>2</v>
      </c>
      <c r="EY51" s="217">
        <v>0</v>
      </c>
      <c r="EZ51" s="217">
        <v>0</v>
      </c>
      <c r="FA51" s="217">
        <v>0</v>
      </c>
      <c r="FB51" s="217"/>
      <c r="FC51" s="217"/>
      <c r="FD51" s="217"/>
      <c r="FE51" s="217"/>
      <c r="FF51" s="217">
        <f t="shared" si="47"/>
        <v>5</v>
      </c>
      <c r="FG51" s="221">
        <f t="shared" si="43"/>
        <v>0</v>
      </c>
      <c r="FH51" s="221">
        <f t="shared" si="44"/>
        <v>0</v>
      </c>
      <c r="FI51" s="221">
        <f t="shared" si="48"/>
        <v>0</v>
      </c>
      <c r="FJ51" s="221">
        <f t="shared" si="49"/>
        <v>1</v>
      </c>
      <c r="FK51" s="221">
        <f t="shared" si="50"/>
        <v>1</v>
      </c>
      <c r="FL51" s="221">
        <f t="shared" si="51"/>
        <v>-3</v>
      </c>
      <c r="FM51" s="221">
        <f t="shared" si="52"/>
        <v>0</v>
      </c>
      <c r="FN51" s="221">
        <f t="shared" si="53"/>
        <v>-2</v>
      </c>
      <c r="FO51" s="221">
        <f t="shared" si="54"/>
        <v>1</v>
      </c>
      <c r="FP51" s="221">
        <f t="shared" si="55"/>
        <v>1</v>
      </c>
      <c r="FQ51" s="221">
        <f t="shared" si="56"/>
        <v>0</v>
      </c>
      <c r="FR51" s="221">
        <f t="shared" si="57"/>
        <v>0</v>
      </c>
      <c r="FS51" s="221">
        <f t="shared" si="58"/>
        <v>0</v>
      </c>
      <c r="FT51" s="221">
        <f t="shared" si="59"/>
        <v>0</v>
      </c>
      <c r="FU51" s="221">
        <f t="shared" si="60"/>
        <v>0</v>
      </c>
      <c r="FV51" s="221">
        <f t="shared" si="42"/>
        <v>-1</v>
      </c>
      <c r="FW51" s="222"/>
    </row>
    <row r="52" spans="1:179" x14ac:dyDescent="0.25">
      <c r="A52" s="204">
        <v>40327</v>
      </c>
      <c r="B52" s="204" t="s">
        <v>19</v>
      </c>
      <c r="C52" s="204" t="s">
        <v>131</v>
      </c>
      <c r="D52" s="204" t="s">
        <v>537</v>
      </c>
      <c r="E52" s="205">
        <v>3599</v>
      </c>
      <c r="F52" s="206">
        <v>2</v>
      </c>
      <c r="G52" s="207" t="s">
        <v>566</v>
      </c>
      <c r="H52" s="208">
        <v>0</v>
      </c>
      <c r="I52" s="208">
        <v>0</v>
      </c>
      <c r="J52" s="247">
        <f>5+1/3</f>
        <v>5.333333333333333</v>
      </c>
      <c r="K52" s="208">
        <v>5</v>
      </c>
      <c r="L52" s="208">
        <v>2</v>
      </c>
      <c r="M52" s="208">
        <v>1</v>
      </c>
      <c r="N52" s="208">
        <v>3</v>
      </c>
      <c r="O52" s="208">
        <v>6</v>
      </c>
      <c r="P52" s="208">
        <v>0</v>
      </c>
      <c r="Q52" s="208">
        <v>0</v>
      </c>
      <c r="R52" s="208">
        <v>22</v>
      </c>
      <c r="S52" s="208"/>
      <c r="T52" s="208"/>
      <c r="U52" s="208">
        <v>1</v>
      </c>
      <c r="V52" s="210">
        <v>0</v>
      </c>
      <c r="W52" s="211">
        <v>0</v>
      </c>
      <c r="X52" s="211">
        <v>1</v>
      </c>
      <c r="Y52" s="211">
        <v>0</v>
      </c>
      <c r="Z52" s="211">
        <v>0</v>
      </c>
      <c r="AA52" s="211">
        <v>0</v>
      </c>
      <c r="AB52" s="248">
        <f>4+2/3</f>
        <v>4.666666666666667</v>
      </c>
      <c r="AC52" s="211">
        <v>1</v>
      </c>
      <c r="AD52" s="211">
        <v>1</v>
      </c>
      <c r="AE52" s="211">
        <v>0</v>
      </c>
      <c r="AF52" s="211">
        <v>6</v>
      </c>
      <c r="AG52" s="211">
        <v>3</v>
      </c>
      <c r="AH52" s="211">
        <v>0</v>
      </c>
      <c r="AI52" s="211">
        <v>1</v>
      </c>
      <c r="AJ52" s="211">
        <v>20</v>
      </c>
      <c r="AK52" s="211"/>
      <c r="AL52" s="211"/>
      <c r="AM52" s="213" t="s">
        <v>519</v>
      </c>
      <c r="AN52" s="214">
        <v>5</v>
      </c>
      <c r="AO52" s="214">
        <v>1</v>
      </c>
      <c r="AP52" s="214">
        <v>1</v>
      </c>
      <c r="AQ52" s="214">
        <v>2</v>
      </c>
      <c r="AR52" s="214">
        <v>0</v>
      </c>
      <c r="AS52" s="214">
        <v>0</v>
      </c>
      <c r="AT52" s="214">
        <v>0</v>
      </c>
      <c r="AU52" s="214">
        <v>0</v>
      </c>
      <c r="AV52" s="215">
        <v>4</v>
      </c>
      <c r="AW52" s="213" t="s">
        <v>534</v>
      </c>
      <c r="AX52" s="214">
        <v>5</v>
      </c>
      <c r="AY52" s="214">
        <v>0</v>
      </c>
      <c r="AZ52" s="214">
        <v>1</v>
      </c>
      <c r="BA52" s="214">
        <v>0</v>
      </c>
      <c r="BB52" s="214">
        <v>0</v>
      </c>
      <c r="BC52" s="214">
        <v>1</v>
      </c>
      <c r="BD52" s="214">
        <v>0</v>
      </c>
      <c r="BE52" s="214">
        <v>0</v>
      </c>
      <c r="BF52" s="215">
        <v>1</v>
      </c>
      <c r="BG52" s="213" t="s">
        <v>529</v>
      </c>
      <c r="BH52" s="214">
        <v>5</v>
      </c>
      <c r="BI52" s="214">
        <v>0</v>
      </c>
      <c r="BJ52" s="214">
        <v>1</v>
      </c>
      <c r="BK52" s="214">
        <v>0</v>
      </c>
      <c r="BL52" s="214">
        <v>0</v>
      </c>
      <c r="BM52" s="214">
        <v>1</v>
      </c>
      <c r="BN52" s="214">
        <v>0</v>
      </c>
      <c r="BO52" s="214">
        <v>0</v>
      </c>
      <c r="BP52" s="215">
        <v>2</v>
      </c>
      <c r="BQ52" s="213" t="s">
        <v>530</v>
      </c>
      <c r="BR52" s="214">
        <v>3</v>
      </c>
      <c r="BS52" s="214">
        <v>0</v>
      </c>
      <c r="BT52" s="214">
        <v>0</v>
      </c>
      <c r="BU52" s="214">
        <v>0</v>
      </c>
      <c r="BV52" s="214">
        <v>2</v>
      </c>
      <c r="BW52" s="214">
        <v>0</v>
      </c>
      <c r="BX52" s="214">
        <v>0</v>
      </c>
      <c r="BY52" s="214">
        <v>0</v>
      </c>
      <c r="BZ52" s="215">
        <v>0</v>
      </c>
      <c r="CA52" s="213" t="s">
        <v>539</v>
      </c>
      <c r="CB52" s="214">
        <v>5</v>
      </c>
      <c r="CC52" s="214">
        <v>0</v>
      </c>
      <c r="CD52" s="214">
        <v>1</v>
      </c>
      <c r="CE52" s="214">
        <v>0</v>
      </c>
      <c r="CF52" s="214">
        <v>0</v>
      </c>
      <c r="CG52" s="214">
        <v>0</v>
      </c>
      <c r="CH52" s="214">
        <v>0</v>
      </c>
      <c r="CI52" s="214">
        <v>0</v>
      </c>
      <c r="CJ52" s="215">
        <v>1</v>
      </c>
      <c r="CK52" s="213" t="s">
        <v>531</v>
      </c>
      <c r="CL52" s="214">
        <v>3</v>
      </c>
      <c r="CM52" s="214">
        <v>0</v>
      </c>
      <c r="CN52" s="214">
        <v>2</v>
      </c>
      <c r="CO52" s="214">
        <v>0</v>
      </c>
      <c r="CP52" s="214">
        <v>1</v>
      </c>
      <c r="CQ52" s="214">
        <v>1</v>
      </c>
      <c r="CR52" s="214">
        <v>0</v>
      </c>
      <c r="CS52" s="214">
        <v>0</v>
      </c>
      <c r="CT52" s="215">
        <v>3</v>
      </c>
      <c r="CU52" s="213" t="s">
        <v>532</v>
      </c>
      <c r="CV52" s="214">
        <v>4</v>
      </c>
      <c r="CW52" s="214">
        <v>0</v>
      </c>
      <c r="CX52" s="214">
        <v>0</v>
      </c>
      <c r="CY52" s="214">
        <v>0</v>
      </c>
      <c r="CZ52" s="214">
        <v>0</v>
      </c>
      <c r="DA52" s="214">
        <v>2</v>
      </c>
      <c r="DB52" s="214">
        <v>0</v>
      </c>
      <c r="DC52" s="214">
        <v>0</v>
      </c>
      <c r="DD52" s="215">
        <v>0</v>
      </c>
      <c r="DE52" s="213" t="s">
        <v>538</v>
      </c>
      <c r="DF52" s="214">
        <v>4</v>
      </c>
      <c r="DG52" s="214">
        <v>0</v>
      </c>
      <c r="DH52" s="214">
        <v>1</v>
      </c>
      <c r="DI52" s="214">
        <v>0</v>
      </c>
      <c r="DJ52" s="214">
        <v>0</v>
      </c>
      <c r="DK52" s="214">
        <v>1</v>
      </c>
      <c r="DL52" s="214">
        <v>0</v>
      </c>
      <c r="DM52" s="214">
        <v>0</v>
      </c>
      <c r="DN52" s="215">
        <v>1</v>
      </c>
      <c r="DO52" s="213" t="s">
        <v>535</v>
      </c>
      <c r="DP52" s="214">
        <v>4</v>
      </c>
      <c r="DQ52" s="214">
        <v>1</v>
      </c>
      <c r="DR52" s="214">
        <v>2</v>
      </c>
      <c r="DS52" s="214">
        <v>0</v>
      </c>
      <c r="DT52" s="214">
        <v>0</v>
      </c>
      <c r="DU52" s="214">
        <v>1</v>
      </c>
      <c r="DV52" s="214">
        <v>0</v>
      </c>
      <c r="DW52" s="214">
        <v>0</v>
      </c>
      <c r="DX52" s="215">
        <v>4</v>
      </c>
      <c r="DY52" s="249">
        <f>5+2/3</f>
        <v>5.666666666666667</v>
      </c>
      <c r="DZ52" s="217">
        <v>0</v>
      </c>
      <c r="EA52" s="217">
        <v>0</v>
      </c>
      <c r="EB52" s="250">
        <f>4+1/3</f>
        <v>4.333333333333333</v>
      </c>
      <c r="EC52" s="217">
        <v>2</v>
      </c>
      <c r="ED52" s="219">
        <v>0</v>
      </c>
      <c r="EE52" s="220">
        <v>0</v>
      </c>
      <c r="EF52" s="217">
        <v>0</v>
      </c>
      <c r="EG52" s="217">
        <v>1</v>
      </c>
      <c r="EH52" s="217">
        <v>0</v>
      </c>
      <c r="EI52" s="217">
        <v>0</v>
      </c>
      <c r="EJ52" s="217">
        <v>0</v>
      </c>
      <c r="EK52" s="217">
        <v>1</v>
      </c>
      <c r="EL52" s="217">
        <v>0</v>
      </c>
      <c r="EM52" s="217">
        <v>0</v>
      </c>
      <c r="EN52" s="217">
        <v>0</v>
      </c>
      <c r="EO52" s="217"/>
      <c r="EP52" s="217"/>
      <c r="EQ52" s="217"/>
      <c r="ER52" s="219">
        <f t="shared" si="46"/>
        <v>2</v>
      </c>
      <c r="ES52" s="217">
        <v>1</v>
      </c>
      <c r="ET52" s="217">
        <v>1</v>
      </c>
      <c r="EU52" s="217">
        <v>0</v>
      </c>
      <c r="EV52" s="217">
        <v>0</v>
      </c>
      <c r="EW52" s="217">
        <v>0</v>
      </c>
      <c r="EX52" s="217">
        <v>0</v>
      </c>
      <c r="EY52" s="217">
        <v>0</v>
      </c>
      <c r="EZ52" s="217">
        <v>0</v>
      </c>
      <c r="FA52" s="217">
        <v>0</v>
      </c>
      <c r="FB52" s="217">
        <v>1</v>
      </c>
      <c r="FC52" s="217"/>
      <c r="FD52" s="217"/>
      <c r="FE52" s="217"/>
      <c r="FF52" s="217">
        <f t="shared" si="47"/>
        <v>3</v>
      </c>
      <c r="FG52" s="221">
        <f t="shared" si="43"/>
        <v>0</v>
      </c>
      <c r="FH52" s="221">
        <f t="shared" si="44"/>
        <v>0</v>
      </c>
      <c r="FI52" s="221">
        <f t="shared" si="48"/>
        <v>-1</v>
      </c>
      <c r="FJ52" s="221">
        <f t="shared" si="49"/>
        <v>-1</v>
      </c>
      <c r="FK52" s="221">
        <f t="shared" si="50"/>
        <v>1</v>
      </c>
      <c r="FL52" s="221">
        <f t="shared" si="51"/>
        <v>0</v>
      </c>
      <c r="FM52" s="221">
        <f t="shared" si="52"/>
        <v>0</v>
      </c>
      <c r="FN52" s="221">
        <f t="shared" si="53"/>
        <v>0</v>
      </c>
      <c r="FO52" s="221">
        <f t="shared" si="54"/>
        <v>1</v>
      </c>
      <c r="FP52" s="221">
        <f t="shared" si="55"/>
        <v>0</v>
      </c>
      <c r="FQ52" s="221">
        <f t="shared" si="56"/>
        <v>0</v>
      </c>
      <c r="FR52" s="221">
        <f t="shared" si="57"/>
        <v>-1</v>
      </c>
      <c r="FS52" s="221">
        <f t="shared" si="58"/>
        <v>0</v>
      </c>
      <c r="FT52" s="221">
        <f t="shared" si="59"/>
        <v>0</v>
      </c>
      <c r="FU52" s="221">
        <f t="shared" si="60"/>
        <v>0</v>
      </c>
      <c r="FV52" s="221">
        <f t="shared" si="42"/>
        <v>-1</v>
      </c>
      <c r="FW52" s="222"/>
    </row>
    <row r="53" spans="1:179" x14ac:dyDescent="0.25">
      <c r="A53" s="204">
        <v>40328</v>
      </c>
      <c r="B53" s="204" t="s">
        <v>19</v>
      </c>
      <c r="C53" s="204" t="s">
        <v>129</v>
      </c>
      <c r="D53" s="204" t="s">
        <v>537</v>
      </c>
      <c r="E53" s="205">
        <v>2774</v>
      </c>
      <c r="F53" s="206">
        <v>3</v>
      </c>
      <c r="G53" s="207" t="s">
        <v>536</v>
      </c>
      <c r="H53" s="208">
        <v>0</v>
      </c>
      <c r="I53" s="208">
        <v>0</v>
      </c>
      <c r="J53" s="247">
        <v>6</v>
      </c>
      <c r="K53" s="208">
        <v>4</v>
      </c>
      <c r="L53" s="208">
        <v>0</v>
      </c>
      <c r="M53" s="208">
        <v>0</v>
      </c>
      <c r="N53" s="208">
        <v>4</v>
      </c>
      <c r="O53" s="208">
        <v>5</v>
      </c>
      <c r="P53" s="208">
        <v>0</v>
      </c>
      <c r="Q53" s="208">
        <v>1</v>
      </c>
      <c r="R53" s="208">
        <v>25</v>
      </c>
      <c r="S53" s="208"/>
      <c r="T53" s="208"/>
      <c r="U53" s="208">
        <v>0</v>
      </c>
      <c r="V53" s="210">
        <v>0</v>
      </c>
      <c r="W53" s="211">
        <v>1</v>
      </c>
      <c r="X53" s="211">
        <v>0</v>
      </c>
      <c r="Y53" s="211">
        <v>0</v>
      </c>
      <c r="Z53" s="211">
        <v>0</v>
      </c>
      <c r="AA53" s="211">
        <v>0</v>
      </c>
      <c r="AB53" s="248">
        <v>3</v>
      </c>
      <c r="AC53" s="211">
        <v>0</v>
      </c>
      <c r="AD53" s="211">
        <v>0</v>
      </c>
      <c r="AE53" s="211">
        <v>0</v>
      </c>
      <c r="AF53" s="211">
        <v>2</v>
      </c>
      <c r="AG53" s="211">
        <v>4</v>
      </c>
      <c r="AH53" s="211">
        <v>0</v>
      </c>
      <c r="AI53" s="211">
        <v>0</v>
      </c>
      <c r="AJ53" s="211">
        <v>11</v>
      </c>
      <c r="AK53" s="211"/>
      <c r="AL53" s="211"/>
      <c r="AM53" s="213" t="s">
        <v>519</v>
      </c>
      <c r="AN53" s="214">
        <v>4</v>
      </c>
      <c r="AO53" s="214">
        <v>1</v>
      </c>
      <c r="AP53" s="214">
        <v>2</v>
      </c>
      <c r="AQ53" s="214">
        <v>0</v>
      </c>
      <c r="AR53" s="214">
        <v>0</v>
      </c>
      <c r="AS53" s="214">
        <v>1</v>
      </c>
      <c r="AT53" s="214">
        <v>0</v>
      </c>
      <c r="AU53" s="214">
        <v>0</v>
      </c>
      <c r="AV53" s="215">
        <v>2</v>
      </c>
      <c r="AW53" s="213" t="s">
        <v>534</v>
      </c>
      <c r="AX53" s="214">
        <v>4</v>
      </c>
      <c r="AY53" s="214">
        <v>0</v>
      </c>
      <c r="AZ53" s="214">
        <v>2</v>
      </c>
      <c r="BA53" s="214">
        <v>1</v>
      </c>
      <c r="BB53" s="214">
        <v>0</v>
      </c>
      <c r="BC53" s="214">
        <v>0</v>
      </c>
      <c r="BD53" s="214">
        <v>0</v>
      </c>
      <c r="BE53" s="214">
        <v>0</v>
      </c>
      <c r="BF53" s="215">
        <v>3</v>
      </c>
      <c r="BG53" s="213" t="s">
        <v>531</v>
      </c>
      <c r="BH53" s="214">
        <v>3</v>
      </c>
      <c r="BI53" s="214">
        <v>0</v>
      </c>
      <c r="BJ53" s="214">
        <v>0</v>
      </c>
      <c r="BK53" s="214">
        <v>0</v>
      </c>
      <c r="BL53" s="214">
        <v>0</v>
      </c>
      <c r="BM53" s="214">
        <v>1</v>
      </c>
      <c r="BN53" s="214">
        <v>0</v>
      </c>
      <c r="BO53" s="214">
        <v>0</v>
      </c>
      <c r="BP53" s="215">
        <v>0</v>
      </c>
      <c r="BQ53" s="213" t="s">
        <v>530</v>
      </c>
      <c r="BR53" s="214">
        <v>3</v>
      </c>
      <c r="BS53" s="214">
        <v>0</v>
      </c>
      <c r="BT53" s="214">
        <v>1</v>
      </c>
      <c r="BU53" s="214">
        <v>0</v>
      </c>
      <c r="BV53" s="214">
        <v>0</v>
      </c>
      <c r="BW53" s="214">
        <v>0</v>
      </c>
      <c r="BX53" s="214">
        <v>0</v>
      </c>
      <c r="BY53" s="214">
        <v>0</v>
      </c>
      <c r="BZ53" s="215">
        <v>1</v>
      </c>
      <c r="CA53" s="213" t="s">
        <v>539</v>
      </c>
      <c r="CB53" s="214">
        <v>3</v>
      </c>
      <c r="CC53" s="214">
        <v>0</v>
      </c>
      <c r="CD53" s="214">
        <v>0</v>
      </c>
      <c r="CE53" s="214">
        <v>0</v>
      </c>
      <c r="CF53" s="214">
        <v>0</v>
      </c>
      <c r="CG53" s="214">
        <v>1</v>
      </c>
      <c r="CH53" s="214">
        <v>0</v>
      </c>
      <c r="CI53" s="214">
        <v>0</v>
      </c>
      <c r="CJ53" s="215">
        <v>0</v>
      </c>
      <c r="CK53" s="213" t="s">
        <v>543</v>
      </c>
      <c r="CL53" s="214">
        <v>3</v>
      </c>
      <c r="CM53" s="214">
        <v>0</v>
      </c>
      <c r="CN53" s="214">
        <v>0</v>
      </c>
      <c r="CO53" s="214">
        <v>0</v>
      </c>
      <c r="CP53" s="214">
        <v>0</v>
      </c>
      <c r="CQ53" s="214">
        <v>1</v>
      </c>
      <c r="CR53" s="214">
        <v>0</v>
      </c>
      <c r="CS53" s="214">
        <v>0</v>
      </c>
      <c r="CT53" s="215">
        <v>0</v>
      </c>
      <c r="CU53" s="213" t="s">
        <v>532</v>
      </c>
      <c r="CV53" s="214">
        <v>3</v>
      </c>
      <c r="CW53" s="214">
        <v>0</v>
      </c>
      <c r="CX53" s="214">
        <v>0</v>
      </c>
      <c r="CY53" s="214">
        <v>0</v>
      </c>
      <c r="CZ53" s="214">
        <v>0</v>
      </c>
      <c r="DA53" s="214">
        <v>2</v>
      </c>
      <c r="DB53" s="214">
        <v>0</v>
      </c>
      <c r="DC53" s="214">
        <v>0</v>
      </c>
      <c r="DD53" s="215">
        <v>0</v>
      </c>
      <c r="DE53" s="213" t="s">
        <v>538</v>
      </c>
      <c r="DF53" s="214">
        <v>3</v>
      </c>
      <c r="DG53" s="214">
        <v>0</v>
      </c>
      <c r="DH53" s="214">
        <v>0</v>
      </c>
      <c r="DI53" s="214">
        <v>0</v>
      </c>
      <c r="DJ53" s="214">
        <v>0</v>
      </c>
      <c r="DK53" s="214">
        <v>1</v>
      </c>
      <c r="DL53" s="214">
        <v>0</v>
      </c>
      <c r="DM53" s="214">
        <v>0</v>
      </c>
      <c r="DN53" s="215">
        <v>0</v>
      </c>
      <c r="DO53" s="213" t="s">
        <v>535</v>
      </c>
      <c r="DP53" s="214">
        <v>3</v>
      </c>
      <c r="DQ53" s="214">
        <v>0</v>
      </c>
      <c r="DR53" s="214">
        <v>1</v>
      </c>
      <c r="DS53" s="214">
        <v>0</v>
      </c>
      <c r="DT53" s="214">
        <v>0</v>
      </c>
      <c r="DU53" s="214">
        <v>1</v>
      </c>
      <c r="DV53" s="214">
        <v>0</v>
      </c>
      <c r="DW53" s="214">
        <v>0</v>
      </c>
      <c r="DX53" s="215">
        <v>2</v>
      </c>
      <c r="DY53" s="249">
        <v>3</v>
      </c>
      <c r="DZ53" s="217">
        <v>1</v>
      </c>
      <c r="EA53" s="217">
        <v>0</v>
      </c>
      <c r="EB53" s="250">
        <v>5</v>
      </c>
      <c r="EC53" s="217">
        <v>0</v>
      </c>
      <c r="ED53" s="219">
        <v>0</v>
      </c>
      <c r="EE53" s="220">
        <v>0</v>
      </c>
      <c r="EF53" s="217">
        <v>0</v>
      </c>
      <c r="EG53" s="217">
        <v>0</v>
      </c>
      <c r="EH53" s="217">
        <v>0</v>
      </c>
      <c r="EI53" s="217">
        <v>0</v>
      </c>
      <c r="EJ53" s="217">
        <v>0</v>
      </c>
      <c r="EK53" s="217">
        <v>0</v>
      </c>
      <c r="EL53" s="217">
        <v>0</v>
      </c>
      <c r="EM53" s="217">
        <v>1</v>
      </c>
      <c r="EN53" s="217"/>
      <c r="EO53" s="217"/>
      <c r="EP53" s="217"/>
      <c r="EQ53" s="217"/>
      <c r="ER53" s="219">
        <f t="shared" si="46"/>
        <v>1</v>
      </c>
      <c r="ES53" s="217">
        <v>0</v>
      </c>
      <c r="ET53" s="217">
        <v>0</v>
      </c>
      <c r="EU53" s="217">
        <v>0</v>
      </c>
      <c r="EV53" s="217">
        <v>0</v>
      </c>
      <c r="EW53" s="217">
        <v>0</v>
      </c>
      <c r="EX53" s="217">
        <v>0</v>
      </c>
      <c r="EY53" s="217">
        <v>0</v>
      </c>
      <c r="EZ53" s="217">
        <v>0</v>
      </c>
      <c r="FA53" s="217">
        <v>0</v>
      </c>
      <c r="FB53" s="217"/>
      <c r="FC53" s="217"/>
      <c r="FD53" s="217"/>
      <c r="FE53" s="217"/>
      <c r="FF53" s="217">
        <f t="shared" si="47"/>
        <v>0</v>
      </c>
      <c r="FG53" s="221">
        <f t="shared" si="43"/>
        <v>0</v>
      </c>
      <c r="FH53" s="221">
        <f t="shared" si="44"/>
        <v>0</v>
      </c>
      <c r="FI53" s="221">
        <f t="shared" si="48"/>
        <v>0</v>
      </c>
      <c r="FJ53" s="221">
        <f t="shared" si="49"/>
        <v>0</v>
      </c>
      <c r="FK53" s="221">
        <f t="shared" si="50"/>
        <v>0</v>
      </c>
      <c r="FL53" s="221">
        <f t="shared" si="51"/>
        <v>0</v>
      </c>
      <c r="FM53" s="221">
        <f t="shared" si="52"/>
        <v>0</v>
      </c>
      <c r="FN53" s="221">
        <f t="shared" si="53"/>
        <v>0</v>
      </c>
      <c r="FO53" s="221">
        <f t="shared" si="54"/>
        <v>0</v>
      </c>
      <c r="FP53" s="221">
        <f t="shared" si="55"/>
        <v>0</v>
      </c>
      <c r="FQ53" s="221">
        <f t="shared" si="56"/>
        <v>1</v>
      </c>
      <c r="FR53" s="221">
        <f t="shared" si="57"/>
        <v>0</v>
      </c>
      <c r="FS53" s="221">
        <f t="shared" si="58"/>
        <v>0</v>
      </c>
      <c r="FT53" s="221">
        <f t="shared" si="59"/>
        <v>0</v>
      </c>
      <c r="FU53" s="221">
        <f t="shared" si="60"/>
        <v>0</v>
      </c>
      <c r="FV53" s="221">
        <f t="shared" si="42"/>
        <v>1</v>
      </c>
      <c r="FW53" s="222"/>
    </row>
    <row r="54" spans="1:179" x14ac:dyDescent="0.25">
      <c r="A54" s="204">
        <v>40329</v>
      </c>
      <c r="B54" s="204" t="s">
        <v>19</v>
      </c>
      <c r="C54" s="204" t="s">
        <v>129</v>
      </c>
      <c r="D54" s="204" t="s">
        <v>537</v>
      </c>
      <c r="E54" s="205">
        <v>2689</v>
      </c>
      <c r="F54" s="206">
        <v>4</v>
      </c>
      <c r="G54" s="207" t="s">
        <v>545</v>
      </c>
      <c r="H54" s="208">
        <v>0</v>
      </c>
      <c r="I54" s="208">
        <v>0</v>
      </c>
      <c r="J54" s="247">
        <v>5</v>
      </c>
      <c r="K54" s="208">
        <v>5</v>
      </c>
      <c r="L54" s="208">
        <v>4</v>
      </c>
      <c r="M54" s="208">
        <v>4</v>
      </c>
      <c r="N54" s="208">
        <v>3</v>
      </c>
      <c r="O54" s="208">
        <v>6</v>
      </c>
      <c r="P54" s="208">
        <v>1</v>
      </c>
      <c r="Q54" s="208">
        <v>0</v>
      </c>
      <c r="R54" s="208">
        <v>22</v>
      </c>
      <c r="S54" s="208"/>
      <c r="T54" s="208"/>
      <c r="U54" s="208">
        <v>0</v>
      </c>
      <c r="V54" s="210">
        <v>0</v>
      </c>
      <c r="W54" s="211">
        <v>1</v>
      </c>
      <c r="X54" s="211">
        <v>0</v>
      </c>
      <c r="Y54" s="211">
        <v>1</v>
      </c>
      <c r="Z54" s="211">
        <v>1</v>
      </c>
      <c r="AA54" s="211">
        <v>1</v>
      </c>
      <c r="AB54" s="248">
        <v>4</v>
      </c>
      <c r="AC54" s="211">
        <v>3</v>
      </c>
      <c r="AD54" s="211">
        <v>2</v>
      </c>
      <c r="AE54" s="211">
        <v>2</v>
      </c>
      <c r="AF54" s="211">
        <v>3</v>
      </c>
      <c r="AG54" s="211">
        <v>9</v>
      </c>
      <c r="AH54" s="211">
        <v>0</v>
      </c>
      <c r="AI54" s="211">
        <v>3</v>
      </c>
      <c r="AJ54" s="211">
        <v>21</v>
      </c>
      <c r="AK54" s="211"/>
      <c r="AL54" s="211"/>
      <c r="AM54" s="213" t="s">
        <v>519</v>
      </c>
      <c r="AN54" s="214">
        <v>5</v>
      </c>
      <c r="AO54" s="214">
        <v>1</v>
      </c>
      <c r="AP54" s="214">
        <v>1</v>
      </c>
      <c r="AQ54" s="214">
        <v>0</v>
      </c>
      <c r="AR54" s="214">
        <v>0</v>
      </c>
      <c r="AS54" s="214">
        <v>0</v>
      </c>
      <c r="AT54" s="214">
        <v>0</v>
      </c>
      <c r="AU54" s="214">
        <v>0</v>
      </c>
      <c r="AV54" s="215">
        <v>2</v>
      </c>
      <c r="AW54" s="213" t="s">
        <v>534</v>
      </c>
      <c r="AX54" s="214">
        <v>2</v>
      </c>
      <c r="AY54" s="214">
        <v>1</v>
      </c>
      <c r="AZ54" s="214">
        <v>2</v>
      </c>
      <c r="BA54" s="214">
        <v>0</v>
      </c>
      <c r="BB54" s="214">
        <v>3</v>
      </c>
      <c r="BC54" s="214">
        <v>0</v>
      </c>
      <c r="BD54" s="214">
        <v>0</v>
      </c>
      <c r="BE54" s="214">
        <v>0</v>
      </c>
      <c r="BF54" s="215">
        <v>2</v>
      </c>
      <c r="BG54" s="213" t="s">
        <v>531</v>
      </c>
      <c r="BH54" s="214">
        <v>5</v>
      </c>
      <c r="BI54" s="214">
        <v>0</v>
      </c>
      <c r="BJ54" s="214">
        <v>1</v>
      </c>
      <c r="BK54" s="214">
        <v>0</v>
      </c>
      <c r="BL54" s="214">
        <v>0</v>
      </c>
      <c r="BM54" s="214">
        <v>0</v>
      </c>
      <c r="BN54" s="214">
        <v>0</v>
      </c>
      <c r="BO54" s="214">
        <v>0</v>
      </c>
      <c r="BP54" s="215">
        <v>1</v>
      </c>
      <c r="BQ54" s="213" t="s">
        <v>539</v>
      </c>
      <c r="BR54" s="214">
        <v>4</v>
      </c>
      <c r="BS54" s="214">
        <v>0</v>
      </c>
      <c r="BT54" s="214">
        <v>1</v>
      </c>
      <c r="BU54" s="214">
        <v>0</v>
      </c>
      <c r="BV54" s="214">
        <v>0</v>
      </c>
      <c r="BW54" s="214">
        <v>0</v>
      </c>
      <c r="BX54" s="214">
        <v>0</v>
      </c>
      <c r="BY54" s="214">
        <v>0</v>
      </c>
      <c r="BZ54" s="215">
        <v>1</v>
      </c>
      <c r="CA54" s="213" t="s">
        <v>426</v>
      </c>
      <c r="CB54" s="214">
        <v>3</v>
      </c>
      <c r="CC54" s="214">
        <v>2</v>
      </c>
      <c r="CD54" s="214">
        <v>1</v>
      </c>
      <c r="CE54" s="214">
        <v>0</v>
      </c>
      <c r="CF54" s="214">
        <v>1</v>
      </c>
      <c r="CG54" s="214">
        <v>1</v>
      </c>
      <c r="CH54" s="214">
        <v>0</v>
      </c>
      <c r="CI54" s="214">
        <v>0</v>
      </c>
      <c r="CJ54" s="215">
        <v>3</v>
      </c>
      <c r="CK54" s="213" t="s">
        <v>543</v>
      </c>
      <c r="CL54" s="214">
        <v>3</v>
      </c>
      <c r="CM54" s="214">
        <v>2</v>
      </c>
      <c r="CN54" s="214">
        <v>3</v>
      </c>
      <c r="CO54" s="214">
        <v>3</v>
      </c>
      <c r="CP54" s="214">
        <v>0</v>
      </c>
      <c r="CQ54" s="214">
        <v>0</v>
      </c>
      <c r="CR54" s="214">
        <v>0</v>
      </c>
      <c r="CS54" s="214">
        <v>1</v>
      </c>
      <c r="CT54" s="215">
        <v>6</v>
      </c>
      <c r="CU54" s="213" t="s">
        <v>538</v>
      </c>
      <c r="CV54" s="214">
        <v>4</v>
      </c>
      <c r="CW54" s="214">
        <v>0</v>
      </c>
      <c r="CX54" s="214">
        <v>2</v>
      </c>
      <c r="CY54" s="214">
        <v>1</v>
      </c>
      <c r="CZ54" s="214">
        <v>0</v>
      </c>
      <c r="DA54" s="214">
        <v>0</v>
      </c>
      <c r="DB54" s="214">
        <v>0</v>
      </c>
      <c r="DC54" s="214">
        <v>0</v>
      </c>
      <c r="DD54" s="215">
        <v>3</v>
      </c>
      <c r="DE54" s="213" t="s">
        <v>285</v>
      </c>
      <c r="DF54" s="214">
        <v>4</v>
      </c>
      <c r="DG54" s="214">
        <v>1</v>
      </c>
      <c r="DH54" s="214">
        <v>2</v>
      </c>
      <c r="DI54" s="214">
        <v>0</v>
      </c>
      <c r="DJ54" s="214">
        <v>0</v>
      </c>
      <c r="DK54" s="214">
        <v>1</v>
      </c>
      <c r="DL54" s="214">
        <v>0</v>
      </c>
      <c r="DM54" s="214">
        <v>0</v>
      </c>
      <c r="DN54" s="215">
        <v>2</v>
      </c>
      <c r="DO54" s="213" t="s">
        <v>535</v>
      </c>
      <c r="DP54" s="214">
        <v>4</v>
      </c>
      <c r="DQ54" s="214">
        <v>0</v>
      </c>
      <c r="DR54" s="214">
        <v>1</v>
      </c>
      <c r="DS54" s="214">
        <v>2</v>
      </c>
      <c r="DT54" s="214">
        <v>0</v>
      </c>
      <c r="DU54" s="214">
        <v>2</v>
      </c>
      <c r="DV54" s="214">
        <v>0</v>
      </c>
      <c r="DW54" s="214">
        <v>0</v>
      </c>
      <c r="DX54" s="215">
        <v>3</v>
      </c>
      <c r="DY54" s="249">
        <v>0</v>
      </c>
      <c r="DZ54" s="217">
        <v>0</v>
      </c>
      <c r="EA54" s="217">
        <v>0</v>
      </c>
      <c r="EB54" s="250">
        <v>8</v>
      </c>
      <c r="EC54" s="217">
        <v>0</v>
      </c>
      <c r="ED54" s="219">
        <v>2</v>
      </c>
      <c r="EE54" s="220">
        <v>1</v>
      </c>
      <c r="EF54" s="217">
        <v>1</v>
      </c>
      <c r="EG54" s="217">
        <v>0</v>
      </c>
      <c r="EH54" s="217">
        <v>2</v>
      </c>
      <c r="EI54" s="217">
        <v>2</v>
      </c>
      <c r="EJ54" s="217">
        <v>0</v>
      </c>
      <c r="EK54" s="217">
        <v>1</v>
      </c>
      <c r="EL54" s="217">
        <v>0</v>
      </c>
      <c r="EM54" s="217"/>
      <c r="EN54" s="217"/>
      <c r="EO54" s="217"/>
      <c r="EP54" s="217"/>
      <c r="EQ54" s="217"/>
      <c r="ER54" s="219">
        <f t="shared" si="46"/>
        <v>7</v>
      </c>
      <c r="ES54" s="217">
        <v>0</v>
      </c>
      <c r="ET54" s="217">
        <v>0</v>
      </c>
      <c r="EU54" s="217">
        <v>1</v>
      </c>
      <c r="EV54" s="217">
        <v>1</v>
      </c>
      <c r="EW54" s="217">
        <v>2</v>
      </c>
      <c r="EX54" s="217">
        <v>0</v>
      </c>
      <c r="EY54" s="217">
        <v>2</v>
      </c>
      <c r="EZ54" s="217">
        <v>0</v>
      </c>
      <c r="FA54" s="217">
        <v>0</v>
      </c>
      <c r="FB54" s="217"/>
      <c r="FC54" s="217"/>
      <c r="FD54" s="217"/>
      <c r="FE54" s="217"/>
      <c r="FF54" s="217">
        <f t="shared" si="47"/>
        <v>6</v>
      </c>
      <c r="FG54" s="221">
        <f t="shared" si="43"/>
        <v>0</v>
      </c>
      <c r="FH54" s="221">
        <f t="shared" si="44"/>
        <v>0</v>
      </c>
      <c r="FI54" s="221">
        <f t="shared" si="48"/>
        <v>1</v>
      </c>
      <c r="FJ54" s="221">
        <f t="shared" si="49"/>
        <v>1</v>
      </c>
      <c r="FK54" s="221">
        <f t="shared" si="50"/>
        <v>-1</v>
      </c>
      <c r="FL54" s="221">
        <f t="shared" si="51"/>
        <v>1</v>
      </c>
      <c r="FM54" s="221">
        <f t="shared" si="52"/>
        <v>0</v>
      </c>
      <c r="FN54" s="221">
        <f t="shared" si="53"/>
        <v>0</v>
      </c>
      <c r="FO54" s="221">
        <f t="shared" si="54"/>
        <v>-1</v>
      </c>
      <c r="FP54" s="221">
        <f t="shared" si="55"/>
        <v>0</v>
      </c>
      <c r="FQ54" s="221">
        <f t="shared" si="56"/>
        <v>0</v>
      </c>
      <c r="FR54" s="221">
        <f t="shared" si="57"/>
        <v>0</v>
      </c>
      <c r="FS54" s="221">
        <f t="shared" si="58"/>
        <v>0</v>
      </c>
      <c r="FT54" s="221">
        <f t="shared" si="59"/>
        <v>0</v>
      </c>
      <c r="FU54" s="221">
        <f t="shared" si="60"/>
        <v>0</v>
      </c>
      <c r="FV54" s="221">
        <f t="shared" si="42"/>
        <v>1</v>
      </c>
      <c r="FW54" s="222"/>
    </row>
    <row r="55" spans="1:179" x14ac:dyDescent="0.25">
      <c r="A55" s="204">
        <v>40330</v>
      </c>
      <c r="B55" s="204" t="s">
        <v>19</v>
      </c>
      <c r="C55" s="204" t="s">
        <v>129</v>
      </c>
      <c r="D55" s="204" t="s">
        <v>582</v>
      </c>
      <c r="E55" s="205">
        <v>2570</v>
      </c>
      <c r="F55" s="206">
        <v>5</v>
      </c>
      <c r="G55" s="207" t="s">
        <v>546</v>
      </c>
      <c r="H55" s="208">
        <v>1</v>
      </c>
      <c r="I55" s="208">
        <v>0</v>
      </c>
      <c r="J55" s="247">
        <v>6</v>
      </c>
      <c r="K55" s="208">
        <v>2</v>
      </c>
      <c r="L55" s="208">
        <v>1</v>
      </c>
      <c r="M55" s="208">
        <v>1</v>
      </c>
      <c r="N55" s="208">
        <v>2</v>
      </c>
      <c r="O55" s="208">
        <v>5</v>
      </c>
      <c r="P55" s="208">
        <v>0</v>
      </c>
      <c r="Q55" s="208">
        <v>0</v>
      </c>
      <c r="R55" s="208">
        <v>23</v>
      </c>
      <c r="S55" s="208"/>
      <c r="T55" s="208"/>
      <c r="U55" s="208">
        <v>2</v>
      </c>
      <c r="V55" s="210">
        <v>0</v>
      </c>
      <c r="W55" s="211">
        <v>0</v>
      </c>
      <c r="X55" s="211">
        <v>0</v>
      </c>
      <c r="Y55" s="211">
        <v>0</v>
      </c>
      <c r="Z55" s="211">
        <v>1</v>
      </c>
      <c r="AA55" s="211">
        <v>0</v>
      </c>
      <c r="AB55" s="248">
        <v>3</v>
      </c>
      <c r="AC55" s="211">
        <v>3</v>
      </c>
      <c r="AD55" s="211">
        <v>1</v>
      </c>
      <c r="AE55" s="211">
        <v>1</v>
      </c>
      <c r="AF55" s="211">
        <v>1</v>
      </c>
      <c r="AG55" s="211">
        <v>3</v>
      </c>
      <c r="AH55" s="211">
        <v>1</v>
      </c>
      <c r="AI55" s="211">
        <v>1</v>
      </c>
      <c r="AJ55" s="211">
        <v>14</v>
      </c>
      <c r="AK55" s="211"/>
      <c r="AL55" s="211"/>
      <c r="AM55" s="213" t="s">
        <v>519</v>
      </c>
      <c r="AN55" s="214">
        <v>3</v>
      </c>
      <c r="AO55" s="214">
        <v>1</v>
      </c>
      <c r="AP55" s="214">
        <v>1</v>
      </c>
      <c r="AQ55" s="214">
        <v>0</v>
      </c>
      <c r="AR55" s="214">
        <v>0</v>
      </c>
      <c r="AS55" s="214">
        <v>0</v>
      </c>
      <c r="AT55" s="214">
        <v>1</v>
      </c>
      <c r="AU55" s="214">
        <v>0</v>
      </c>
      <c r="AV55" s="215">
        <v>1</v>
      </c>
      <c r="AW55" s="213" t="s">
        <v>534</v>
      </c>
      <c r="AX55" s="214">
        <v>4</v>
      </c>
      <c r="AY55" s="214">
        <v>0</v>
      </c>
      <c r="AZ55" s="214">
        <v>0</v>
      </c>
      <c r="BA55" s="214">
        <v>0</v>
      </c>
      <c r="BB55" s="214">
        <v>0</v>
      </c>
      <c r="BC55" s="214">
        <v>0</v>
      </c>
      <c r="BD55" s="214">
        <v>0</v>
      </c>
      <c r="BE55" s="214">
        <v>0</v>
      </c>
      <c r="BF55" s="215">
        <v>0</v>
      </c>
      <c r="BG55" s="213" t="s">
        <v>539</v>
      </c>
      <c r="BH55" s="214">
        <v>4</v>
      </c>
      <c r="BI55" s="214">
        <v>2</v>
      </c>
      <c r="BJ55" s="214">
        <v>2</v>
      </c>
      <c r="BK55" s="214">
        <v>5</v>
      </c>
      <c r="BL55" s="214">
        <v>0</v>
      </c>
      <c r="BM55" s="214">
        <v>0</v>
      </c>
      <c r="BN55" s="214">
        <v>0</v>
      </c>
      <c r="BO55" s="214">
        <v>0</v>
      </c>
      <c r="BP55" s="215">
        <v>8</v>
      </c>
      <c r="BQ55" s="213" t="s">
        <v>530</v>
      </c>
      <c r="BR55" s="214">
        <v>3</v>
      </c>
      <c r="BS55" s="214">
        <v>1</v>
      </c>
      <c r="BT55" s="214">
        <v>1</v>
      </c>
      <c r="BU55" s="214">
        <v>0</v>
      </c>
      <c r="BV55" s="214">
        <v>0</v>
      </c>
      <c r="BW55" s="214">
        <v>0</v>
      </c>
      <c r="BX55" s="214">
        <v>1</v>
      </c>
      <c r="BY55" s="214">
        <v>0</v>
      </c>
      <c r="BZ55" s="215">
        <v>1</v>
      </c>
      <c r="CA55" s="213" t="s">
        <v>543</v>
      </c>
      <c r="CB55" s="214">
        <v>4</v>
      </c>
      <c r="CC55" s="214">
        <v>0</v>
      </c>
      <c r="CD55" s="214">
        <v>2</v>
      </c>
      <c r="CE55" s="214">
        <v>0</v>
      </c>
      <c r="CF55" s="214">
        <v>0</v>
      </c>
      <c r="CG55" s="214">
        <v>0</v>
      </c>
      <c r="CH55" s="214">
        <v>0</v>
      </c>
      <c r="CI55" s="214">
        <v>0</v>
      </c>
      <c r="CJ55" s="215">
        <v>2</v>
      </c>
      <c r="CK55" s="213" t="s">
        <v>561</v>
      </c>
      <c r="CL55" s="214">
        <v>3</v>
      </c>
      <c r="CM55" s="214">
        <v>0</v>
      </c>
      <c r="CN55" s="214">
        <v>0</v>
      </c>
      <c r="CO55" s="214">
        <v>1</v>
      </c>
      <c r="CP55" s="214">
        <v>0</v>
      </c>
      <c r="CQ55" s="214">
        <v>2</v>
      </c>
      <c r="CR55" s="214">
        <v>0</v>
      </c>
      <c r="CS55" s="214">
        <v>1</v>
      </c>
      <c r="CT55" s="215">
        <v>0</v>
      </c>
      <c r="CU55" s="213" t="s">
        <v>532</v>
      </c>
      <c r="CV55" s="214">
        <v>4</v>
      </c>
      <c r="CW55" s="214">
        <v>0</v>
      </c>
      <c r="CX55" s="214">
        <v>0</v>
      </c>
      <c r="CY55" s="214">
        <v>0</v>
      </c>
      <c r="CZ55" s="214">
        <v>0</v>
      </c>
      <c r="DA55" s="214">
        <v>0</v>
      </c>
      <c r="DB55" s="214">
        <v>0</v>
      </c>
      <c r="DC55" s="214">
        <v>0</v>
      </c>
      <c r="DD55" s="215">
        <v>0</v>
      </c>
      <c r="DE55" s="213" t="s">
        <v>538</v>
      </c>
      <c r="DF55" s="214">
        <v>4</v>
      </c>
      <c r="DG55" s="214">
        <v>2</v>
      </c>
      <c r="DH55" s="214">
        <v>2</v>
      </c>
      <c r="DI55" s="214">
        <v>0</v>
      </c>
      <c r="DJ55" s="214">
        <v>0</v>
      </c>
      <c r="DK55" s="214">
        <v>1</v>
      </c>
      <c r="DL55" s="214">
        <v>0</v>
      </c>
      <c r="DM55" s="214">
        <v>0</v>
      </c>
      <c r="DN55" s="215">
        <v>3</v>
      </c>
      <c r="DO55" s="213" t="s">
        <v>535</v>
      </c>
      <c r="DP55" s="214">
        <v>4</v>
      </c>
      <c r="DQ55" s="214">
        <v>1</v>
      </c>
      <c r="DR55" s="214">
        <v>3</v>
      </c>
      <c r="DS55" s="214">
        <v>1</v>
      </c>
      <c r="DT55" s="214">
        <v>0</v>
      </c>
      <c r="DU55" s="214">
        <v>0</v>
      </c>
      <c r="DV55" s="214">
        <v>0</v>
      </c>
      <c r="DW55" s="214">
        <v>0</v>
      </c>
      <c r="DX55" s="215">
        <v>4</v>
      </c>
      <c r="DY55" s="249">
        <v>0</v>
      </c>
      <c r="DZ55" s="217">
        <v>0</v>
      </c>
      <c r="EA55" s="217">
        <v>0</v>
      </c>
      <c r="EB55" s="250">
        <v>8</v>
      </c>
      <c r="EC55" s="217">
        <v>3</v>
      </c>
      <c r="ED55" s="219">
        <v>0</v>
      </c>
      <c r="EE55" s="220">
        <v>2</v>
      </c>
      <c r="EF55" s="217">
        <v>1</v>
      </c>
      <c r="EG55" s="217">
        <v>1</v>
      </c>
      <c r="EH55" s="217">
        <v>3</v>
      </c>
      <c r="EI55" s="217">
        <v>0</v>
      </c>
      <c r="EJ55" s="217">
        <v>0</v>
      </c>
      <c r="EK55" s="217">
        <v>0</v>
      </c>
      <c r="EL55" s="217">
        <v>0</v>
      </c>
      <c r="EM55" s="217"/>
      <c r="EN55" s="217"/>
      <c r="EO55" s="217"/>
      <c r="EP55" s="217"/>
      <c r="EQ55" s="217"/>
      <c r="ER55" s="219">
        <f t="shared" si="46"/>
        <v>7</v>
      </c>
      <c r="ES55" s="217">
        <v>0</v>
      </c>
      <c r="ET55" s="217">
        <v>0</v>
      </c>
      <c r="EU55" s="217">
        <v>0</v>
      </c>
      <c r="EV55" s="217">
        <v>0</v>
      </c>
      <c r="EW55" s="217">
        <v>0</v>
      </c>
      <c r="EX55" s="217">
        <v>0</v>
      </c>
      <c r="EY55" s="217">
        <v>1</v>
      </c>
      <c r="EZ55" s="217">
        <v>0</v>
      </c>
      <c r="FA55" s="217">
        <v>1</v>
      </c>
      <c r="FB55" s="217"/>
      <c r="FC55" s="217"/>
      <c r="FD55" s="217"/>
      <c r="FE55" s="217"/>
      <c r="FF55" s="217">
        <f t="shared" si="47"/>
        <v>2</v>
      </c>
      <c r="FG55" s="221">
        <f t="shared" si="43"/>
        <v>0</v>
      </c>
      <c r="FH55" s="221">
        <f t="shared" si="44"/>
        <v>0</v>
      </c>
      <c r="FI55" s="221">
        <f t="shared" si="48"/>
        <v>2</v>
      </c>
      <c r="FJ55" s="221">
        <f t="shared" si="49"/>
        <v>1</v>
      </c>
      <c r="FK55" s="221">
        <f t="shared" si="50"/>
        <v>1</v>
      </c>
      <c r="FL55" s="221">
        <f t="shared" si="51"/>
        <v>3</v>
      </c>
      <c r="FM55" s="221">
        <f t="shared" si="52"/>
        <v>0</v>
      </c>
      <c r="FN55" s="221">
        <f t="shared" si="53"/>
        <v>0</v>
      </c>
      <c r="FO55" s="221">
        <f t="shared" si="54"/>
        <v>-1</v>
      </c>
      <c r="FP55" s="221">
        <f t="shared" si="55"/>
        <v>0</v>
      </c>
      <c r="FQ55" s="221">
        <f t="shared" si="56"/>
        <v>-1</v>
      </c>
      <c r="FR55" s="221">
        <f t="shared" si="57"/>
        <v>0</v>
      </c>
      <c r="FS55" s="221">
        <f t="shared" si="58"/>
        <v>0</v>
      </c>
      <c r="FT55" s="221">
        <f t="shared" si="59"/>
        <v>0</v>
      </c>
      <c r="FU55" s="221">
        <f t="shared" si="60"/>
        <v>0</v>
      </c>
      <c r="FV55" s="221">
        <f t="shared" si="42"/>
        <v>5</v>
      </c>
      <c r="FW55" s="222"/>
    </row>
    <row r="56" spans="1:179" x14ac:dyDescent="0.25">
      <c r="A56" s="204">
        <v>40331</v>
      </c>
      <c r="B56" s="204" t="s">
        <v>19</v>
      </c>
      <c r="C56" s="204" t="s">
        <v>131</v>
      </c>
      <c r="D56" s="204" t="s">
        <v>582</v>
      </c>
      <c r="E56" s="205">
        <v>2347</v>
      </c>
      <c r="F56" s="206">
        <v>1</v>
      </c>
      <c r="G56" s="207" t="s">
        <v>540</v>
      </c>
      <c r="H56" s="211">
        <v>0</v>
      </c>
      <c r="I56" s="211">
        <v>1</v>
      </c>
      <c r="J56" s="248">
        <v>4</v>
      </c>
      <c r="K56" s="211">
        <v>6</v>
      </c>
      <c r="L56" s="211">
        <v>6</v>
      </c>
      <c r="M56" s="211">
        <v>5</v>
      </c>
      <c r="N56" s="211">
        <v>0</v>
      </c>
      <c r="O56" s="211">
        <v>3</v>
      </c>
      <c r="P56" s="211">
        <v>4</v>
      </c>
      <c r="Q56" s="211">
        <v>2</v>
      </c>
      <c r="R56" s="211">
        <v>19</v>
      </c>
      <c r="S56" s="211"/>
      <c r="T56" s="211"/>
      <c r="U56" s="211">
        <v>0</v>
      </c>
      <c r="V56" s="210">
        <v>0</v>
      </c>
      <c r="W56" s="211">
        <v>0</v>
      </c>
      <c r="X56" s="211">
        <v>0</v>
      </c>
      <c r="Y56" s="211">
        <v>0</v>
      </c>
      <c r="Z56" s="211">
        <v>0</v>
      </c>
      <c r="AA56" s="211">
        <v>0</v>
      </c>
      <c r="AB56" s="248">
        <v>5</v>
      </c>
      <c r="AC56" s="211">
        <v>5</v>
      </c>
      <c r="AD56" s="211">
        <v>5</v>
      </c>
      <c r="AE56" s="211">
        <v>4</v>
      </c>
      <c r="AF56" s="211">
        <v>2</v>
      </c>
      <c r="AG56" s="211">
        <v>7</v>
      </c>
      <c r="AH56" s="211">
        <v>2</v>
      </c>
      <c r="AI56" s="211">
        <v>2</v>
      </c>
      <c r="AJ56" s="211">
        <v>25</v>
      </c>
      <c r="AK56" s="211"/>
      <c r="AL56" s="211"/>
      <c r="AM56" s="213" t="s">
        <v>519</v>
      </c>
      <c r="AN56" s="214">
        <v>4</v>
      </c>
      <c r="AO56" s="214">
        <v>1</v>
      </c>
      <c r="AP56" s="214">
        <v>1</v>
      </c>
      <c r="AQ56" s="214">
        <v>0</v>
      </c>
      <c r="AR56" s="214">
        <v>0</v>
      </c>
      <c r="AS56" s="214">
        <v>0</v>
      </c>
      <c r="AT56" s="214">
        <v>0</v>
      </c>
      <c r="AU56" s="214">
        <v>0</v>
      </c>
      <c r="AV56" s="215">
        <v>3</v>
      </c>
      <c r="AW56" s="213" t="s">
        <v>534</v>
      </c>
      <c r="AX56" s="214">
        <v>4</v>
      </c>
      <c r="AY56" s="214">
        <v>0</v>
      </c>
      <c r="AZ56" s="214">
        <v>0</v>
      </c>
      <c r="BA56" s="214">
        <v>0</v>
      </c>
      <c r="BB56" s="214">
        <v>0</v>
      </c>
      <c r="BC56" s="214">
        <v>2</v>
      </c>
      <c r="BD56" s="214">
        <v>0</v>
      </c>
      <c r="BE56" s="214">
        <v>0</v>
      </c>
      <c r="BF56" s="215">
        <v>0</v>
      </c>
      <c r="BG56" s="213" t="s">
        <v>539</v>
      </c>
      <c r="BH56" s="214">
        <v>4</v>
      </c>
      <c r="BI56" s="214">
        <v>0</v>
      </c>
      <c r="BJ56" s="214">
        <v>0</v>
      </c>
      <c r="BK56" s="214">
        <v>1</v>
      </c>
      <c r="BL56" s="214">
        <v>0</v>
      </c>
      <c r="BM56" s="214">
        <v>0</v>
      </c>
      <c r="BN56" s="214">
        <v>0</v>
      </c>
      <c r="BO56" s="214">
        <v>0</v>
      </c>
      <c r="BP56" s="215">
        <v>0</v>
      </c>
      <c r="BQ56" s="213" t="s">
        <v>530</v>
      </c>
      <c r="BR56" s="214">
        <v>4</v>
      </c>
      <c r="BS56" s="214">
        <v>0</v>
      </c>
      <c r="BT56" s="214">
        <v>1</v>
      </c>
      <c r="BU56" s="214">
        <v>0</v>
      </c>
      <c r="BV56" s="214">
        <v>0</v>
      </c>
      <c r="BW56" s="214">
        <v>1</v>
      </c>
      <c r="BX56" s="214">
        <v>0</v>
      </c>
      <c r="BY56" s="214">
        <v>0</v>
      </c>
      <c r="BZ56" s="215">
        <v>1</v>
      </c>
      <c r="CA56" s="213" t="s">
        <v>531</v>
      </c>
      <c r="CB56" s="214">
        <v>4</v>
      </c>
      <c r="CC56" s="214">
        <v>0</v>
      </c>
      <c r="CD56" s="214">
        <v>0</v>
      </c>
      <c r="CE56" s="214">
        <v>0</v>
      </c>
      <c r="CF56" s="214">
        <v>0</v>
      </c>
      <c r="CG56" s="214">
        <v>2</v>
      </c>
      <c r="CH56" s="214">
        <v>0</v>
      </c>
      <c r="CI56" s="214">
        <v>0</v>
      </c>
      <c r="CJ56" s="215">
        <v>0</v>
      </c>
      <c r="CK56" s="213" t="s">
        <v>426</v>
      </c>
      <c r="CL56" s="214">
        <v>4</v>
      </c>
      <c r="CM56" s="214">
        <v>0</v>
      </c>
      <c r="CN56" s="214">
        <v>0</v>
      </c>
      <c r="CO56" s="214">
        <v>0</v>
      </c>
      <c r="CP56" s="214">
        <v>0</v>
      </c>
      <c r="CQ56" s="214">
        <v>0</v>
      </c>
      <c r="CR56" s="214">
        <v>0</v>
      </c>
      <c r="CS56" s="214">
        <v>0</v>
      </c>
      <c r="CT56" s="215">
        <v>0</v>
      </c>
      <c r="CU56" s="213" t="s">
        <v>543</v>
      </c>
      <c r="CV56" s="214">
        <v>4</v>
      </c>
      <c r="CW56" s="214">
        <v>0</v>
      </c>
      <c r="CX56" s="214">
        <v>1</v>
      </c>
      <c r="CY56" s="214">
        <v>0</v>
      </c>
      <c r="CZ56" s="214">
        <v>0</v>
      </c>
      <c r="DA56" s="214">
        <v>1</v>
      </c>
      <c r="DB56" s="214">
        <v>0</v>
      </c>
      <c r="DC56" s="214">
        <v>0</v>
      </c>
      <c r="DD56" s="215">
        <v>1</v>
      </c>
      <c r="DE56" s="213" t="s">
        <v>538</v>
      </c>
      <c r="DF56" s="214">
        <v>3</v>
      </c>
      <c r="DG56" s="214">
        <v>0</v>
      </c>
      <c r="DH56" s="214">
        <v>1</v>
      </c>
      <c r="DI56" s="214">
        <v>0</v>
      </c>
      <c r="DJ56" s="214">
        <v>0</v>
      </c>
      <c r="DK56" s="214">
        <v>0</v>
      </c>
      <c r="DL56" s="214">
        <v>0</v>
      </c>
      <c r="DM56" s="214">
        <v>0</v>
      </c>
      <c r="DN56" s="215">
        <v>1</v>
      </c>
      <c r="DO56" s="213" t="s">
        <v>535</v>
      </c>
      <c r="DP56" s="214">
        <v>3</v>
      </c>
      <c r="DQ56" s="214">
        <v>1</v>
      </c>
      <c r="DR56" s="214">
        <v>1</v>
      </c>
      <c r="DS56" s="214">
        <v>1</v>
      </c>
      <c r="DT56" s="214">
        <v>0</v>
      </c>
      <c r="DU56" s="214">
        <v>1</v>
      </c>
      <c r="DV56" s="214">
        <v>0</v>
      </c>
      <c r="DW56" s="214">
        <v>0</v>
      </c>
      <c r="DX56" s="215">
        <v>4</v>
      </c>
      <c r="DY56" s="249">
        <v>6</v>
      </c>
      <c r="DZ56" s="217">
        <v>0</v>
      </c>
      <c r="EA56" s="217">
        <v>0</v>
      </c>
      <c r="EB56" s="250">
        <v>3</v>
      </c>
      <c r="EC56" s="217">
        <v>0</v>
      </c>
      <c r="ED56" s="219">
        <v>0</v>
      </c>
      <c r="EE56" s="220">
        <v>0</v>
      </c>
      <c r="EF56" s="217">
        <v>0</v>
      </c>
      <c r="EG56" s="217">
        <v>0</v>
      </c>
      <c r="EH56" s="217">
        <v>0</v>
      </c>
      <c r="EI56" s="217">
        <v>0</v>
      </c>
      <c r="EJ56" s="217">
        <v>1</v>
      </c>
      <c r="EK56" s="217">
        <v>0</v>
      </c>
      <c r="EL56" s="217">
        <v>1</v>
      </c>
      <c r="EM56" s="217">
        <v>0</v>
      </c>
      <c r="EN56" s="217"/>
      <c r="EO56" s="217"/>
      <c r="EP56" s="217"/>
      <c r="EQ56" s="217"/>
      <c r="ER56" s="219">
        <f t="shared" ref="ER56:ER80" si="61">SUM(EE56:EQ56)</f>
        <v>2</v>
      </c>
      <c r="ES56" s="217">
        <v>1</v>
      </c>
      <c r="ET56" s="217">
        <v>1</v>
      </c>
      <c r="EU56" s="217">
        <v>1</v>
      </c>
      <c r="EV56" s="217">
        <v>3</v>
      </c>
      <c r="EW56" s="217">
        <v>2</v>
      </c>
      <c r="EX56" s="217">
        <v>0</v>
      </c>
      <c r="EY56" s="217">
        <v>0</v>
      </c>
      <c r="EZ56" s="217">
        <v>3</v>
      </c>
      <c r="FA56" s="217">
        <v>0</v>
      </c>
      <c r="FB56" s="217"/>
      <c r="FC56" s="217"/>
      <c r="FD56" s="217"/>
      <c r="FE56" s="217"/>
      <c r="FF56" s="217">
        <f t="shared" ref="FF56:FF80" si="62">SUM(ES56:FE56)</f>
        <v>11</v>
      </c>
      <c r="FG56" s="221">
        <f t="shared" ref="FG56:FG80" si="63">((SUM(L56,AD56))-(FF56))</f>
        <v>0</v>
      </c>
      <c r="FH56" s="221">
        <f t="shared" ref="FH56:FH80" si="64">((SUM(AO56,AY56,BI56,BS56,CC56,CM56,CW56,DG56,DQ56))-(ER56))</f>
        <v>0</v>
      </c>
      <c r="FI56" s="221">
        <f t="shared" ref="FI56:FI80" si="65">(EE56-ES56)</f>
        <v>-1</v>
      </c>
      <c r="FJ56" s="221">
        <f t="shared" ref="FJ56:FJ80" si="66">(EF56-ET56)</f>
        <v>-1</v>
      </c>
      <c r="FK56" s="221">
        <f t="shared" ref="FK56:FK80" si="67">(EG56-EU56)</f>
        <v>-1</v>
      </c>
      <c r="FL56" s="221">
        <f t="shared" ref="FL56:FL80" si="68">(EH56-EV56)</f>
        <v>-3</v>
      </c>
      <c r="FM56" s="221">
        <f t="shared" ref="FM56:FM80" si="69">(EI56-EW56)</f>
        <v>-2</v>
      </c>
      <c r="FN56" s="221">
        <f t="shared" ref="FN56:FN80" si="70">(EJ56-EX56)</f>
        <v>1</v>
      </c>
      <c r="FO56" s="221">
        <f t="shared" ref="FO56:FO80" si="71">(EK56-EY56)</f>
        <v>0</v>
      </c>
      <c r="FP56" s="221">
        <f t="shared" ref="FP56:FP80" si="72">(EL56-EZ56)</f>
        <v>-2</v>
      </c>
      <c r="FQ56" s="221">
        <f t="shared" ref="FQ56:FQ80" si="73">(EM56-FA56)</f>
        <v>0</v>
      </c>
      <c r="FR56" s="221">
        <f t="shared" ref="FR56:FR80" si="74">(EN56-FB56)</f>
        <v>0</v>
      </c>
      <c r="FS56" s="221">
        <f t="shared" ref="FS56:FS80" si="75">(EO56-FC56)</f>
        <v>0</v>
      </c>
      <c r="FT56" s="221">
        <f t="shared" ref="FT56:FT80" si="76">(EP56-FD56)</f>
        <v>0</v>
      </c>
      <c r="FU56" s="221">
        <f t="shared" ref="FU56:FU80" si="77">(EQ56-FE56)</f>
        <v>0</v>
      </c>
      <c r="FV56" s="221">
        <f t="shared" ref="FV56:FV80" si="78">(ER56-FF56)</f>
        <v>-9</v>
      </c>
      <c r="FW56" s="222" t="s">
        <v>586</v>
      </c>
    </row>
    <row r="57" spans="1:179" x14ac:dyDescent="0.25">
      <c r="A57" s="204">
        <v>40333</v>
      </c>
      <c r="B57" s="204" t="s">
        <v>19</v>
      </c>
      <c r="C57" s="204" t="s">
        <v>131</v>
      </c>
      <c r="D57" s="204" t="s">
        <v>583</v>
      </c>
      <c r="E57" s="205">
        <v>3442</v>
      </c>
      <c r="F57" s="206">
        <v>2</v>
      </c>
      <c r="G57" s="207" t="s">
        <v>566</v>
      </c>
      <c r="H57" s="211">
        <v>0</v>
      </c>
      <c r="I57" s="211">
        <v>1</v>
      </c>
      <c r="J57" s="248">
        <v>4</v>
      </c>
      <c r="K57" s="211">
        <v>4</v>
      </c>
      <c r="L57" s="211">
        <v>3</v>
      </c>
      <c r="M57" s="211">
        <v>1</v>
      </c>
      <c r="N57" s="211">
        <v>1</v>
      </c>
      <c r="O57" s="211">
        <v>3</v>
      </c>
      <c r="P57" s="211">
        <v>1</v>
      </c>
      <c r="Q57" s="211">
        <v>1</v>
      </c>
      <c r="R57" s="211">
        <v>19</v>
      </c>
      <c r="S57" s="211"/>
      <c r="T57" s="211"/>
      <c r="U57" s="211">
        <v>0</v>
      </c>
      <c r="V57" s="210">
        <v>0</v>
      </c>
      <c r="W57" s="211">
        <v>0</v>
      </c>
      <c r="X57" s="211">
        <v>0</v>
      </c>
      <c r="Y57" s="211">
        <v>0</v>
      </c>
      <c r="Z57" s="211">
        <v>0</v>
      </c>
      <c r="AA57" s="211">
        <v>0</v>
      </c>
      <c r="AB57" s="248">
        <v>5</v>
      </c>
      <c r="AC57" s="211">
        <v>2</v>
      </c>
      <c r="AD57" s="211">
        <v>0</v>
      </c>
      <c r="AE57" s="211">
        <v>0</v>
      </c>
      <c r="AF57" s="211">
        <v>0</v>
      </c>
      <c r="AG57" s="211">
        <v>7</v>
      </c>
      <c r="AH57" s="211">
        <v>0</v>
      </c>
      <c r="AI57" s="211">
        <v>0</v>
      </c>
      <c r="AJ57" s="211">
        <v>16</v>
      </c>
      <c r="AK57" s="211"/>
      <c r="AL57" s="211"/>
      <c r="AM57" s="213" t="s">
        <v>519</v>
      </c>
      <c r="AN57" s="214">
        <v>4</v>
      </c>
      <c r="AO57" s="214">
        <v>0</v>
      </c>
      <c r="AP57" s="214">
        <v>1</v>
      </c>
      <c r="AQ57" s="214">
        <v>0</v>
      </c>
      <c r="AR57" s="214">
        <v>0</v>
      </c>
      <c r="AS57" s="214">
        <v>0</v>
      </c>
      <c r="AT57" s="214">
        <v>0</v>
      </c>
      <c r="AU57" s="214">
        <v>0</v>
      </c>
      <c r="AV57" s="215">
        <v>2</v>
      </c>
      <c r="AW57" s="213" t="s">
        <v>534</v>
      </c>
      <c r="AX57" s="214">
        <v>4</v>
      </c>
      <c r="AY57" s="214">
        <v>1</v>
      </c>
      <c r="AZ57" s="214">
        <v>1</v>
      </c>
      <c r="BA57" s="214">
        <v>1</v>
      </c>
      <c r="BB57" s="214">
        <v>0</v>
      </c>
      <c r="BC57" s="214">
        <v>2</v>
      </c>
      <c r="BD57" s="214">
        <v>0</v>
      </c>
      <c r="BE57" s="214">
        <v>0</v>
      </c>
      <c r="BF57" s="215">
        <v>4</v>
      </c>
      <c r="BG57" s="213" t="s">
        <v>539</v>
      </c>
      <c r="BH57" s="214">
        <v>3</v>
      </c>
      <c r="BI57" s="214">
        <v>0</v>
      </c>
      <c r="BJ57" s="214">
        <v>0</v>
      </c>
      <c r="BK57" s="214">
        <v>0</v>
      </c>
      <c r="BL57" s="214">
        <v>1</v>
      </c>
      <c r="BM57" s="214">
        <v>1</v>
      </c>
      <c r="BN57" s="214">
        <v>0</v>
      </c>
      <c r="BO57" s="214">
        <v>0</v>
      </c>
      <c r="BP57" s="215">
        <v>0</v>
      </c>
      <c r="BQ57" s="213" t="s">
        <v>530</v>
      </c>
      <c r="BR57" s="214">
        <v>4</v>
      </c>
      <c r="BS57" s="214">
        <v>0</v>
      </c>
      <c r="BT57" s="214">
        <v>0</v>
      </c>
      <c r="BU57" s="214">
        <v>0</v>
      </c>
      <c r="BV57" s="214">
        <v>0</v>
      </c>
      <c r="BW57" s="214">
        <v>1</v>
      </c>
      <c r="BX57" s="214">
        <v>0</v>
      </c>
      <c r="BY57" s="214">
        <v>0</v>
      </c>
      <c r="BZ57" s="215">
        <v>0</v>
      </c>
      <c r="CA57" s="213" t="s">
        <v>531</v>
      </c>
      <c r="CB57" s="214">
        <v>4</v>
      </c>
      <c r="CC57" s="214">
        <v>0</v>
      </c>
      <c r="CD57" s="214">
        <v>0</v>
      </c>
      <c r="CE57" s="214">
        <v>0</v>
      </c>
      <c r="CF57" s="214">
        <v>0</v>
      </c>
      <c r="CG57" s="214">
        <v>0</v>
      </c>
      <c r="CH57" s="214">
        <v>0</v>
      </c>
      <c r="CI57" s="214">
        <v>0</v>
      </c>
      <c r="CJ57" s="215">
        <v>0</v>
      </c>
      <c r="CK57" s="213" t="s">
        <v>426</v>
      </c>
      <c r="CL57" s="214">
        <v>4</v>
      </c>
      <c r="CM57" s="214">
        <v>0</v>
      </c>
      <c r="CN57" s="214">
        <v>3</v>
      </c>
      <c r="CO57" s="214">
        <v>0</v>
      </c>
      <c r="CP57" s="214">
        <v>0</v>
      </c>
      <c r="CQ57" s="214">
        <v>1</v>
      </c>
      <c r="CR57" s="214">
        <v>0</v>
      </c>
      <c r="CS57" s="214">
        <v>0</v>
      </c>
      <c r="CT57" s="215">
        <v>3</v>
      </c>
      <c r="CU57" s="213" t="s">
        <v>532</v>
      </c>
      <c r="CV57" s="214">
        <v>3</v>
      </c>
      <c r="CW57" s="214">
        <v>0</v>
      </c>
      <c r="CX57" s="214">
        <v>0</v>
      </c>
      <c r="CY57" s="214">
        <v>0</v>
      </c>
      <c r="CZ57" s="214">
        <v>1</v>
      </c>
      <c r="DA57" s="214">
        <v>1</v>
      </c>
      <c r="DB57" s="214">
        <v>0</v>
      </c>
      <c r="DC57" s="214">
        <v>0</v>
      </c>
      <c r="DD57" s="215">
        <v>0</v>
      </c>
      <c r="DE57" s="213" t="s">
        <v>285</v>
      </c>
      <c r="DF57" s="214">
        <v>3</v>
      </c>
      <c r="DG57" s="214">
        <v>0</v>
      </c>
      <c r="DH57" s="214">
        <v>1</v>
      </c>
      <c r="DI57" s="214">
        <v>0</v>
      </c>
      <c r="DJ57" s="214">
        <v>0</v>
      </c>
      <c r="DK57" s="214">
        <v>0</v>
      </c>
      <c r="DL57" s="214">
        <v>0</v>
      </c>
      <c r="DM57" s="214">
        <v>0</v>
      </c>
      <c r="DN57" s="215">
        <v>1</v>
      </c>
      <c r="DO57" s="213" t="s">
        <v>535</v>
      </c>
      <c r="DP57" s="214">
        <v>4</v>
      </c>
      <c r="DQ57" s="214">
        <v>1</v>
      </c>
      <c r="DR57" s="214">
        <v>0</v>
      </c>
      <c r="DS57" s="214">
        <v>0</v>
      </c>
      <c r="DT57" s="214">
        <v>0</v>
      </c>
      <c r="DU57" s="214">
        <v>1</v>
      </c>
      <c r="DV57" s="214">
        <v>0</v>
      </c>
      <c r="DW57" s="214">
        <v>0</v>
      </c>
      <c r="DX57" s="215">
        <v>0</v>
      </c>
      <c r="DY57" s="249">
        <f>3+1/3</f>
        <v>3.3333333333333335</v>
      </c>
      <c r="DZ57" s="217">
        <v>2</v>
      </c>
      <c r="EA57" s="217">
        <v>0</v>
      </c>
      <c r="EB57" s="250">
        <f>5+2/3</f>
        <v>5.666666666666667</v>
      </c>
      <c r="EC57" s="217">
        <v>1</v>
      </c>
      <c r="ED57" s="219">
        <v>0</v>
      </c>
      <c r="EE57" s="220">
        <v>0</v>
      </c>
      <c r="EF57" s="217">
        <v>0</v>
      </c>
      <c r="EG57" s="217">
        <v>2</v>
      </c>
      <c r="EH57" s="217">
        <v>0</v>
      </c>
      <c r="EI57" s="217">
        <v>0</v>
      </c>
      <c r="EJ57" s="217">
        <v>0</v>
      </c>
      <c r="EK57" s="217">
        <v>0</v>
      </c>
      <c r="EL57" s="217">
        <v>0</v>
      </c>
      <c r="EM57" s="217">
        <v>0</v>
      </c>
      <c r="EN57" s="217"/>
      <c r="EO57" s="217"/>
      <c r="EP57" s="217"/>
      <c r="EQ57" s="217"/>
      <c r="ER57" s="219">
        <f t="shared" si="61"/>
        <v>2</v>
      </c>
      <c r="ES57" s="217">
        <v>0</v>
      </c>
      <c r="ET57" s="217">
        <v>1</v>
      </c>
      <c r="EU57" s="217">
        <v>0</v>
      </c>
      <c r="EV57" s="217">
        <v>2</v>
      </c>
      <c r="EW57" s="217">
        <v>0</v>
      </c>
      <c r="EX57" s="217">
        <v>0</v>
      </c>
      <c r="EY57" s="217">
        <v>0</v>
      </c>
      <c r="EZ57" s="217">
        <v>0</v>
      </c>
      <c r="FA57" s="217">
        <v>0</v>
      </c>
      <c r="FB57" s="217"/>
      <c r="FC57" s="217"/>
      <c r="FD57" s="217"/>
      <c r="FE57" s="217"/>
      <c r="FF57" s="217">
        <f t="shared" si="62"/>
        <v>3</v>
      </c>
      <c r="FG57" s="221">
        <f t="shared" si="63"/>
        <v>0</v>
      </c>
      <c r="FH57" s="221">
        <f t="shared" si="64"/>
        <v>0</v>
      </c>
      <c r="FI57" s="221">
        <f t="shared" si="65"/>
        <v>0</v>
      </c>
      <c r="FJ57" s="221">
        <f t="shared" si="66"/>
        <v>-1</v>
      </c>
      <c r="FK57" s="221">
        <f t="shared" si="67"/>
        <v>2</v>
      </c>
      <c r="FL57" s="221">
        <f t="shared" si="68"/>
        <v>-2</v>
      </c>
      <c r="FM57" s="221">
        <f t="shared" si="69"/>
        <v>0</v>
      </c>
      <c r="FN57" s="221">
        <f t="shared" si="70"/>
        <v>0</v>
      </c>
      <c r="FO57" s="221">
        <f t="shared" si="71"/>
        <v>0</v>
      </c>
      <c r="FP57" s="221">
        <f t="shared" si="72"/>
        <v>0</v>
      </c>
      <c r="FQ57" s="221">
        <f t="shared" si="73"/>
        <v>0</v>
      </c>
      <c r="FR57" s="221">
        <f t="shared" si="74"/>
        <v>0</v>
      </c>
      <c r="FS57" s="221">
        <f t="shared" si="75"/>
        <v>0</v>
      </c>
      <c r="FT57" s="221">
        <f t="shared" si="76"/>
        <v>0</v>
      </c>
      <c r="FU57" s="221">
        <f t="shared" si="77"/>
        <v>0</v>
      </c>
      <c r="FV57" s="221">
        <f t="shared" si="78"/>
        <v>-1</v>
      </c>
      <c r="FW57" s="222"/>
    </row>
    <row r="58" spans="1:179" x14ac:dyDescent="0.25">
      <c r="A58" s="204">
        <v>40334</v>
      </c>
      <c r="B58" s="204" t="s">
        <v>19</v>
      </c>
      <c r="C58" s="204" t="s">
        <v>131</v>
      </c>
      <c r="D58" s="204" t="s">
        <v>583</v>
      </c>
      <c r="E58" s="205">
        <v>4221</v>
      </c>
      <c r="F58" s="206">
        <v>3</v>
      </c>
      <c r="G58" s="207" t="s">
        <v>536</v>
      </c>
      <c r="H58" s="211">
        <v>0</v>
      </c>
      <c r="I58" s="211">
        <v>0</v>
      </c>
      <c r="J58" s="248">
        <f>3+1/3</f>
        <v>3.3333333333333335</v>
      </c>
      <c r="K58" s="211">
        <v>5</v>
      </c>
      <c r="L58" s="211">
        <v>7</v>
      </c>
      <c r="M58" s="211">
        <v>6</v>
      </c>
      <c r="N58" s="211">
        <v>3</v>
      </c>
      <c r="O58" s="211">
        <v>4</v>
      </c>
      <c r="P58" s="211">
        <v>1</v>
      </c>
      <c r="Q58" s="211">
        <v>1</v>
      </c>
      <c r="R58" s="211">
        <v>20</v>
      </c>
      <c r="S58" s="211"/>
      <c r="T58" s="211"/>
      <c r="U58" s="211">
        <v>1</v>
      </c>
      <c r="V58" s="210">
        <v>1</v>
      </c>
      <c r="W58" s="211">
        <v>0</v>
      </c>
      <c r="X58" s="211">
        <v>1</v>
      </c>
      <c r="Y58" s="211">
        <v>0</v>
      </c>
      <c r="Z58" s="211">
        <v>0</v>
      </c>
      <c r="AA58" s="211">
        <v>0</v>
      </c>
      <c r="AB58" s="248">
        <f>5+2/3</f>
        <v>5.666666666666667</v>
      </c>
      <c r="AC58" s="211">
        <v>6</v>
      </c>
      <c r="AD58" s="211">
        <v>8</v>
      </c>
      <c r="AE58" s="211">
        <v>2</v>
      </c>
      <c r="AF58" s="211">
        <v>8</v>
      </c>
      <c r="AG58" s="211">
        <v>7</v>
      </c>
      <c r="AH58" s="211">
        <v>1</v>
      </c>
      <c r="AI58" s="211">
        <v>1</v>
      </c>
      <c r="AJ58" s="211">
        <v>32</v>
      </c>
      <c r="AK58" s="211"/>
      <c r="AL58" s="211"/>
      <c r="AM58" s="213" t="s">
        <v>519</v>
      </c>
      <c r="AN58" s="214">
        <v>5</v>
      </c>
      <c r="AO58" s="214">
        <v>2</v>
      </c>
      <c r="AP58" s="214">
        <v>2</v>
      </c>
      <c r="AQ58" s="214">
        <v>1</v>
      </c>
      <c r="AR58" s="214">
        <v>0</v>
      </c>
      <c r="AS58" s="214">
        <v>2</v>
      </c>
      <c r="AT58" s="214">
        <v>0</v>
      </c>
      <c r="AU58" s="214">
        <v>0</v>
      </c>
      <c r="AV58" s="215">
        <v>5</v>
      </c>
      <c r="AW58" s="213" t="s">
        <v>534</v>
      </c>
      <c r="AX58" s="214">
        <v>5</v>
      </c>
      <c r="AY58" s="214">
        <v>2</v>
      </c>
      <c r="AZ58" s="214">
        <v>2</v>
      </c>
      <c r="BA58" s="214">
        <v>0</v>
      </c>
      <c r="BB58" s="214">
        <v>0</v>
      </c>
      <c r="BC58" s="214">
        <v>0</v>
      </c>
      <c r="BD58" s="214">
        <v>0</v>
      </c>
      <c r="BE58" s="214">
        <v>0</v>
      </c>
      <c r="BF58" s="215">
        <v>2</v>
      </c>
      <c r="BG58" s="213" t="s">
        <v>539</v>
      </c>
      <c r="BH58" s="214">
        <v>4</v>
      </c>
      <c r="BI58" s="214">
        <v>3</v>
      </c>
      <c r="BJ58" s="214">
        <v>4</v>
      </c>
      <c r="BK58" s="214">
        <v>1</v>
      </c>
      <c r="BL58" s="214">
        <v>1</v>
      </c>
      <c r="BM58" s="214">
        <v>0</v>
      </c>
      <c r="BN58" s="214">
        <v>0</v>
      </c>
      <c r="BO58" s="214">
        <v>0</v>
      </c>
      <c r="BP58" s="215">
        <v>6</v>
      </c>
      <c r="BQ58" s="213" t="s">
        <v>530</v>
      </c>
      <c r="BR58" s="214">
        <v>5</v>
      </c>
      <c r="BS58" s="214">
        <v>1</v>
      </c>
      <c r="BT58" s="214">
        <v>1</v>
      </c>
      <c r="BU58" s="214">
        <v>0</v>
      </c>
      <c r="BV58" s="214">
        <v>0</v>
      </c>
      <c r="BW58" s="214">
        <v>1</v>
      </c>
      <c r="BX58" s="214">
        <v>0</v>
      </c>
      <c r="BY58" s="214">
        <v>0</v>
      </c>
      <c r="BZ58" s="215">
        <v>1</v>
      </c>
      <c r="CA58" s="213" t="s">
        <v>426</v>
      </c>
      <c r="CB58" s="214">
        <v>5</v>
      </c>
      <c r="CC58" s="214">
        <v>1</v>
      </c>
      <c r="CD58" s="214">
        <v>1</v>
      </c>
      <c r="CE58" s="214">
        <v>1</v>
      </c>
      <c r="CF58" s="214">
        <v>0</v>
      </c>
      <c r="CG58" s="214">
        <v>1</v>
      </c>
      <c r="CH58" s="214">
        <v>0</v>
      </c>
      <c r="CI58" s="214">
        <v>0</v>
      </c>
      <c r="CJ58" s="215">
        <v>1</v>
      </c>
      <c r="CK58" s="213" t="s">
        <v>531</v>
      </c>
      <c r="CL58" s="214">
        <v>5</v>
      </c>
      <c r="CM58" s="214">
        <v>1</v>
      </c>
      <c r="CN58" s="214">
        <v>2</v>
      </c>
      <c r="CO58" s="214">
        <v>2</v>
      </c>
      <c r="CP58" s="214">
        <v>0</v>
      </c>
      <c r="CQ58" s="214">
        <v>0</v>
      </c>
      <c r="CR58" s="214">
        <v>0</v>
      </c>
      <c r="CS58" s="214">
        <v>0</v>
      </c>
      <c r="CT58" s="215">
        <v>2</v>
      </c>
      <c r="CU58" s="213" t="s">
        <v>532</v>
      </c>
      <c r="CV58" s="214">
        <v>3</v>
      </c>
      <c r="CW58" s="214">
        <v>0</v>
      </c>
      <c r="CX58" s="214">
        <v>1</v>
      </c>
      <c r="CY58" s="214">
        <v>2</v>
      </c>
      <c r="CZ58" s="214">
        <v>2</v>
      </c>
      <c r="DA58" s="214">
        <v>0</v>
      </c>
      <c r="DB58" s="214">
        <v>0</v>
      </c>
      <c r="DC58" s="214">
        <v>0</v>
      </c>
      <c r="DD58" s="215">
        <v>1</v>
      </c>
      <c r="DE58" s="213" t="s">
        <v>538</v>
      </c>
      <c r="DF58" s="214">
        <v>4</v>
      </c>
      <c r="DG58" s="214">
        <v>0</v>
      </c>
      <c r="DH58" s="214">
        <v>2</v>
      </c>
      <c r="DI58" s="214">
        <v>2</v>
      </c>
      <c r="DJ58" s="214">
        <v>0</v>
      </c>
      <c r="DK58" s="214">
        <v>1</v>
      </c>
      <c r="DL58" s="214">
        <v>0</v>
      </c>
      <c r="DM58" s="214">
        <v>0</v>
      </c>
      <c r="DN58" s="215">
        <v>2</v>
      </c>
      <c r="DO58" s="213" t="s">
        <v>535</v>
      </c>
      <c r="DP58" s="214">
        <v>4</v>
      </c>
      <c r="DQ58" s="214">
        <v>1</v>
      </c>
      <c r="DR58" s="214">
        <v>1</v>
      </c>
      <c r="DS58" s="214">
        <v>1</v>
      </c>
      <c r="DT58" s="214">
        <v>0</v>
      </c>
      <c r="DU58" s="214">
        <v>0</v>
      </c>
      <c r="DV58" s="214">
        <v>0</v>
      </c>
      <c r="DW58" s="214">
        <v>0</v>
      </c>
      <c r="DX58" s="215">
        <v>4</v>
      </c>
      <c r="DY58" s="249">
        <v>4</v>
      </c>
      <c r="DZ58" s="217">
        <v>0</v>
      </c>
      <c r="EA58" s="217">
        <v>1</v>
      </c>
      <c r="EB58" s="250">
        <v>5</v>
      </c>
      <c r="EC58" s="217">
        <v>2</v>
      </c>
      <c r="ED58" s="219">
        <v>0</v>
      </c>
      <c r="EE58" s="220">
        <v>3</v>
      </c>
      <c r="EF58" s="217">
        <v>0</v>
      </c>
      <c r="EG58" s="217">
        <v>0</v>
      </c>
      <c r="EH58" s="217">
        <v>0</v>
      </c>
      <c r="EI58" s="217">
        <v>4</v>
      </c>
      <c r="EJ58" s="217">
        <v>0</v>
      </c>
      <c r="EK58" s="217">
        <v>3</v>
      </c>
      <c r="EL58" s="217">
        <v>1</v>
      </c>
      <c r="EM58" s="217">
        <v>0</v>
      </c>
      <c r="EN58" s="217"/>
      <c r="EO58" s="217"/>
      <c r="EP58" s="217"/>
      <c r="EQ58" s="217"/>
      <c r="ER58" s="219">
        <f t="shared" si="61"/>
        <v>11</v>
      </c>
      <c r="ES58" s="217">
        <v>0</v>
      </c>
      <c r="ET58" s="217">
        <v>1</v>
      </c>
      <c r="EU58" s="217">
        <v>0</v>
      </c>
      <c r="EV58" s="217">
        <v>8</v>
      </c>
      <c r="EW58" s="217">
        <v>0</v>
      </c>
      <c r="EX58" s="217">
        <v>2</v>
      </c>
      <c r="EY58" s="217">
        <v>0</v>
      </c>
      <c r="EZ58" s="217">
        <v>0</v>
      </c>
      <c r="FA58" s="217">
        <v>4</v>
      </c>
      <c r="FB58" s="217"/>
      <c r="FC58" s="217"/>
      <c r="FD58" s="217"/>
      <c r="FE58" s="217"/>
      <c r="FF58" s="217">
        <f t="shared" si="62"/>
        <v>15</v>
      </c>
      <c r="FG58" s="221">
        <f t="shared" si="63"/>
        <v>0</v>
      </c>
      <c r="FH58" s="221">
        <f t="shared" si="64"/>
        <v>0</v>
      </c>
      <c r="FI58" s="221">
        <f t="shared" si="65"/>
        <v>3</v>
      </c>
      <c r="FJ58" s="221">
        <f t="shared" si="66"/>
        <v>-1</v>
      </c>
      <c r="FK58" s="221">
        <f t="shared" si="67"/>
        <v>0</v>
      </c>
      <c r="FL58" s="221">
        <f t="shared" si="68"/>
        <v>-8</v>
      </c>
      <c r="FM58" s="221">
        <f t="shared" si="69"/>
        <v>4</v>
      </c>
      <c r="FN58" s="221">
        <f t="shared" si="70"/>
        <v>-2</v>
      </c>
      <c r="FO58" s="221">
        <f t="shared" si="71"/>
        <v>3</v>
      </c>
      <c r="FP58" s="221">
        <f t="shared" si="72"/>
        <v>1</v>
      </c>
      <c r="FQ58" s="221">
        <f t="shared" si="73"/>
        <v>-4</v>
      </c>
      <c r="FR58" s="221">
        <f t="shared" si="74"/>
        <v>0</v>
      </c>
      <c r="FS58" s="221">
        <f t="shared" si="75"/>
        <v>0</v>
      </c>
      <c r="FT58" s="221">
        <f t="shared" si="76"/>
        <v>0</v>
      </c>
      <c r="FU58" s="221">
        <f t="shared" si="77"/>
        <v>0</v>
      </c>
      <c r="FV58" s="221">
        <f t="shared" si="78"/>
        <v>-4</v>
      </c>
      <c r="FW58" s="222"/>
    </row>
    <row r="59" spans="1:179" x14ac:dyDescent="0.25">
      <c r="A59" s="204">
        <v>40335</v>
      </c>
      <c r="B59" s="204" t="s">
        <v>19</v>
      </c>
      <c r="C59" s="204" t="s">
        <v>129</v>
      </c>
      <c r="D59" s="204" t="s">
        <v>583</v>
      </c>
      <c r="E59" s="205">
        <v>2779</v>
      </c>
      <c r="F59" s="206">
        <v>4</v>
      </c>
      <c r="G59" s="207" t="s">
        <v>545</v>
      </c>
      <c r="H59" s="211">
        <v>1</v>
      </c>
      <c r="I59" s="211">
        <v>0</v>
      </c>
      <c r="J59" s="248">
        <v>6</v>
      </c>
      <c r="K59" s="211">
        <v>8</v>
      </c>
      <c r="L59" s="211">
        <v>4</v>
      </c>
      <c r="M59" s="211">
        <v>2</v>
      </c>
      <c r="N59" s="211">
        <v>0</v>
      </c>
      <c r="O59" s="211">
        <v>6</v>
      </c>
      <c r="P59" s="211">
        <v>1</v>
      </c>
      <c r="Q59" s="211">
        <v>0</v>
      </c>
      <c r="R59" s="211">
        <v>27</v>
      </c>
      <c r="S59" s="211"/>
      <c r="T59" s="211"/>
      <c r="U59" s="211">
        <v>0</v>
      </c>
      <c r="V59" s="210">
        <v>0</v>
      </c>
      <c r="W59" s="211">
        <v>0</v>
      </c>
      <c r="X59" s="211">
        <v>0</v>
      </c>
      <c r="Y59" s="211">
        <v>1</v>
      </c>
      <c r="Z59" s="211">
        <v>0</v>
      </c>
      <c r="AA59" s="211">
        <v>0</v>
      </c>
      <c r="AB59" s="248">
        <v>3</v>
      </c>
      <c r="AC59" s="211">
        <v>2</v>
      </c>
      <c r="AD59" s="211">
        <v>2</v>
      </c>
      <c r="AE59" s="211">
        <v>1</v>
      </c>
      <c r="AF59" s="211">
        <v>2</v>
      </c>
      <c r="AG59" s="211">
        <v>4</v>
      </c>
      <c r="AH59" s="211">
        <v>0</v>
      </c>
      <c r="AI59" s="211">
        <v>0</v>
      </c>
      <c r="AJ59" s="211">
        <v>14</v>
      </c>
      <c r="AK59" s="211"/>
      <c r="AL59" s="211"/>
      <c r="AM59" s="213" t="s">
        <v>519</v>
      </c>
      <c r="AN59" s="214">
        <v>5</v>
      </c>
      <c r="AO59" s="214">
        <v>0</v>
      </c>
      <c r="AP59" s="214">
        <v>0</v>
      </c>
      <c r="AQ59" s="214">
        <v>0</v>
      </c>
      <c r="AR59" s="214">
        <v>0</v>
      </c>
      <c r="AS59" s="214">
        <v>2</v>
      </c>
      <c r="AT59" s="214">
        <v>0</v>
      </c>
      <c r="AU59" s="214">
        <v>0</v>
      </c>
      <c r="AV59" s="215">
        <v>0</v>
      </c>
      <c r="AW59" s="213" t="s">
        <v>534</v>
      </c>
      <c r="AX59" s="214">
        <v>5</v>
      </c>
      <c r="AY59" s="214">
        <v>1</v>
      </c>
      <c r="AZ59" s="214">
        <v>2</v>
      </c>
      <c r="BA59" s="214">
        <v>2</v>
      </c>
      <c r="BB59" s="214">
        <v>0</v>
      </c>
      <c r="BC59" s="214">
        <v>1</v>
      </c>
      <c r="BD59" s="214">
        <v>0</v>
      </c>
      <c r="BE59" s="214">
        <v>0</v>
      </c>
      <c r="BF59" s="215">
        <v>2</v>
      </c>
      <c r="BG59" s="213" t="s">
        <v>531</v>
      </c>
      <c r="BH59" s="214">
        <v>5</v>
      </c>
      <c r="BI59" s="214">
        <v>2</v>
      </c>
      <c r="BJ59" s="214">
        <v>2</v>
      </c>
      <c r="BK59" s="214">
        <v>3</v>
      </c>
      <c r="BL59" s="214">
        <v>0</v>
      </c>
      <c r="BM59" s="214">
        <v>2</v>
      </c>
      <c r="BN59" s="214">
        <v>0</v>
      </c>
      <c r="BO59" s="214">
        <v>0</v>
      </c>
      <c r="BP59" s="215">
        <v>8</v>
      </c>
      <c r="BQ59" s="213" t="s">
        <v>539</v>
      </c>
      <c r="BR59" s="214">
        <v>3</v>
      </c>
      <c r="BS59" s="214">
        <v>2</v>
      </c>
      <c r="BT59" s="214">
        <v>1</v>
      </c>
      <c r="BU59" s="214">
        <v>0</v>
      </c>
      <c r="BV59" s="214">
        <v>2</v>
      </c>
      <c r="BW59" s="214">
        <v>0</v>
      </c>
      <c r="BX59" s="214">
        <v>0</v>
      </c>
      <c r="BY59" s="214">
        <v>0</v>
      </c>
      <c r="BZ59" s="215">
        <v>1</v>
      </c>
      <c r="CA59" s="213" t="s">
        <v>543</v>
      </c>
      <c r="CB59" s="214">
        <v>5</v>
      </c>
      <c r="CC59" s="214">
        <v>2</v>
      </c>
      <c r="CD59" s="214">
        <v>3</v>
      </c>
      <c r="CE59" s="214">
        <v>0</v>
      </c>
      <c r="CF59" s="214">
        <v>0</v>
      </c>
      <c r="CG59" s="214">
        <v>1</v>
      </c>
      <c r="CH59" s="214">
        <v>0</v>
      </c>
      <c r="CI59" s="214">
        <v>0</v>
      </c>
      <c r="CJ59" s="215">
        <v>4</v>
      </c>
      <c r="CK59" s="213" t="s">
        <v>549</v>
      </c>
      <c r="CL59" s="214">
        <v>4</v>
      </c>
      <c r="CM59" s="214">
        <v>2</v>
      </c>
      <c r="CN59" s="214">
        <v>1</v>
      </c>
      <c r="CO59" s="214">
        <v>2</v>
      </c>
      <c r="CP59" s="214">
        <v>1</v>
      </c>
      <c r="CQ59" s="214">
        <v>0</v>
      </c>
      <c r="CR59" s="214">
        <v>0</v>
      </c>
      <c r="CS59" s="214">
        <v>0</v>
      </c>
      <c r="CT59" s="215">
        <v>1</v>
      </c>
      <c r="CU59" s="213" t="s">
        <v>532</v>
      </c>
      <c r="CV59" s="214">
        <v>2</v>
      </c>
      <c r="CW59" s="214">
        <v>0</v>
      </c>
      <c r="CX59" s="214">
        <v>1</v>
      </c>
      <c r="CY59" s="214">
        <v>0</v>
      </c>
      <c r="CZ59" s="214">
        <v>2</v>
      </c>
      <c r="DA59" s="214">
        <v>0</v>
      </c>
      <c r="DB59" s="214">
        <v>0</v>
      </c>
      <c r="DC59" s="214">
        <v>0</v>
      </c>
      <c r="DD59" s="215">
        <v>1</v>
      </c>
      <c r="DE59" s="213" t="s">
        <v>538</v>
      </c>
      <c r="DF59" s="214">
        <v>3</v>
      </c>
      <c r="DG59" s="214">
        <v>1</v>
      </c>
      <c r="DH59" s="214">
        <v>1</v>
      </c>
      <c r="DI59" s="214">
        <v>1</v>
      </c>
      <c r="DJ59" s="214">
        <v>1</v>
      </c>
      <c r="DK59" s="214">
        <v>0</v>
      </c>
      <c r="DL59" s="214">
        <v>0</v>
      </c>
      <c r="DM59" s="214">
        <v>0</v>
      </c>
      <c r="DN59" s="215">
        <v>2</v>
      </c>
      <c r="DO59" s="213" t="s">
        <v>535</v>
      </c>
      <c r="DP59" s="214">
        <v>3</v>
      </c>
      <c r="DQ59" s="214">
        <v>1</v>
      </c>
      <c r="DR59" s="214">
        <v>0</v>
      </c>
      <c r="DS59" s="214">
        <v>0</v>
      </c>
      <c r="DT59" s="214">
        <v>1</v>
      </c>
      <c r="DU59" s="214">
        <v>1</v>
      </c>
      <c r="DV59" s="214">
        <v>0</v>
      </c>
      <c r="DW59" s="214">
        <v>0</v>
      </c>
      <c r="DX59" s="215">
        <v>0</v>
      </c>
      <c r="DY59" s="249">
        <f>2+1/3</f>
        <v>2.3333333333333335</v>
      </c>
      <c r="DZ59" s="217">
        <v>2</v>
      </c>
      <c r="EA59" s="217">
        <v>0</v>
      </c>
      <c r="EB59" s="250">
        <f>5+2/3</f>
        <v>5.666666666666667</v>
      </c>
      <c r="EC59" s="217">
        <v>2</v>
      </c>
      <c r="ED59" s="219">
        <v>0</v>
      </c>
      <c r="EE59" s="220">
        <v>0</v>
      </c>
      <c r="EF59" s="217">
        <v>5</v>
      </c>
      <c r="EG59" s="217">
        <v>0</v>
      </c>
      <c r="EH59" s="217">
        <v>0</v>
      </c>
      <c r="EI59" s="217">
        <v>1</v>
      </c>
      <c r="EJ59" s="217">
        <v>0</v>
      </c>
      <c r="EK59" s="217">
        <v>5</v>
      </c>
      <c r="EL59" s="217">
        <v>0</v>
      </c>
      <c r="EM59" s="217"/>
      <c r="EN59" s="217"/>
      <c r="EO59" s="217"/>
      <c r="EP59" s="217"/>
      <c r="EQ59" s="217"/>
      <c r="ER59" s="219">
        <f t="shared" si="61"/>
        <v>11</v>
      </c>
      <c r="ES59" s="217">
        <v>2</v>
      </c>
      <c r="ET59" s="217">
        <v>1</v>
      </c>
      <c r="EU59" s="217">
        <v>1</v>
      </c>
      <c r="EV59" s="217">
        <v>0</v>
      </c>
      <c r="EW59" s="217">
        <v>0</v>
      </c>
      <c r="EX59" s="217">
        <v>0</v>
      </c>
      <c r="EY59" s="217">
        <v>0</v>
      </c>
      <c r="EZ59" s="217">
        <v>1</v>
      </c>
      <c r="FA59" s="217">
        <v>1</v>
      </c>
      <c r="FB59" s="217"/>
      <c r="FC59" s="217"/>
      <c r="FD59" s="217"/>
      <c r="FE59" s="217"/>
      <c r="FF59" s="217">
        <f t="shared" si="62"/>
        <v>6</v>
      </c>
      <c r="FG59" s="221">
        <f t="shared" si="63"/>
        <v>0</v>
      </c>
      <c r="FH59" s="221">
        <f t="shared" si="64"/>
        <v>0</v>
      </c>
      <c r="FI59" s="221">
        <f t="shared" si="65"/>
        <v>-2</v>
      </c>
      <c r="FJ59" s="221">
        <f t="shared" si="66"/>
        <v>4</v>
      </c>
      <c r="FK59" s="221">
        <f t="shared" si="67"/>
        <v>-1</v>
      </c>
      <c r="FL59" s="221">
        <f t="shared" si="68"/>
        <v>0</v>
      </c>
      <c r="FM59" s="221">
        <f t="shared" si="69"/>
        <v>1</v>
      </c>
      <c r="FN59" s="221">
        <f t="shared" si="70"/>
        <v>0</v>
      </c>
      <c r="FO59" s="221">
        <f t="shared" si="71"/>
        <v>5</v>
      </c>
      <c r="FP59" s="221">
        <f t="shared" si="72"/>
        <v>-1</v>
      </c>
      <c r="FQ59" s="221">
        <f t="shared" si="73"/>
        <v>-1</v>
      </c>
      <c r="FR59" s="221">
        <f t="shared" si="74"/>
        <v>0</v>
      </c>
      <c r="FS59" s="221">
        <f t="shared" si="75"/>
        <v>0</v>
      </c>
      <c r="FT59" s="221">
        <f t="shared" si="76"/>
        <v>0</v>
      </c>
      <c r="FU59" s="221">
        <f t="shared" si="77"/>
        <v>0</v>
      </c>
      <c r="FV59" s="221">
        <f t="shared" si="78"/>
        <v>5</v>
      </c>
      <c r="FW59" s="222" t="s">
        <v>587</v>
      </c>
    </row>
    <row r="60" spans="1:179" x14ac:dyDescent="0.25">
      <c r="A60" s="204">
        <v>40338</v>
      </c>
      <c r="B60" s="204" t="s">
        <v>133</v>
      </c>
      <c r="C60" s="204" t="s">
        <v>129</v>
      </c>
      <c r="D60" s="204" t="s">
        <v>584</v>
      </c>
      <c r="E60" s="205"/>
      <c r="F60" s="206">
        <v>5</v>
      </c>
      <c r="G60" s="207" t="s">
        <v>546</v>
      </c>
      <c r="H60" s="211">
        <v>0</v>
      </c>
      <c r="I60" s="211">
        <v>0</v>
      </c>
      <c r="J60" s="248">
        <f>4+2/3</f>
        <v>4.666666666666667</v>
      </c>
      <c r="K60" s="211">
        <v>1</v>
      </c>
      <c r="L60" s="211">
        <v>3</v>
      </c>
      <c r="M60" s="211">
        <v>1</v>
      </c>
      <c r="N60" s="211">
        <v>5</v>
      </c>
      <c r="O60" s="211">
        <v>5</v>
      </c>
      <c r="P60" s="211">
        <v>0</v>
      </c>
      <c r="Q60" s="211">
        <v>0</v>
      </c>
      <c r="R60" s="211">
        <v>22</v>
      </c>
      <c r="S60" s="211"/>
      <c r="T60" s="211"/>
      <c r="U60" s="211">
        <v>1</v>
      </c>
      <c r="V60" s="210">
        <v>0</v>
      </c>
      <c r="W60" s="211">
        <v>1</v>
      </c>
      <c r="X60" s="211">
        <v>0</v>
      </c>
      <c r="Y60" s="211">
        <v>0</v>
      </c>
      <c r="Z60" s="211">
        <v>0</v>
      </c>
      <c r="AA60" s="211">
        <v>0</v>
      </c>
      <c r="AB60" s="248">
        <f>2+1/3</f>
        <v>2.3333333333333335</v>
      </c>
      <c r="AC60" s="211">
        <v>2</v>
      </c>
      <c r="AD60" s="211">
        <v>2</v>
      </c>
      <c r="AE60" s="211">
        <v>2</v>
      </c>
      <c r="AF60" s="211">
        <v>2</v>
      </c>
      <c r="AG60" s="211">
        <v>1</v>
      </c>
      <c r="AH60" s="211">
        <v>0</v>
      </c>
      <c r="AI60" s="211">
        <v>0</v>
      </c>
      <c r="AJ60" s="211">
        <v>11</v>
      </c>
      <c r="AK60" s="211"/>
      <c r="AL60" s="211"/>
      <c r="AM60" s="213" t="s">
        <v>519</v>
      </c>
      <c r="AN60" s="214">
        <v>4</v>
      </c>
      <c r="AO60" s="214">
        <v>3</v>
      </c>
      <c r="AP60" s="214">
        <v>2</v>
      </c>
      <c r="AQ60" s="214">
        <v>2</v>
      </c>
      <c r="AR60" s="214">
        <v>1</v>
      </c>
      <c r="AS60" s="214">
        <v>0</v>
      </c>
      <c r="AT60" s="214">
        <v>0</v>
      </c>
      <c r="AU60" s="214">
        <v>0</v>
      </c>
      <c r="AV60" s="215">
        <v>2</v>
      </c>
      <c r="AW60" s="213" t="s">
        <v>534</v>
      </c>
      <c r="AX60" s="214">
        <v>5</v>
      </c>
      <c r="AY60" s="214">
        <v>2</v>
      </c>
      <c r="AZ60" s="214">
        <v>1</v>
      </c>
      <c r="BA60" s="214">
        <v>0</v>
      </c>
      <c r="BB60" s="214">
        <v>0</v>
      </c>
      <c r="BC60" s="214">
        <v>0</v>
      </c>
      <c r="BD60" s="214">
        <v>0</v>
      </c>
      <c r="BE60" s="214">
        <v>0</v>
      </c>
      <c r="BF60" s="215">
        <v>1</v>
      </c>
      <c r="BG60" s="213" t="s">
        <v>531</v>
      </c>
      <c r="BH60" s="214">
        <v>5</v>
      </c>
      <c r="BI60" s="214">
        <v>3</v>
      </c>
      <c r="BJ60" s="214">
        <v>3</v>
      </c>
      <c r="BK60" s="214">
        <v>4</v>
      </c>
      <c r="BL60" s="214">
        <v>0</v>
      </c>
      <c r="BM60" s="214">
        <v>1</v>
      </c>
      <c r="BN60" s="214">
        <v>0</v>
      </c>
      <c r="BO60" s="214">
        <v>0</v>
      </c>
      <c r="BP60" s="215">
        <v>6</v>
      </c>
      <c r="BQ60" s="213" t="s">
        <v>539</v>
      </c>
      <c r="BR60" s="214">
        <v>2</v>
      </c>
      <c r="BS60" s="214">
        <v>2</v>
      </c>
      <c r="BT60" s="214">
        <v>1</v>
      </c>
      <c r="BU60" s="214">
        <v>1</v>
      </c>
      <c r="BV60" s="214">
        <v>3</v>
      </c>
      <c r="BW60" s="214">
        <v>0</v>
      </c>
      <c r="BX60" s="214">
        <v>0</v>
      </c>
      <c r="BY60" s="214">
        <v>0</v>
      </c>
      <c r="BZ60" s="215">
        <v>1</v>
      </c>
      <c r="CA60" s="213" t="s">
        <v>530</v>
      </c>
      <c r="CB60" s="214">
        <v>5</v>
      </c>
      <c r="CC60" s="214">
        <v>2</v>
      </c>
      <c r="CD60" s="214">
        <v>2</v>
      </c>
      <c r="CE60" s="214">
        <v>6</v>
      </c>
      <c r="CF60" s="214">
        <v>0</v>
      </c>
      <c r="CG60" s="214">
        <v>0</v>
      </c>
      <c r="CH60" s="214">
        <v>0</v>
      </c>
      <c r="CI60" s="214">
        <v>0</v>
      </c>
      <c r="CJ60" s="215">
        <v>6</v>
      </c>
      <c r="CK60" s="213" t="s">
        <v>561</v>
      </c>
      <c r="CL60" s="214">
        <v>5</v>
      </c>
      <c r="CM60" s="214">
        <v>2</v>
      </c>
      <c r="CN60" s="214">
        <v>2</v>
      </c>
      <c r="CO60" s="214">
        <v>1</v>
      </c>
      <c r="CP60" s="214">
        <v>0</v>
      </c>
      <c r="CQ60" s="214">
        <v>1</v>
      </c>
      <c r="CR60" s="214">
        <v>0</v>
      </c>
      <c r="CS60" s="214">
        <v>0</v>
      </c>
      <c r="CT60" s="215">
        <v>3</v>
      </c>
      <c r="CU60" s="213" t="s">
        <v>532</v>
      </c>
      <c r="CV60" s="214">
        <v>4</v>
      </c>
      <c r="CW60" s="214">
        <v>1</v>
      </c>
      <c r="CX60" s="214">
        <v>3</v>
      </c>
      <c r="CY60" s="214">
        <v>1</v>
      </c>
      <c r="CZ60" s="214">
        <v>1</v>
      </c>
      <c r="DA60" s="214">
        <v>1</v>
      </c>
      <c r="DB60" s="214">
        <v>0</v>
      </c>
      <c r="DC60" s="214">
        <v>0</v>
      </c>
      <c r="DD60" s="215">
        <v>4</v>
      </c>
      <c r="DE60" s="213" t="s">
        <v>538</v>
      </c>
      <c r="DF60" s="214">
        <v>4</v>
      </c>
      <c r="DG60" s="214">
        <v>1</v>
      </c>
      <c r="DH60" s="214">
        <v>0</v>
      </c>
      <c r="DI60" s="214">
        <v>0</v>
      </c>
      <c r="DJ60" s="214">
        <v>1</v>
      </c>
      <c r="DK60" s="214">
        <v>0</v>
      </c>
      <c r="DL60" s="214">
        <v>0</v>
      </c>
      <c r="DM60" s="214">
        <v>0</v>
      </c>
      <c r="DN60" s="215">
        <v>0</v>
      </c>
      <c r="DO60" s="213" t="s">
        <v>535</v>
      </c>
      <c r="DP60" s="214">
        <v>2</v>
      </c>
      <c r="DQ60" s="214">
        <v>1</v>
      </c>
      <c r="DR60" s="214">
        <v>1</v>
      </c>
      <c r="DS60" s="214">
        <v>1</v>
      </c>
      <c r="DT60" s="214">
        <v>2</v>
      </c>
      <c r="DU60" s="214">
        <v>1</v>
      </c>
      <c r="DV60" s="214">
        <v>0</v>
      </c>
      <c r="DW60" s="214">
        <v>0</v>
      </c>
      <c r="DX60" s="215">
        <v>1</v>
      </c>
      <c r="DY60" s="249">
        <f>0+2/3</f>
        <v>0.66666666666666663</v>
      </c>
      <c r="DZ60" s="217">
        <v>0</v>
      </c>
      <c r="EA60" s="217">
        <v>0</v>
      </c>
      <c r="EB60" s="250">
        <f>6+1/3</f>
        <v>6.333333333333333</v>
      </c>
      <c r="EC60" s="217">
        <v>1</v>
      </c>
      <c r="ED60" s="219">
        <v>1</v>
      </c>
      <c r="EE60" s="220">
        <v>0</v>
      </c>
      <c r="EF60" s="217">
        <v>0</v>
      </c>
      <c r="EG60" s="217">
        <v>4</v>
      </c>
      <c r="EH60" s="217">
        <v>0</v>
      </c>
      <c r="EI60" s="217">
        <v>0</v>
      </c>
      <c r="EJ60" s="217">
        <v>6</v>
      </c>
      <c r="EK60" s="217">
        <v>7</v>
      </c>
      <c r="EL60" s="217"/>
      <c r="EM60" s="217"/>
      <c r="EN60" s="217"/>
      <c r="EO60" s="217"/>
      <c r="EP60" s="217"/>
      <c r="EQ60" s="217"/>
      <c r="ER60" s="219">
        <f t="shared" si="61"/>
        <v>17</v>
      </c>
      <c r="ES60" s="217">
        <v>2</v>
      </c>
      <c r="ET60" s="217">
        <v>0</v>
      </c>
      <c r="EU60" s="217">
        <v>0</v>
      </c>
      <c r="EV60" s="217">
        <v>0</v>
      </c>
      <c r="EW60" s="217">
        <v>1</v>
      </c>
      <c r="EX60" s="217">
        <v>2</v>
      </c>
      <c r="EY60" s="217">
        <v>0</v>
      </c>
      <c r="EZ60" s="217"/>
      <c r="FA60" s="217"/>
      <c r="FB60" s="217"/>
      <c r="FC60" s="217"/>
      <c r="FD60" s="217"/>
      <c r="FE60" s="217"/>
      <c r="FF60" s="217">
        <f t="shared" si="62"/>
        <v>5</v>
      </c>
      <c r="FG60" s="221">
        <f t="shared" si="63"/>
        <v>0</v>
      </c>
      <c r="FH60" s="221">
        <f t="shared" si="64"/>
        <v>0</v>
      </c>
      <c r="FI60" s="221">
        <f t="shared" si="65"/>
        <v>-2</v>
      </c>
      <c r="FJ60" s="221">
        <f t="shared" si="66"/>
        <v>0</v>
      </c>
      <c r="FK60" s="221">
        <f t="shared" si="67"/>
        <v>4</v>
      </c>
      <c r="FL60" s="221">
        <f t="shared" si="68"/>
        <v>0</v>
      </c>
      <c r="FM60" s="221">
        <f t="shared" si="69"/>
        <v>-1</v>
      </c>
      <c r="FN60" s="221">
        <f t="shared" si="70"/>
        <v>4</v>
      </c>
      <c r="FO60" s="221">
        <f t="shared" si="71"/>
        <v>7</v>
      </c>
      <c r="FP60" s="221">
        <f t="shared" si="72"/>
        <v>0</v>
      </c>
      <c r="FQ60" s="221">
        <f t="shared" si="73"/>
        <v>0</v>
      </c>
      <c r="FR60" s="221">
        <f t="shared" si="74"/>
        <v>0</v>
      </c>
      <c r="FS60" s="221">
        <f t="shared" si="75"/>
        <v>0</v>
      </c>
      <c r="FT60" s="221">
        <f t="shared" si="76"/>
        <v>0</v>
      </c>
      <c r="FU60" s="221">
        <f t="shared" si="77"/>
        <v>0</v>
      </c>
      <c r="FV60" s="221">
        <f t="shared" si="78"/>
        <v>12</v>
      </c>
      <c r="FW60" s="222" t="s">
        <v>475</v>
      </c>
    </row>
    <row r="61" spans="1:179" x14ac:dyDescent="0.25">
      <c r="A61" s="204">
        <v>40338</v>
      </c>
      <c r="B61" s="204" t="s">
        <v>133</v>
      </c>
      <c r="C61" s="204" t="s">
        <v>131</v>
      </c>
      <c r="D61" s="204" t="s">
        <v>584</v>
      </c>
      <c r="E61" s="205">
        <v>1921</v>
      </c>
      <c r="F61" s="206">
        <v>1</v>
      </c>
      <c r="G61" s="207" t="s">
        <v>540</v>
      </c>
      <c r="H61" s="211">
        <v>0</v>
      </c>
      <c r="I61" s="211">
        <v>1</v>
      </c>
      <c r="J61" s="248">
        <v>6</v>
      </c>
      <c r="K61" s="211">
        <v>5</v>
      </c>
      <c r="L61" s="211">
        <v>4</v>
      </c>
      <c r="M61" s="211">
        <v>4</v>
      </c>
      <c r="N61" s="211">
        <v>2</v>
      </c>
      <c r="O61" s="211">
        <v>4</v>
      </c>
      <c r="P61" s="211">
        <v>1</v>
      </c>
      <c r="Q61" s="211">
        <v>0</v>
      </c>
      <c r="R61" s="211">
        <v>24</v>
      </c>
      <c r="S61" s="211"/>
      <c r="T61" s="211"/>
      <c r="U61" s="211">
        <v>0</v>
      </c>
      <c r="V61" s="210">
        <v>0</v>
      </c>
      <c r="W61" s="211">
        <v>0</v>
      </c>
      <c r="X61" s="211">
        <v>0</v>
      </c>
      <c r="Y61" s="211">
        <v>0</v>
      </c>
      <c r="Z61" s="211">
        <v>0</v>
      </c>
      <c r="AA61" s="211">
        <v>0</v>
      </c>
      <c r="AB61" s="248">
        <v>0</v>
      </c>
      <c r="AC61" s="211">
        <v>0</v>
      </c>
      <c r="AD61" s="211">
        <v>0</v>
      </c>
      <c r="AE61" s="211">
        <v>0</v>
      </c>
      <c r="AF61" s="211">
        <v>0</v>
      </c>
      <c r="AG61" s="211">
        <v>0</v>
      </c>
      <c r="AH61" s="211">
        <v>0</v>
      </c>
      <c r="AI61" s="211">
        <v>0</v>
      </c>
      <c r="AJ61" s="211">
        <v>0</v>
      </c>
      <c r="AK61" s="211"/>
      <c r="AL61" s="211"/>
      <c r="AM61" s="213" t="s">
        <v>519</v>
      </c>
      <c r="AN61" s="214">
        <v>4</v>
      </c>
      <c r="AO61" s="214">
        <v>0</v>
      </c>
      <c r="AP61" s="214">
        <v>1</v>
      </c>
      <c r="AQ61" s="214">
        <v>1</v>
      </c>
      <c r="AR61" s="214">
        <v>0</v>
      </c>
      <c r="AS61" s="214">
        <v>3</v>
      </c>
      <c r="AT61" s="214">
        <v>0</v>
      </c>
      <c r="AU61" s="214">
        <v>0</v>
      </c>
      <c r="AV61" s="215">
        <v>1</v>
      </c>
      <c r="AW61" s="213" t="s">
        <v>534</v>
      </c>
      <c r="AX61" s="214">
        <v>2</v>
      </c>
      <c r="AY61" s="214">
        <v>0</v>
      </c>
      <c r="AZ61" s="214">
        <v>0</v>
      </c>
      <c r="BA61" s="214">
        <v>0</v>
      </c>
      <c r="BB61" s="214">
        <v>1</v>
      </c>
      <c r="BC61" s="214">
        <v>0</v>
      </c>
      <c r="BD61" s="214">
        <v>0</v>
      </c>
      <c r="BE61" s="214">
        <v>0</v>
      </c>
      <c r="BF61" s="215">
        <v>0</v>
      </c>
      <c r="BG61" s="213" t="s">
        <v>531</v>
      </c>
      <c r="BH61" s="214">
        <v>3</v>
      </c>
      <c r="BI61" s="214">
        <v>0</v>
      </c>
      <c r="BJ61" s="214">
        <v>0</v>
      </c>
      <c r="BK61" s="214">
        <v>0</v>
      </c>
      <c r="BL61" s="214">
        <v>0</v>
      </c>
      <c r="BM61" s="214">
        <v>0</v>
      </c>
      <c r="BN61" s="214">
        <v>0</v>
      </c>
      <c r="BO61" s="214">
        <v>0</v>
      </c>
      <c r="BP61" s="215">
        <v>0</v>
      </c>
      <c r="BQ61" s="213" t="s">
        <v>539</v>
      </c>
      <c r="BR61" s="214">
        <v>2</v>
      </c>
      <c r="BS61" s="214">
        <v>0</v>
      </c>
      <c r="BT61" s="214">
        <v>0</v>
      </c>
      <c r="BU61" s="214">
        <v>0</v>
      </c>
      <c r="BV61" s="214">
        <v>1</v>
      </c>
      <c r="BW61" s="214">
        <v>1</v>
      </c>
      <c r="BX61" s="214">
        <v>0</v>
      </c>
      <c r="BY61" s="214">
        <v>0</v>
      </c>
      <c r="BZ61" s="215">
        <v>0</v>
      </c>
      <c r="CA61" s="213" t="s">
        <v>543</v>
      </c>
      <c r="CB61" s="214">
        <v>3</v>
      </c>
      <c r="CC61" s="214">
        <v>0</v>
      </c>
      <c r="CD61" s="214">
        <v>0</v>
      </c>
      <c r="CE61" s="214">
        <v>0</v>
      </c>
      <c r="CF61" s="214">
        <v>0</v>
      </c>
      <c r="CG61" s="214">
        <v>0</v>
      </c>
      <c r="CH61" s="214">
        <v>0</v>
      </c>
      <c r="CI61" s="214">
        <v>0</v>
      </c>
      <c r="CJ61" s="215">
        <v>0</v>
      </c>
      <c r="CK61" s="213" t="s">
        <v>426</v>
      </c>
      <c r="CL61" s="214">
        <v>2</v>
      </c>
      <c r="CM61" s="214">
        <v>0</v>
      </c>
      <c r="CN61" s="214">
        <v>0</v>
      </c>
      <c r="CO61" s="214">
        <v>0</v>
      </c>
      <c r="CP61" s="214">
        <v>1</v>
      </c>
      <c r="CQ61" s="214">
        <v>0</v>
      </c>
      <c r="CR61" s="214">
        <v>0</v>
      </c>
      <c r="CS61" s="214">
        <v>0</v>
      </c>
      <c r="CT61" s="215">
        <v>0</v>
      </c>
      <c r="CU61" s="213" t="s">
        <v>549</v>
      </c>
      <c r="CV61" s="214">
        <v>3</v>
      </c>
      <c r="CW61" s="214">
        <v>0</v>
      </c>
      <c r="CX61" s="214">
        <v>1</v>
      </c>
      <c r="CY61" s="214">
        <v>0</v>
      </c>
      <c r="CZ61" s="214">
        <v>0</v>
      </c>
      <c r="DA61" s="214">
        <v>0</v>
      </c>
      <c r="DB61" s="214">
        <v>0</v>
      </c>
      <c r="DC61" s="214">
        <v>0</v>
      </c>
      <c r="DD61" s="215">
        <v>1</v>
      </c>
      <c r="DE61" s="213" t="s">
        <v>285</v>
      </c>
      <c r="DF61" s="214">
        <v>3</v>
      </c>
      <c r="DG61" s="214">
        <v>0</v>
      </c>
      <c r="DH61" s="214">
        <v>1</v>
      </c>
      <c r="DI61" s="214">
        <v>0</v>
      </c>
      <c r="DJ61" s="214">
        <v>0</v>
      </c>
      <c r="DK61" s="214">
        <v>1</v>
      </c>
      <c r="DL61" s="214">
        <v>0</v>
      </c>
      <c r="DM61" s="214">
        <v>0</v>
      </c>
      <c r="DN61" s="215">
        <v>1</v>
      </c>
      <c r="DO61" s="213" t="s">
        <v>535</v>
      </c>
      <c r="DP61" s="214">
        <v>3</v>
      </c>
      <c r="DQ61" s="214">
        <v>1</v>
      </c>
      <c r="DR61" s="214">
        <v>1</v>
      </c>
      <c r="DS61" s="214">
        <v>0</v>
      </c>
      <c r="DT61" s="214">
        <v>0</v>
      </c>
      <c r="DU61" s="214">
        <v>1</v>
      </c>
      <c r="DV61" s="214">
        <v>0</v>
      </c>
      <c r="DW61" s="214">
        <v>0</v>
      </c>
      <c r="DX61" s="215">
        <v>1</v>
      </c>
      <c r="DY61" s="249">
        <f>2+1/3</f>
        <v>2.3333333333333335</v>
      </c>
      <c r="DZ61" s="217">
        <v>0</v>
      </c>
      <c r="EA61" s="217">
        <v>0</v>
      </c>
      <c r="EB61" s="250">
        <f>4+2/3</f>
        <v>4.666666666666667</v>
      </c>
      <c r="EC61" s="217">
        <v>1</v>
      </c>
      <c r="ED61" s="219">
        <v>0</v>
      </c>
      <c r="EE61" s="220">
        <v>0</v>
      </c>
      <c r="EF61" s="217">
        <v>0</v>
      </c>
      <c r="EG61" s="217">
        <v>1</v>
      </c>
      <c r="EH61" s="217">
        <v>0</v>
      </c>
      <c r="EI61" s="217">
        <v>0</v>
      </c>
      <c r="EJ61" s="217">
        <v>0</v>
      </c>
      <c r="EK61" s="217">
        <v>0</v>
      </c>
      <c r="EL61" s="217"/>
      <c r="EM61" s="217"/>
      <c r="EN61" s="217"/>
      <c r="EO61" s="217"/>
      <c r="EP61" s="217"/>
      <c r="EQ61" s="217"/>
      <c r="ER61" s="219">
        <f t="shared" si="61"/>
        <v>1</v>
      </c>
      <c r="ES61" s="217">
        <v>0</v>
      </c>
      <c r="ET61" s="217">
        <v>1</v>
      </c>
      <c r="EU61" s="217">
        <v>1</v>
      </c>
      <c r="EV61" s="217">
        <v>0</v>
      </c>
      <c r="EW61" s="217">
        <v>0</v>
      </c>
      <c r="EX61" s="217">
        <v>2</v>
      </c>
      <c r="EY61" s="217"/>
      <c r="EZ61" s="217"/>
      <c r="FA61" s="217"/>
      <c r="FB61" s="217"/>
      <c r="FC61" s="217"/>
      <c r="FD61" s="217"/>
      <c r="FE61" s="217"/>
      <c r="FF61" s="217">
        <f t="shared" si="62"/>
        <v>4</v>
      </c>
      <c r="FG61" s="221">
        <f t="shared" si="63"/>
        <v>0</v>
      </c>
      <c r="FH61" s="221">
        <f t="shared" si="64"/>
        <v>0</v>
      </c>
      <c r="FI61" s="221">
        <f t="shared" si="65"/>
        <v>0</v>
      </c>
      <c r="FJ61" s="221">
        <f t="shared" si="66"/>
        <v>-1</v>
      </c>
      <c r="FK61" s="221">
        <f t="shared" si="67"/>
        <v>0</v>
      </c>
      <c r="FL61" s="221">
        <f t="shared" si="68"/>
        <v>0</v>
      </c>
      <c r="FM61" s="221">
        <f t="shared" si="69"/>
        <v>0</v>
      </c>
      <c r="FN61" s="221">
        <f t="shared" si="70"/>
        <v>-2</v>
      </c>
      <c r="FO61" s="221">
        <f t="shared" si="71"/>
        <v>0</v>
      </c>
      <c r="FP61" s="221">
        <f t="shared" si="72"/>
        <v>0</v>
      </c>
      <c r="FQ61" s="221">
        <f t="shared" si="73"/>
        <v>0</v>
      </c>
      <c r="FR61" s="221">
        <f t="shared" si="74"/>
        <v>0</v>
      </c>
      <c r="FS61" s="221">
        <f t="shared" si="75"/>
        <v>0</v>
      </c>
      <c r="FT61" s="221">
        <f t="shared" si="76"/>
        <v>0</v>
      </c>
      <c r="FU61" s="221">
        <f t="shared" si="77"/>
        <v>0</v>
      </c>
      <c r="FV61" s="221">
        <f t="shared" si="78"/>
        <v>-3</v>
      </c>
      <c r="FW61" s="222" t="s">
        <v>378</v>
      </c>
    </row>
    <row r="62" spans="1:179" x14ac:dyDescent="0.25">
      <c r="A62" s="204">
        <v>40339</v>
      </c>
      <c r="B62" s="204" t="s">
        <v>133</v>
      </c>
      <c r="C62" s="204" t="s">
        <v>129</v>
      </c>
      <c r="D62" s="204" t="s">
        <v>584</v>
      </c>
      <c r="E62" s="205">
        <v>2379</v>
      </c>
      <c r="F62" s="206">
        <v>2</v>
      </c>
      <c r="G62" s="207" t="s">
        <v>566</v>
      </c>
      <c r="H62" s="211">
        <v>0</v>
      </c>
      <c r="I62" s="211">
        <v>0</v>
      </c>
      <c r="J62" s="248">
        <v>5</v>
      </c>
      <c r="K62" s="211">
        <v>1</v>
      </c>
      <c r="L62" s="211">
        <v>2</v>
      </c>
      <c r="M62" s="211">
        <v>2</v>
      </c>
      <c r="N62" s="211">
        <v>3</v>
      </c>
      <c r="O62" s="211">
        <v>4</v>
      </c>
      <c r="P62" s="211">
        <v>1</v>
      </c>
      <c r="Q62" s="211">
        <v>0</v>
      </c>
      <c r="R62" s="211">
        <v>20</v>
      </c>
      <c r="S62" s="211"/>
      <c r="T62" s="211"/>
      <c r="U62" s="211">
        <v>0</v>
      </c>
      <c r="V62" s="210">
        <v>0</v>
      </c>
      <c r="W62" s="211">
        <v>1</v>
      </c>
      <c r="X62" s="211">
        <v>0</v>
      </c>
      <c r="Y62" s="211">
        <v>0</v>
      </c>
      <c r="Z62" s="211">
        <v>0</v>
      </c>
      <c r="AA62" s="211">
        <v>1</v>
      </c>
      <c r="AB62" s="248">
        <v>5</v>
      </c>
      <c r="AC62" s="211">
        <v>4</v>
      </c>
      <c r="AD62" s="211">
        <v>4</v>
      </c>
      <c r="AE62" s="211">
        <v>1</v>
      </c>
      <c r="AF62" s="211">
        <v>1</v>
      </c>
      <c r="AG62" s="211">
        <v>6</v>
      </c>
      <c r="AH62" s="211">
        <v>1</v>
      </c>
      <c r="AI62" s="211">
        <v>0</v>
      </c>
      <c r="AJ62" s="211">
        <v>21</v>
      </c>
      <c r="AK62" s="211"/>
      <c r="AL62" s="211"/>
      <c r="AM62" s="213" t="s">
        <v>519</v>
      </c>
      <c r="AN62" s="214">
        <v>3</v>
      </c>
      <c r="AO62" s="214">
        <v>3</v>
      </c>
      <c r="AP62" s="214">
        <v>1</v>
      </c>
      <c r="AQ62" s="214">
        <v>1</v>
      </c>
      <c r="AR62" s="214">
        <v>2</v>
      </c>
      <c r="AS62" s="214">
        <v>1</v>
      </c>
      <c r="AT62" s="214">
        <v>0</v>
      </c>
      <c r="AU62" s="214">
        <v>1</v>
      </c>
      <c r="AV62" s="215">
        <v>1</v>
      </c>
      <c r="AW62" s="213" t="s">
        <v>538</v>
      </c>
      <c r="AX62" s="214">
        <v>5</v>
      </c>
      <c r="AY62" s="214">
        <v>0</v>
      </c>
      <c r="AZ62" s="214">
        <v>2</v>
      </c>
      <c r="BA62" s="214">
        <v>1</v>
      </c>
      <c r="BB62" s="214">
        <v>0</v>
      </c>
      <c r="BC62" s="214">
        <v>1</v>
      </c>
      <c r="BD62" s="214">
        <v>0</v>
      </c>
      <c r="BE62" s="214">
        <v>0</v>
      </c>
      <c r="BF62" s="215">
        <v>2</v>
      </c>
      <c r="BG62" s="213" t="s">
        <v>531</v>
      </c>
      <c r="BH62" s="214">
        <v>4</v>
      </c>
      <c r="BI62" s="214">
        <v>0</v>
      </c>
      <c r="BJ62" s="214">
        <v>1</v>
      </c>
      <c r="BK62" s="214">
        <v>1</v>
      </c>
      <c r="BL62" s="214">
        <v>1</v>
      </c>
      <c r="BM62" s="214">
        <v>0</v>
      </c>
      <c r="BN62" s="214">
        <v>0</v>
      </c>
      <c r="BO62" s="214">
        <v>0</v>
      </c>
      <c r="BP62" s="215">
        <v>1</v>
      </c>
      <c r="BQ62" s="213" t="s">
        <v>539</v>
      </c>
      <c r="BR62" s="214">
        <v>4</v>
      </c>
      <c r="BS62" s="214">
        <v>0</v>
      </c>
      <c r="BT62" s="214">
        <v>0</v>
      </c>
      <c r="BU62" s="214">
        <v>2</v>
      </c>
      <c r="BV62" s="214">
        <v>1</v>
      </c>
      <c r="BW62" s="214">
        <v>0</v>
      </c>
      <c r="BX62" s="214">
        <v>0</v>
      </c>
      <c r="BY62" s="214">
        <v>0</v>
      </c>
      <c r="BZ62" s="215">
        <v>0</v>
      </c>
      <c r="CA62" s="213" t="s">
        <v>530</v>
      </c>
      <c r="CB62" s="214">
        <v>4</v>
      </c>
      <c r="CC62" s="214">
        <v>0</v>
      </c>
      <c r="CD62" s="214">
        <v>2</v>
      </c>
      <c r="CE62" s="214">
        <v>0</v>
      </c>
      <c r="CF62" s="214">
        <v>1</v>
      </c>
      <c r="CG62" s="214">
        <v>2</v>
      </c>
      <c r="CH62" s="214">
        <v>0</v>
      </c>
      <c r="CI62" s="214">
        <v>0</v>
      </c>
      <c r="CJ62" s="215">
        <v>3</v>
      </c>
      <c r="CK62" s="213" t="s">
        <v>561</v>
      </c>
      <c r="CL62" s="214">
        <v>5</v>
      </c>
      <c r="CM62" s="214">
        <v>1</v>
      </c>
      <c r="CN62" s="214">
        <v>1</v>
      </c>
      <c r="CO62" s="214">
        <v>0</v>
      </c>
      <c r="CP62" s="214">
        <v>0</v>
      </c>
      <c r="CQ62" s="214">
        <v>1</v>
      </c>
      <c r="CR62" s="214">
        <v>0</v>
      </c>
      <c r="CS62" s="214">
        <v>0</v>
      </c>
      <c r="CT62" s="215">
        <v>1</v>
      </c>
      <c r="CU62" s="213" t="s">
        <v>532</v>
      </c>
      <c r="CV62" s="214">
        <v>4</v>
      </c>
      <c r="CW62" s="214">
        <v>1</v>
      </c>
      <c r="CX62" s="214">
        <v>1</v>
      </c>
      <c r="CY62" s="214">
        <v>0</v>
      </c>
      <c r="CZ62" s="214">
        <v>0</v>
      </c>
      <c r="DA62" s="214">
        <v>1</v>
      </c>
      <c r="DB62" s="214">
        <v>0</v>
      </c>
      <c r="DC62" s="214">
        <v>0</v>
      </c>
      <c r="DD62" s="215">
        <v>1</v>
      </c>
      <c r="DE62" s="213" t="s">
        <v>285</v>
      </c>
      <c r="DF62" s="214">
        <v>5</v>
      </c>
      <c r="DG62" s="214">
        <v>0</v>
      </c>
      <c r="DH62" s="214">
        <v>0</v>
      </c>
      <c r="DI62" s="214">
        <v>0</v>
      </c>
      <c r="DJ62" s="214">
        <v>0</v>
      </c>
      <c r="DK62" s="214">
        <v>2</v>
      </c>
      <c r="DL62" s="214">
        <v>0</v>
      </c>
      <c r="DM62" s="214">
        <v>0</v>
      </c>
      <c r="DN62" s="215">
        <v>0</v>
      </c>
      <c r="DO62" s="213" t="s">
        <v>535</v>
      </c>
      <c r="DP62" s="214">
        <v>3</v>
      </c>
      <c r="DQ62" s="214">
        <v>2</v>
      </c>
      <c r="DR62" s="214">
        <v>2</v>
      </c>
      <c r="DS62" s="214">
        <v>1</v>
      </c>
      <c r="DT62" s="214">
        <v>1</v>
      </c>
      <c r="DU62" s="214">
        <v>1</v>
      </c>
      <c r="DV62" s="214">
        <v>1</v>
      </c>
      <c r="DW62" s="214">
        <v>0</v>
      </c>
      <c r="DX62" s="215">
        <v>2</v>
      </c>
      <c r="DY62" s="249">
        <v>5</v>
      </c>
      <c r="DZ62" s="217">
        <v>3</v>
      </c>
      <c r="EA62" s="217">
        <v>0</v>
      </c>
      <c r="EB62" s="250">
        <v>5</v>
      </c>
      <c r="EC62" s="217">
        <v>1</v>
      </c>
      <c r="ED62" s="219">
        <v>0</v>
      </c>
      <c r="EE62" s="220">
        <v>1</v>
      </c>
      <c r="EF62" s="217">
        <v>0</v>
      </c>
      <c r="EG62" s="217">
        <v>2</v>
      </c>
      <c r="EH62" s="217">
        <v>1</v>
      </c>
      <c r="EI62" s="217">
        <v>0</v>
      </c>
      <c r="EJ62" s="217">
        <v>0</v>
      </c>
      <c r="EK62" s="217">
        <v>1</v>
      </c>
      <c r="EL62" s="217">
        <v>0</v>
      </c>
      <c r="EM62" s="217">
        <v>1</v>
      </c>
      <c r="EN62" s="217">
        <v>1</v>
      </c>
      <c r="EO62" s="217"/>
      <c r="EP62" s="217"/>
      <c r="EQ62" s="217"/>
      <c r="ER62" s="219">
        <f t="shared" si="61"/>
        <v>7</v>
      </c>
      <c r="ES62" s="217">
        <v>0</v>
      </c>
      <c r="ET62" s="217">
        <v>0</v>
      </c>
      <c r="EU62" s="217">
        <v>2</v>
      </c>
      <c r="EV62" s="217">
        <v>0</v>
      </c>
      <c r="EW62" s="217">
        <v>0</v>
      </c>
      <c r="EX62" s="217">
        <v>3</v>
      </c>
      <c r="EY62" s="217">
        <v>0</v>
      </c>
      <c r="EZ62" s="217">
        <v>1</v>
      </c>
      <c r="FA62" s="217">
        <v>0</v>
      </c>
      <c r="FB62" s="217">
        <v>0</v>
      </c>
      <c r="FC62" s="217"/>
      <c r="FD62" s="217"/>
      <c r="FE62" s="217"/>
      <c r="FF62" s="217">
        <f t="shared" si="62"/>
        <v>6</v>
      </c>
      <c r="FG62" s="221">
        <f t="shared" si="63"/>
        <v>0</v>
      </c>
      <c r="FH62" s="221">
        <f t="shared" si="64"/>
        <v>0</v>
      </c>
      <c r="FI62" s="221">
        <f t="shared" si="65"/>
        <v>1</v>
      </c>
      <c r="FJ62" s="221">
        <f t="shared" si="66"/>
        <v>0</v>
      </c>
      <c r="FK62" s="221">
        <f t="shared" si="67"/>
        <v>0</v>
      </c>
      <c r="FL62" s="221">
        <f t="shared" si="68"/>
        <v>1</v>
      </c>
      <c r="FM62" s="221">
        <f t="shared" si="69"/>
        <v>0</v>
      </c>
      <c r="FN62" s="221">
        <f t="shared" si="70"/>
        <v>-3</v>
      </c>
      <c r="FO62" s="221">
        <f t="shared" si="71"/>
        <v>1</v>
      </c>
      <c r="FP62" s="221">
        <f t="shared" si="72"/>
        <v>-1</v>
      </c>
      <c r="FQ62" s="221">
        <f t="shared" si="73"/>
        <v>1</v>
      </c>
      <c r="FR62" s="221">
        <f t="shared" si="74"/>
        <v>1</v>
      </c>
      <c r="FS62" s="221">
        <f t="shared" si="75"/>
        <v>0</v>
      </c>
      <c r="FT62" s="221">
        <f t="shared" si="76"/>
        <v>0</v>
      </c>
      <c r="FU62" s="221">
        <f t="shared" si="77"/>
        <v>0</v>
      </c>
      <c r="FV62" s="221">
        <f t="shared" si="78"/>
        <v>1</v>
      </c>
      <c r="FW62" s="222"/>
    </row>
    <row r="63" spans="1:179" x14ac:dyDescent="0.25">
      <c r="A63" s="204">
        <v>40340</v>
      </c>
      <c r="B63" s="204" t="s">
        <v>133</v>
      </c>
      <c r="C63" s="204" t="s">
        <v>131</v>
      </c>
      <c r="D63" s="204" t="s">
        <v>585</v>
      </c>
      <c r="E63" s="205">
        <v>694</v>
      </c>
      <c r="F63" s="206">
        <v>3</v>
      </c>
      <c r="G63" s="207" t="s">
        <v>536</v>
      </c>
      <c r="H63" s="211">
        <v>0</v>
      </c>
      <c r="I63" s="211">
        <v>1</v>
      </c>
      <c r="J63" s="248">
        <v>4</v>
      </c>
      <c r="K63" s="211">
        <v>8</v>
      </c>
      <c r="L63" s="211">
        <v>7</v>
      </c>
      <c r="M63" s="211">
        <v>2</v>
      </c>
      <c r="N63" s="211">
        <v>1</v>
      </c>
      <c r="O63" s="211">
        <v>5</v>
      </c>
      <c r="P63" s="211">
        <v>1</v>
      </c>
      <c r="Q63" s="211">
        <v>0</v>
      </c>
      <c r="R63" s="211">
        <v>22</v>
      </c>
      <c r="S63" s="211"/>
      <c r="T63" s="211"/>
      <c r="U63" s="211">
        <v>0</v>
      </c>
      <c r="V63" s="210">
        <v>0</v>
      </c>
      <c r="W63" s="211">
        <v>0</v>
      </c>
      <c r="X63" s="211">
        <v>0</v>
      </c>
      <c r="Y63" s="211">
        <v>0</v>
      </c>
      <c r="Z63" s="211">
        <v>0</v>
      </c>
      <c r="AA63" s="211">
        <v>0</v>
      </c>
      <c r="AB63" s="248">
        <v>4</v>
      </c>
      <c r="AC63" s="211">
        <v>9</v>
      </c>
      <c r="AD63" s="211">
        <v>7</v>
      </c>
      <c r="AE63" s="211">
        <v>7</v>
      </c>
      <c r="AF63" s="211">
        <v>2</v>
      </c>
      <c r="AG63" s="211">
        <v>4</v>
      </c>
      <c r="AH63" s="211">
        <v>0</v>
      </c>
      <c r="AI63" s="211">
        <v>0</v>
      </c>
      <c r="AJ63" s="211">
        <v>23</v>
      </c>
      <c r="AK63" s="211"/>
      <c r="AL63" s="211"/>
      <c r="AM63" s="213" t="s">
        <v>519</v>
      </c>
      <c r="AN63" s="214">
        <v>5</v>
      </c>
      <c r="AO63" s="214">
        <v>2</v>
      </c>
      <c r="AP63" s="214">
        <v>2</v>
      </c>
      <c r="AQ63" s="214">
        <v>0</v>
      </c>
      <c r="AR63" s="214">
        <v>0</v>
      </c>
      <c r="AS63" s="214">
        <v>1</v>
      </c>
      <c r="AT63" s="214">
        <v>0</v>
      </c>
      <c r="AU63" s="214">
        <v>0</v>
      </c>
      <c r="AV63" s="215">
        <v>2</v>
      </c>
      <c r="AW63" s="213" t="s">
        <v>534</v>
      </c>
      <c r="AX63" s="214">
        <v>5</v>
      </c>
      <c r="AY63" s="214">
        <v>2</v>
      </c>
      <c r="AZ63" s="214">
        <v>3</v>
      </c>
      <c r="BA63" s="214">
        <v>2</v>
      </c>
      <c r="BB63" s="214">
        <v>0</v>
      </c>
      <c r="BC63" s="214">
        <v>1</v>
      </c>
      <c r="BD63" s="214">
        <v>0</v>
      </c>
      <c r="BE63" s="214">
        <v>0</v>
      </c>
      <c r="BF63" s="215">
        <v>4</v>
      </c>
      <c r="BG63" s="213" t="s">
        <v>531</v>
      </c>
      <c r="BH63" s="214">
        <v>4</v>
      </c>
      <c r="BI63" s="214">
        <v>0</v>
      </c>
      <c r="BJ63" s="214">
        <v>2</v>
      </c>
      <c r="BK63" s="214">
        <v>2</v>
      </c>
      <c r="BL63" s="214">
        <v>1</v>
      </c>
      <c r="BM63" s="214">
        <v>1</v>
      </c>
      <c r="BN63" s="214">
        <v>0</v>
      </c>
      <c r="BO63" s="214">
        <v>0</v>
      </c>
      <c r="BP63" s="215">
        <v>3</v>
      </c>
      <c r="BQ63" s="213" t="s">
        <v>539</v>
      </c>
      <c r="BR63" s="214">
        <v>5</v>
      </c>
      <c r="BS63" s="214">
        <v>0</v>
      </c>
      <c r="BT63" s="214">
        <v>0</v>
      </c>
      <c r="BU63" s="214">
        <v>1</v>
      </c>
      <c r="BV63" s="214">
        <v>0</v>
      </c>
      <c r="BW63" s="214">
        <v>0</v>
      </c>
      <c r="BX63" s="214">
        <v>0</v>
      </c>
      <c r="BY63" s="214">
        <v>0</v>
      </c>
      <c r="BZ63" s="215">
        <v>0</v>
      </c>
      <c r="CA63" s="213" t="s">
        <v>530</v>
      </c>
      <c r="CB63" s="214">
        <v>4</v>
      </c>
      <c r="CC63" s="214">
        <v>1</v>
      </c>
      <c r="CD63" s="214">
        <v>1</v>
      </c>
      <c r="CE63" s="214">
        <v>1</v>
      </c>
      <c r="CF63" s="214">
        <v>0</v>
      </c>
      <c r="CG63" s="214">
        <v>0</v>
      </c>
      <c r="CH63" s="214">
        <v>0</v>
      </c>
      <c r="CI63" s="214">
        <v>0</v>
      </c>
      <c r="CJ63" s="215">
        <v>4</v>
      </c>
      <c r="CK63" s="213" t="s">
        <v>561</v>
      </c>
      <c r="CL63" s="214">
        <v>4</v>
      </c>
      <c r="CM63" s="214">
        <v>0</v>
      </c>
      <c r="CN63" s="214">
        <v>2</v>
      </c>
      <c r="CO63" s="214">
        <v>0</v>
      </c>
      <c r="CP63" s="214">
        <v>0</v>
      </c>
      <c r="CQ63" s="214">
        <v>2</v>
      </c>
      <c r="CR63" s="214">
        <v>0</v>
      </c>
      <c r="CS63" s="214">
        <v>0</v>
      </c>
      <c r="CT63" s="215">
        <v>3</v>
      </c>
      <c r="CU63" s="213" t="s">
        <v>532</v>
      </c>
      <c r="CV63" s="214">
        <v>4</v>
      </c>
      <c r="CW63" s="214">
        <v>0</v>
      </c>
      <c r="CX63" s="214">
        <v>1</v>
      </c>
      <c r="CY63" s="214">
        <v>0</v>
      </c>
      <c r="CZ63" s="214">
        <v>0</v>
      </c>
      <c r="DA63" s="214">
        <v>1</v>
      </c>
      <c r="DB63" s="214">
        <v>0</v>
      </c>
      <c r="DC63" s="214">
        <v>0</v>
      </c>
      <c r="DD63" s="215">
        <v>1</v>
      </c>
      <c r="DE63" s="213" t="s">
        <v>538</v>
      </c>
      <c r="DF63" s="214">
        <v>2</v>
      </c>
      <c r="DG63" s="214">
        <v>0</v>
      </c>
      <c r="DH63" s="214">
        <v>0</v>
      </c>
      <c r="DI63" s="214">
        <v>0</v>
      </c>
      <c r="DJ63" s="214">
        <v>2</v>
      </c>
      <c r="DK63" s="214">
        <v>0</v>
      </c>
      <c r="DL63" s="214">
        <v>0</v>
      </c>
      <c r="DM63" s="214">
        <v>0</v>
      </c>
      <c r="DN63" s="215">
        <v>0</v>
      </c>
      <c r="DO63" s="213" t="s">
        <v>535</v>
      </c>
      <c r="DP63" s="214">
        <v>4</v>
      </c>
      <c r="DQ63" s="214">
        <v>1</v>
      </c>
      <c r="DR63" s="214">
        <v>1</v>
      </c>
      <c r="DS63" s="214">
        <v>0</v>
      </c>
      <c r="DT63" s="214">
        <v>0</v>
      </c>
      <c r="DU63" s="214">
        <v>1</v>
      </c>
      <c r="DV63" s="214">
        <v>0</v>
      </c>
      <c r="DW63" s="214">
        <v>0</v>
      </c>
      <c r="DX63" s="215">
        <v>3</v>
      </c>
      <c r="DY63" s="249">
        <v>1</v>
      </c>
      <c r="DZ63" s="217">
        <v>0</v>
      </c>
      <c r="EA63" s="217">
        <v>0</v>
      </c>
      <c r="EB63" s="250">
        <v>8</v>
      </c>
      <c r="EC63" s="217">
        <v>3</v>
      </c>
      <c r="ED63" s="219">
        <v>0</v>
      </c>
      <c r="EE63" s="220">
        <v>3</v>
      </c>
      <c r="EF63" s="217">
        <v>0</v>
      </c>
      <c r="EG63" s="217">
        <v>0</v>
      </c>
      <c r="EH63" s="217">
        <v>0</v>
      </c>
      <c r="EI63" s="217">
        <v>1</v>
      </c>
      <c r="EJ63" s="217">
        <v>0</v>
      </c>
      <c r="EK63" s="217">
        <v>2</v>
      </c>
      <c r="EL63" s="217">
        <v>0</v>
      </c>
      <c r="EM63" s="217">
        <v>0</v>
      </c>
      <c r="EN63" s="217"/>
      <c r="EO63" s="217"/>
      <c r="EP63" s="217"/>
      <c r="EQ63" s="217"/>
      <c r="ER63" s="219">
        <f t="shared" si="61"/>
        <v>6</v>
      </c>
      <c r="ES63" s="217">
        <v>0</v>
      </c>
      <c r="ET63" s="217">
        <v>1</v>
      </c>
      <c r="EU63" s="217">
        <v>1</v>
      </c>
      <c r="EV63" s="217">
        <v>5</v>
      </c>
      <c r="EW63" s="217">
        <v>5</v>
      </c>
      <c r="EX63" s="217">
        <v>2</v>
      </c>
      <c r="EY63" s="217">
        <v>0</v>
      </c>
      <c r="EZ63" s="217">
        <v>0</v>
      </c>
      <c r="FA63" s="217"/>
      <c r="FB63" s="217"/>
      <c r="FC63" s="217"/>
      <c r="FD63" s="217"/>
      <c r="FE63" s="217"/>
      <c r="FF63" s="217">
        <f t="shared" si="62"/>
        <v>14</v>
      </c>
      <c r="FG63" s="221">
        <f t="shared" si="63"/>
        <v>0</v>
      </c>
      <c r="FH63" s="221">
        <f t="shared" si="64"/>
        <v>0</v>
      </c>
      <c r="FI63" s="221">
        <f t="shared" si="65"/>
        <v>3</v>
      </c>
      <c r="FJ63" s="221">
        <f t="shared" si="66"/>
        <v>-1</v>
      </c>
      <c r="FK63" s="221">
        <f t="shared" si="67"/>
        <v>-1</v>
      </c>
      <c r="FL63" s="221">
        <f t="shared" si="68"/>
        <v>-5</v>
      </c>
      <c r="FM63" s="221">
        <f t="shared" si="69"/>
        <v>-4</v>
      </c>
      <c r="FN63" s="221">
        <f t="shared" si="70"/>
        <v>-2</v>
      </c>
      <c r="FO63" s="221">
        <f t="shared" si="71"/>
        <v>2</v>
      </c>
      <c r="FP63" s="221">
        <f t="shared" si="72"/>
        <v>0</v>
      </c>
      <c r="FQ63" s="221">
        <f t="shared" si="73"/>
        <v>0</v>
      </c>
      <c r="FR63" s="221">
        <f t="shared" si="74"/>
        <v>0</v>
      </c>
      <c r="FS63" s="221">
        <f t="shared" si="75"/>
        <v>0</v>
      </c>
      <c r="FT63" s="221">
        <f t="shared" si="76"/>
        <v>0</v>
      </c>
      <c r="FU63" s="221">
        <f t="shared" si="77"/>
        <v>0</v>
      </c>
      <c r="FV63" s="221">
        <f t="shared" si="78"/>
        <v>-8</v>
      </c>
      <c r="FW63" s="222"/>
    </row>
    <row r="64" spans="1:179" x14ac:dyDescent="0.25">
      <c r="A64" s="204">
        <v>40341</v>
      </c>
      <c r="B64" s="204" t="s">
        <v>133</v>
      </c>
      <c r="C64" s="204" t="s">
        <v>131</v>
      </c>
      <c r="D64" s="204" t="s">
        <v>585</v>
      </c>
      <c r="E64" s="205">
        <v>2342</v>
      </c>
      <c r="F64" s="206">
        <v>4</v>
      </c>
      <c r="G64" s="207" t="s">
        <v>545</v>
      </c>
      <c r="H64" s="211">
        <v>0</v>
      </c>
      <c r="I64" s="211">
        <v>1</v>
      </c>
      <c r="J64" s="248">
        <v>4</v>
      </c>
      <c r="K64" s="211">
        <v>7</v>
      </c>
      <c r="L64" s="211">
        <v>4</v>
      </c>
      <c r="M64" s="211">
        <v>4</v>
      </c>
      <c r="N64" s="211">
        <v>3</v>
      </c>
      <c r="O64" s="211">
        <v>2</v>
      </c>
      <c r="P64" s="211">
        <v>1</v>
      </c>
      <c r="Q64" s="211">
        <v>0</v>
      </c>
      <c r="R64" s="211">
        <v>21</v>
      </c>
      <c r="S64" s="211"/>
      <c r="T64" s="211"/>
      <c r="U64" s="211">
        <v>0</v>
      </c>
      <c r="V64" s="210">
        <v>0</v>
      </c>
      <c r="W64" s="211">
        <v>0</v>
      </c>
      <c r="X64" s="211">
        <v>0</v>
      </c>
      <c r="Y64" s="211">
        <v>0</v>
      </c>
      <c r="Z64" s="211">
        <v>0</v>
      </c>
      <c r="AA64" s="211">
        <v>0</v>
      </c>
      <c r="AB64" s="248">
        <v>4</v>
      </c>
      <c r="AC64" s="211">
        <v>8</v>
      </c>
      <c r="AD64" s="211">
        <v>10</v>
      </c>
      <c r="AE64" s="211">
        <v>9</v>
      </c>
      <c r="AF64" s="211">
        <v>4</v>
      </c>
      <c r="AG64" s="211">
        <v>1</v>
      </c>
      <c r="AH64" s="211">
        <v>0</v>
      </c>
      <c r="AI64" s="211">
        <v>1</v>
      </c>
      <c r="AJ64" s="211">
        <v>23</v>
      </c>
      <c r="AK64" s="211"/>
      <c r="AL64" s="211"/>
      <c r="AM64" s="213" t="s">
        <v>519</v>
      </c>
      <c r="AN64" s="214">
        <v>4</v>
      </c>
      <c r="AO64" s="214">
        <v>0</v>
      </c>
      <c r="AP64" s="214">
        <v>1</v>
      </c>
      <c r="AQ64" s="214">
        <v>0</v>
      </c>
      <c r="AR64" s="214">
        <v>0</v>
      </c>
      <c r="AS64" s="214">
        <v>1</v>
      </c>
      <c r="AT64" s="214">
        <v>0</v>
      </c>
      <c r="AU64" s="214">
        <v>0</v>
      </c>
      <c r="AV64" s="215">
        <v>1</v>
      </c>
      <c r="AW64" s="213" t="s">
        <v>534</v>
      </c>
      <c r="AX64" s="214">
        <v>4</v>
      </c>
      <c r="AY64" s="214">
        <v>0</v>
      </c>
      <c r="AZ64" s="214">
        <v>2</v>
      </c>
      <c r="BA64" s="214">
        <v>0</v>
      </c>
      <c r="BB64" s="214">
        <v>0</v>
      </c>
      <c r="BC64" s="214">
        <v>1</v>
      </c>
      <c r="BD64" s="214">
        <v>0</v>
      </c>
      <c r="BE64" s="214">
        <v>0</v>
      </c>
      <c r="BF64" s="215">
        <v>2</v>
      </c>
      <c r="BG64" s="213" t="s">
        <v>531</v>
      </c>
      <c r="BH64" s="214">
        <v>2</v>
      </c>
      <c r="BI64" s="214">
        <v>1</v>
      </c>
      <c r="BJ64" s="214">
        <v>1</v>
      </c>
      <c r="BK64" s="214">
        <v>0</v>
      </c>
      <c r="BL64" s="214">
        <v>2</v>
      </c>
      <c r="BM64" s="214">
        <v>0</v>
      </c>
      <c r="BN64" s="214">
        <v>0</v>
      </c>
      <c r="BO64" s="214">
        <v>0</v>
      </c>
      <c r="BP64" s="215">
        <v>1</v>
      </c>
      <c r="BQ64" s="213" t="s">
        <v>539</v>
      </c>
      <c r="BR64" s="214">
        <v>3</v>
      </c>
      <c r="BS64" s="214">
        <v>0</v>
      </c>
      <c r="BT64" s="214">
        <v>0</v>
      </c>
      <c r="BU64" s="214">
        <v>0</v>
      </c>
      <c r="BV64" s="214">
        <v>1</v>
      </c>
      <c r="BW64" s="214">
        <v>3</v>
      </c>
      <c r="BX64" s="214">
        <v>0</v>
      </c>
      <c r="BY64" s="214">
        <v>0</v>
      </c>
      <c r="BZ64" s="215">
        <v>0</v>
      </c>
      <c r="CA64" s="213" t="s">
        <v>530</v>
      </c>
      <c r="CB64" s="214">
        <v>3</v>
      </c>
      <c r="CC64" s="214">
        <v>0</v>
      </c>
      <c r="CD64" s="214">
        <v>1</v>
      </c>
      <c r="CE64" s="214">
        <v>1</v>
      </c>
      <c r="CF64" s="214">
        <v>0</v>
      </c>
      <c r="CG64" s="214">
        <v>1</v>
      </c>
      <c r="CH64" s="214">
        <v>0</v>
      </c>
      <c r="CI64" s="214">
        <v>1</v>
      </c>
      <c r="CJ64" s="215">
        <v>1</v>
      </c>
      <c r="CK64" s="213" t="s">
        <v>426</v>
      </c>
      <c r="CL64" s="214">
        <v>4</v>
      </c>
      <c r="CM64" s="214">
        <v>0</v>
      </c>
      <c r="CN64" s="214">
        <v>0</v>
      </c>
      <c r="CO64" s="214">
        <v>0</v>
      </c>
      <c r="CP64" s="214">
        <v>0</v>
      </c>
      <c r="CQ64" s="214">
        <v>2</v>
      </c>
      <c r="CR64" s="214">
        <v>0</v>
      </c>
      <c r="CS64" s="214">
        <v>0</v>
      </c>
      <c r="CT64" s="215">
        <v>0</v>
      </c>
      <c r="CU64" s="213" t="s">
        <v>543</v>
      </c>
      <c r="CV64" s="214">
        <v>4</v>
      </c>
      <c r="CW64" s="214">
        <v>0</v>
      </c>
      <c r="CX64" s="214">
        <v>0</v>
      </c>
      <c r="CY64" s="214">
        <v>0</v>
      </c>
      <c r="CZ64" s="214">
        <v>0</v>
      </c>
      <c r="DA64" s="214">
        <v>1</v>
      </c>
      <c r="DB64" s="214">
        <v>0</v>
      </c>
      <c r="DC64" s="214">
        <v>0</v>
      </c>
      <c r="DD64" s="215">
        <v>0</v>
      </c>
      <c r="DE64" s="213" t="s">
        <v>538</v>
      </c>
      <c r="DF64" s="214">
        <v>4</v>
      </c>
      <c r="DG64" s="214">
        <v>0</v>
      </c>
      <c r="DH64" s="214">
        <v>1</v>
      </c>
      <c r="DI64" s="214">
        <v>0</v>
      </c>
      <c r="DJ64" s="214">
        <v>0</v>
      </c>
      <c r="DK64" s="214">
        <v>2</v>
      </c>
      <c r="DL64" s="214">
        <v>0</v>
      </c>
      <c r="DM64" s="214">
        <v>0</v>
      </c>
      <c r="DN64" s="215">
        <v>1</v>
      </c>
      <c r="DO64" s="213" t="s">
        <v>535</v>
      </c>
      <c r="DP64" s="214">
        <v>3</v>
      </c>
      <c r="DQ64" s="214">
        <v>0</v>
      </c>
      <c r="DR64" s="214">
        <v>0</v>
      </c>
      <c r="DS64" s="214">
        <v>0</v>
      </c>
      <c r="DT64" s="214">
        <v>0</v>
      </c>
      <c r="DU64" s="214">
        <v>2</v>
      </c>
      <c r="DV64" s="214">
        <v>0</v>
      </c>
      <c r="DW64" s="214">
        <v>0</v>
      </c>
      <c r="DX64" s="215">
        <v>0</v>
      </c>
      <c r="DY64" s="249">
        <v>8</v>
      </c>
      <c r="DZ64" s="217">
        <v>0</v>
      </c>
      <c r="EA64" s="217">
        <v>1</v>
      </c>
      <c r="EB64" s="250">
        <v>1</v>
      </c>
      <c r="EC64" s="217">
        <v>0</v>
      </c>
      <c r="ED64" s="219">
        <v>0</v>
      </c>
      <c r="EE64" s="220">
        <v>0</v>
      </c>
      <c r="EF64" s="217">
        <v>0</v>
      </c>
      <c r="EG64" s="217">
        <v>0</v>
      </c>
      <c r="EH64" s="217">
        <v>1</v>
      </c>
      <c r="EI64" s="217">
        <v>0</v>
      </c>
      <c r="EJ64" s="217">
        <v>0</v>
      </c>
      <c r="EK64" s="217">
        <v>0</v>
      </c>
      <c r="EL64" s="217">
        <v>0</v>
      </c>
      <c r="EM64" s="217">
        <v>0</v>
      </c>
      <c r="EN64" s="217"/>
      <c r="EO64" s="217"/>
      <c r="EP64" s="217"/>
      <c r="EQ64" s="217"/>
      <c r="ER64" s="219">
        <f t="shared" si="61"/>
        <v>1</v>
      </c>
      <c r="ES64" s="217">
        <v>1</v>
      </c>
      <c r="ET64" s="217">
        <v>3</v>
      </c>
      <c r="EU64" s="217">
        <v>0</v>
      </c>
      <c r="EV64" s="217">
        <v>0</v>
      </c>
      <c r="EW64" s="217">
        <v>0</v>
      </c>
      <c r="EX64" s="217">
        <v>6</v>
      </c>
      <c r="EY64" s="217">
        <v>4</v>
      </c>
      <c r="EZ64" s="217">
        <v>0</v>
      </c>
      <c r="FA64" s="217"/>
      <c r="FB64" s="217"/>
      <c r="FC64" s="217"/>
      <c r="FD64" s="217"/>
      <c r="FE64" s="217"/>
      <c r="FF64" s="217">
        <f t="shared" si="62"/>
        <v>14</v>
      </c>
      <c r="FG64" s="221">
        <f t="shared" si="63"/>
        <v>0</v>
      </c>
      <c r="FH64" s="221">
        <f t="shared" si="64"/>
        <v>0</v>
      </c>
      <c r="FI64" s="221">
        <f t="shared" si="65"/>
        <v>-1</v>
      </c>
      <c r="FJ64" s="221">
        <f t="shared" si="66"/>
        <v>-3</v>
      </c>
      <c r="FK64" s="221">
        <f t="shared" si="67"/>
        <v>0</v>
      </c>
      <c r="FL64" s="221">
        <f t="shared" si="68"/>
        <v>1</v>
      </c>
      <c r="FM64" s="221">
        <f t="shared" si="69"/>
        <v>0</v>
      </c>
      <c r="FN64" s="221">
        <f t="shared" si="70"/>
        <v>-6</v>
      </c>
      <c r="FO64" s="221">
        <f t="shared" si="71"/>
        <v>-4</v>
      </c>
      <c r="FP64" s="221">
        <f t="shared" si="72"/>
        <v>0</v>
      </c>
      <c r="FQ64" s="221">
        <f t="shared" si="73"/>
        <v>0</v>
      </c>
      <c r="FR64" s="221">
        <f t="shared" si="74"/>
        <v>0</v>
      </c>
      <c r="FS64" s="221">
        <f t="shared" si="75"/>
        <v>0</v>
      </c>
      <c r="FT64" s="221">
        <f t="shared" si="76"/>
        <v>0</v>
      </c>
      <c r="FU64" s="221">
        <f t="shared" si="77"/>
        <v>0</v>
      </c>
      <c r="FV64" s="221">
        <f t="shared" si="78"/>
        <v>-13</v>
      </c>
      <c r="FW64" s="222"/>
    </row>
    <row r="65" spans="1:179" x14ac:dyDescent="0.25">
      <c r="A65" s="204">
        <v>40342</v>
      </c>
      <c r="B65" s="204" t="s">
        <v>133</v>
      </c>
      <c r="C65" s="204" t="s">
        <v>129</v>
      </c>
      <c r="D65" s="204" t="s">
        <v>585</v>
      </c>
      <c r="E65" s="205">
        <v>790</v>
      </c>
      <c r="F65" s="206" t="s">
        <v>523</v>
      </c>
      <c r="G65" s="207" t="s">
        <v>580</v>
      </c>
      <c r="H65" s="211">
        <v>0</v>
      </c>
      <c r="I65" s="211">
        <v>0</v>
      </c>
      <c r="J65" s="248">
        <v>4</v>
      </c>
      <c r="K65" s="211">
        <v>1</v>
      </c>
      <c r="L65" s="211">
        <v>1</v>
      </c>
      <c r="M65" s="211">
        <v>1</v>
      </c>
      <c r="N65" s="211">
        <v>3</v>
      </c>
      <c r="O65" s="211">
        <v>8</v>
      </c>
      <c r="P65" s="211">
        <v>0</v>
      </c>
      <c r="Q65" s="211">
        <v>0</v>
      </c>
      <c r="R65" s="211">
        <v>15</v>
      </c>
      <c r="S65" s="211"/>
      <c r="T65" s="211"/>
      <c r="U65" s="211">
        <v>0</v>
      </c>
      <c r="V65" s="210">
        <v>0</v>
      </c>
      <c r="W65" s="211">
        <v>1</v>
      </c>
      <c r="X65" s="211">
        <v>0</v>
      </c>
      <c r="Y65" s="211">
        <v>0</v>
      </c>
      <c r="Z65" s="211">
        <v>1</v>
      </c>
      <c r="AA65" s="211">
        <v>0</v>
      </c>
      <c r="AB65" s="248">
        <v>5</v>
      </c>
      <c r="AC65" s="211">
        <v>1</v>
      </c>
      <c r="AD65" s="211">
        <v>0</v>
      </c>
      <c r="AE65" s="211">
        <v>0</v>
      </c>
      <c r="AF65" s="211">
        <v>0</v>
      </c>
      <c r="AG65" s="211">
        <v>7</v>
      </c>
      <c r="AH65" s="211">
        <v>0</v>
      </c>
      <c r="AI65" s="211">
        <v>0</v>
      </c>
      <c r="AJ65" s="211">
        <v>16</v>
      </c>
      <c r="AK65" s="211"/>
      <c r="AL65" s="211"/>
      <c r="AM65" s="213" t="s">
        <v>519</v>
      </c>
      <c r="AN65" s="214">
        <v>4</v>
      </c>
      <c r="AO65" s="214">
        <v>0</v>
      </c>
      <c r="AP65" s="214">
        <v>0</v>
      </c>
      <c r="AQ65" s="214">
        <v>0</v>
      </c>
      <c r="AR65" s="214">
        <v>1</v>
      </c>
      <c r="AS65" s="214">
        <v>2</v>
      </c>
      <c r="AT65" s="214">
        <v>0</v>
      </c>
      <c r="AU65" s="214">
        <v>0</v>
      </c>
      <c r="AV65" s="215">
        <v>0</v>
      </c>
      <c r="AW65" s="213" t="s">
        <v>534</v>
      </c>
      <c r="AX65" s="214">
        <v>3</v>
      </c>
      <c r="AY65" s="214">
        <v>0</v>
      </c>
      <c r="AZ65" s="214">
        <v>1</v>
      </c>
      <c r="BA65" s="214">
        <v>0</v>
      </c>
      <c r="BB65" s="214">
        <v>1</v>
      </c>
      <c r="BC65" s="214">
        <v>0</v>
      </c>
      <c r="BD65" s="214">
        <v>1</v>
      </c>
      <c r="BE65" s="214">
        <v>0</v>
      </c>
      <c r="BF65" s="215">
        <v>1</v>
      </c>
      <c r="BG65" s="213" t="s">
        <v>531</v>
      </c>
      <c r="BH65" s="214">
        <v>4</v>
      </c>
      <c r="BI65" s="214">
        <v>0</v>
      </c>
      <c r="BJ65" s="214">
        <v>2</v>
      </c>
      <c r="BK65" s="214">
        <v>1</v>
      </c>
      <c r="BL65" s="214">
        <v>1</v>
      </c>
      <c r="BM65" s="214">
        <v>1</v>
      </c>
      <c r="BN65" s="214">
        <v>0</v>
      </c>
      <c r="BO65" s="214">
        <v>0</v>
      </c>
      <c r="BP65" s="215">
        <v>2</v>
      </c>
      <c r="BQ65" s="213" t="s">
        <v>530</v>
      </c>
      <c r="BR65" s="214">
        <v>4</v>
      </c>
      <c r="BS65" s="214">
        <v>0</v>
      </c>
      <c r="BT65" s="214">
        <v>0</v>
      </c>
      <c r="BU65" s="214">
        <v>0</v>
      </c>
      <c r="BV65" s="214">
        <v>1</v>
      </c>
      <c r="BW65" s="214">
        <v>2</v>
      </c>
      <c r="BX65" s="214">
        <v>0</v>
      </c>
      <c r="BY65" s="214">
        <v>0</v>
      </c>
      <c r="BZ65" s="215">
        <v>0</v>
      </c>
      <c r="CA65" s="213" t="s">
        <v>561</v>
      </c>
      <c r="CB65" s="214">
        <v>5</v>
      </c>
      <c r="CC65" s="214">
        <v>1</v>
      </c>
      <c r="CD65" s="214">
        <v>2</v>
      </c>
      <c r="CE65" s="214">
        <v>0</v>
      </c>
      <c r="CF65" s="214">
        <v>0</v>
      </c>
      <c r="CG65" s="214">
        <v>0</v>
      </c>
      <c r="CH65" s="214">
        <v>0</v>
      </c>
      <c r="CI65" s="214">
        <v>0</v>
      </c>
      <c r="CJ65" s="215">
        <v>3</v>
      </c>
      <c r="CK65" s="213" t="s">
        <v>426</v>
      </c>
      <c r="CL65" s="214">
        <v>5</v>
      </c>
      <c r="CM65" s="214">
        <v>1</v>
      </c>
      <c r="CN65" s="214">
        <v>2</v>
      </c>
      <c r="CO65" s="214">
        <v>0</v>
      </c>
      <c r="CP65" s="214">
        <v>0</v>
      </c>
      <c r="CQ65" s="214">
        <v>0</v>
      </c>
      <c r="CR65" s="214">
        <v>0</v>
      </c>
      <c r="CS65" s="214">
        <v>0</v>
      </c>
      <c r="CT65" s="215">
        <v>2</v>
      </c>
      <c r="CU65" s="213" t="s">
        <v>549</v>
      </c>
      <c r="CV65" s="214">
        <v>3</v>
      </c>
      <c r="CW65" s="214">
        <v>1</v>
      </c>
      <c r="CX65" s="214">
        <v>1</v>
      </c>
      <c r="CY65" s="214">
        <v>2</v>
      </c>
      <c r="CZ65" s="214">
        <v>0</v>
      </c>
      <c r="DA65" s="214">
        <v>0</v>
      </c>
      <c r="DB65" s="214">
        <v>1</v>
      </c>
      <c r="DC65" s="214">
        <v>0</v>
      </c>
      <c r="DD65" s="215">
        <v>2</v>
      </c>
      <c r="DE65" s="213" t="s">
        <v>532</v>
      </c>
      <c r="DF65" s="214">
        <v>3</v>
      </c>
      <c r="DG65" s="214">
        <v>0</v>
      </c>
      <c r="DH65" s="214">
        <v>0</v>
      </c>
      <c r="DI65" s="214">
        <v>0</v>
      </c>
      <c r="DJ65" s="214">
        <v>1</v>
      </c>
      <c r="DK65" s="214">
        <v>0</v>
      </c>
      <c r="DL65" s="214">
        <v>0</v>
      </c>
      <c r="DM65" s="214">
        <v>0</v>
      </c>
      <c r="DN65" s="215">
        <v>0</v>
      </c>
      <c r="DO65" s="213" t="s">
        <v>285</v>
      </c>
      <c r="DP65" s="214">
        <v>1</v>
      </c>
      <c r="DQ65" s="214">
        <v>0</v>
      </c>
      <c r="DR65" s="214">
        <v>0</v>
      </c>
      <c r="DS65" s="214">
        <v>0</v>
      </c>
      <c r="DT65" s="214">
        <v>1</v>
      </c>
      <c r="DU65" s="214">
        <v>1</v>
      </c>
      <c r="DV65" s="214">
        <v>1</v>
      </c>
      <c r="DW65" s="214">
        <v>0</v>
      </c>
      <c r="DX65" s="215">
        <v>0</v>
      </c>
      <c r="DY65" s="249">
        <v>0</v>
      </c>
      <c r="DZ65" s="217">
        <v>0</v>
      </c>
      <c r="EA65" s="217">
        <v>0</v>
      </c>
      <c r="EB65" s="250">
        <v>9</v>
      </c>
      <c r="EC65" s="217">
        <v>3</v>
      </c>
      <c r="ED65" s="219">
        <v>0</v>
      </c>
      <c r="EE65" s="220">
        <v>0</v>
      </c>
      <c r="EF65" s="217">
        <v>0</v>
      </c>
      <c r="EG65" s="217">
        <v>0</v>
      </c>
      <c r="EH65" s="217">
        <v>2</v>
      </c>
      <c r="EI65" s="217">
        <v>0</v>
      </c>
      <c r="EJ65" s="217">
        <v>1</v>
      </c>
      <c r="EK65" s="217">
        <v>0</v>
      </c>
      <c r="EL65" s="217">
        <v>0</v>
      </c>
      <c r="EM65" s="217">
        <v>0</v>
      </c>
      <c r="EN65" s="217"/>
      <c r="EO65" s="217"/>
      <c r="EP65" s="217"/>
      <c r="EQ65" s="217"/>
      <c r="ER65" s="219">
        <f t="shared" si="61"/>
        <v>3</v>
      </c>
      <c r="ES65" s="217">
        <v>0</v>
      </c>
      <c r="ET65" s="217">
        <v>0</v>
      </c>
      <c r="EU65" s="217">
        <v>0</v>
      </c>
      <c r="EV65" s="217">
        <v>1</v>
      </c>
      <c r="EW65" s="217">
        <v>0</v>
      </c>
      <c r="EX65" s="217">
        <v>0</v>
      </c>
      <c r="EY65" s="217">
        <v>0</v>
      </c>
      <c r="EZ65" s="217">
        <v>0</v>
      </c>
      <c r="FA65" s="217">
        <v>0</v>
      </c>
      <c r="FB65" s="217"/>
      <c r="FC65" s="217"/>
      <c r="FD65" s="217"/>
      <c r="FE65" s="217"/>
      <c r="FF65" s="217">
        <f t="shared" si="62"/>
        <v>1</v>
      </c>
      <c r="FG65" s="221">
        <f t="shared" si="63"/>
        <v>0</v>
      </c>
      <c r="FH65" s="221">
        <f t="shared" si="64"/>
        <v>0</v>
      </c>
      <c r="FI65" s="221">
        <f t="shared" si="65"/>
        <v>0</v>
      </c>
      <c r="FJ65" s="221">
        <f t="shared" si="66"/>
        <v>0</v>
      </c>
      <c r="FK65" s="221">
        <f t="shared" si="67"/>
        <v>0</v>
      </c>
      <c r="FL65" s="221">
        <f t="shared" si="68"/>
        <v>1</v>
      </c>
      <c r="FM65" s="221">
        <f t="shared" si="69"/>
        <v>0</v>
      </c>
      <c r="FN65" s="221">
        <f t="shared" si="70"/>
        <v>1</v>
      </c>
      <c r="FO65" s="221">
        <f t="shared" si="71"/>
        <v>0</v>
      </c>
      <c r="FP65" s="221">
        <f t="shared" si="72"/>
        <v>0</v>
      </c>
      <c r="FQ65" s="221">
        <f t="shared" si="73"/>
        <v>0</v>
      </c>
      <c r="FR65" s="221">
        <f t="shared" si="74"/>
        <v>0</v>
      </c>
      <c r="FS65" s="221">
        <f t="shared" si="75"/>
        <v>0</v>
      </c>
      <c r="FT65" s="221">
        <f t="shared" si="76"/>
        <v>0</v>
      </c>
      <c r="FU65" s="221">
        <f t="shared" si="77"/>
        <v>0</v>
      </c>
      <c r="FV65" s="221">
        <f t="shared" si="78"/>
        <v>2</v>
      </c>
      <c r="FW65" s="222"/>
    </row>
    <row r="66" spans="1:179" x14ac:dyDescent="0.25">
      <c r="A66" s="204">
        <v>40344</v>
      </c>
      <c r="B66" s="204" t="s">
        <v>133</v>
      </c>
      <c r="C66" s="204" t="s">
        <v>129</v>
      </c>
      <c r="D66" s="204" t="s">
        <v>548</v>
      </c>
      <c r="E66" s="205">
        <v>3802</v>
      </c>
      <c r="F66" s="206">
        <v>5</v>
      </c>
      <c r="G66" s="207" t="s">
        <v>546</v>
      </c>
      <c r="H66" s="211">
        <v>1</v>
      </c>
      <c r="I66" s="211">
        <v>0</v>
      </c>
      <c r="J66" s="248">
        <v>7</v>
      </c>
      <c r="K66" s="211">
        <v>8</v>
      </c>
      <c r="L66" s="211">
        <v>1</v>
      </c>
      <c r="M66" s="211">
        <v>1</v>
      </c>
      <c r="N66" s="211">
        <v>0</v>
      </c>
      <c r="O66" s="211">
        <v>6</v>
      </c>
      <c r="P66" s="211">
        <v>0</v>
      </c>
      <c r="Q66" s="211">
        <v>0</v>
      </c>
      <c r="R66" s="211">
        <v>28</v>
      </c>
      <c r="S66" s="211"/>
      <c r="T66" s="211"/>
      <c r="U66" s="211">
        <v>0</v>
      </c>
      <c r="V66" s="210">
        <v>0</v>
      </c>
      <c r="W66" s="211">
        <v>0</v>
      </c>
      <c r="X66" s="211">
        <v>0</v>
      </c>
      <c r="Y66" s="211">
        <v>0</v>
      </c>
      <c r="Z66" s="211">
        <v>0</v>
      </c>
      <c r="AA66" s="211">
        <v>0</v>
      </c>
      <c r="AB66" s="248">
        <v>0</v>
      </c>
      <c r="AC66" s="211">
        <v>0</v>
      </c>
      <c r="AD66" s="211">
        <v>0</v>
      </c>
      <c r="AE66" s="211">
        <v>0</v>
      </c>
      <c r="AF66" s="211">
        <v>0</v>
      </c>
      <c r="AG66" s="211">
        <v>0</v>
      </c>
      <c r="AH66" s="211">
        <v>0</v>
      </c>
      <c r="AI66" s="211">
        <v>0</v>
      </c>
      <c r="AJ66" s="211">
        <v>0</v>
      </c>
      <c r="AK66" s="211"/>
      <c r="AL66" s="211"/>
      <c r="AM66" s="213" t="s">
        <v>519</v>
      </c>
      <c r="AN66" s="214">
        <v>4</v>
      </c>
      <c r="AO66" s="214">
        <v>0</v>
      </c>
      <c r="AP66" s="214">
        <v>2</v>
      </c>
      <c r="AQ66" s="214">
        <v>0</v>
      </c>
      <c r="AR66" s="214">
        <v>0</v>
      </c>
      <c r="AS66" s="214">
        <v>2</v>
      </c>
      <c r="AT66" s="214">
        <v>0</v>
      </c>
      <c r="AU66" s="214">
        <v>0</v>
      </c>
      <c r="AV66" s="215">
        <v>2</v>
      </c>
      <c r="AW66" s="213" t="s">
        <v>534</v>
      </c>
      <c r="AX66" s="214">
        <v>3</v>
      </c>
      <c r="AY66" s="214">
        <v>1</v>
      </c>
      <c r="AZ66" s="214">
        <v>1</v>
      </c>
      <c r="BA66" s="214">
        <v>0</v>
      </c>
      <c r="BB66" s="214">
        <v>1</v>
      </c>
      <c r="BC66" s="214">
        <v>0</v>
      </c>
      <c r="BD66" s="214">
        <v>0</v>
      </c>
      <c r="BE66" s="214">
        <v>0</v>
      </c>
      <c r="BF66" s="215">
        <v>1</v>
      </c>
      <c r="BG66" s="213" t="s">
        <v>531</v>
      </c>
      <c r="BH66" s="214">
        <v>4</v>
      </c>
      <c r="BI66" s="214">
        <v>1</v>
      </c>
      <c r="BJ66" s="214">
        <v>1</v>
      </c>
      <c r="BK66" s="214">
        <v>0</v>
      </c>
      <c r="BL66" s="214">
        <v>0</v>
      </c>
      <c r="BM66" s="214">
        <v>1</v>
      </c>
      <c r="BN66" s="214">
        <v>0</v>
      </c>
      <c r="BO66" s="214">
        <v>0</v>
      </c>
      <c r="BP66" s="215">
        <v>1</v>
      </c>
      <c r="BQ66" s="213" t="s">
        <v>539</v>
      </c>
      <c r="BR66" s="214">
        <v>4</v>
      </c>
      <c r="BS66" s="214">
        <v>1</v>
      </c>
      <c r="BT66" s="214">
        <v>1</v>
      </c>
      <c r="BU66" s="214">
        <v>1</v>
      </c>
      <c r="BV66" s="214">
        <v>0</v>
      </c>
      <c r="BW66" s="214">
        <v>1</v>
      </c>
      <c r="BX66" s="214">
        <v>0</v>
      </c>
      <c r="BY66" s="214">
        <v>0</v>
      </c>
      <c r="BZ66" s="215">
        <v>1</v>
      </c>
      <c r="CA66" s="213" t="s">
        <v>530</v>
      </c>
      <c r="CB66" s="214">
        <v>4</v>
      </c>
      <c r="CC66" s="214">
        <v>1</v>
      </c>
      <c r="CD66" s="214">
        <v>1</v>
      </c>
      <c r="CE66" s="214">
        <v>1</v>
      </c>
      <c r="CF66" s="214">
        <v>0</v>
      </c>
      <c r="CG66" s="214">
        <v>1</v>
      </c>
      <c r="CH66" s="214">
        <v>0</v>
      </c>
      <c r="CI66" s="214">
        <v>0</v>
      </c>
      <c r="CJ66" s="215">
        <v>2</v>
      </c>
      <c r="CK66" s="213" t="s">
        <v>561</v>
      </c>
      <c r="CL66" s="214">
        <v>2</v>
      </c>
      <c r="CM66" s="214">
        <v>1</v>
      </c>
      <c r="CN66" s="214">
        <v>0</v>
      </c>
      <c r="CO66" s="214">
        <v>0</v>
      </c>
      <c r="CP66" s="214">
        <v>1</v>
      </c>
      <c r="CQ66" s="214">
        <v>0</v>
      </c>
      <c r="CR66" s="214">
        <v>0</v>
      </c>
      <c r="CS66" s="214">
        <v>0</v>
      </c>
      <c r="CT66" s="215">
        <v>0</v>
      </c>
      <c r="CU66" s="213" t="s">
        <v>543</v>
      </c>
      <c r="CV66" s="214">
        <v>3</v>
      </c>
      <c r="CW66" s="214">
        <v>1</v>
      </c>
      <c r="CX66" s="214">
        <v>1</v>
      </c>
      <c r="CY66" s="214">
        <v>2</v>
      </c>
      <c r="CZ66" s="214">
        <v>0</v>
      </c>
      <c r="DA66" s="214">
        <v>1</v>
      </c>
      <c r="DB66" s="214">
        <v>0</v>
      </c>
      <c r="DC66" s="214">
        <v>0</v>
      </c>
      <c r="DD66" s="215">
        <v>2</v>
      </c>
      <c r="DE66" s="213" t="s">
        <v>538</v>
      </c>
      <c r="DF66" s="214">
        <v>3</v>
      </c>
      <c r="DG66" s="214">
        <v>0</v>
      </c>
      <c r="DH66" s="214">
        <v>0</v>
      </c>
      <c r="DI66" s="214">
        <v>0</v>
      </c>
      <c r="DJ66" s="214">
        <v>0</v>
      </c>
      <c r="DK66" s="214">
        <v>1</v>
      </c>
      <c r="DL66" s="214">
        <v>0</v>
      </c>
      <c r="DM66" s="214">
        <v>0</v>
      </c>
      <c r="DN66" s="215">
        <v>0</v>
      </c>
      <c r="DO66" s="213" t="s">
        <v>535</v>
      </c>
      <c r="DP66" s="214">
        <v>3</v>
      </c>
      <c r="DQ66" s="214">
        <v>0</v>
      </c>
      <c r="DR66" s="214">
        <v>1</v>
      </c>
      <c r="DS66" s="214">
        <v>2</v>
      </c>
      <c r="DT66" s="214">
        <v>0</v>
      </c>
      <c r="DU66" s="214">
        <v>1</v>
      </c>
      <c r="DV66" s="214">
        <v>0</v>
      </c>
      <c r="DW66" s="214">
        <v>0</v>
      </c>
      <c r="DX66" s="215">
        <v>1</v>
      </c>
      <c r="DY66" s="249">
        <f>1+2/3</f>
        <v>1.6666666666666665</v>
      </c>
      <c r="DZ66" s="217">
        <v>1</v>
      </c>
      <c r="EA66" s="217">
        <v>0</v>
      </c>
      <c r="EB66" s="250">
        <f>5+1/3</f>
        <v>5.333333333333333</v>
      </c>
      <c r="EC66" s="217">
        <v>0</v>
      </c>
      <c r="ED66" s="219">
        <v>1</v>
      </c>
      <c r="EE66" s="220">
        <v>0</v>
      </c>
      <c r="EF66" s="217">
        <v>0</v>
      </c>
      <c r="EG66" s="217">
        <v>0</v>
      </c>
      <c r="EH66" s="217">
        <v>0</v>
      </c>
      <c r="EI66" s="217">
        <v>0</v>
      </c>
      <c r="EJ66" s="217">
        <v>6</v>
      </c>
      <c r="EK66" s="217">
        <v>0</v>
      </c>
      <c r="EL66" s="217"/>
      <c r="EM66" s="217"/>
      <c r="EN66" s="217"/>
      <c r="EO66" s="217"/>
      <c r="EP66" s="217"/>
      <c r="EQ66" s="217"/>
      <c r="ER66" s="219">
        <f t="shared" si="61"/>
        <v>6</v>
      </c>
      <c r="ES66" s="217">
        <v>0</v>
      </c>
      <c r="ET66" s="217">
        <v>0</v>
      </c>
      <c r="EU66" s="217">
        <v>0</v>
      </c>
      <c r="EV66" s="217">
        <v>1</v>
      </c>
      <c r="EW66" s="217">
        <v>0</v>
      </c>
      <c r="EX66" s="217">
        <v>0</v>
      </c>
      <c r="EY66" s="217">
        <v>0</v>
      </c>
      <c r="EZ66" s="217"/>
      <c r="FA66" s="217"/>
      <c r="FB66" s="217"/>
      <c r="FC66" s="217"/>
      <c r="FD66" s="217"/>
      <c r="FE66" s="217"/>
      <c r="FF66" s="217">
        <f t="shared" si="62"/>
        <v>1</v>
      </c>
      <c r="FG66" s="221">
        <f t="shared" si="63"/>
        <v>0</v>
      </c>
      <c r="FH66" s="221">
        <f t="shared" si="64"/>
        <v>0</v>
      </c>
      <c r="FI66" s="221">
        <f t="shared" si="65"/>
        <v>0</v>
      </c>
      <c r="FJ66" s="221">
        <f t="shared" si="66"/>
        <v>0</v>
      </c>
      <c r="FK66" s="221">
        <f t="shared" si="67"/>
        <v>0</v>
      </c>
      <c r="FL66" s="221">
        <f t="shared" si="68"/>
        <v>-1</v>
      </c>
      <c r="FM66" s="221">
        <f t="shared" si="69"/>
        <v>0</v>
      </c>
      <c r="FN66" s="221">
        <f t="shared" si="70"/>
        <v>6</v>
      </c>
      <c r="FO66" s="221">
        <f t="shared" si="71"/>
        <v>0</v>
      </c>
      <c r="FP66" s="221">
        <f t="shared" si="72"/>
        <v>0</v>
      </c>
      <c r="FQ66" s="221">
        <f t="shared" si="73"/>
        <v>0</v>
      </c>
      <c r="FR66" s="221">
        <f t="shared" si="74"/>
        <v>0</v>
      </c>
      <c r="FS66" s="221">
        <f t="shared" si="75"/>
        <v>0</v>
      </c>
      <c r="FT66" s="221">
        <f t="shared" si="76"/>
        <v>0</v>
      </c>
      <c r="FU66" s="221">
        <f t="shared" si="77"/>
        <v>0</v>
      </c>
      <c r="FV66" s="221">
        <f t="shared" si="78"/>
        <v>5</v>
      </c>
      <c r="FW66" s="222" t="s">
        <v>475</v>
      </c>
    </row>
    <row r="67" spans="1:179" x14ac:dyDescent="0.25">
      <c r="A67" s="204">
        <v>40344</v>
      </c>
      <c r="B67" s="204" t="s">
        <v>133</v>
      </c>
      <c r="C67" s="204" t="s">
        <v>129</v>
      </c>
      <c r="D67" s="204" t="s">
        <v>548</v>
      </c>
      <c r="E67" s="205"/>
      <c r="F67" s="206">
        <v>1</v>
      </c>
      <c r="G67" s="207" t="s">
        <v>540</v>
      </c>
      <c r="H67" s="211">
        <v>0</v>
      </c>
      <c r="I67" s="211">
        <v>0</v>
      </c>
      <c r="J67" s="248">
        <v>5</v>
      </c>
      <c r="K67" s="211">
        <v>4</v>
      </c>
      <c r="L67" s="211">
        <v>2</v>
      </c>
      <c r="M67" s="211">
        <v>2</v>
      </c>
      <c r="N67" s="211">
        <v>2</v>
      </c>
      <c r="O67" s="211">
        <v>6</v>
      </c>
      <c r="P67" s="211">
        <v>1</v>
      </c>
      <c r="Q67" s="211">
        <v>0</v>
      </c>
      <c r="R67" s="211">
        <v>20</v>
      </c>
      <c r="S67" s="211"/>
      <c r="T67" s="211"/>
      <c r="U67" s="211">
        <v>0</v>
      </c>
      <c r="V67" s="210">
        <v>0</v>
      </c>
      <c r="W67" s="211">
        <v>1</v>
      </c>
      <c r="X67" s="211">
        <v>0</v>
      </c>
      <c r="Y67" s="211">
        <v>0</v>
      </c>
      <c r="Z67" s="211">
        <v>1</v>
      </c>
      <c r="AA67" s="211">
        <v>0</v>
      </c>
      <c r="AB67" s="248">
        <v>2</v>
      </c>
      <c r="AC67" s="211">
        <v>1</v>
      </c>
      <c r="AD67" s="211">
        <v>0</v>
      </c>
      <c r="AE67" s="211">
        <v>0</v>
      </c>
      <c r="AF67" s="211">
        <v>2</v>
      </c>
      <c r="AG67" s="211">
        <v>3</v>
      </c>
      <c r="AH67" s="211">
        <v>0</v>
      </c>
      <c r="AI67" s="211">
        <v>0</v>
      </c>
      <c r="AJ67" s="211">
        <v>9</v>
      </c>
      <c r="AK67" s="211"/>
      <c r="AL67" s="211"/>
      <c r="AM67" s="213" t="s">
        <v>519</v>
      </c>
      <c r="AN67" s="214">
        <v>3</v>
      </c>
      <c r="AO67" s="214">
        <v>0</v>
      </c>
      <c r="AP67" s="214">
        <v>1</v>
      </c>
      <c r="AQ67" s="214">
        <v>1</v>
      </c>
      <c r="AR67" s="214">
        <v>0</v>
      </c>
      <c r="AS67" s="214">
        <v>0</v>
      </c>
      <c r="AT67" s="214">
        <v>0</v>
      </c>
      <c r="AU67" s="214">
        <v>1</v>
      </c>
      <c r="AV67" s="215">
        <v>1</v>
      </c>
      <c r="AW67" s="213" t="s">
        <v>538</v>
      </c>
      <c r="AX67" s="214">
        <v>4</v>
      </c>
      <c r="AY67" s="214">
        <v>0</v>
      </c>
      <c r="AZ67" s="214">
        <v>0</v>
      </c>
      <c r="BA67" s="214">
        <v>0</v>
      </c>
      <c r="BB67" s="214">
        <v>0</v>
      </c>
      <c r="BC67" s="214">
        <v>2</v>
      </c>
      <c r="BD67" s="214">
        <v>0</v>
      </c>
      <c r="BE67" s="214">
        <v>0</v>
      </c>
      <c r="BF67" s="215">
        <v>0</v>
      </c>
      <c r="BG67" s="213" t="s">
        <v>534</v>
      </c>
      <c r="BH67" s="214">
        <v>2</v>
      </c>
      <c r="BI67" s="214">
        <v>0</v>
      </c>
      <c r="BJ67" s="214">
        <v>0</v>
      </c>
      <c r="BK67" s="214">
        <v>0</v>
      </c>
      <c r="BL67" s="214">
        <v>1</v>
      </c>
      <c r="BM67" s="214">
        <v>1</v>
      </c>
      <c r="BN67" s="214">
        <v>0</v>
      </c>
      <c r="BO67" s="214">
        <v>0</v>
      </c>
      <c r="BP67" s="215">
        <v>0</v>
      </c>
      <c r="BQ67" s="213" t="s">
        <v>539</v>
      </c>
      <c r="BR67" s="214">
        <v>3</v>
      </c>
      <c r="BS67" s="214">
        <v>1</v>
      </c>
      <c r="BT67" s="214">
        <v>1</v>
      </c>
      <c r="BU67" s="214">
        <v>1</v>
      </c>
      <c r="BV67" s="214">
        <v>0</v>
      </c>
      <c r="BW67" s="214">
        <v>1</v>
      </c>
      <c r="BX67" s="214">
        <v>0</v>
      </c>
      <c r="BY67" s="214">
        <v>0</v>
      </c>
      <c r="BZ67" s="215">
        <v>4</v>
      </c>
      <c r="CA67" s="213" t="s">
        <v>561</v>
      </c>
      <c r="CB67" s="214">
        <v>3</v>
      </c>
      <c r="CC67" s="214">
        <v>1</v>
      </c>
      <c r="CD67" s="214">
        <v>0</v>
      </c>
      <c r="CE67" s="214">
        <v>0</v>
      </c>
      <c r="CF67" s="214">
        <v>0</v>
      </c>
      <c r="CG67" s="214">
        <v>1</v>
      </c>
      <c r="CH67" s="214">
        <v>0</v>
      </c>
      <c r="CI67" s="214">
        <v>0</v>
      </c>
      <c r="CJ67" s="215">
        <v>0</v>
      </c>
      <c r="CK67" s="213" t="s">
        <v>426</v>
      </c>
      <c r="CL67" s="214">
        <v>2</v>
      </c>
      <c r="CM67" s="214">
        <v>0</v>
      </c>
      <c r="CN67" s="214">
        <v>0</v>
      </c>
      <c r="CO67" s="214">
        <v>0</v>
      </c>
      <c r="CP67" s="214">
        <v>0</v>
      </c>
      <c r="CQ67" s="214">
        <v>0</v>
      </c>
      <c r="CR67" s="214">
        <v>0</v>
      </c>
      <c r="CS67" s="214">
        <v>0</v>
      </c>
      <c r="CT67" s="215">
        <v>0</v>
      </c>
      <c r="CU67" s="213" t="s">
        <v>549</v>
      </c>
      <c r="CV67" s="214">
        <v>3</v>
      </c>
      <c r="CW67" s="214">
        <v>1</v>
      </c>
      <c r="CX67" s="214">
        <v>1</v>
      </c>
      <c r="CY67" s="214">
        <v>1</v>
      </c>
      <c r="CZ67" s="214">
        <v>0</v>
      </c>
      <c r="DA67" s="214">
        <v>0</v>
      </c>
      <c r="DB67" s="214">
        <v>0</v>
      </c>
      <c r="DC67" s="214">
        <v>0</v>
      </c>
      <c r="DD67" s="215">
        <v>1</v>
      </c>
      <c r="DE67" s="213" t="s">
        <v>532</v>
      </c>
      <c r="DF67" s="214">
        <v>3</v>
      </c>
      <c r="DG67" s="214">
        <v>1</v>
      </c>
      <c r="DH67" s="214">
        <v>1</v>
      </c>
      <c r="DI67" s="214">
        <v>0</v>
      </c>
      <c r="DJ67" s="214">
        <v>0</v>
      </c>
      <c r="DK67" s="214">
        <v>0</v>
      </c>
      <c r="DL67" s="214">
        <v>0</v>
      </c>
      <c r="DM67" s="214">
        <v>0</v>
      </c>
      <c r="DN67" s="215">
        <v>1</v>
      </c>
      <c r="DO67" s="213" t="s">
        <v>535</v>
      </c>
      <c r="DP67" s="214">
        <v>3</v>
      </c>
      <c r="DQ67" s="214">
        <v>1</v>
      </c>
      <c r="DR67" s="214">
        <v>3</v>
      </c>
      <c r="DS67" s="214">
        <v>2</v>
      </c>
      <c r="DT67" s="214">
        <v>0</v>
      </c>
      <c r="DU67" s="214">
        <v>0</v>
      </c>
      <c r="DV67" s="214">
        <v>0</v>
      </c>
      <c r="DW67" s="214">
        <v>0</v>
      </c>
      <c r="DX67" s="215">
        <v>5</v>
      </c>
      <c r="DY67" s="249">
        <v>0</v>
      </c>
      <c r="DZ67" s="217">
        <v>0</v>
      </c>
      <c r="EA67" s="217">
        <v>0</v>
      </c>
      <c r="EB67" s="250">
        <v>7</v>
      </c>
      <c r="EC67" s="217">
        <v>0</v>
      </c>
      <c r="ED67" s="219">
        <v>0</v>
      </c>
      <c r="EE67" s="220">
        <v>0</v>
      </c>
      <c r="EF67" s="217">
        <v>0</v>
      </c>
      <c r="EG67" s="217">
        <v>0</v>
      </c>
      <c r="EH67" s="217">
        <v>0</v>
      </c>
      <c r="EI67" s="217">
        <v>0</v>
      </c>
      <c r="EJ67" s="217">
        <v>0</v>
      </c>
      <c r="EK67" s="217">
        <v>5</v>
      </c>
      <c r="EL67" s="217"/>
      <c r="EM67" s="217"/>
      <c r="EN67" s="217"/>
      <c r="EO67" s="217"/>
      <c r="EP67" s="217"/>
      <c r="EQ67" s="217"/>
      <c r="ER67" s="219">
        <f t="shared" si="61"/>
        <v>5</v>
      </c>
      <c r="ES67" s="217">
        <v>0</v>
      </c>
      <c r="ET67" s="217">
        <v>0</v>
      </c>
      <c r="EU67" s="217">
        <v>0</v>
      </c>
      <c r="EV67" s="217">
        <v>0</v>
      </c>
      <c r="EW67" s="217">
        <v>2</v>
      </c>
      <c r="EX67" s="217">
        <v>0</v>
      </c>
      <c r="EY67" s="217">
        <v>0</v>
      </c>
      <c r="EZ67" s="217"/>
      <c r="FA67" s="217"/>
      <c r="FB67" s="217"/>
      <c r="FC67" s="217"/>
      <c r="FD67" s="217"/>
      <c r="FE67" s="217"/>
      <c r="FF67" s="217">
        <f t="shared" si="62"/>
        <v>2</v>
      </c>
      <c r="FG67" s="221">
        <f t="shared" si="63"/>
        <v>0</v>
      </c>
      <c r="FH67" s="221">
        <f t="shared" si="64"/>
        <v>0</v>
      </c>
      <c r="FI67" s="221">
        <f t="shared" si="65"/>
        <v>0</v>
      </c>
      <c r="FJ67" s="221">
        <f t="shared" si="66"/>
        <v>0</v>
      </c>
      <c r="FK67" s="221">
        <f t="shared" si="67"/>
        <v>0</v>
      </c>
      <c r="FL67" s="221">
        <f t="shared" si="68"/>
        <v>0</v>
      </c>
      <c r="FM67" s="221">
        <f t="shared" si="69"/>
        <v>-2</v>
      </c>
      <c r="FN67" s="221">
        <f t="shared" si="70"/>
        <v>0</v>
      </c>
      <c r="FO67" s="221">
        <f t="shared" si="71"/>
        <v>5</v>
      </c>
      <c r="FP67" s="221">
        <f t="shared" si="72"/>
        <v>0</v>
      </c>
      <c r="FQ67" s="221">
        <f t="shared" si="73"/>
        <v>0</v>
      </c>
      <c r="FR67" s="221">
        <f t="shared" si="74"/>
        <v>0</v>
      </c>
      <c r="FS67" s="221">
        <f t="shared" si="75"/>
        <v>0</v>
      </c>
      <c r="FT67" s="221">
        <f t="shared" si="76"/>
        <v>0</v>
      </c>
      <c r="FU67" s="221">
        <f t="shared" si="77"/>
        <v>0</v>
      </c>
      <c r="FV67" s="221">
        <f t="shared" si="78"/>
        <v>3</v>
      </c>
      <c r="FW67" s="222" t="s">
        <v>378</v>
      </c>
    </row>
    <row r="68" spans="1:179" x14ac:dyDescent="0.25">
      <c r="A68" s="204">
        <v>40345</v>
      </c>
      <c r="B68" s="204" t="s">
        <v>133</v>
      </c>
      <c r="C68" s="204" t="s">
        <v>131</v>
      </c>
      <c r="D68" s="204" t="s">
        <v>548</v>
      </c>
      <c r="E68" s="205">
        <v>1219</v>
      </c>
      <c r="F68" s="206">
        <v>2</v>
      </c>
      <c r="G68" s="207" t="s">
        <v>566</v>
      </c>
      <c r="H68" s="211">
        <v>0</v>
      </c>
      <c r="I68" s="211">
        <v>1</v>
      </c>
      <c r="J68" s="248">
        <v>3</v>
      </c>
      <c r="K68" s="211">
        <v>10</v>
      </c>
      <c r="L68" s="211">
        <v>8</v>
      </c>
      <c r="M68" s="211">
        <v>7</v>
      </c>
      <c r="N68" s="211">
        <v>1</v>
      </c>
      <c r="O68" s="211">
        <v>2</v>
      </c>
      <c r="P68" s="211">
        <v>1</v>
      </c>
      <c r="Q68" s="211">
        <v>0</v>
      </c>
      <c r="R68" s="211">
        <v>20</v>
      </c>
      <c r="S68" s="211"/>
      <c r="T68" s="211"/>
      <c r="U68" s="211">
        <v>0</v>
      </c>
      <c r="V68" s="210">
        <v>0</v>
      </c>
      <c r="W68" s="211">
        <v>0</v>
      </c>
      <c r="X68" s="211">
        <v>0</v>
      </c>
      <c r="Y68" s="211">
        <v>0</v>
      </c>
      <c r="Z68" s="211">
        <v>0</v>
      </c>
      <c r="AA68" s="211">
        <v>0</v>
      </c>
      <c r="AB68" s="248">
        <v>5</v>
      </c>
      <c r="AC68" s="211">
        <v>3</v>
      </c>
      <c r="AD68" s="211">
        <v>0</v>
      </c>
      <c r="AE68" s="211">
        <v>0</v>
      </c>
      <c r="AF68" s="211">
        <v>1</v>
      </c>
      <c r="AG68" s="211">
        <v>4</v>
      </c>
      <c r="AH68" s="211">
        <v>0</v>
      </c>
      <c r="AI68" s="211">
        <v>0</v>
      </c>
      <c r="AJ68" s="211">
        <v>18</v>
      </c>
      <c r="AK68" s="211"/>
      <c r="AL68" s="211"/>
      <c r="AM68" s="213" t="s">
        <v>519</v>
      </c>
      <c r="AN68" s="214">
        <v>3</v>
      </c>
      <c r="AO68" s="214">
        <v>1</v>
      </c>
      <c r="AP68" s="214">
        <v>1</v>
      </c>
      <c r="AQ68" s="214">
        <v>0</v>
      </c>
      <c r="AR68" s="214">
        <v>1</v>
      </c>
      <c r="AS68" s="214">
        <v>1</v>
      </c>
      <c r="AT68" s="214">
        <v>1</v>
      </c>
      <c r="AU68" s="214">
        <v>0</v>
      </c>
      <c r="AV68" s="215">
        <v>1</v>
      </c>
      <c r="AW68" s="213" t="s">
        <v>534</v>
      </c>
      <c r="AX68" s="214">
        <v>4</v>
      </c>
      <c r="AY68" s="214">
        <v>1</v>
      </c>
      <c r="AZ68" s="214">
        <v>2</v>
      </c>
      <c r="BA68" s="214">
        <v>0</v>
      </c>
      <c r="BB68" s="214">
        <v>1</v>
      </c>
      <c r="BC68" s="214">
        <v>0</v>
      </c>
      <c r="BD68" s="214">
        <v>0</v>
      </c>
      <c r="BE68" s="214">
        <v>0</v>
      </c>
      <c r="BF68" s="215">
        <v>2</v>
      </c>
      <c r="BG68" s="213" t="s">
        <v>531</v>
      </c>
      <c r="BH68" s="214">
        <v>4</v>
      </c>
      <c r="BI68" s="214">
        <v>2</v>
      </c>
      <c r="BJ68" s="214">
        <v>1</v>
      </c>
      <c r="BK68" s="214">
        <v>0</v>
      </c>
      <c r="BL68" s="214">
        <v>1</v>
      </c>
      <c r="BM68" s="214">
        <v>0</v>
      </c>
      <c r="BN68" s="214">
        <v>0</v>
      </c>
      <c r="BO68" s="214">
        <v>0</v>
      </c>
      <c r="BP68" s="215">
        <v>1</v>
      </c>
      <c r="BQ68" s="213" t="s">
        <v>539</v>
      </c>
      <c r="BR68" s="214">
        <v>4</v>
      </c>
      <c r="BS68" s="214">
        <v>0</v>
      </c>
      <c r="BT68" s="214">
        <v>2</v>
      </c>
      <c r="BU68" s="214">
        <v>3</v>
      </c>
      <c r="BV68" s="214">
        <v>0</v>
      </c>
      <c r="BW68" s="214">
        <v>1</v>
      </c>
      <c r="BX68" s="214">
        <v>0</v>
      </c>
      <c r="BY68" s="214">
        <v>1</v>
      </c>
      <c r="BZ68" s="215">
        <v>2</v>
      </c>
      <c r="CA68" s="213" t="s">
        <v>530</v>
      </c>
      <c r="CB68" s="214">
        <v>5</v>
      </c>
      <c r="CC68" s="214">
        <v>1</v>
      </c>
      <c r="CD68" s="214">
        <v>2</v>
      </c>
      <c r="CE68" s="214">
        <v>0</v>
      </c>
      <c r="CF68" s="214">
        <v>0</v>
      </c>
      <c r="CG68" s="214">
        <v>0</v>
      </c>
      <c r="CH68" s="214">
        <v>0</v>
      </c>
      <c r="CI68" s="214">
        <v>0</v>
      </c>
      <c r="CJ68" s="215">
        <v>3</v>
      </c>
      <c r="CK68" s="213" t="s">
        <v>561</v>
      </c>
      <c r="CL68" s="214">
        <v>4</v>
      </c>
      <c r="CM68" s="214">
        <v>0</v>
      </c>
      <c r="CN68" s="214">
        <v>3</v>
      </c>
      <c r="CO68" s="214">
        <v>2</v>
      </c>
      <c r="CP68" s="214">
        <v>1</v>
      </c>
      <c r="CQ68" s="214">
        <v>1</v>
      </c>
      <c r="CR68" s="214">
        <v>0</v>
      </c>
      <c r="CS68" s="214">
        <v>0</v>
      </c>
      <c r="CT68" s="215">
        <v>3</v>
      </c>
      <c r="CU68" s="213" t="s">
        <v>532</v>
      </c>
      <c r="CV68" s="214">
        <v>5</v>
      </c>
      <c r="CW68" s="214">
        <v>0</v>
      </c>
      <c r="CX68" s="214">
        <v>2</v>
      </c>
      <c r="CY68" s="214">
        <v>0</v>
      </c>
      <c r="CZ68" s="214">
        <v>0</v>
      </c>
      <c r="DA68" s="214">
        <v>0</v>
      </c>
      <c r="DB68" s="214">
        <v>0</v>
      </c>
      <c r="DC68" s="214">
        <v>0</v>
      </c>
      <c r="DD68" s="215">
        <v>2</v>
      </c>
      <c r="DE68" s="213" t="s">
        <v>285</v>
      </c>
      <c r="DF68" s="214">
        <v>5</v>
      </c>
      <c r="DG68" s="214">
        <v>0</v>
      </c>
      <c r="DH68" s="214">
        <v>0</v>
      </c>
      <c r="DI68" s="214">
        <v>0</v>
      </c>
      <c r="DJ68" s="214">
        <v>0</v>
      </c>
      <c r="DK68" s="214">
        <v>3</v>
      </c>
      <c r="DL68" s="214">
        <v>0</v>
      </c>
      <c r="DM68" s="214">
        <v>0</v>
      </c>
      <c r="DN68" s="215">
        <v>0</v>
      </c>
      <c r="DO68" s="213" t="s">
        <v>535</v>
      </c>
      <c r="DP68" s="214">
        <v>5</v>
      </c>
      <c r="DQ68" s="214">
        <v>0</v>
      </c>
      <c r="DR68" s="214">
        <v>0</v>
      </c>
      <c r="DS68" s="214">
        <v>0</v>
      </c>
      <c r="DT68" s="214">
        <v>0</v>
      </c>
      <c r="DU68" s="214">
        <v>1</v>
      </c>
      <c r="DV68" s="214">
        <v>0</v>
      </c>
      <c r="DW68" s="214">
        <v>0</v>
      </c>
      <c r="DX68" s="215">
        <v>0</v>
      </c>
      <c r="DY68" s="249">
        <v>3</v>
      </c>
      <c r="DZ68" s="217">
        <v>2</v>
      </c>
      <c r="EA68" s="217">
        <v>1</v>
      </c>
      <c r="EB68" s="250">
        <v>6</v>
      </c>
      <c r="EC68" s="217">
        <v>1</v>
      </c>
      <c r="ED68" s="219">
        <v>0</v>
      </c>
      <c r="EE68" s="220">
        <v>1</v>
      </c>
      <c r="EF68" s="217">
        <v>0</v>
      </c>
      <c r="EG68" s="217">
        <v>1</v>
      </c>
      <c r="EH68" s="217">
        <v>0</v>
      </c>
      <c r="EI68" s="217">
        <v>1</v>
      </c>
      <c r="EJ68" s="217">
        <v>2</v>
      </c>
      <c r="EK68" s="217">
        <v>0</v>
      </c>
      <c r="EL68" s="217">
        <v>0</v>
      </c>
      <c r="EM68" s="217">
        <v>0</v>
      </c>
      <c r="EN68" s="217"/>
      <c r="EO68" s="217"/>
      <c r="EP68" s="217"/>
      <c r="EQ68" s="217"/>
      <c r="ER68" s="219">
        <f t="shared" si="61"/>
        <v>5</v>
      </c>
      <c r="ES68" s="217">
        <v>4</v>
      </c>
      <c r="ET68" s="217">
        <v>1</v>
      </c>
      <c r="EU68" s="217">
        <v>3</v>
      </c>
      <c r="EV68" s="217">
        <v>0</v>
      </c>
      <c r="EW68" s="217">
        <v>0</v>
      </c>
      <c r="EX68" s="217">
        <v>0</v>
      </c>
      <c r="EY68" s="217">
        <v>0</v>
      </c>
      <c r="EZ68" s="217">
        <v>0</v>
      </c>
      <c r="FA68" s="217"/>
      <c r="FB68" s="217"/>
      <c r="FC68" s="217"/>
      <c r="FD68" s="217"/>
      <c r="FE68" s="217"/>
      <c r="FF68" s="217">
        <f t="shared" si="62"/>
        <v>8</v>
      </c>
      <c r="FG68" s="221">
        <f t="shared" si="63"/>
        <v>0</v>
      </c>
      <c r="FH68" s="221">
        <f t="shared" si="64"/>
        <v>0</v>
      </c>
      <c r="FI68" s="221">
        <f t="shared" si="65"/>
        <v>-3</v>
      </c>
      <c r="FJ68" s="221">
        <f t="shared" si="66"/>
        <v>-1</v>
      </c>
      <c r="FK68" s="221">
        <f t="shared" si="67"/>
        <v>-2</v>
      </c>
      <c r="FL68" s="221">
        <f t="shared" si="68"/>
        <v>0</v>
      </c>
      <c r="FM68" s="221">
        <f t="shared" si="69"/>
        <v>1</v>
      </c>
      <c r="FN68" s="221">
        <f t="shared" si="70"/>
        <v>2</v>
      </c>
      <c r="FO68" s="221">
        <f t="shared" si="71"/>
        <v>0</v>
      </c>
      <c r="FP68" s="221">
        <f t="shared" si="72"/>
        <v>0</v>
      </c>
      <c r="FQ68" s="221">
        <f t="shared" si="73"/>
        <v>0</v>
      </c>
      <c r="FR68" s="221">
        <f t="shared" si="74"/>
        <v>0</v>
      </c>
      <c r="FS68" s="221">
        <f t="shared" si="75"/>
        <v>0</v>
      </c>
      <c r="FT68" s="221">
        <f t="shared" si="76"/>
        <v>0</v>
      </c>
      <c r="FU68" s="221">
        <f t="shared" si="77"/>
        <v>0</v>
      </c>
      <c r="FV68" s="221">
        <f t="shared" si="78"/>
        <v>-3</v>
      </c>
      <c r="FW68" s="222"/>
    </row>
    <row r="69" spans="1:179" x14ac:dyDescent="0.25">
      <c r="A69" s="204">
        <v>40346</v>
      </c>
      <c r="B69" s="204" t="s">
        <v>133</v>
      </c>
      <c r="C69" s="204" t="s">
        <v>129</v>
      </c>
      <c r="D69" s="204" t="s">
        <v>548</v>
      </c>
      <c r="E69" s="205">
        <v>8114</v>
      </c>
      <c r="F69" s="206">
        <v>3</v>
      </c>
      <c r="G69" s="207" t="s">
        <v>536</v>
      </c>
      <c r="H69" s="211">
        <v>0</v>
      </c>
      <c r="I69" s="211">
        <v>0</v>
      </c>
      <c r="J69" s="248">
        <v>6</v>
      </c>
      <c r="K69" s="211">
        <v>6</v>
      </c>
      <c r="L69" s="211">
        <v>4</v>
      </c>
      <c r="M69" s="211">
        <v>4</v>
      </c>
      <c r="N69" s="211">
        <v>2</v>
      </c>
      <c r="O69" s="211">
        <v>7</v>
      </c>
      <c r="P69" s="211">
        <v>0</v>
      </c>
      <c r="Q69" s="211">
        <v>2</v>
      </c>
      <c r="R69" s="211">
        <v>28</v>
      </c>
      <c r="S69" s="211"/>
      <c r="T69" s="211"/>
      <c r="U69" s="211">
        <v>0</v>
      </c>
      <c r="V69" s="210">
        <v>0</v>
      </c>
      <c r="W69" s="211">
        <v>1</v>
      </c>
      <c r="X69" s="211">
        <v>0</v>
      </c>
      <c r="Y69" s="211">
        <v>0</v>
      </c>
      <c r="Z69" s="211">
        <v>0</v>
      </c>
      <c r="AA69" s="211">
        <v>0</v>
      </c>
      <c r="AB69" s="248">
        <v>4</v>
      </c>
      <c r="AC69" s="211">
        <v>1</v>
      </c>
      <c r="AD69" s="211">
        <v>0</v>
      </c>
      <c r="AE69" s="211">
        <v>0</v>
      </c>
      <c r="AF69" s="211">
        <v>1</v>
      </c>
      <c r="AG69" s="211">
        <v>3</v>
      </c>
      <c r="AH69" s="211">
        <v>0</v>
      </c>
      <c r="AI69" s="211">
        <v>0</v>
      </c>
      <c r="AJ69" s="211">
        <v>14</v>
      </c>
      <c r="AK69" s="211"/>
      <c r="AL69" s="211"/>
      <c r="AM69" s="213" t="s">
        <v>519</v>
      </c>
      <c r="AN69" s="214">
        <v>5</v>
      </c>
      <c r="AO69" s="214">
        <v>2</v>
      </c>
      <c r="AP69" s="214">
        <v>3</v>
      </c>
      <c r="AQ69" s="214">
        <v>0</v>
      </c>
      <c r="AR69" s="214">
        <v>0</v>
      </c>
      <c r="AS69" s="214">
        <v>2</v>
      </c>
      <c r="AT69" s="214">
        <v>0</v>
      </c>
      <c r="AU69" s="214">
        <v>0</v>
      </c>
      <c r="AV69" s="215">
        <v>3</v>
      </c>
      <c r="AW69" s="213" t="s">
        <v>534</v>
      </c>
      <c r="AX69" s="214">
        <v>3</v>
      </c>
      <c r="AY69" s="214">
        <v>1</v>
      </c>
      <c r="AZ69" s="214">
        <v>1</v>
      </c>
      <c r="BA69" s="214">
        <v>0</v>
      </c>
      <c r="BB69" s="214">
        <v>1</v>
      </c>
      <c r="BC69" s="214">
        <v>0</v>
      </c>
      <c r="BD69" s="214">
        <v>1</v>
      </c>
      <c r="BE69" s="214">
        <v>0</v>
      </c>
      <c r="BF69" s="215">
        <v>1</v>
      </c>
      <c r="BG69" s="213" t="s">
        <v>531</v>
      </c>
      <c r="BH69" s="214">
        <v>5</v>
      </c>
      <c r="BI69" s="214">
        <v>0</v>
      </c>
      <c r="BJ69" s="214">
        <v>2</v>
      </c>
      <c r="BK69" s="214">
        <v>3</v>
      </c>
      <c r="BL69" s="214">
        <v>0</v>
      </c>
      <c r="BM69" s="214">
        <v>1</v>
      </c>
      <c r="BN69" s="214">
        <v>0</v>
      </c>
      <c r="BO69" s="214">
        <v>0</v>
      </c>
      <c r="BP69" s="215">
        <v>3</v>
      </c>
      <c r="BQ69" s="213" t="s">
        <v>539</v>
      </c>
      <c r="BR69" s="214">
        <v>5</v>
      </c>
      <c r="BS69" s="214">
        <v>1</v>
      </c>
      <c r="BT69" s="214">
        <v>2</v>
      </c>
      <c r="BU69" s="214">
        <v>0</v>
      </c>
      <c r="BV69" s="214">
        <v>0</v>
      </c>
      <c r="BW69" s="214">
        <v>0</v>
      </c>
      <c r="BX69" s="214">
        <v>0</v>
      </c>
      <c r="BY69" s="214">
        <v>0</v>
      </c>
      <c r="BZ69" s="215">
        <v>4</v>
      </c>
      <c r="CA69" s="213" t="s">
        <v>530</v>
      </c>
      <c r="CB69" s="214">
        <v>5</v>
      </c>
      <c r="CC69" s="214">
        <v>0</v>
      </c>
      <c r="CD69" s="214">
        <v>2</v>
      </c>
      <c r="CE69" s="214">
        <v>1</v>
      </c>
      <c r="CF69" s="214">
        <v>0</v>
      </c>
      <c r="CG69" s="214">
        <v>1</v>
      </c>
      <c r="CH69" s="214">
        <v>0</v>
      </c>
      <c r="CI69" s="214">
        <v>0</v>
      </c>
      <c r="CJ69" s="215">
        <v>2</v>
      </c>
      <c r="CK69" s="213" t="s">
        <v>561</v>
      </c>
      <c r="CL69" s="214">
        <v>5</v>
      </c>
      <c r="CM69" s="214">
        <v>0</v>
      </c>
      <c r="CN69" s="214">
        <v>0</v>
      </c>
      <c r="CO69" s="214">
        <v>0</v>
      </c>
      <c r="CP69" s="214">
        <v>0</v>
      </c>
      <c r="CQ69" s="214">
        <v>1</v>
      </c>
      <c r="CR69" s="214">
        <v>0</v>
      </c>
      <c r="CS69" s="214">
        <v>0</v>
      </c>
      <c r="CT69" s="215">
        <v>0</v>
      </c>
      <c r="CU69" s="213" t="s">
        <v>532</v>
      </c>
      <c r="CV69" s="214">
        <v>3</v>
      </c>
      <c r="CW69" s="214">
        <v>1</v>
      </c>
      <c r="CX69" s="214">
        <v>0</v>
      </c>
      <c r="CY69" s="214">
        <v>0</v>
      </c>
      <c r="CZ69" s="214">
        <v>2</v>
      </c>
      <c r="DA69" s="214">
        <v>1</v>
      </c>
      <c r="DB69" s="214">
        <v>0</v>
      </c>
      <c r="DC69" s="214">
        <v>0</v>
      </c>
      <c r="DD69" s="215">
        <v>0</v>
      </c>
      <c r="DE69" s="213" t="s">
        <v>538</v>
      </c>
      <c r="DF69" s="214">
        <v>4</v>
      </c>
      <c r="DG69" s="214">
        <v>0</v>
      </c>
      <c r="DH69" s="214">
        <v>1</v>
      </c>
      <c r="DI69" s="214">
        <v>0</v>
      </c>
      <c r="DJ69" s="214">
        <v>0</v>
      </c>
      <c r="DK69" s="214">
        <v>2</v>
      </c>
      <c r="DL69" s="214">
        <v>0</v>
      </c>
      <c r="DM69" s="214">
        <v>0</v>
      </c>
      <c r="DN69" s="215">
        <v>1</v>
      </c>
      <c r="DO69" s="213" t="s">
        <v>535</v>
      </c>
      <c r="DP69" s="214">
        <v>4</v>
      </c>
      <c r="DQ69" s="214">
        <v>0</v>
      </c>
      <c r="DR69" s="214">
        <v>1</v>
      </c>
      <c r="DS69" s="214">
        <v>0</v>
      </c>
      <c r="DT69" s="214">
        <v>0</v>
      </c>
      <c r="DU69" s="214">
        <v>0</v>
      </c>
      <c r="DV69" s="214">
        <v>0</v>
      </c>
      <c r="DW69" s="214">
        <v>0</v>
      </c>
      <c r="DX69" s="215">
        <v>2</v>
      </c>
      <c r="DY69" s="249">
        <f>4+1/3</f>
        <v>4.333333333333333</v>
      </c>
      <c r="DZ69" s="217">
        <v>0</v>
      </c>
      <c r="EA69" s="217">
        <v>1</v>
      </c>
      <c r="EB69" s="250">
        <f>5+2/3</f>
        <v>5.666666666666667</v>
      </c>
      <c r="EC69" s="217">
        <v>1</v>
      </c>
      <c r="ED69" s="219">
        <v>1</v>
      </c>
      <c r="EE69" s="220">
        <v>1</v>
      </c>
      <c r="EF69" s="217">
        <v>0</v>
      </c>
      <c r="EG69" s="217">
        <v>0</v>
      </c>
      <c r="EH69" s="217">
        <v>0</v>
      </c>
      <c r="EI69" s="217">
        <v>2</v>
      </c>
      <c r="EJ69" s="217">
        <v>1</v>
      </c>
      <c r="EK69" s="217">
        <v>0</v>
      </c>
      <c r="EL69" s="217">
        <v>0</v>
      </c>
      <c r="EM69" s="217">
        <v>0</v>
      </c>
      <c r="EN69" s="217">
        <v>1</v>
      </c>
      <c r="EO69" s="217"/>
      <c r="EP69" s="217"/>
      <c r="EQ69" s="217"/>
      <c r="ER69" s="219">
        <f t="shared" si="61"/>
        <v>5</v>
      </c>
      <c r="ES69" s="217">
        <v>2</v>
      </c>
      <c r="ET69" s="217">
        <v>0</v>
      </c>
      <c r="EU69" s="217">
        <v>0</v>
      </c>
      <c r="EV69" s="217">
        <v>0</v>
      </c>
      <c r="EW69" s="217">
        <v>2</v>
      </c>
      <c r="EX69" s="217">
        <v>0</v>
      </c>
      <c r="EY69" s="217">
        <v>0</v>
      </c>
      <c r="EZ69" s="217">
        <v>0</v>
      </c>
      <c r="FA69" s="217">
        <v>0</v>
      </c>
      <c r="FB69" s="217">
        <v>0</v>
      </c>
      <c r="FC69" s="217"/>
      <c r="FD69" s="217"/>
      <c r="FE69" s="217"/>
      <c r="FF69" s="217">
        <f t="shared" si="62"/>
        <v>4</v>
      </c>
      <c r="FG69" s="221">
        <f t="shared" si="63"/>
        <v>0</v>
      </c>
      <c r="FH69" s="221">
        <f t="shared" si="64"/>
        <v>0</v>
      </c>
      <c r="FI69" s="221">
        <f t="shared" si="65"/>
        <v>-1</v>
      </c>
      <c r="FJ69" s="221">
        <f t="shared" si="66"/>
        <v>0</v>
      </c>
      <c r="FK69" s="221">
        <f t="shared" si="67"/>
        <v>0</v>
      </c>
      <c r="FL69" s="221">
        <f t="shared" si="68"/>
        <v>0</v>
      </c>
      <c r="FM69" s="221">
        <f t="shared" si="69"/>
        <v>0</v>
      </c>
      <c r="FN69" s="221">
        <f t="shared" si="70"/>
        <v>1</v>
      </c>
      <c r="FO69" s="221">
        <f t="shared" si="71"/>
        <v>0</v>
      </c>
      <c r="FP69" s="221">
        <f t="shared" si="72"/>
        <v>0</v>
      </c>
      <c r="FQ69" s="221">
        <f t="shared" si="73"/>
        <v>0</v>
      </c>
      <c r="FR69" s="221">
        <f t="shared" si="74"/>
        <v>1</v>
      </c>
      <c r="FS69" s="221">
        <f t="shared" si="75"/>
        <v>0</v>
      </c>
      <c r="FT69" s="221">
        <f t="shared" si="76"/>
        <v>0</v>
      </c>
      <c r="FU69" s="221">
        <f t="shared" si="77"/>
        <v>0</v>
      </c>
      <c r="FV69" s="221">
        <f t="shared" si="78"/>
        <v>1</v>
      </c>
      <c r="FW69" s="222"/>
    </row>
    <row r="70" spans="1:179" x14ac:dyDescent="0.25">
      <c r="A70" s="204">
        <v>40347</v>
      </c>
      <c r="B70" s="204" t="s">
        <v>19</v>
      </c>
      <c r="C70" s="204" t="s">
        <v>131</v>
      </c>
      <c r="D70" s="204" t="s">
        <v>547</v>
      </c>
      <c r="E70" s="205">
        <v>4474</v>
      </c>
      <c r="F70" s="206">
        <v>4</v>
      </c>
      <c r="G70" s="207" t="s">
        <v>545</v>
      </c>
      <c r="H70" s="211">
        <v>0</v>
      </c>
      <c r="I70" s="211">
        <v>1</v>
      </c>
      <c r="J70" s="248">
        <v>6</v>
      </c>
      <c r="K70" s="211">
        <v>8</v>
      </c>
      <c r="L70" s="211">
        <v>6</v>
      </c>
      <c r="M70" s="211">
        <v>5</v>
      </c>
      <c r="N70" s="211">
        <v>0</v>
      </c>
      <c r="O70" s="211">
        <v>5</v>
      </c>
      <c r="P70" s="211">
        <v>1</v>
      </c>
      <c r="Q70" s="211">
        <v>1</v>
      </c>
      <c r="R70" s="211">
        <v>28</v>
      </c>
      <c r="S70" s="211"/>
      <c r="T70" s="211"/>
      <c r="U70" s="211">
        <v>0</v>
      </c>
      <c r="V70" s="210">
        <v>0</v>
      </c>
      <c r="W70" s="211">
        <v>0</v>
      </c>
      <c r="X70" s="211">
        <v>0</v>
      </c>
      <c r="Y70" s="211">
        <v>0</v>
      </c>
      <c r="Z70" s="211">
        <v>0</v>
      </c>
      <c r="AA70" s="211">
        <v>0</v>
      </c>
      <c r="AB70" s="248">
        <v>3</v>
      </c>
      <c r="AC70" s="211">
        <v>2</v>
      </c>
      <c r="AD70" s="211">
        <v>0</v>
      </c>
      <c r="AE70" s="211">
        <v>0</v>
      </c>
      <c r="AF70" s="211">
        <v>0</v>
      </c>
      <c r="AG70" s="211">
        <v>4</v>
      </c>
      <c r="AH70" s="211">
        <v>0</v>
      </c>
      <c r="AI70" s="211">
        <v>0</v>
      </c>
      <c r="AJ70" s="211">
        <v>11</v>
      </c>
      <c r="AK70" s="211"/>
      <c r="AL70" s="211"/>
      <c r="AM70" s="213" t="s">
        <v>519</v>
      </c>
      <c r="AN70" s="214">
        <v>4</v>
      </c>
      <c r="AO70" s="214">
        <v>0</v>
      </c>
      <c r="AP70" s="214">
        <v>0</v>
      </c>
      <c r="AQ70" s="214">
        <v>0</v>
      </c>
      <c r="AR70" s="214">
        <v>0</v>
      </c>
      <c r="AS70" s="214">
        <v>1</v>
      </c>
      <c r="AT70" s="214">
        <v>0</v>
      </c>
      <c r="AU70" s="214">
        <v>0</v>
      </c>
      <c r="AV70" s="215">
        <v>0</v>
      </c>
      <c r="AW70" s="213" t="s">
        <v>534</v>
      </c>
      <c r="AX70" s="214">
        <v>3</v>
      </c>
      <c r="AY70" s="214">
        <v>1</v>
      </c>
      <c r="AZ70" s="214">
        <v>2</v>
      </c>
      <c r="BA70" s="214">
        <v>1</v>
      </c>
      <c r="BB70" s="214">
        <v>0</v>
      </c>
      <c r="BC70" s="214">
        <v>0</v>
      </c>
      <c r="BD70" s="214">
        <v>1</v>
      </c>
      <c r="BE70" s="214">
        <v>0</v>
      </c>
      <c r="BF70" s="215">
        <v>6</v>
      </c>
      <c r="BG70" s="213" t="s">
        <v>531</v>
      </c>
      <c r="BH70" s="214">
        <v>4</v>
      </c>
      <c r="BI70" s="214">
        <v>0</v>
      </c>
      <c r="BJ70" s="214">
        <v>0</v>
      </c>
      <c r="BK70" s="214">
        <v>0</v>
      </c>
      <c r="BL70" s="214">
        <v>0</v>
      </c>
      <c r="BM70" s="214">
        <v>1</v>
      </c>
      <c r="BN70" s="214">
        <v>0</v>
      </c>
      <c r="BO70" s="214">
        <v>0</v>
      </c>
      <c r="BP70" s="215">
        <v>0</v>
      </c>
      <c r="BQ70" s="213" t="s">
        <v>539</v>
      </c>
      <c r="BR70" s="214">
        <v>4</v>
      </c>
      <c r="BS70" s="214">
        <v>0</v>
      </c>
      <c r="BT70" s="214">
        <v>0</v>
      </c>
      <c r="BU70" s="214">
        <v>0</v>
      </c>
      <c r="BV70" s="214">
        <v>0</v>
      </c>
      <c r="BW70" s="214">
        <v>0</v>
      </c>
      <c r="BX70" s="214">
        <v>0</v>
      </c>
      <c r="BY70" s="214">
        <v>0</v>
      </c>
      <c r="BZ70" s="215">
        <v>0</v>
      </c>
      <c r="CA70" s="213" t="s">
        <v>530</v>
      </c>
      <c r="CB70" s="214">
        <v>3</v>
      </c>
      <c r="CC70" s="214">
        <v>1</v>
      </c>
      <c r="CD70" s="214">
        <v>1</v>
      </c>
      <c r="CE70" s="214">
        <v>0</v>
      </c>
      <c r="CF70" s="214">
        <v>1</v>
      </c>
      <c r="CG70" s="214">
        <v>0</v>
      </c>
      <c r="CH70" s="214">
        <v>0</v>
      </c>
      <c r="CI70" s="214">
        <v>0</v>
      </c>
      <c r="CJ70" s="215">
        <v>2</v>
      </c>
      <c r="CK70" s="213" t="s">
        <v>543</v>
      </c>
      <c r="CL70" s="214">
        <v>4</v>
      </c>
      <c r="CM70" s="214">
        <v>0</v>
      </c>
      <c r="CN70" s="214">
        <v>3</v>
      </c>
      <c r="CO70" s="214">
        <v>0</v>
      </c>
      <c r="CP70" s="214">
        <v>0</v>
      </c>
      <c r="CQ70" s="214">
        <v>0</v>
      </c>
      <c r="CR70" s="214">
        <v>0</v>
      </c>
      <c r="CS70" s="214">
        <v>0</v>
      </c>
      <c r="CT70" s="215">
        <v>3</v>
      </c>
      <c r="CU70" s="213" t="s">
        <v>426</v>
      </c>
      <c r="CV70" s="214">
        <v>4</v>
      </c>
      <c r="CW70" s="214">
        <v>0</v>
      </c>
      <c r="CX70" s="214">
        <v>1</v>
      </c>
      <c r="CY70" s="214">
        <v>1</v>
      </c>
      <c r="CZ70" s="214">
        <v>0</v>
      </c>
      <c r="DA70" s="214">
        <v>0</v>
      </c>
      <c r="DB70" s="214">
        <v>0</v>
      </c>
      <c r="DC70" s="214">
        <v>0</v>
      </c>
      <c r="DD70" s="215">
        <v>1</v>
      </c>
      <c r="DE70" s="213" t="s">
        <v>538</v>
      </c>
      <c r="DF70" s="214">
        <v>3</v>
      </c>
      <c r="DG70" s="214">
        <v>0</v>
      </c>
      <c r="DH70" s="214">
        <v>0</v>
      </c>
      <c r="DI70" s="214">
        <v>0</v>
      </c>
      <c r="DJ70" s="214">
        <v>0</v>
      </c>
      <c r="DK70" s="214">
        <v>1</v>
      </c>
      <c r="DL70" s="214">
        <v>0</v>
      </c>
      <c r="DM70" s="214">
        <v>0</v>
      </c>
      <c r="DN70" s="215">
        <v>0</v>
      </c>
      <c r="DO70" s="213" t="s">
        <v>535</v>
      </c>
      <c r="DP70" s="214">
        <v>3</v>
      </c>
      <c r="DQ70" s="214">
        <v>0</v>
      </c>
      <c r="DR70" s="214">
        <v>0</v>
      </c>
      <c r="DS70" s="214">
        <v>0</v>
      </c>
      <c r="DT70" s="214">
        <v>0</v>
      </c>
      <c r="DU70" s="214">
        <v>1</v>
      </c>
      <c r="DV70" s="214">
        <v>0</v>
      </c>
      <c r="DW70" s="214">
        <v>0</v>
      </c>
      <c r="DX70" s="215">
        <v>0</v>
      </c>
      <c r="DY70" s="249">
        <v>0</v>
      </c>
      <c r="DZ70" s="217">
        <v>0</v>
      </c>
      <c r="EA70" s="217">
        <v>0</v>
      </c>
      <c r="EB70" s="250">
        <v>9</v>
      </c>
      <c r="EC70" s="217">
        <v>0</v>
      </c>
      <c r="ED70" s="219">
        <v>0</v>
      </c>
      <c r="EE70" s="220">
        <v>0</v>
      </c>
      <c r="EF70" s="217">
        <v>0</v>
      </c>
      <c r="EG70" s="217">
        <v>0</v>
      </c>
      <c r="EH70" s="217">
        <v>0</v>
      </c>
      <c r="EI70" s="217">
        <v>1</v>
      </c>
      <c r="EJ70" s="217">
        <v>1</v>
      </c>
      <c r="EK70" s="217">
        <v>0</v>
      </c>
      <c r="EL70" s="217">
        <v>0</v>
      </c>
      <c r="EM70" s="217">
        <v>0</v>
      </c>
      <c r="EN70" s="217"/>
      <c r="EO70" s="217"/>
      <c r="EP70" s="217"/>
      <c r="EQ70" s="217"/>
      <c r="ER70" s="219">
        <f t="shared" si="61"/>
        <v>2</v>
      </c>
      <c r="ES70" s="217">
        <v>2</v>
      </c>
      <c r="ET70" s="217">
        <v>0</v>
      </c>
      <c r="EU70" s="217">
        <v>2</v>
      </c>
      <c r="EV70" s="217">
        <v>0</v>
      </c>
      <c r="EW70" s="217">
        <v>2</v>
      </c>
      <c r="EX70" s="217">
        <v>0</v>
      </c>
      <c r="EY70" s="217">
        <v>0</v>
      </c>
      <c r="EZ70" s="217">
        <v>0</v>
      </c>
      <c r="FA70" s="217">
        <v>0</v>
      </c>
      <c r="FB70" s="217"/>
      <c r="FC70" s="217"/>
      <c r="FD70" s="217"/>
      <c r="FE70" s="217"/>
      <c r="FF70" s="217">
        <f t="shared" si="62"/>
        <v>6</v>
      </c>
      <c r="FG70" s="221">
        <f t="shared" si="63"/>
        <v>0</v>
      </c>
      <c r="FH70" s="221">
        <f t="shared" si="64"/>
        <v>0</v>
      </c>
      <c r="FI70" s="221">
        <f t="shared" si="65"/>
        <v>-2</v>
      </c>
      <c r="FJ70" s="221">
        <f t="shared" si="66"/>
        <v>0</v>
      </c>
      <c r="FK70" s="221">
        <f t="shared" si="67"/>
        <v>-2</v>
      </c>
      <c r="FL70" s="221">
        <f t="shared" si="68"/>
        <v>0</v>
      </c>
      <c r="FM70" s="221">
        <f t="shared" si="69"/>
        <v>-1</v>
      </c>
      <c r="FN70" s="221">
        <f t="shared" si="70"/>
        <v>1</v>
      </c>
      <c r="FO70" s="221">
        <f t="shared" si="71"/>
        <v>0</v>
      </c>
      <c r="FP70" s="221">
        <f t="shared" si="72"/>
        <v>0</v>
      </c>
      <c r="FQ70" s="221">
        <f t="shared" si="73"/>
        <v>0</v>
      </c>
      <c r="FR70" s="221">
        <f t="shared" si="74"/>
        <v>0</v>
      </c>
      <c r="FS70" s="221">
        <f t="shared" si="75"/>
        <v>0</v>
      </c>
      <c r="FT70" s="221">
        <f t="shared" si="76"/>
        <v>0</v>
      </c>
      <c r="FU70" s="221">
        <f t="shared" si="77"/>
        <v>0</v>
      </c>
      <c r="FV70" s="221">
        <f t="shared" si="78"/>
        <v>-4</v>
      </c>
      <c r="FW70" s="222"/>
    </row>
    <row r="71" spans="1:179" x14ac:dyDescent="0.25">
      <c r="A71" s="204">
        <v>40348</v>
      </c>
      <c r="B71" s="204" t="s">
        <v>19</v>
      </c>
      <c r="C71" s="204" t="s">
        <v>129</v>
      </c>
      <c r="D71" s="204" t="s">
        <v>547</v>
      </c>
      <c r="E71" s="205">
        <v>3587</v>
      </c>
      <c r="F71" s="206" t="s">
        <v>523</v>
      </c>
      <c r="G71" s="207" t="s">
        <v>580</v>
      </c>
      <c r="H71" s="211">
        <v>0</v>
      </c>
      <c r="I71" s="211">
        <v>0</v>
      </c>
      <c r="J71" s="248">
        <v>6</v>
      </c>
      <c r="K71" s="211">
        <v>3</v>
      </c>
      <c r="L71" s="211">
        <v>1</v>
      </c>
      <c r="M71" s="211">
        <v>1</v>
      </c>
      <c r="N71" s="211">
        <v>2</v>
      </c>
      <c r="O71" s="211">
        <v>6</v>
      </c>
      <c r="P71" s="211">
        <v>1</v>
      </c>
      <c r="Q71" s="211">
        <v>0</v>
      </c>
      <c r="R71" s="211">
        <v>23</v>
      </c>
      <c r="S71" s="211"/>
      <c r="T71" s="211"/>
      <c r="U71" s="211">
        <v>0</v>
      </c>
      <c r="V71" s="210">
        <v>0</v>
      </c>
      <c r="W71" s="211">
        <v>1</v>
      </c>
      <c r="X71" s="211">
        <v>0</v>
      </c>
      <c r="Y71" s="211">
        <v>0</v>
      </c>
      <c r="Z71" s="211">
        <v>0</v>
      </c>
      <c r="AA71" s="211">
        <v>0</v>
      </c>
      <c r="AB71" s="248">
        <v>3</v>
      </c>
      <c r="AC71" s="211">
        <v>2</v>
      </c>
      <c r="AD71" s="211">
        <v>1</v>
      </c>
      <c r="AE71" s="211">
        <v>0</v>
      </c>
      <c r="AF71" s="211">
        <v>1</v>
      </c>
      <c r="AG71" s="211">
        <v>2</v>
      </c>
      <c r="AH71" s="211">
        <v>0</v>
      </c>
      <c r="AI71" s="211">
        <v>0</v>
      </c>
      <c r="AJ71" s="211">
        <v>13</v>
      </c>
      <c r="AK71" s="211"/>
      <c r="AL71" s="211"/>
      <c r="AM71" s="213" t="s">
        <v>519</v>
      </c>
      <c r="AN71" s="214">
        <v>5</v>
      </c>
      <c r="AO71" s="214">
        <v>0</v>
      </c>
      <c r="AP71" s="214">
        <v>0</v>
      </c>
      <c r="AQ71" s="214">
        <v>0</v>
      </c>
      <c r="AR71" s="214">
        <v>0</v>
      </c>
      <c r="AS71" s="214">
        <v>1</v>
      </c>
      <c r="AT71" s="214">
        <v>0</v>
      </c>
      <c r="AU71" s="214">
        <v>0</v>
      </c>
      <c r="AV71" s="215">
        <v>0</v>
      </c>
      <c r="AW71" s="213" t="s">
        <v>543</v>
      </c>
      <c r="AX71" s="214">
        <v>3</v>
      </c>
      <c r="AY71" s="214">
        <v>1</v>
      </c>
      <c r="AZ71" s="214">
        <v>0</v>
      </c>
      <c r="BA71" s="214">
        <v>0</v>
      </c>
      <c r="BB71" s="214">
        <v>1</v>
      </c>
      <c r="BC71" s="214">
        <v>1</v>
      </c>
      <c r="BD71" s="214">
        <v>0</v>
      </c>
      <c r="BE71" s="214">
        <v>0</v>
      </c>
      <c r="BF71" s="215">
        <v>0</v>
      </c>
      <c r="BG71" s="213" t="s">
        <v>534</v>
      </c>
      <c r="BH71" s="214">
        <v>3</v>
      </c>
      <c r="BI71" s="214">
        <v>1</v>
      </c>
      <c r="BJ71" s="214">
        <v>1</v>
      </c>
      <c r="BK71" s="214">
        <v>2</v>
      </c>
      <c r="BL71" s="214">
        <v>1</v>
      </c>
      <c r="BM71" s="214">
        <v>0</v>
      </c>
      <c r="BN71" s="214">
        <v>0</v>
      </c>
      <c r="BO71" s="214">
        <v>0</v>
      </c>
      <c r="BP71" s="215">
        <v>4</v>
      </c>
      <c r="BQ71" s="213" t="s">
        <v>539</v>
      </c>
      <c r="BR71" s="214">
        <v>4</v>
      </c>
      <c r="BS71" s="214">
        <v>0</v>
      </c>
      <c r="BT71" s="214">
        <v>1</v>
      </c>
      <c r="BU71" s="214">
        <v>0</v>
      </c>
      <c r="BV71" s="214">
        <v>0</v>
      </c>
      <c r="BW71" s="214">
        <v>1</v>
      </c>
      <c r="BX71" s="214">
        <v>0</v>
      </c>
      <c r="BY71" s="214">
        <v>0</v>
      </c>
      <c r="BZ71" s="215">
        <v>1</v>
      </c>
      <c r="CA71" s="213" t="s">
        <v>530</v>
      </c>
      <c r="CB71" s="214">
        <v>4</v>
      </c>
      <c r="CC71" s="214">
        <v>0</v>
      </c>
      <c r="CD71" s="214">
        <v>4</v>
      </c>
      <c r="CE71" s="214">
        <v>0</v>
      </c>
      <c r="CF71" s="214">
        <v>0</v>
      </c>
      <c r="CG71" s="214">
        <v>0</v>
      </c>
      <c r="CH71" s="214">
        <v>0</v>
      </c>
      <c r="CI71" s="214">
        <v>0</v>
      </c>
      <c r="CJ71" s="215">
        <v>5</v>
      </c>
      <c r="CK71" s="213" t="s">
        <v>561</v>
      </c>
      <c r="CL71" s="214">
        <v>3</v>
      </c>
      <c r="CM71" s="214">
        <v>1</v>
      </c>
      <c r="CN71" s="214">
        <v>1</v>
      </c>
      <c r="CO71" s="214">
        <v>0</v>
      </c>
      <c r="CP71" s="214">
        <v>1</v>
      </c>
      <c r="CQ71" s="214">
        <v>0</v>
      </c>
      <c r="CR71" s="214">
        <v>0</v>
      </c>
      <c r="CS71" s="214">
        <v>0</v>
      </c>
      <c r="CT71" s="215">
        <v>1</v>
      </c>
      <c r="CU71" s="213" t="s">
        <v>532</v>
      </c>
      <c r="CV71" s="214">
        <v>4</v>
      </c>
      <c r="CW71" s="214">
        <v>0</v>
      </c>
      <c r="CX71" s="214">
        <v>0</v>
      </c>
      <c r="CY71" s="214">
        <v>0</v>
      </c>
      <c r="CZ71" s="214">
        <v>0</v>
      </c>
      <c r="DA71" s="214">
        <v>0</v>
      </c>
      <c r="DB71" s="214">
        <v>0</v>
      </c>
      <c r="DC71" s="214">
        <v>0</v>
      </c>
      <c r="DD71" s="215">
        <v>0</v>
      </c>
      <c r="DE71" s="213" t="s">
        <v>285</v>
      </c>
      <c r="DF71" s="214">
        <v>4</v>
      </c>
      <c r="DG71" s="214">
        <v>0</v>
      </c>
      <c r="DH71" s="214">
        <v>0</v>
      </c>
      <c r="DI71" s="214">
        <v>0</v>
      </c>
      <c r="DJ71" s="214">
        <v>0</v>
      </c>
      <c r="DK71" s="214">
        <v>2</v>
      </c>
      <c r="DL71" s="214">
        <v>0</v>
      </c>
      <c r="DM71" s="214">
        <v>0</v>
      </c>
      <c r="DN71" s="215">
        <v>0</v>
      </c>
      <c r="DO71" s="213" t="s">
        <v>535</v>
      </c>
      <c r="DP71" s="214">
        <v>3</v>
      </c>
      <c r="DQ71" s="214">
        <v>0</v>
      </c>
      <c r="DR71" s="214">
        <v>1</v>
      </c>
      <c r="DS71" s="214">
        <v>0</v>
      </c>
      <c r="DT71" s="214">
        <v>1</v>
      </c>
      <c r="DU71" s="214">
        <v>2</v>
      </c>
      <c r="DV71" s="214">
        <v>0</v>
      </c>
      <c r="DW71" s="214">
        <v>0</v>
      </c>
      <c r="DX71" s="215">
        <v>2</v>
      </c>
      <c r="DY71" s="249">
        <v>1</v>
      </c>
      <c r="DZ71" s="217">
        <v>0</v>
      </c>
      <c r="EA71" s="217">
        <v>0</v>
      </c>
      <c r="EB71" s="250">
        <f>7+2/3</f>
        <v>7.666666666666667</v>
      </c>
      <c r="EC71" s="217">
        <v>1</v>
      </c>
      <c r="ED71" s="219">
        <v>0</v>
      </c>
      <c r="EE71" s="220">
        <v>0</v>
      </c>
      <c r="EF71" s="217">
        <v>0</v>
      </c>
      <c r="EG71" s="217">
        <v>0</v>
      </c>
      <c r="EH71" s="217">
        <v>0</v>
      </c>
      <c r="EI71" s="217">
        <v>0</v>
      </c>
      <c r="EJ71" s="217">
        <v>0</v>
      </c>
      <c r="EK71" s="217">
        <v>0</v>
      </c>
      <c r="EL71" s="217">
        <v>2</v>
      </c>
      <c r="EM71" s="217">
        <v>1</v>
      </c>
      <c r="EN71" s="217"/>
      <c r="EO71" s="217"/>
      <c r="EP71" s="217"/>
      <c r="EQ71" s="217"/>
      <c r="ER71" s="219">
        <f t="shared" si="61"/>
        <v>3</v>
      </c>
      <c r="ES71" s="217">
        <v>0</v>
      </c>
      <c r="ET71" s="217">
        <v>0</v>
      </c>
      <c r="EU71" s="217">
        <v>0</v>
      </c>
      <c r="EV71" s="217">
        <v>0</v>
      </c>
      <c r="EW71" s="217">
        <v>1</v>
      </c>
      <c r="EX71" s="217">
        <v>0</v>
      </c>
      <c r="EY71" s="217">
        <v>1</v>
      </c>
      <c r="EZ71" s="217">
        <v>0</v>
      </c>
      <c r="FA71" s="217">
        <v>0</v>
      </c>
      <c r="FB71" s="217"/>
      <c r="FC71" s="217"/>
      <c r="FD71" s="217"/>
      <c r="FE71" s="217"/>
      <c r="FF71" s="217">
        <f t="shared" si="62"/>
        <v>2</v>
      </c>
      <c r="FG71" s="221">
        <f t="shared" si="63"/>
        <v>0</v>
      </c>
      <c r="FH71" s="221">
        <f t="shared" si="64"/>
        <v>0</v>
      </c>
      <c r="FI71" s="221">
        <f t="shared" si="65"/>
        <v>0</v>
      </c>
      <c r="FJ71" s="221">
        <f t="shared" si="66"/>
        <v>0</v>
      </c>
      <c r="FK71" s="221">
        <f t="shared" si="67"/>
        <v>0</v>
      </c>
      <c r="FL71" s="221">
        <f t="shared" si="68"/>
        <v>0</v>
      </c>
      <c r="FM71" s="221">
        <f t="shared" si="69"/>
        <v>-1</v>
      </c>
      <c r="FN71" s="221">
        <f t="shared" si="70"/>
        <v>0</v>
      </c>
      <c r="FO71" s="221">
        <f t="shared" si="71"/>
        <v>-1</v>
      </c>
      <c r="FP71" s="221">
        <f t="shared" si="72"/>
        <v>2</v>
      </c>
      <c r="FQ71" s="221">
        <f t="shared" si="73"/>
        <v>1</v>
      </c>
      <c r="FR71" s="221">
        <f t="shared" si="74"/>
        <v>0</v>
      </c>
      <c r="FS71" s="221">
        <f t="shared" si="75"/>
        <v>0</v>
      </c>
      <c r="FT71" s="221">
        <f t="shared" si="76"/>
        <v>0</v>
      </c>
      <c r="FU71" s="221">
        <f t="shared" si="77"/>
        <v>0</v>
      </c>
      <c r="FV71" s="221">
        <f t="shared" si="78"/>
        <v>1</v>
      </c>
      <c r="FW71" s="222"/>
    </row>
    <row r="72" spans="1:179" x14ac:dyDescent="0.25">
      <c r="A72" s="204">
        <v>40349</v>
      </c>
      <c r="B72" s="204" t="s">
        <v>19</v>
      </c>
      <c r="C72" s="204" t="s">
        <v>129</v>
      </c>
      <c r="D72" s="204" t="s">
        <v>547</v>
      </c>
      <c r="E72" s="205">
        <v>3441</v>
      </c>
      <c r="F72" s="206">
        <v>5</v>
      </c>
      <c r="G72" s="207" t="s">
        <v>546</v>
      </c>
      <c r="H72" s="211">
        <v>1</v>
      </c>
      <c r="I72" s="211">
        <v>0</v>
      </c>
      <c r="J72" s="248">
        <v>7</v>
      </c>
      <c r="K72" s="211">
        <v>4</v>
      </c>
      <c r="L72" s="211">
        <v>0</v>
      </c>
      <c r="M72" s="211">
        <v>0</v>
      </c>
      <c r="N72" s="211">
        <v>1</v>
      </c>
      <c r="O72" s="211">
        <v>5</v>
      </c>
      <c r="P72" s="211">
        <v>0</v>
      </c>
      <c r="Q72" s="211">
        <v>0</v>
      </c>
      <c r="R72" s="211">
        <v>25</v>
      </c>
      <c r="S72" s="211"/>
      <c r="T72" s="211"/>
      <c r="U72" s="211">
        <v>0</v>
      </c>
      <c r="V72" s="210">
        <v>0</v>
      </c>
      <c r="W72" s="211">
        <v>0</v>
      </c>
      <c r="X72" s="211">
        <v>0</v>
      </c>
      <c r="Y72" s="211">
        <v>1</v>
      </c>
      <c r="Z72" s="211">
        <v>0</v>
      </c>
      <c r="AA72" s="211">
        <v>1</v>
      </c>
      <c r="AB72" s="248">
        <v>2</v>
      </c>
      <c r="AC72" s="211">
        <v>1</v>
      </c>
      <c r="AD72" s="211">
        <v>0</v>
      </c>
      <c r="AE72" s="211">
        <v>0</v>
      </c>
      <c r="AF72" s="211">
        <v>0</v>
      </c>
      <c r="AG72" s="211">
        <v>3</v>
      </c>
      <c r="AH72" s="211">
        <v>0</v>
      </c>
      <c r="AI72" s="211">
        <v>0</v>
      </c>
      <c r="AJ72" s="211">
        <v>7</v>
      </c>
      <c r="AK72" s="211"/>
      <c r="AL72" s="211"/>
      <c r="AM72" s="213" t="s">
        <v>519</v>
      </c>
      <c r="AN72" s="214">
        <v>4</v>
      </c>
      <c r="AO72" s="214">
        <v>0</v>
      </c>
      <c r="AP72" s="214">
        <v>0</v>
      </c>
      <c r="AQ72" s="214">
        <v>0</v>
      </c>
      <c r="AR72" s="214">
        <v>0</v>
      </c>
      <c r="AS72" s="214">
        <v>1</v>
      </c>
      <c r="AT72" s="214">
        <v>0</v>
      </c>
      <c r="AU72" s="214">
        <v>0</v>
      </c>
      <c r="AV72" s="215">
        <v>0</v>
      </c>
      <c r="AW72" s="213" t="s">
        <v>538</v>
      </c>
      <c r="AX72" s="214">
        <v>4</v>
      </c>
      <c r="AY72" s="214">
        <v>0</v>
      </c>
      <c r="AZ72" s="214">
        <v>0</v>
      </c>
      <c r="BA72" s="214">
        <v>0</v>
      </c>
      <c r="BB72" s="214">
        <v>0</v>
      </c>
      <c r="BC72" s="214">
        <v>1</v>
      </c>
      <c r="BD72" s="214">
        <v>0</v>
      </c>
      <c r="BE72" s="214">
        <v>0</v>
      </c>
      <c r="BF72" s="215">
        <v>0</v>
      </c>
      <c r="BG72" s="213" t="s">
        <v>534</v>
      </c>
      <c r="BH72" s="214">
        <v>3</v>
      </c>
      <c r="BI72" s="214">
        <v>1</v>
      </c>
      <c r="BJ72" s="214">
        <v>2</v>
      </c>
      <c r="BK72" s="214">
        <v>0</v>
      </c>
      <c r="BL72" s="214">
        <v>0</v>
      </c>
      <c r="BM72" s="214">
        <v>0</v>
      </c>
      <c r="BN72" s="214">
        <v>0</v>
      </c>
      <c r="BO72" s="214">
        <v>0</v>
      </c>
      <c r="BP72" s="215">
        <v>4</v>
      </c>
      <c r="BQ72" s="213" t="s">
        <v>539</v>
      </c>
      <c r="BR72" s="214">
        <v>3</v>
      </c>
      <c r="BS72" s="214">
        <v>0</v>
      </c>
      <c r="BT72" s="214">
        <v>0</v>
      </c>
      <c r="BU72" s="214">
        <v>0</v>
      </c>
      <c r="BV72" s="214">
        <v>0</v>
      </c>
      <c r="BW72" s="214">
        <v>0</v>
      </c>
      <c r="BX72" s="214">
        <v>0</v>
      </c>
      <c r="BY72" s="214">
        <v>0</v>
      </c>
      <c r="BZ72" s="215">
        <v>0</v>
      </c>
      <c r="CA72" s="213" t="s">
        <v>531</v>
      </c>
      <c r="CB72" s="214">
        <v>3</v>
      </c>
      <c r="CC72" s="214">
        <v>1</v>
      </c>
      <c r="CD72" s="214">
        <v>1</v>
      </c>
      <c r="CE72" s="214">
        <v>1</v>
      </c>
      <c r="CF72" s="214">
        <v>0</v>
      </c>
      <c r="CG72" s="214">
        <v>1</v>
      </c>
      <c r="CH72" s="214">
        <v>0</v>
      </c>
      <c r="CI72" s="214">
        <v>0</v>
      </c>
      <c r="CJ72" s="215">
        <v>4</v>
      </c>
      <c r="CK72" s="213" t="s">
        <v>426</v>
      </c>
      <c r="CL72" s="214">
        <v>3</v>
      </c>
      <c r="CM72" s="214">
        <v>0</v>
      </c>
      <c r="CN72" s="214">
        <v>1</v>
      </c>
      <c r="CO72" s="214">
        <v>1</v>
      </c>
      <c r="CP72" s="214">
        <v>0</v>
      </c>
      <c r="CQ72" s="214">
        <v>2</v>
      </c>
      <c r="CR72" s="214">
        <v>0</v>
      </c>
      <c r="CS72" s="214">
        <v>0</v>
      </c>
      <c r="CT72" s="215">
        <v>2</v>
      </c>
      <c r="CU72" s="213" t="s">
        <v>549</v>
      </c>
      <c r="CV72" s="214">
        <v>3</v>
      </c>
      <c r="CW72" s="214">
        <v>0</v>
      </c>
      <c r="CX72" s="214">
        <v>0</v>
      </c>
      <c r="CY72" s="214">
        <v>0</v>
      </c>
      <c r="CZ72" s="214">
        <v>0</v>
      </c>
      <c r="DA72" s="214">
        <v>1</v>
      </c>
      <c r="DB72" s="214">
        <v>0</v>
      </c>
      <c r="DC72" s="214">
        <v>0</v>
      </c>
      <c r="DD72" s="215">
        <v>0</v>
      </c>
      <c r="DE72" s="213" t="s">
        <v>532</v>
      </c>
      <c r="DF72" s="214">
        <v>3</v>
      </c>
      <c r="DG72" s="214">
        <v>0</v>
      </c>
      <c r="DH72" s="214">
        <v>0</v>
      </c>
      <c r="DI72" s="214">
        <v>0</v>
      </c>
      <c r="DJ72" s="214">
        <v>0</v>
      </c>
      <c r="DK72" s="214">
        <v>1</v>
      </c>
      <c r="DL72" s="214">
        <v>0</v>
      </c>
      <c r="DM72" s="214">
        <v>0</v>
      </c>
      <c r="DN72" s="215">
        <v>0</v>
      </c>
      <c r="DO72" s="213" t="s">
        <v>535</v>
      </c>
      <c r="DP72" s="214">
        <v>3</v>
      </c>
      <c r="DQ72" s="214">
        <v>0</v>
      </c>
      <c r="DR72" s="214">
        <v>1</v>
      </c>
      <c r="DS72" s="214">
        <v>0</v>
      </c>
      <c r="DT72" s="214">
        <v>0</v>
      </c>
      <c r="DU72" s="214">
        <v>0</v>
      </c>
      <c r="DV72" s="214">
        <v>0</v>
      </c>
      <c r="DW72" s="214">
        <v>0</v>
      </c>
      <c r="DX72" s="215">
        <v>1</v>
      </c>
      <c r="DY72" s="249">
        <v>2</v>
      </c>
      <c r="DZ72" s="217">
        <v>0</v>
      </c>
      <c r="EA72" s="217">
        <v>0</v>
      </c>
      <c r="EB72" s="250">
        <v>6</v>
      </c>
      <c r="EC72" s="217">
        <v>2</v>
      </c>
      <c r="ED72" s="219">
        <v>0</v>
      </c>
      <c r="EE72" s="220">
        <v>0</v>
      </c>
      <c r="EF72" s="217">
        <v>1</v>
      </c>
      <c r="EG72" s="217">
        <v>0</v>
      </c>
      <c r="EH72" s="217">
        <v>1</v>
      </c>
      <c r="EI72" s="217">
        <v>0</v>
      </c>
      <c r="EJ72" s="217">
        <v>0</v>
      </c>
      <c r="EK72" s="217">
        <v>0</v>
      </c>
      <c r="EL72" s="217">
        <v>0</v>
      </c>
      <c r="EM72" s="217"/>
      <c r="EN72" s="217"/>
      <c r="EO72" s="217"/>
      <c r="EP72" s="217"/>
      <c r="EQ72" s="217"/>
      <c r="ER72" s="219">
        <f t="shared" si="61"/>
        <v>2</v>
      </c>
      <c r="ES72" s="217">
        <v>0</v>
      </c>
      <c r="ET72" s="217">
        <v>0</v>
      </c>
      <c r="EU72" s="217">
        <v>0</v>
      </c>
      <c r="EV72" s="217">
        <v>0</v>
      </c>
      <c r="EW72" s="217">
        <v>0</v>
      </c>
      <c r="EX72" s="217">
        <v>0</v>
      </c>
      <c r="EY72" s="217">
        <v>0</v>
      </c>
      <c r="EZ72" s="217">
        <v>0</v>
      </c>
      <c r="FA72" s="217">
        <v>0</v>
      </c>
      <c r="FB72" s="217"/>
      <c r="FC72" s="217"/>
      <c r="FD72" s="217"/>
      <c r="FE72" s="217"/>
      <c r="FF72" s="217">
        <f t="shared" si="62"/>
        <v>0</v>
      </c>
      <c r="FG72" s="221">
        <f t="shared" si="63"/>
        <v>0</v>
      </c>
      <c r="FH72" s="221">
        <f t="shared" si="64"/>
        <v>0</v>
      </c>
      <c r="FI72" s="221">
        <f t="shared" si="65"/>
        <v>0</v>
      </c>
      <c r="FJ72" s="221">
        <f t="shared" si="66"/>
        <v>1</v>
      </c>
      <c r="FK72" s="221">
        <f t="shared" si="67"/>
        <v>0</v>
      </c>
      <c r="FL72" s="221">
        <f t="shared" si="68"/>
        <v>1</v>
      </c>
      <c r="FM72" s="221">
        <f t="shared" si="69"/>
        <v>0</v>
      </c>
      <c r="FN72" s="221">
        <f t="shared" si="70"/>
        <v>0</v>
      </c>
      <c r="FO72" s="221">
        <f t="shared" si="71"/>
        <v>0</v>
      </c>
      <c r="FP72" s="221">
        <f t="shared" si="72"/>
        <v>0</v>
      </c>
      <c r="FQ72" s="221">
        <f t="shared" si="73"/>
        <v>0</v>
      </c>
      <c r="FR72" s="221">
        <f t="shared" si="74"/>
        <v>0</v>
      </c>
      <c r="FS72" s="221">
        <f t="shared" si="75"/>
        <v>0</v>
      </c>
      <c r="FT72" s="221">
        <f t="shared" si="76"/>
        <v>0</v>
      </c>
      <c r="FU72" s="221">
        <f t="shared" si="77"/>
        <v>0</v>
      </c>
      <c r="FV72" s="221">
        <f t="shared" si="78"/>
        <v>2</v>
      </c>
      <c r="FW72" s="222"/>
    </row>
    <row r="73" spans="1:179" x14ac:dyDescent="0.25">
      <c r="A73" s="204">
        <v>40354</v>
      </c>
      <c r="B73" s="204" t="s">
        <v>133</v>
      </c>
      <c r="C73" s="204" t="s">
        <v>129</v>
      </c>
      <c r="D73" s="204" t="s">
        <v>537</v>
      </c>
      <c r="E73" s="205">
        <v>7857</v>
      </c>
      <c r="F73" s="206">
        <v>1</v>
      </c>
      <c r="G73" s="207" t="s">
        <v>540</v>
      </c>
      <c r="H73" s="211">
        <v>0</v>
      </c>
      <c r="I73" s="211">
        <v>0</v>
      </c>
      <c r="J73" s="248">
        <v>5</v>
      </c>
      <c r="K73" s="211">
        <v>6</v>
      </c>
      <c r="L73" s="211">
        <v>3</v>
      </c>
      <c r="M73" s="211">
        <v>3</v>
      </c>
      <c r="N73" s="211">
        <v>4</v>
      </c>
      <c r="O73" s="211">
        <v>5</v>
      </c>
      <c r="P73" s="211">
        <v>0</v>
      </c>
      <c r="Q73" s="211">
        <v>0</v>
      </c>
      <c r="R73" s="211">
        <v>23</v>
      </c>
      <c r="S73" s="211"/>
      <c r="T73" s="211"/>
      <c r="U73" s="211">
        <v>0</v>
      </c>
      <c r="V73" s="210">
        <v>0</v>
      </c>
      <c r="W73" s="211">
        <v>1</v>
      </c>
      <c r="X73" s="211">
        <v>0</v>
      </c>
      <c r="Y73" s="211">
        <v>0</v>
      </c>
      <c r="Z73" s="211">
        <v>1</v>
      </c>
      <c r="AA73" s="211">
        <v>0</v>
      </c>
      <c r="AB73" s="248">
        <v>4</v>
      </c>
      <c r="AC73" s="211">
        <v>0</v>
      </c>
      <c r="AD73" s="211">
        <v>0</v>
      </c>
      <c r="AE73" s="211">
        <v>0</v>
      </c>
      <c r="AF73" s="211">
        <v>1</v>
      </c>
      <c r="AG73" s="211">
        <v>6</v>
      </c>
      <c r="AH73" s="211">
        <v>0</v>
      </c>
      <c r="AI73" s="211">
        <v>0</v>
      </c>
      <c r="AJ73" s="211">
        <v>13</v>
      </c>
      <c r="AK73" s="211"/>
      <c r="AL73" s="211"/>
      <c r="AM73" s="213" t="s">
        <v>519</v>
      </c>
      <c r="AN73" s="214">
        <v>4</v>
      </c>
      <c r="AO73" s="214">
        <v>0</v>
      </c>
      <c r="AP73" s="214">
        <v>0</v>
      </c>
      <c r="AQ73" s="214">
        <v>0</v>
      </c>
      <c r="AR73" s="214">
        <v>0</v>
      </c>
      <c r="AS73" s="214">
        <v>1</v>
      </c>
      <c r="AT73" s="214">
        <v>0</v>
      </c>
      <c r="AU73" s="214">
        <v>0</v>
      </c>
      <c r="AV73" s="215">
        <v>0</v>
      </c>
      <c r="AW73" s="213" t="s">
        <v>534</v>
      </c>
      <c r="AX73" s="214">
        <v>3</v>
      </c>
      <c r="AY73" s="214">
        <v>2</v>
      </c>
      <c r="AZ73" s="214">
        <v>0</v>
      </c>
      <c r="BA73" s="214">
        <v>0</v>
      </c>
      <c r="BB73" s="214">
        <v>1</v>
      </c>
      <c r="BC73" s="214">
        <v>1</v>
      </c>
      <c r="BD73" s="214">
        <v>0</v>
      </c>
      <c r="BE73" s="214">
        <v>0</v>
      </c>
      <c r="BF73" s="215">
        <v>0</v>
      </c>
      <c r="BG73" s="213" t="s">
        <v>531</v>
      </c>
      <c r="BH73" s="214">
        <v>3</v>
      </c>
      <c r="BI73" s="214">
        <v>1</v>
      </c>
      <c r="BJ73" s="214">
        <v>0</v>
      </c>
      <c r="BK73" s="214">
        <v>1</v>
      </c>
      <c r="BL73" s="214">
        <v>1</v>
      </c>
      <c r="BM73" s="214">
        <v>0</v>
      </c>
      <c r="BN73" s="214">
        <v>0</v>
      </c>
      <c r="BO73" s="214">
        <v>0</v>
      </c>
      <c r="BP73" s="215">
        <v>0</v>
      </c>
      <c r="BQ73" s="213" t="s">
        <v>530</v>
      </c>
      <c r="BR73" s="214">
        <v>4</v>
      </c>
      <c r="BS73" s="214">
        <v>1</v>
      </c>
      <c r="BT73" s="214">
        <v>2</v>
      </c>
      <c r="BU73" s="214">
        <v>2</v>
      </c>
      <c r="BV73" s="214">
        <v>0</v>
      </c>
      <c r="BW73" s="214">
        <v>1</v>
      </c>
      <c r="BX73" s="214">
        <v>0</v>
      </c>
      <c r="BY73" s="214">
        <v>0</v>
      </c>
      <c r="BZ73" s="215">
        <v>3</v>
      </c>
      <c r="CA73" s="213" t="s">
        <v>539</v>
      </c>
      <c r="CB73" s="214">
        <v>3</v>
      </c>
      <c r="CC73" s="214">
        <v>1</v>
      </c>
      <c r="CD73" s="214">
        <v>0</v>
      </c>
      <c r="CE73" s="214">
        <v>0</v>
      </c>
      <c r="CF73" s="214">
        <v>1</v>
      </c>
      <c r="CG73" s="214">
        <v>1</v>
      </c>
      <c r="CH73" s="214">
        <v>0</v>
      </c>
      <c r="CI73" s="214">
        <v>0</v>
      </c>
      <c r="CJ73" s="215">
        <v>0</v>
      </c>
      <c r="CK73" s="213" t="s">
        <v>561</v>
      </c>
      <c r="CL73" s="214">
        <v>4</v>
      </c>
      <c r="CM73" s="214">
        <v>0</v>
      </c>
      <c r="CN73" s="214">
        <v>0</v>
      </c>
      <c r="CO73" s="214">
        <v>0</v>
      </c>
      <c r="CP73" s="214">
        <v>0</v>
      </c>
      <c r="CQ73" s="214">
        <v>2</v>
      </c>
      <c r="CR73" s="214">
        <v>0</v>
      </c>
      <c r="CS73" s="214">
        <v>0</v>
      </c>
      <c r="CT73" s="215">
        <v>0</v>
      </c>
      <c r="CU73" s="213" t="s">
        <v>532</v>
      </c>
      <c r="CV73" s="214">
        <v>4</v>
      </c>
      <c r="CW73" s="214">
        <v>0</v>
      </c>
      <c r="CX73" s="214">
        <v>1</v>
      </c>
      <c r="CY73" s="214">
        <v>1</v>
      </c>
      <c r="CZ73" s="214">
        <v>0</v>
      </c>
      <c r="DA73" s="214">
        <v>1</v>
      </c>
      <c r="DB73" s="214">
        <v>0</v>
      </c>
      <c r="DC73" s="214">
        <v>0</v>
      </c>
      <c r="DD73" s="215">
        <v>1</v>
      </c>
      <c r="DE73" s="213" t="s">
        <v>538</v>
      </c>
      <c r="DF73" s="214">
        <v>2</v>
      </c>
      <c r="DG73" s="214">
        <v>0</v>
      </c>
      <c r="DH73" s="214">
        <v>0</v>
      </c>
      <c r="DI73" s="214">
        <v>0</v>
      </c>
      <c r="DJ73" s="214">
        <v>1</v>
      </c>
      <c r="DK73" s="214">
        <v>0</v>
      </c>
      <c r="DL73" s="214">
        <v>0</v>
      </c>
      <c r="DM73" s="214">
        <v>0</v>
      </c>
      <c r="DN73" s="215">
        <v>0</v>
      </c>
      <c r="DO73" s="213" t="s">
        <v>535</v>
      </c>
      <c r="DP73" s="214">
        <v>3</v>
      </c>
      <c r="DQ73" s="214">
        <v>0</v>
      </c>
      <c r="DR73" s="214">
        <v>1</v>
      </c>
      <c r="DS73" s="214">
        <v>0</v>
      </c>
      <c r="DT73" s="214">
        <v>0</v>
      </c>
      <c r="DU73" s="214">
        <v>1</v>
      </c>
      <c r="DV73" s="214">
        <v>0</v>
      </c>
      <c r="DW73" s="214">
        <v>0</v>
      </c>
      <c r="DX73" s="215">
        <v>2</v>
      </c>
      <c r="DY73" s="249">
        <v>5</v>
      </c>
      <c r="DZ73" s="217">
        <v>1</v>
      </c>
      <c r="EA73" s="217">
        <v>0</v>
      </c>
      <c r="EB73" s="250">
        <v>4</v>
      </c>
      <c r="EC73" s="217">
        <v>2</v>
      </c>
      <c r="ED73" s="219">
        <v>0</v>
      </c>
      <c r="EE73" s="220">
        <v>1</v>
      </c>
      <c r="EF73" s="217">
        <v>0</v>
      </c>
      <c r="EG73" s="217">
        <v>0</v>
      </c>
      <c r="EH73" s="217">
        <v>0</v>
      </c>
      <c r="EI73" s="217">
        <v>0</v>
      </c>
      <c r="EJ73" s="217">
        <v>1</v>
      </c>
      <c r="EK73" s="217">
        <v>1</v>
      </c>
      <c r="EL73" s="217">
        <v>0</v>
      </c>
      <c r="EM73" s="217">
        <v>2</v>
      </c>
      <c r="EN73" s="217"/>
      <c r="EO73" s="217"/>
      <c r="EP73" s="217"/>
      <c r="EQ73" s="217"/>
      <c r="ER73" s="219">
        <f t="shared" si="61"/>
        <v>5</v>
      </c>
      <c r="ES73" s="217">
        <v>0</v>
      </c>
      <c r="ET73" s="217">
        <v>0</v>
      </c>
      <c r="EU73" s="217">
        <v>1</v>
      </c>
      <c r="EV73" s="217">
        <v>0</v>
      </c>
      <c r="EW73" s="217">
        <v>2</v>
      </c>
      <c r="EX73" s="217">
        <v>0</v>
      </c>
      <c r="EY73" s="217">
        <v>0</v>
      </c>
      <c r="EZ73" s="217">
        <v>0</v>
      </c>
      <c r="FA73" s="217">
        <v>0</v>
      </c>
      <c r="FB73" s="217"/>
      <c r="FC73" s="217"/>
      <c r="FD73" s="217"/>
      <c r="FE73" s="217"/>
      <c r="FF73" s="217">
        <f t="shared" si="62"/>
        <v>3</v>
      </c>
      <c r="FG73" s="221">
        <f t="shared" si="63"/>
        <v>0</v>
      </c>
      <c r="FH73" s="221">
        <f t="shared" si="64"/>
        <v>0</v>
      </c>
      <c r="FI73" s="221">
        <f t="shared" si="65"/>
        <v>1</v>
      </c>
      <c r="FJ73" s="221">
        <f t="shared" si="66"/>
        <v>0</v>
      </c>
      <c r="FK73" s="221">
        <f t="shared" si="67"/>
        <v>-1</v>
      </c>
      <c r="FL73" s="221">
        <f t="shared" si="68"/>
        <v>0</v>
      </c>
      <c r="FM73" s="221">
        <f t="shared" si="69"/>
        <v>-2</v>
      </c>
      <c r="FN73" s="221">
        <f t="shared" si="70"/>
        <v>1</v>
      </c>
      <c r="FO73" s="221">
        <f t="shared" si="71"/>
        <v>1</v>
      </c>
      <c r="FP73" s="221">
        <f t="shared" si="72"/>
        <v>0</v>
      </c>
      <c r="FQ73" s="221">
        <f t="shared" si="73"/>
        <v>2</v>
      </c>
      <c r="FR73" s="221">
        <f t="shared" si="74"/>
        <v>0</v>
      </c>
      <c r="FS73" s="221">
        <f t="shared" si="75"/>
        <v>0</v>
      </c>
      <c r="FT73" s="221">
        <f t="shared" si="76"/>
        <v>0</v>
      </c>
      <c r="FU73" s="221">
        <f t="shared" si="77"/>
        <v>0</v>
      </c>
      <c r="FV73" s="221">
        <f t="shared" si="78"/>
        <v>2</v>
      </c>
      <c r="FW73" s="222"/>
    </row>
    <row r="74" spans="1:179" x14ac:dyDescent="0.25">
      <c r="A74" s="204">
        <v>40355</v>
      </c>
      <c r="B74" s="204" t="s">
        <v>133</v>
      </c>
      <c r="C74" s="204" t="s">
        <v>129</v>
      </c>
      <c r="D74" s="204" t="s">
        <v>537</v>
      </c>
      <c r="E74" s="205">
        <v>8012</v>
      </c>
      <c r="F74" s="206">
        <v>2</v>
      </c>
      <c r="G74" s="207" t="s">
        <v>546</v>
      </c>
      <c r="H74" s="211">
        <v>1</v>
      </c>
      <c r="I74" s="211">
        <v>0</v>
      </c>
      <c r="J74" s="248">
        <f>5+2/3</f>
        <v>5.666666666666667</v>
      </c>
      <c r="K74" s="211">
        <v>4</v>
      </c>
      <c r="L74" s="211">
        <v>1</v>
      </c>
      <c r="M74" s="211">
        <v>1</v>
      </c>
      <c r="N74" s="211">
        <v>2</v>
      </c>
      <c r="O74" s="211">
        <v>6</v>
      </c>
      <c r="P74" s="211">
        <v>0</v>
      </c>
      <c r="Q74" s="211">
        <v>0</v>
      </c>
      <c r="R74" s="211">
        <v>23</v>
      </c>
      <c r="S74" s="211"/>
      <c r="T74" s="211"/>
      <c r="U74" s="211">
        <v>2</v>
      </c>
      <c r="V74" s="210">
        <v>1</v>
      </c>
      <c r="W74" s="211">
        <v>0</v>
      </c>
      <c r="X74" s="211">
        <v>0</v>
      </c>
      <c r="Y74" s="211">
        <v>1</v>
      </c>
      <c r="Z74" s="211">
        <v>0</v>
      </c>
      <c r="AA74" s="211">
        <v>0</v>
      </c>
      <c r="AB74" s="248">
        <f>3+1/3</f>
        <v>3.3333333333333335</v>
      </c>
      <c r="AC74" s="211">
        <v>3</v>
      </c>
      <c r="AD74" s="211">
        <v>0</v>
      </c>
      <c r="AE74" s="211">
        <v>0</v>
      </c>
      <c r="AF74" s="211">
        <v>1</v>
      </c>
      <c r="AG74" s="211">
        <v>2</v>
      </c>
      <c r="AH74" s="211">
        <v>0</v>
      </c>
      <c r="AI74" s="211">
        <v>0</v>
      </c>
      <c r="AJ74" s="211">
        <v>14</v>
      </c>
      <c r="AK74" s="211"/>
      <c r="AL74" s="211"/>
      <c r="AM74" s="213" t="s">
        <v>519</v>
      </c>
      <c r="AN74" s="214">
        <v>5</v>
      </c>
      <c r="AO74" s="214">
        <v>1</v>
      </c>
      <c r="AP74" s="214">
        <v>1</v>
      </c>
      <c r="AQ74" s="214">
        <v>0</v>
      </c>
      <c r="AR74" s="214">
        <v>0</v>
      </c>
      <c r="AS74" s="214">
        <v>1</v>
      </c>
      <c r="AT74" s="214">
        <v>0</v>
      </c>
      <c r="AU74" s="214">
        <v>0</v>
      </c>
      <c r="AV74" s="215">
        <v>1</v>
      </c>
      <c r="AW74" s="213" t="s">
        <v>534</v>
      </c>
      <c r="AX74" s="214">
        <v>5</v>
      </c>
      <c r="AY74" s="214">
        <v>0</v>
      </c>
      <c r="AZ74" s="214">
        <v>3</v>
      </c>
      <c r="BA74" s="214">
        <v>1</v>
      </c>
      <c r="BB74" s="214">
        <v>0</v>
      </c>
      <c r="BC74" s="214">
        <v>0</v>
      </c>
      <c r="BD74" s="214">
        <v>0</v>
      </c>
      <c r="BE74" s="214">
        <v>0</v>
      </c>
      <c r="BF74" s="215">
        <v>4</v>
      </c>
      <c r="BG74" s="213" t="s">
        <v>531</v>
      </c>
      <c r="BH74" s="214">
        <v>4</v>
      </c>
      <c r="BI74" s="214">
        <v>0</v>
      </c>
      <c r="BJ74" s="214">
        <v>0</v>
      </c>
      <c r="BK74" s="214">
        <v>0</v>
      </c>
      <c r="BL74" s="214">
        <v>0</v>
      </c>
      <c r="BM74" s="214">
        <v>1</v>
      </c>
      <c r="BN74" s="214">
        <v>1</v>
      </c>
      <c r="BO74" s="214">
        <v>0</v>
      </c>
      <c r="BP74" s="215">
        <v>0</v>
      </c>
      <c r="BQ74" s="213" t="s">
        <v>530</v>
      </c>
      <c r="BR74" s="214">
        <v>4</v>
      </c>
      <c r="BS74" s="214">
        <v>1</v>
      </c>
      <c r="BT74" s="214">
        <v>1</v>
      </c>
      <c r="BU74" s="214">
        <v>0</v>
      </c>
      <c r="BV74" s="214">
        <v>0</v>
      </c>
      <c r="BW74" s="214">
        <v>1</v>
      </c>
      <c r="BX74" s="214">
        <v>1</v>
      </c>
      <c r="BY74" s="214">
        <v>0</v>
      </c>
      <c r="BZ74" s="215">
        <v>1</v>
      </c>
      <c r="CA74" s="213" t="s">
        <v>539</v>
      </c>
      <c r="CB74" s="214">
        <v>5</v>
      </c>
      <c r="CC74" s="214">
        <v>1</v>
      </c>
      <c r="CD74" s="214">
        <v>1</v>
      </c>
      <c r="CE74" s="214">
        <v>0</v>
      </c>
      <c r="CF74" s="214">
        <v>0</v>
      </c>
      <c r="CG74" s="214">
        <v>1</v>
      </c>
      <c r="CH74" s="214">
        <v>0</v>
      </c>
      <c r="CI74" s="214">
        <v>0</v>
      </c>
      <c r="CJ74" s="215">
        <v>1</v>
      </c>
      <c r="CK74" s="213" t="s">
        <v>291</v>
      </c>
      <c r="CL74" s="214">
        <v>2</v>
      </c>
      <c r="CM74" s="214">
        <v>1</v>
      </c>
      <c r="CN74" s="214">
        <v>0</v>
      </c>
      <c r="CO74" s="214">
        <v>1</v>
      </c>
      <c r="CP74" s="214">
        <v>2</v>
      </c>
      <c r="CQ74" s="214">
        <v>1</v>
      </c>
      <c r="CR74" s="214">
        <v>0</v>
      </c>
      <c r="CS74" s="214">
        <v>0</v>
      </c>
      <c r="CT74" s="215">
        <v>0</v>
      </c>
      <c r="CU74" s="213" t="s">
        <v>543</v>
      </c>
      <c r="CV74" s="214">
        <v>5</v>
      </c>
      <c r="CW74" s="214">
        <v>1</v>
      </c>
      <c r="CX74" s="214">
        <v>2</v>
      </c>
      <c r="CY74" s="214">
        <v>1</v>
      </c>
      <c r="CZ74" s="214">
        <v>0</v>
      </c>
      <c r="DA74" s="214">
        <v>1</v>
      </c>
      <c r="DB74" s="214">
        <v>0</v>
      </c>
      <c r="DC74" s="214">
        <v>0</v>
      </c>
      <c r="DD74" s="215">
        <v>3</v>
      </c>
      <c r="DE74" s="213" t="s">
        <v>532</v>
      </c>
      <c r="DF74" s="214">
        <v>4</v>
      </c>
      <c r="DG74" s="214">
        <v>0</v>
      </c>
      <c r="DH74" s="214">
        <v>1</v>
      </c>
      <c r="DI74" s="214">
        <v>1</v>
      </c>
      <c r="DJ74" s="214">
        <v>0</v>
      </c>
      <c r="DK74" s="214">
        <v>0</v>
      </c>
      <c r="DL74" s="214">
        <v>0</v>
      </c>
      <c r="DM74" s="214">
        <v>0</v>
      </c>
      <c r="DN74" s="215">
        <v>2</v>
      </c>
      <c r="DO74" s="213" t="s">
        <v>535</v>
      </c>
      <c r="DP74" s="214">
        <v>4</v>
      </c>
      <c r="DQ74" s="214">
        <v>0</v>
      </c>
      <c r="DR74" s="214">
        <v>1</v>
      </c>
      <c r="DS74" s="214">
        <v>1</v>
      </c>
      <c r="DT74" s="214">
        <v>0</v>
      </c>
      <c r="DU74" s="214">
        <v>2</v>
      </c>
      <c r="DV74" s="214">
        <v>0</v>
      </c>
      <c r="DW74" s="214">
        <v>0</v>
      </c>
      <c r="DX74" s="215">
        <v>1</v>
      </c>
      <c r="DY74" s="249">
        <v>5</v>
      </c>
      <c r="DZ74" s="217">
        <v>4</v>
      </c>
      <c r="EA74" s="217">
        <v>0</v>
      </c>
      <c r="EB74" s="250">
        <v>4</v>
      </c>
      <c r="EC74" s="217">
        <v>0</v>
      </c>
      <c r="ED74" s="219">
        <v>0</v>
      </c>
      <c r="EE74" s="220">
        <v>1</v>
      </c>
      <c r="EF74" s="217">
        <v>0</v>
      </c>
      <c r="EG74" s="217">
        <v>0</v>
      </c>
      <c r="EH74" s="217">
        <v>2</v>
      </c>
      <c r="EI74" s="217">
        <v>1</v>
      </c>
      <c r="EJ74" s="217">
        <v>0</v>
      </c>
      <c r="EK74" s="217">
        <v>1</v>
      </c>
      <c r="EL74" s="217">
        <v>0</v>
      </c>
      <c r="EM74" s="217">
        <v>0</v>
      </c>
      <c r="EN74" s="217"/>
      <c r="EO74" s="217"/>
      <c r="EP74" s="217"/>
      <c r="EQ74" s="217"/>
      <c r="ER74" s="219">
        <f t="shared" si="61"/>
        <v>5</v>
      </c>
      <c r="ES74" s="217">
        <v>0</v>
      </c>
      <c r="ET74" s="217">
        <v>0</v>
      </c>
      <c r="EU74" s="217">
        <v>0</v>
      </c>
      <c r="EV74" s="217">
        <v>0</v>
      </c>
      <c r="EW74" s="217">
        <v>0</v>
      </c>
      <c r="EX74" s="217">
        <v>1</v>
      </c>
      <c r="EY74" s="217">
        <v>0</v>
      </c>
      <c r="EZ74" s="217">
        <v>0</v>
      </c>
      <c r="FA74" s="217">
        <v>0</v>
      </c>
      <c r="FB74" s="217"/>
      <c r="FC74" s="217"/>
      <c r="FD74" s="217"/>
      <c r="FE74" s="217"/>
      <c r="FF74" s="217">
        <f t="shared" si="62"/>
        <v>1</v>
      </c>
      <c r="FG74" s="221">
        <f t="shared" si="63"/>
        <v>0</v>
      </c>
      <c r="FH74" s="221">
        <f t="shared" si="64"/>
        <v>0</v>
      </c>
      <c r="FI74" s="221">
        <f t="shared" si="65"/>
        <v>1</v>
      </c>
      <c r="FJ74" s="221">
        <f t="shared" si="66"/>
        <v>0</v>
      </c>
      <c r="FK74" s="221">
        <f t="shared" si="67"/>
        <v>0</v>
      </c>
      <c r="FL74" s="221">
        <f t="shared" si="68"/>
        <v>2</v>
      </c>
      <c r="FM74" s="221">
        <f t="shared" si="69"/>
        <v>1</v>
      </c>
      <c r="FN74" s="221">
        <f t="shared" si="70"/>
        <v>-1</v>
      </c>
      <c r="FO74" s="221">
        <f t="shared" si="71"/>
        <v>1</v>
      </c>
      <c r="FP74" s="221">
        <f t="shared" si="72"/>
        <v>0</v>
      </c>
      <c r="FQ74" s="221">
        <f t="shared" si="73"/>
        <v>0</v>
      </c>
      <c r="FR74" s="221">
        <f t="shared" si="74"/>
        <v>0</v>
      </c>
      <c r="FS74" s="221">
        <f t="shared" si="75"/>
        <v>0</v>
      </c>
      <c r="FT74" s="221">
        <f t="shared" si="76"/>
        <v>0</v>
      </c>
      <c r="FU74" s="221">
        <f t="shared" si="77"/>
        <v>0</v>
      </c>
      <c r="FV74" s="221">
        <f t="shared" si="78"/>
        <v>4</v>
      </c>
      <c r="FW74" s="222"/>
    </row>
    <row r="75" spans="1:179" x14ac:dyDescent="0.25">
      <c r="A75" s="204">
        <v>40356</v>
      </c>
      <c r="B75" s="204" t="s">
        <v>133</v>
      </c>
      <c r="C75" s="204" t="s">
        <v>131</v>
      </c>
      <c r="D75" s="204" t="s">
        <v>537</v>
      </c>
      <c r="E75" s="205">
        <v>7003</v>
      </c>
      <c r="F75" s="206">
        <v>3</v>
      </c>
      <c r="G75" s="207" t="s">
        <v>545</v>
      </c>
      <c r="H75" s="211">
        <v>0</v>
      </c>
      <c r="I75" s="211">
        <v>1</v>
      </c>
      <c r="J75" s="248">
        <v>4</v>
      </c>
      <c r="K75" s="211">
        <v>7</v>
      </c>
      <c r="L75" s="211">
        <v>6</v>
      </c>
      <c r="M75" s="211">
        <v>0</v>
      </c>
      <c r="N75" s="211">
        <v>1</v>
      </c>
      <c r="O75" s="211">
        <v>1</v>
      </c>
      <c r="P75" s="211">
        <v>0</v>
      </c>
      <c r="Q75" s="211">
        <v>2</v>
      </c>
      <c r="R75" s="211">
        <v>21</v>
      </c>
      <c r="S75" s="211"/>
      <c r="T75" s="211"/>
      <c r="U75" s="211">
        <v>0</v>
      </c>
      <c r="V75" s="210">
        <v>0</v>
      </c>
      <c r="W75" s="211">
        <v>0</v>
      </c>
      <c r="X75" s="211">
        <v>0</v>
      </c>
      <c r="Y75" s="211">
        <v>0</v>
      </c>
      <c r="Z75" s="211">
        <v>0</v>
      </c>
      <c r="AA75" s="211">
        <v>0</v>
      </c>
      <c r="AB75" s="248">
        <v>4</v>
      </c>
      <c r="AC75" s="211">
        <v>8</v>
      </c>
      <c r="AD75" s="211">
        <v>7</v>
      </c>
      <c r="AE75" s="211">
        <v>6</v>
      </c>
      <c r="AF75" s="211">
        <v>3</v>
      </c>
      <c r="AG75" s="211">
        <v>4</v>
      </c>
      <c r="AH75" s="211">
        <v>1</v>
      </c>
      <c r="AI75" s="211">
        <v>0</v>
      </c>
      <c r="AJ75" s="211">
        <v>24</v>
      </c>
      <c r="AK75" s="211"/>
      <c r="AL75" s="211"/>
      <c r="AM75" s="213" t="s">
        <v>531</v>
      </c>
      <c r="AN75" s="214">
        <v>4</v>
      </c>
      <c r="AO75" s="214">
        <v>0</v>
      </c>
      <c r="AP75" s="214">
        <v>1</v>
      </c>
      <c r="AQ75" s="214">
        <v>0</v>
      </c>
      <c r="AR75" s="214">
        <v>0</v>
      </c>
      <c r="AS75" s="214">
        <v>1</v>
      </c>
      <c r="AT75" s="214">
        <v>0</v>
      </c>
      <c r="AU75" s="214">
        <v>0</v>
      </c>
      <c r="AV75" s="215">
        <v>2</v>
      </c>
      <c r="AW75" s="213" t="s">
        <v>543</v>
      </c>
      <c r="AX75" s="214">
        <v>4</v>
      </c>
      <c r="AY75" s="214">
        <v>0</v>
      </c>
      <c r="AZ75" s="214">
        <v>0</v>
      </c>
      <c r="BA75" s="214">
        <v>0</v>
      </c>
      <c r="BB75" s="214">
        <v>0</v>
      </c>
      <c r="BC75" s="214">
        <v>0</v>
      </c>
      <c r="BD75" s="214">
        <v>0</v>
      </c>
      <c r="BE75" s="214">
        <v>0</v>
      </c>
      <c r="BF75" s="215">
        <v>0</v>
      </c>
      <c r="BG75" s="213" t="s">
        <v>534</v>
      </c>
      <c r="BH75" s="214">
        <v>4</v>
      </c>
      <c r="BI75" s="214">
        <v>2</v>
      </c>
      <c r="BJ75" s="214">
        <v>2</v>
      </c>
      <c r="BK75" s="214">
        <v>1</v>
      </c>
      <c r="BL75" s="214">
        <v>0</v>
      </c>
      <c r="BM75" s="214">
        <v>0</v>
      </c>
      <c r="BN75" s="214">
        <v>0</v>
      </c>
      <c r="BO75" s="214">
        <v>0</v>
      </c>
      <c r="BP75" s="215">
        <v>6</v>
      </c>
      <c r="BQ75" s="213" t="s">
        <v>530</v>
      </c>
      <c r="BR75" s="214">
        <v>4</v>
      </c>
      <c r="BS75" s="214">
        <v>0</v>
      </c>
      <c r="BT75" s="214">
        <v>1</v>
      </c>
      <c r="BU75" s="214">
        <v>1</v>
      </c>
      <c r="BV75" s="214">
        <v>0</v>
      </c>
      <c r="BW75" s="214">
        <v>1</v>
      </c>
      <c r="BX75" s="214">
        <v>0</v>
      </c>
      <c r="BY75" s="214">
        <v>0</v>
      </c>
      <c r="BZ75" s="215">
        <v>1</v>
      </c>
      <c r="CA75" s="213" t="s">
        <v>561</v>
      </c>
      <c r="CB75" s="214">
        <v>4</v>
      </c>
      <c r="CC75" s="214">
        <v>0</v>
      </c>
      <c r="CD75" s="214">
        <v>0</v>
      </c>
      <c r="CE75" s="214">
        <v>0</v>
      </c>
      <c r="CF75" s="214">
        <v>0</v>
      </c>
      <c r="CG75" s="214">
        <v>0</v>
      </c>
      <c r="CH75" s="214">
        <v>0</v>
      </c>
      <c r="CI75" s="214">
        <v>0</v>
      </c>
      <c r="CJ75" s="215">
        <v>0</v>
      </c>
      <c r="CK75" s="213" t="s">
        <v>425</v>
      </c>
      <c r="CL75" s="214">
        <v>4</v>
      </c>
      <c r="CM75" s="214">
        <v>0</v>
      </c>
      <c r="CN75" s="214">
        <v>0</v>
      </c>
      <c r="CO75" s="214">
        <v>0</v>
      </c>
      <c r="CP75" s="214">
        <v>0</v>
      </c>
      <c r="CQ75" s="214">
        <v>0</v>
      </c>
      <c r="CR75" s="214">
        <v>0</v>
      </c>
      <c r="CS75" s="214">
        <v>0</v>
      </c>
      <c r="CT75" s="215">
        <v>0</v>
      </c>
      <c r="CU75" s="213" t="s">
        <v>532</v>
      </c>
      <c r="CV75" s="214">
        <v>3</v>
      </c>
      <c r="CW75" s="214">
        <v>0</v>
      </c>
      <c r="CX75" s="214">
        <v>0</v>
      </c>
      <c r="CY75" s="214">
        <v>0</v>
      </c>
      <c r="CZ75" s="214">
        <v>0</v>
      </c>
      <c r="DA75" s="214">
        <v>0</v>
      </c>
      <c r="DB75" s="214">
        <v>0</v>
      </c>
      <c r="DC75" s="214">
        <v>0</v>
      </c>
      <c r="DD75" s="215">
        <v>0</v>
      </c>
      <c r="DE75" s="213" t="s">
        <v>549</v>
      </c>
      <c r="DF75" s="214">
        <v>3</v>
      </c>
      <c r="DG75" s="214">
        <v>0</v>
      </c>
      <c r="DH75" s="214">
        <v>0</v>
      </c>
      <c r="DI75" s="214">
        <v>0</v>
      </c>
      <c r="DJ75" s="214">
        <v>0</v>
      </c>
      <c r="DK75" s="214">
        <v>0</v>
      </c>
      <c r="DL75" s="214">
        <v>0</v>
      </c>
      <c r="DM75" s="214">
        <v>0</v>
      </c>
      <c r="DN75" s="215">
        <v>0</v>
      </c>
      <c r="DO75" s="213" t="s">
        <v>535</v>
      </c>
      <c r="DP75" s="214">
        <v>3</v>
      </c>
      <c r="DQ75" s="214">
        <v>0</v>
      </c>
      <c r="DR75" s="214">
        <v>2</v>
      </c>
      <c r="DS75" s="214">
        <v>0</v>
      </c>
      <c r="DT75" s="214">
        <v>0</v>
      </c>
      <c r="DU75" s="214">
        <v>0</v>
      </c>
      <c r="DV75" s="214">
        <v>0</v>
      </c>
      <c r="DW75" s="214">
        <v>0</v>
      </c>
      <c r="DX75" s="215">
        <v>4</v>
      </c>
      <c r="DY75" s="249">
        <v>6</v>
      </c>
      <c r="DZ75" s="217">
        <v>0</v>
      </c>
      <c r="EA75" s="217">
        <v>1</v>
      </c>
      <c r="EB75" s="250">
        <v>3</v>
      </c>
      <c r="EC75" s="217">
        <v>0</v>
      </c>
      <c r="ED75" s="219">
        <v>0</v>
      </c>
      <c r="EE75" s="220">
        <v>0</v>
      </c>
      <c r="EF75" s="217">
        <v>0</v>
      </c>
      <c r="EG75" s="217">
        <v>0</v>
      </c>
      <c r="EH75" s="217">
        <v>1</v>
      </c>
      <c r="EI75" s="217">
        <v>0</v>
      </c>
      <c r="EJ75" s="217">
        <v>1</v>
      </c>
      <c r="EK75" s="217">
        <v>0</v>
      </c>
      <c r="EL75" s="217">
        <v>0</v>
      </c>
      <c r="EM75" s="217">
        <v>0</v>
      </c>
      <c r="EN75" s="217"/>
      <c r="EO75" s="217"/>
      <c r="EP75" s="217"/>
      <c r="EQ75" s="217"/>
      <c r="ER75" s="219">
        <f t="shared" si="61"/>
        <v>2</v>
      </c>
      <c r="ES75" s="217">
        <v>0</v>
      </c>
      <c r="ET75" s="217">
        <v>6</v>
      </c>
      <c r="EU75" s="217">
        <v>0</v>
      </c>
      <c r="EV75" s="217">
        <v>0</v>
      </c>
      <c r="EW75" s="217">
        <v>2</v>
      </c>
      <c r="EX75" s="217">
        <v>4</v>
      </c>
      <c r="EY75" s="217">
        <v>0</v>
      </c>
      <c r="EZ75" s="217">
        <v>1</v>
      </c>
      <c r="FA75" s="217"/>
      <c r="FB75" s="217"/>
      <c r="FC75" s="217"/>
      <c r="FD75" s="217"/>
      <c r="FE75" s="217"/>
      <c r="FF75" s="217">
        <f t="shared" si="62"/>
        <v>13</v>
      </c>
      <c r="FG75" s="221">
        <f t="shared" si="63"/>
        <v>0</v>
      </c>
      <c r="FH75" s="221">
        <f t="shared" si="64"/>
        <v>0</v>
      </c>
      <c r="FI75" s="221">
        <f t="shared" si="65"/>
        <v>0</v>
      </c>
      <c r="FJ75" s="221">
        <f t="shared" si="66"/>
        <v>-6</v>
      </c>
      <c r="FK75" s="221">
        <f t="shared" si="67"/>
        <v>0</v>
      </c>
      <c r="FL75" s="221">
        <f t="shared" si="68"/>
        <v>1</v>
      </c>
      <c r="FM75" s="221">
        <f t="shared" si="69"/>
        <v>-2</v>
      </c>
      <c r="FN75" s="221">
        <f t="shared" si="70"/>
        <v>-3</v>
      </c>
      <c r="FO75" s="221">
        <f t="shared" si="71"/>
        <v>0</v>
      </c>
      <c r="FP75" s="221">
        <f t="shared" si="72"/>
        <v>-1</v>
      </c>
      <c r="FQ75" s="221">
        <f t="shared" si="73"/>
        <v>0</v>
      </c>
      <c r="FR75" s="221">
        <f t="shared" si="74"/>
        <v>0</v>
      </c>
      <c r="FS75" s="221">
        <f t="shared" si="75"/>
        <v>0</v>
      </c>
      <c r="FT75" s="221">
        <f t="shared" si="76"/>
        <v>0</v>
      </c>
      <c r="FU75" s="221">
        <f t="shared" si="77"/>
        <v>0</v>
      </c>
      <c r="FV75" s="221">
        <f t="shared" si="78"/>
        <v>-11</v>
      </c>
      <c r="FW75" s="222"/>
    </row>
    <row r="76" spans="1:179" x14ac:dyDescent="0.25">
      <c r="A76" s="204">
        <v>40357</v>
      </c>
      <c r="B76" s="204" t="s">
        <v>19</v>
      </c>
      <c r="C76" s="204" t="s">
        <v>129</v>
      </c>
      <c r="D76" s="204" t="s">
        <v>548</v>
      </c>
      <c r="E76" s="205">
        <v>3088</v>
      </c>
      <c r="F76" s="206">
        <v>4</v>
      </c>
      <c r="G76" s="207" t="s">
        <v>536</v>
      </c>
      <c r="H76" s="211">
        <v>1</v>
      </c>
      <c r="I76" s="211">
        <v>0</v>
      </c>
      <c r="J76" s="248">
        <f>6+1/3</f>
        <v>6.333333333333333</v>
      </c>
      <c r="K76" s="211">
        <v>4</v>
      </c>
      <c r="L76" s="211">
        <v>0</v>
      </c>
      <c r="M76" s="211">
        <v>0</v>
      </c>
      <c r="N76" s="211">
        <v>2</v>
      </c>
      <c r="O76" s="211">
        <v>4</v>
      </c>
      <c r="P76" s="211">
        <v>0</v>
      </c>
      <c r="Q76" s="211">
        <v>0</v>
      </c>
      <c r="R76" s="211">
        <v>24</v>
      </c>
      <c r="S76" s="211"/>
      <c r="T76" s="211"/>
      <c r="U76" s="211">
        <v>1</v>
      </c>
      <c r="V76" s="210">
        <v>0</v>
      </c>
      <c r="W76" s="211">
        <v>0</v>
      </c>
      <c r="X76" s="211">
        <v>0</v>
      </c>
      <c r="Y76" s="211">
        <v>2</v>
      </c>
      <c r="Z76" s="211">
        <v>1</v>
      </c>
      <c r="AA76" s="211">
        <v>0</v>
      </c>
      <c r="AB76" s="248">
        <f>2+2/3</f>
        <v>2.6666666666666665</v>
      </c>
      <c r="AC76" s="211">
        <v>4</v>
      </c>
      <c r="AD76" s="211">
        <v>3</v>
      </c>
      <c r="AE76" s="211">
        <v>3</v>
      </c>
      <c r="AF76" s="211">
        <v>2</v>
      </c>
      <c r="AG76" s="211">
        <v>6</v>
      </c>
      <c r="AH76" s="211">
        <v>0</v>
      </c>
      <c r="AI76" s="211">
        <v>1</v>
      </c>
      <c r="AJ76" s="211">
        <v>15</v>
      </c>
      <c r="AK76" s="211"/>
      <c r="AL76" s="211"/>
      <c r="AM76" s="213" t="s">
        <v>519</v>
      </c>
      <c r="AN76" s="214">
        <v>4</v>
      </c>
      <c r="AO76" s="214">
        <v>0</v>
      </c>
      <c r="AP76" s="214">
        <v>1</v>
      </c>
      <c r="AQ76" s="214">
        <v>0</v>
      </c>
      <c r="AR76" s="214">
        <v>0</v>
      </c>
      <c r="AS76" s="214">
        <v>0</v>
      </c>
      <c r="AT76" s="214">
        <v>0</v>
      </c>
      <c r="AU76" s="214">
        <v>0</v>
      </c>
      <c r="AV76" s="215">
        <v>1</v>
      </c>
      <c r="AW76" s="213" t="s">
        <v>534</v>
      </c>
      <c r="AX76" s="214">
        <v>4</v>
      </c>
      <c r="AY76" s="214">
        <v>1</v>
      </c>
      <c r="AZ76" s="214">
        <v>1</v>
      </c>
      <c r="BA76" s="214">
        <v>0</v>
      </c>
      <c r="BB76" s="214">
        <v>0</v>
      </c>
      <c r="BC76" s="214">
        <v>1</v>
      </c>
      <c r="BD76" s="214">
        <v>0</v>
      </c>
      <c r="BE76" s="214">
        <v>0</v>
      </c>
      <c r="BF76" s="215">
        <v>2</v>
      </c>
      <c r="BG76" s="213" t="s">
        <v>531</v>
      </c>
      <c r="BH76" s="214">
        <v>4</v>
      </c>
      <c r="BI76" s="214">
        <v>1</v>
      </c>
      <c r="BJ76" s="214">
        <v>2</v>
      </c>
      <c r="BK76" s="214">
        <v>1</v>
      </c>
      <c r="BL76" s="214">
        <v>0</v>
      </c>
      <c r="BM76" s="214">
        <v>0</v>
      </c>
      <c r="BN76" s="214">
        <v>0</v>
      </c>
      <c r="BO76" s="214">
        <v>0</v>
      </c>
      <c r="BP76" s="215">
        <v>3</v>
      </c>
      <c r="BQ76" s="213" t="s">
        <v>539</v>
      </c>
      <c r="BR76" s="214">
        <v>3</v>
      </c>
      <c r="BS76" s="214">
        <v>2</v>
      </c>
      <c r="BT76" s="214">
        <v>2</v>
      </c>
      <c r="BU76" s="214">
        <v>0</v>
      </c>
      <c r="BV76" s="214">
        <v>1</v>
      </c>
      <c r="BW76" s="214">
        <v>0</v>
      </c>
      <c r="BX76" s="214">
        <v>0</v>
      </c>
      <c r="BY76" s="214">
        <v>0</v>
      </c>
      <c r="BZ76" s="215">
        <v>3</v>
      </c>
      <c r="CA76" s="213" t="s">
        <v>530</v>
      </c>
      <c r="CB76" s="214">
        <v>4</v>
      </c>
      <c r="CC76" s="214">
        <v>1</v>
      </c>
      <c r="CD76" s="214">
        <v>2</v>
      </c>
      <c r="CE76" s="214">
        <v>0</v>
      </c>
      <c r="CF76" s="214">
        <v>0</v>
      </c>
      <c r="CG76" s="214">
        <v>1</v>
      </c>
      <c r="CH76" s="214">
        <v>0</v>
      </c>
      <c r="CI76" s="214">
        <v>0</v>
      </c>
      <c r="CJ76" s="215">
        <v>3</v>
      </c>
      <c r="CK76" s="213" t="s">
        <v>291</v>
      </c>
      <c r="CL76" s="214">
        <v>4</v>
      </c>
      <c r="CM76" s="214">
        <v>0</v>
      </c>
      <c r="CN76" s="214">
        <v>2</v>
      </c>
      <c r="CO76" s="214">
        <v>3</v>
      </c>
      <c r="CP76" s="214">
        <v>0</v>
      </c>
      <c r="CQ76" s="214">
        <v>0</v>
      </c>
      <c r="CR76" s="214">
        <v>0</v>
      </c>
      <c r="CS76" s="214">
        <v>0</v>
      </c>
      <c r="CT76" s="215">
        <v>2</v>
      </c>
      <c r="CU76" s="213" t="s">
        <v>543</v>
      </c>
      <c r="CV76" s="214">
        <v>4</v>
      </c>
      <c r="CW76" s="214">
        <v>0</v>
      </c>
      <c r="CX76" s="214">
        <v>2</v>
      </c>
      <c r="CY76" s="214">
        <v>0</v>
      </c>
      <c r="CZ76" s="214">
        <v>0</v>
      </c>
      <c r="DA76" s="214">
        <v>0</v>
      </c>
      <c r="DB76" s="214">
        <v>0</v>
      </c>
      <c r="DC76" s="214">
        <v>0</v>
      </c>
      <c r="DD76" s="215">
        <v>2</v>
      </c>
      <c r="DE76" s="213" t="s">
        <v>532</v>
      </c>
      <c r="DF76" s="214">
        <v>4</v>
      </c>
      <c r="DG76" s="214">
        <v>0</v>
      </c>
      <c r="DH76" s="214">
        <v>1</v>
      </c>
      <c r="DI76" s="214">
        <v>1</v>
      </c>
      <c r="DJ76" s="214">
        <v>0</v>
      </c>
      <c r="DK76" s="214">
        <v>1</v>
      </c>
      <c r="DL76" s="214">
        <v>0</v>
      </c>
      <c r="DM76" s="214">
        <v>0</v>
      </c>
      <c r="DN76" s="215">
        <v>1</v>
      </c>
      <c r="DO76" s="213" t="s">
        <v>535</v>
      </c>
      <c r="DP76" s="214">
        <v>3</v>
      </c>
      <c r="DQ76" s="214">
        <v>0</v>
      </c>
      <c r="DR76" s="214">
        <v>1</v>
      </c>
      <c r="DS76" s="214">
        <v>0</v>
      </c>
      <c r="DT76" s="214">
        <v>0</v>
      </c>
      <c r="DU76" s="214">
        <v>1</v>
      </c>
      <c r="DV76" s="214">
        <v>0</v>
      </c>
      <c r="DW76" s="214">
        <v>0</v>
      </c>
      <c r="DX76" s="215">
        <v>2</v>
      </c>
      <c r="DY76" s="249">
        <v>0</v>
      </c>
      <c r="DZ76" s="217">
        <v>0</v>
      </c>
      <c r="EA76" s="217">
        <v>0</v>
      </c>
      <c r="EB76" s="250">
        <v>8</v>
      </c>
      <c r="EC76" s="217">
        <v>1</v>
      </c>
      <c r="ED76" s="219">
        <v>1</v>
      </c>
      <c r="EE76" s="220">
        <v>0</v>
      </c>
      <c r="EF76" s="217">
        <v>0</v>
      </c>
      <c r="EG76" s="217">
        <v>0</v>
      </c>
      <c r="EH76" s="217">
        <v>3</v>
      </c>
      <c r="EI76" s="217">
        <v>0</v>
      </c>
      <c r="EJ76" s="217">
        <v>0</v>
      </c>
      <c r="EK76" s="217">
        <v>0</v>
      </c>
      <c r="EL76" s="217">
        <v>2</v>
      </c>
      <c r="EM76" s="217"/>
      <c r="EN76" s="217"/>
      <c r="EO76" s="217"/>
      <c r="EP76" s="217"/>
      <c r="EQ76" s="217"/>
      <c r="ER76" s="219">
        <f t="shared" si="61"/>
        <v>5</v>
      </c>
      <c r="ES76" s="217">
        <v>0</v>
      </c>
      <c r="ET76" s="217">
        <v>0</v>
      </c>
      <c r="EU76" s="217">
        <v>0</v>
      </c>
      <c r="EV76" s="217">
        <v>0</v>
      </c>
      <c r="EW76" s="217">
        <v>0</v>
      </c>
      <c r="EX76" s="217">
        <v>0</v>
      </c>
      <c r="EY76" s="217">
        <v>0</v>
      </c>
      <c r="EZ76" s="217">
        <v>2</v>
      </c>
      <c r="FA76" s="217">
        <v>1</v>
      </c>
      <c r="FB76" s="217"/>
      <c r="FC76" s="217"/>
      <c r="FD76" s="217"/>
      <c r="FE76" s="217"/>
      <c r="FF76" s="217">
        <f t="shared" si="62"/>
        <v>3</v>
      </c>
      <c r="FG76" s="221">
        <f t="shared" si="63"/>
        <v>0</v>
      </c>
      <c r="FH76" s="221">
        <f t="shared" si="64"/>
        <v>0</v>
      </c>
      <c r="FI76" s="221">
        <f t="shared" si="65"/>
        <v>0</v>
      </c>
      <c r="FJ76" s="221">
        <f t="shared" si="66"/>
        <v>0</v>
      </c>
      <c r="FK76" s="221">
        <f t="shared" si="67"/>
        <v>0</v>
      </c>
      <c r="FL76" s="221">
        <f t="shared" si="68"/>
        <v>3</v>
      </c>
      <c r="FM76" s="221">
        <f t="shared" si="69"/>
        <v>0</v>
      </c>
      <c r="FN76" s="221">
        <f t="shared" si="70"/>
        <v>0</v>
      </c>
      <c r="FO76" s="221">
        <f t="shared" si="71"/>
        <v>0</v>
      </c>
      <c r="FP76" s="221">
        <f t="shared" si="72"/>
        <v>0</v>
      </c>
      <c r="FQ76" s="221">
        <f t="shared" si="73"/>
        <v>-1</v>
      </c>
      <c r="FR76" s="221">
        <f t="shared" si="74"/>
        <v>0</v>
      </c>
      <c r="FS76" s="221">
        <f t="shared" si="75"/>
        <v>0</v>
      </c>
      <c r="FT76" s="221">
        <f t="shared" si="76"/>
        <v>0</v>
      </c>
      <c r="FU76" s="221">
        <f t="shared" si="77"/>
        <v>0</v>
      </c>
      <c r="FV76" s="221">
        <f t="shared" si="78"/>
        <v>2</v>
      </c>
      <c r="FW76" s="222"/>
    </row>
    <row r="77" spans="1:179" x14ac:dyDescent="0.25">
      <c r="A77" s="204">
        <v>40358</v>
      </c>
      <c r="B77" s="204" t="s">
        <v>19</v>
      </c>
      <c r="C77" s="204" t="s">
        <v>131</v>
      </c>
      <c r="D77" s="204" t="s">
        <v>548</v>
      </c>
      <c r="E77" s="205">
        <v>3110</v>
      </c>
      <c r="F77" s="206">
        <v>5</v>
      </c>
      <c r="G77" s="207" t="s">
        <v>580</v>
      </c>
      <c r="H77" s="211">
        <v>0</v>
      </c>
      <c r="I77" s="211">
        <v>0</v>
      </c>
      <c r="J77" s="248">
        <v>5</v>
      </c>
      <c r="K77" s="211">
        <v>5</v>
      </c>
      <c r="L77" s="211">
        <v>2</v>
      </c>
      <c r="M77" s="211">
        <v>2</v>
      </c>
      <c r="N77" s="211">
        <v>3</v>
      </c>
      <c r="O77" s="211">
        <v>4</v>
      </c>
      <c r="P77" s="211">
        <v>0</v>
      </c>
      <c r="Q77" s="211">
        <v>0</v>
      </c>
      <c r="R77" s="211">
        <v>23</v>
      </c>
      <c r="S77" s="211"/>
      <c r="T77" s="211"/>
      <c r="U77" s="211">
        <v>0</v>
      </c>
      <c r="V77" s="210">
        <v>0</v>
      </c>
      <c r="W77" s="211">
        <v>0</v>
      </c>
      <c r="X77" s="211">
        <v>1</v>
      </c>
      <c r="Y77" s="211">
        <v>0</v>
      </c>
      <c r="Z77" s="211">
        <v>0</v>
      </c>
      <c r="AA77" s="211">
        <v>0</v>
      </c>
      <c r="AB77" s="248">
        <v>4</v>
      </c>
      <c r="AC77" s="211">
        <v>3</v>
      </c>
      <c r="AD77" s="211">
        <v>2</v>
      </c>
      <c r="AE77" s="211">
        <v>2</v>
      </c>
      <c r="AF77" s="211">
        <v>3</v>
      </c>
      <c r="AG77" s="211">
        <v>2</v>
      </c>
      <c r="AH77" s="211">
        <v>0</v>
      </c>
      <c r="AI77" s="211">
        <v>0</v>
      </c>
      <c r="AJ77" s="211">
        <v>18</v>
      </c>
      <c r="AK77" s="211"/>
      <c r="AL77" s="211"/>
      <c r="AM77" s="213" t="s">
        <v>519</v>
      </c>
      <c r="AN77" s="214">
        <v>4</v>
      </c>
      <c r="AO77" s="214">
        <v>2</v>
      </c>
      <c r="AP77" s="214">
        <v>1</v>
      </c>
      <c r="AQ77" s="214">
        <v>0</v>
      </c>
      <c r="AR77" s="214">
        <v>0</v>
      </c>
      <c r="AS77" s="214">
        <v>0</v>
      </c>
      <c r="AT77" s="214">
        <v>0</v>
      </c>
      <c r="AU77" s="214">
        <v>0</v>
      </c>
      <c r="AV77" s="215">
        <v>2</v>
      </c>
      <c r="AW77" s="213" t="s">
        <v>543</v>
      </c>
      <c r="AX77" s="214">
        <v>3</v>
      </c>
      <c r="AY77" s="214">
        <v>0</v>
      </c>
      <c r="AZ77" s="214">
        <v>0</v>
      </c>
      <c r="BA77" s="214">
        <v>0</v>
      </c>
      <c r="BB77" s="214">
        <v>1</v>
      </c>
      <c r="BC77" s="214">
        <v>0</v>
      </c>
      <c r="BD77" s="214">
        <v>0</v>
      </c>
      <c r="BE77" s="214">
        <v>0</v>
      </c>
      <c r="BF77" s="215">
        <v>0</v>
      </c>
      <c r="BG77" s="213" t="s">
        <v>534</v>
      </c>
      <c r="BH77" s="214">
        <v>4</v>
      </c>
      <c r="BI77" s="214">
        <v>0</v>
      </c>
      <c r="BJ77" s="214">
        <v>1</v>
      </c>
      <c r="BK77" s="214">
        <v>1</v>
      </c>
      <c r="BL77" s="214">
        <v>0</v>
      </c>
      <c r="BM77" s="214">
        <v>0</v>
      </c>
      <c r="BN77" s="214">
        <v>0</v>
      </c>
      <c r="BO77" s="214">
        <v>0</v>
      </c>
      <c r="BP77" s="215">
        <v>1</v>
      </c>
      <c r="BQ77" s="213" t="s">
        <v>539</v>
      </c>
      <c r="BR77" s="214">
        <v>4</v>
      </c>
      <c r="BS77" s="214">
        <v>0</v>
      </c>
      <c r="BT77" s="214">
        <v>2</v>
      </c>
      <c r="BU77" s="214">
        <v>1</v>
      </c>
      <c r="BV77" s="214">
        <v>0</v>
      </c>
      <c r="BW77" s="214">
        <v>2</v>
      </c>
      <c r="BX77" s="214">
        <v>0</v>
      </c>
      <c r="BY77" s="214">
        <v>0</v>
      </c>
      <c r="BZ77" s="215">
        <v>2</v>
      </c>
      <c r="CA77" s="213" t="s">
        <v>530</v>
      </c>
      <c r="CB77" s="214">
        <v>4</v>
      </c>
      <c r="CC77" s="214">
        <v>0</v>
      </c>
      <c r="CD77" s="214">
        <v>1</v>
      </c>
      <c r="CE77" s="214">
        <v>0</v>
      </c>
      <c r="CF77" s="214">
        <v>0</v>
      </c>
      <c r="CG77" s="214">
        <v>1</v>
      </c>
      <c r="CH77" s="214">
        <v>0</v>
      </c>
      <c r="CI77" s="214">
        <v>0</v>
      </c>
      <c r="CJ77" s="215">
        <v>1</v>
      </c>
      <c r="CK77" s="213" t="s">
        <v>291</v>
      </c>
      <c r="CL77" s="214">
        <v>4</v>
      </c>
      <c r="CM77" s="214">
        <v>0</v>
      </c>
      <c r="CN77" s="214">
        <v>0</v>
      </c>
      <c r="CO77" s="214">
        <v>0</v>
      </c>
      <c r="CP77" s="214">
        <v>0</v>
      </c>
      <c r="CQ77" s="214">
        <v>0</v>
      </c>
      <c r="CR77" s="214">
        <v>0</v>
      </c>
      <c r="CS77" s="214">
        <v>0</v>
      </c>
      <c r="CT77" s="215">
        <v>0</v>
      </c>
      <c r="CU77" s="213" t="s">
        <v>561</v>
      </c>
      <c r="CV77" s="214">
        <v>4</v>
      </c>
      <c r="CW77" s="214">
        <v>0</v>
      </c>
      <c r="CX77" s="214">
        <v>2</v>
      </c>
      <c r="CY77" s="214">
        <v>0</v>
      </c>
      <c r="CZ77" s="214">
        <v>0</v>
      </c>
      <c r="DA77" s="214">
        <v>2</v>
      </c>
      <c r="DB77" s="214">
        <v>0</v>
      </c>
      <c r="DC77" s="214">
        <v>0</v>
      </c>
      <c r="DD77" s="215">
        <v>3</v>
      </c>
      <c r="DE77" s="213" t="s">
        <v>538</v>
      </c>
      <c r="DF77" s="214">
        <v>4</v>
      </c>
      <c r="DG77" s="214">
        <v>0</v>
      </c>
      <c r="DH77" s="214">
        <v>0</v>
      </c>
      <c r="DI77" s="214">
        <v>0</v>
      </c>
      <c r="DJ77" s="214">
        <v>0</v>
      </c>
      <c r="DK77" s="214">
        <v>1</v>
      </c>
      <c r="DL77" s="214">
        <v>0</v>
      </c>
      <c r="DM77" s="214">
        <v>0</v>
      </c>
      <c r="DN77" s="215">
        <v>0</v>
      </c>
      <c r="DO77" s="213" t="s">
        <v>535</v>
      </c>
      <c r="DP77" s="214">
        <v>2</v>
      </c>
      <c r="DQ77" s="214">
        <v>0</v>
      </c>
      <c r="DR77" s="214">
        <v>0</v>
      </c>
      <c r="DS77" s="214">
        <v>0</v>
      </c>
      <c r="DT77" s="214">
        <v>2</v>
      </c>
      <c r="DU77" s="214">
        <v>1</v>
      </c>
      <c r="DV77" s="214">
        <v>0</v>
      </c>
      <c r="DW77" s="214">
        <v>0</v>
      </c>
      <c r="DX77" s="215">
        <v>0</v>
      </c>
      <c r="DY77" s="249">
        <v>6</v>
      </c>
      <c r="DZ77" s="217">
        <v>0</v>
      </c>
      <c r="EA77" s="217">
        <v>0</v>
      </c>
      <c r="EB77" s="250">
        <v>3</v>
      </c>
      <c r="EC77" s="217">
        <v>0</v>
      </c>
      <c r="ED77" s="219">
        <v>0</v>
      </c>
      <c r="EE77" s="220">
        <v>1</v>
      </c>
      <c r="EF77" s="217">
        <v>0</v>
      </c>
      <c r="EG77" s="217">
        <v>0</v>
      </c>
      <c r="EH77" s="217">
        <v>0</v>
      </c>
      <c r="EI77" s="217">
        <v>1</v>
      </c>
      <c r="EJ77" s="217">
        <v>0</v>
      </c>
      <c r="EK77" s="217">
        <v>0</v>
      </c>
      <c r="EL77" s="217">
        <v>0</v>
      </c>
      <c r="EM77" s="217">
        <v>0</v>
      </c>
      <c r="EN77" s="217"/>
      <c r="EO77" s="217"/>
      <c r="EP77" s="217"/>
      <c r="EQ77" s="217"/>
      <c r="ER77" s="219">
        <f t="shared" si="61"/>
        <v>2</v>
      </c>
      <c r="ES77" s="217">
        <v>1</v>
      </c>
      <c r="ET77" s="217">
        <v>0</v>
      </c>
      <c r="EU77" s="217">
        <v>0</v>
      </c>
      <c r="EV77" s="217">
        <v>0</v>
      </c>
      <c r="EW77" s="217">
        <v>1</v>
      </c>
      <c r="EX77" s="217">
        <v>0</v>
      </c>
      <c r="EY77" s="217">
        <v>0</v>
      </c>
      <c r="EZ77" s="217">
        <v>0</v>
      </c>
      <c r="FA77" s="217">
        <v>2</v>
      </c>
      <c r="FB77" s="217"/>
      <c r="FC77" s="217"/>
      <c r="FD77" s="217"/>
      <c r="FE77" s="217"/>
      <c r="FF77" s="217">
        <f t="shared" si="62"/>
        <v>4</v>
      </c>
      <c r="FG77" s="221">
        <f t="shared" si="63"/>
        <v>0</v>
      </c>
      <c r="FH77" s="221">
        <f t="shared" si="64"/>
        <v>0</v>
      </c>
      <c r="FI77" s="221">
        <f t="shared" si="65"/>
        <v>0</v>
      </c>
      <c r="FJ77" s="221">
        <f t="shared" si="66"/>
        <v>0</v>
      </c>
      <c r="FK77" s="221">
        <f t="shared" si="67"/>
        <v>0</v>
      </c>
      <c r="FL77" s="221">
        <f t="shared" si="68"/>
        <v>0</v>
      </c>
      <c r="FM77" s="221">
        <f t="shared" si="69"/>
        <v>0</v>
      </c>
      <c r="FN77" s="221">
        <f t="shared" si="70"/>
        <v>0</v>
      </c>
      <c r="FO77" s="221">
        <f t="shared" si="71"/>
        <v>0</v>
      </c>
      <c r="FP77" s="221">
        <f t="shared" si="72"/>
        <v>0</v>
      </c>
      <c r="FQ77" s="221">
        <f t="shared" si="73"/>
        <v>-2</v>
      </c>
      <c r="FR77" s="221">
        <f t="shared" si="74"/>
        <v>0</v>
      </c>
      <c r="FS77" s="221">
        <f t="shared" si="75"/>
        <v>0</v>
      </c>
      <c r="FT77" s="221">
        <f t="shared" si="76"/>
        <v>0</v>
      </c>
      <c r="FU77" s="221">
        <f t="shared" si="77"/>
        <v>0</v>
      </c>
      <c r="FV77" s="221">
        <f t="shared" si="78"/>
        <v>-2</v>
      </c>
      <c r="FW77" s="222"/>
    </row>
    <row r="78" spans="1:179" x14ac:dyDescent="0.25">
      <c r="A78" s="204">
        <v>40359</v>
      </c>
      <c r="B78" s="204" t="s">
        <v>19</v>
      </c>
      <c r="C78" s="204" t="s">
        <v>129</v>
      </c>
      <c r="D78" s="204" t="s">
        <v>548</v>
      </c>
      <c r="E78" s="205">
        <v>3000</v>
      </c>
      <c r="F78" s="206">
        <v>1</v>
      </c>
      <c r="G78" s="207" t="s">
        <v>540</v>
      </c>
      <c r="H78" s="211">
        <v>1</v>
      </c>
      <c r="I78" s="211">
        <v>0</v>
      </c>
      <c r="J78" s="248">
        <f>6+2/3</f>
        <v>6.666666666666667</v>
      </c>
      <c r="K78" s="211">
        <v>4</v>
      </c>
      <c r="L78" s="211">
        <v>0</v>
      </c>
      <c r="M78" s="211">
        <v>0</v>
      </c>
      <c r="N78" s="211">
        <v>3</v>
      </c>
      <c r="O78" s="211">
        <v>6</v>
      </c>
      <c r="P78" s="211">
        <v>0</v>
      </c>
      <c r="Q78" s="211">
        <v>0</v>
      </c>
      <c r="R78" s="211">
        <v>25</v>
      </c>
      <c r="S78" s="211"/>
      <c r="T78" s="211"/>
      <c r="U78" s="211">
        <v>2</v>
      </c>
      <c r="V78" s="210">
        <v>0</v>
      </c>
      <c r="W78" s="211">
        <v>0</v>
      </c>
      <c r="X78" s="211">
        <v>0</v>
      </c>
      <c r="Y78" s="211">
        <v>1</v>
      </c>
      <c r="Z78" s="211">
        <v>1</v>
      </c>
      <c r="AA78" s="211">
        <v>0</v>
      </c>
      <c r="AB78" s="248">
        <f>2+1/3</f>
        <v>2.3333333333333335</v>
      </c>
      <c r="AC78" s="211">
        <v>0</v>
      </c>
      <c r="AD78" s="211">
        <v>0</v>
      </c>
      <c r="AE78" s="211">
        <v>0</v>
      </c>
      <c r="AF78" s="211">
        <v>0</v>
      </c>
      <c r="AG78" s="211">
        <v>2</v>
      </c>
      <c r="AH78" s="211">
        <v>0</v>
      </c>
      <c r="AI78" s="211">
        <v>0</v>
      </c>
      <c r="AJ78" s="211">
        <v>7</v>
      </c>
      <c r="AK78" s="211"/>
      <c r="AL78" s="211"/>
      <c r="AM78" s="213" t="s">
        <v>519</v>
      </c>
      <c r="AN78" s="214">
        <v>4</v>
      </c>
      <c r="AO78" s="214">
        <v>0</v>
      </c>
      <c r="AP78" s="214">
        <v>0</v>
      </c>
      <c r="AQ78" s="214">
        <v>0</v>
      </c>
      <c r="AR78" s="214">
        <v>0</v>
      </c>
      <c r="AS78" s="214">
        <v>1</v>
      </c>
      <c r="AT78" s="214">
        <v>0</v>
      </c>
      <c r="AU78" s="214">
        <v>0</v>
      </c>
      <c r="AV78" s="215">
        <v>0</v>
      </c>
      <c r="AW78" s="213" t="s">
        <v>534</v>
      </c>
      <c r="AX78" s="214">
        <v>4</v>
      </c>
      <c r="AY78" s="214">
        <v>0</v>
      </c>
      <c r="AZ78" s="214">
        <v>0</v>
      </c>
      <c r="BA78" s="214">
        <v>0</v>
      </c>
      <c r="BB78" s="214">
        <v>0</v>
      </c>
      <c r="BC78" s="214">
        <v>0</v>
      </c>
      <c r="BD78" s="214">
        <v>0</v>
      </c>
      <c r="BE78" s="214">
        <v>0</v>
      </c>
      <c r="BF78" s="215">
        <v>0</v>
      </c>
      <c r="BG78" s="213" t="s">
        <v>531</v>
      </c>
      <c r="BH78" s="214">
        <v>3</v>
      </c>
      <c r="BI78" s="214">
        <v>0</v>
      </c>
      <c r="BJ78" s="214">
        <v>0</v>
      </c>
      <c r="BK78" s="214">
        <v>0</v>
      </c>
      <c r="BL78" s="214">
        <v>1</v>
      </c>
      <c r="BM78" s="214">
        <v>1</v>
      </c>
      <c r="BN78" s="214">
        <v>0</v>
      </c>
      <c r="BO78" s="214">
        <v>0</v>
      </c>
      <c r="BP78" s="215">
        <v>0</v>
      </c>
      <c r="BQ78" s="213" t="s">
        <v>539</v>
      </c>
      <c r="BR78" s="214">
        <v>3</v>
      </c>
      <c r="BS78" s="214">
        <v>0</v>
      </c>
      <c r="BT78" s="214">
        <v>0</v>
      </c>
      <c r="BU78" s="214">
        <v>0</v>
      </c>
      <c r="BV78" s="214">
        <v>0</v>
      </c>
      <c r="BW78" s="214">
        <v>1</v>
      </c>
      <c r="BX78" s="214">
        <v>0</v>
      </c>
      <c r="BY78" s="214">
        <v>0</v>
      </c>
      <c r="BZ78" s="215">
        <v>0</v>
      </c>
      <c r="CA78" s="213" t="s">
        <v>561</v>
      </c>
      <c r="CB78" s="214">
        <v>3</v>
      </c>
      <c r="CC78" s="214">
        <v>0</v>
      </c>
      <c r="CD78" s="214">
        <v>1</v>
      </c>
      <c r="CE78" s="214">
        <v>0</v>
      </c>
      <c r="CF78" s="214">
        <v>0</v>
      </c>
      <c r="CG78" s="214">
        <v>1</v>
      </c>
      <c r="CH78" s="214">
        <v>0</v>
      </c>
      <c r="CI78" s="214">
        <v>0</v>
      </c>
      <c r="CJ78" s="215">
        <v>1</v>
      </c>
      <c r="CK78" s="213" t="s">
        <v>549</v>
      </c>
      <c r="CL78" s="214">
        <v>2</v>
      </c>
      <c r="CM78" s="214">
        <v>1</v>
      </c>
      <c r="CN78" s="214">
        <v>0</v>
      </c>
      <c r="CO78" s="214">
        <v>0</v>
      </c>
      <c r="CP78" s="214">
        <v>0</v>
      </c>
      <c r="CQ78" s="214">
        <v>1</v>
      </c>
      <c r="CR78" s="214">
        <v>1</v>
      </c>
      <c r="CS78" s="214">
        <v>0</v>
      </c>
      <c r="CT78" s="215">
        <v>0</v>
      </c>
      <c r="CU78" s="213" t="s">
        <v>532</v>
      </c>
      <c r="CV78" s="214">
        <v>3</v>
      </c>
      <c r="CW78" s="214">
        <v>1</v>
      </c>
      <c r="CX78" s="214">
        <v>2</v>
      </c>
      <c r="CY78" s="214">
        <v>0</v>
      </c>
      <c r="CZ78" s="214">
        <v>0</v>
      </c>
      <c r="DA78" s="214">
        <v>1</v>
      </c>
      <c r="DB78" s="214">
        <v>0</v>
      </c>
      <c r="DC78" s="214">
        <v>0</v>
      </c>
      <c r="DD78" s="215">
        <v>3</v>
      </c>
      <c r="DE78" s="213" t="s">
        <v>538</v>
      </c>
      <c r="DF78" s="214">
        <v>3</v>
      </c>
      <c r="DG78" s="214">
        <v>0</v>
      </c>
      <c r="DH78" s="214">
        <v>1</v>
      </c>
      <c r="DI78" s="214">
        <v>2</v>
      </c>
      <c r="DJ78" s="214">
        <v>0</v>
      </c>
      <c r="DK78" s="214">
        <v>1</v>
      </c>
      <c r="DL78" s="214">
        <v>0</v>
      </c>
      <c r="DM78" s="214">
        <v>0</v>
      </c>
      <c r="DN78" s="215">
        <v>2</v>
      </c>
      <c r="DO78" s="213" t="s">
        <v>535</v>
      </c>
      <c r="DP78" s="214">
        <v>2</v>
      </c>
      <c r="DQ78" s="214">
        <v>0</v>
      </c>
      <c r="DR78" s="214">
        <v>0</v>
      </c>
      <c r="DS78" s="214">
        <v>0</v>
      </c>
      <c r="DT78" s="214">
        <v>1</v>
      </c>
      <c r="DU78" s="214">
        <v>1</v>
      </c>
      <c r="DV78" s="214">
        <v>0</v>
      </c>
      <c r="DW78" s="214">
        <v>0</v>
      </c>
      <c r="DX78" s="215">
        <v>0</v>
      </c>
      <c r="DY78" s="249">
        <v>2</v>
      </c>
      <c r="DZ78" s="217">
        <v>1</v>
      </c>
      <c r="EA78" s="217">
        <v>0</v>
      </c>
      <c r="EB78" s="250">
        <v>6</v>
      </c>
      <c r="EC78" s="217">
        <v>1</v>
      </c>
      <c r="ED78" s="219">
        <v>0</v>
      </c>
      <c r="EE78" s="220">
        <v>0</v>
      </c>
      <c r="EF78" s="217">
        <v>2</v>
      </c>
      <c r="EG78" s="217">
        <v>0</v>
      </c>
      <c r="EH78" s="217">
        <v>0</v>
      </c>
      <c r="EI78" s="217">
        <v>0</v>
      </c>
      <c r="EJ78" s="217">
        <v>0</v>
      </c>
      <c r="EK78" s="217">
        <v>0</v>
      </c>
      <c r="EL78" s="217">
        <v>0</v>
      </c>
      <c r="EM78" s="217"/>
      <c r="EN78" s="217"/>
      <c r="EO78" s="217"/>
      <c r="EP78" s="217"/>
      <c r="EQ78" s="217"/>
      <c r="ER78" s="219">
        <f t="shared" si="61"/>
        <v>2</v>
      </c>
      <c r="ES78" s="217">
        <v>0</v>
      </c>
      <c r="ET78" s="217">
        <v>0</v>
      </c>
      <c r="EU78" s="217">
        <v>0</v>
      </c>
      <c r="EV78" s="217">
        <v>0</v>
      </c>
      <c r="EW78" s="217">
        <v>0</v>
      </c>
      <c r="EX78" s="217">
        <v>0</v>
      </c>
      <c r="EY78" s="217">
        <v>0</v>
      </c>
      <c r="EZ78" s="217">
        <v>0</v>
      </c>
      <c r="FA78" s="217">
        <v>0</v>
      </c>
      <c r="FB78" s="217"/>
      <c r="FC78" s="217"/>
      <c r="FD78" s="217"/>
      <c r="FE78" s="217"/>
      <c r="FF78" s="217">
        <f t="shared" si="62"/>
        <v>0</v>
      </c>
      <c r="FG78" s="221">
        <f t="shared" si="63"/>
        <v>0</v>
      </c>
      <c r="FH78" s="221">
        <f t="shared" si="64"/>
        <v>0</v>
      </c>
      <c r="FI78" s="221">
        <f t="shared" si="65"/>
        <v>0</v>
      </c>
      <c r="FJ78" s="221">
        <f t="shared" si="66"/>
        <v>2</v>
      </c>
      <c r="FK78" s="221">
        <f t="shared" si="67"/>
        <v>0</v>
      </c>
      <c r="FL78" s="221">
        <f t="shared" si="68"/>
        <v>0</v>
      </c>
      <c r="FM78" s="221">
        <f t="shared" si="69"/>
        <v>0</v>
      </c>
      <c r="FN78" s="221">
        <f t="shared" si="70"/>
        <v>0</v>
      </c>
      <c r="FO78" s="221">
        <f t="shared" si="71"/>
        <v>0</v>
      </c>
      <c r="FP78" s="221">
        <f t="shared" si="72"/>
        <v>0</v>
      </c>
      <c r="FQ78" s="221">
        <f t="shared" si="73"/>
        <v>0</v>
      </c>
      <c r="FR78" s="221">
        <f t="shared" si="74"/>
        <v>0</v>
      </c>
      <c r="FS78" s="221">
        <f t="shared" si="75"/>
        <v>0</v>
      </c>
      <c r="FT78" s="221">
        <f t="shared" si="76"/>
        <v>0</v>
      </c>
      <c r="FU78" s="221">
        <f t="shared" si="77"/>
        <v>0</v>
      </c>
      <c r="FV78" s="221">
        <f t="shared" si="78"/>
        <v>2</v>
      </c>
      <c r="FW78" s="222"/>
    </row>
    <row r="79" spans="1:179" x14ac:dyDescent="0.25">
      <c r="A79" s="204">
        <v>40360</v>
      </c>
      <c r="B79" s="204" t="s">
        <v>19</v>
      </c>
      <c r="C79" s="204" t="s">
        <v>131</v>
      </c>
      <c r="D79" s="204" t="s">
        <v>537</v>
      </c>
      <c r="E79" s="205">
        <v>2930</v>
      </c>
      <c r="F79" s="206">
        <v>2</v>
      </c>
      <c r="G79" s="207" t="s">
        <v>546</v>
      </c>
      <c r="H79" s="211">
        <v>0</v>
      </c>
      <c r="I79" s="211">
        <v>1</v>
      </c>
      <c r="J79" s="248">
        <v>5</v>
      </c>
      <c r="K79" s="211">
        <v>7</v>
      </c>
      <c r="L79" s="211">
        <v>6</v>
      </c>
      <c r="M79" s="211">
        <v>6</v>
      </c>
      <c r="N79" s="211">
        <v>4</v>
      </c>
      <c r="O79" s="211">
        <v>2</v>
      </c>
      <c r="P79" s="211">
        <v>0</v>
      </c>
      <c r="Q79" s="211">
        <v>0</v>
      </c>
      <c r="R79" s="211">
        <v>24</v>
      </c>
      <c r="S79" s="211"/>
      <c r="T79" s="211"/>
      <c r="U79" s="211">
        <v>0</v>
      </c>
      <c r="V79" s="210">
        <v>0</v>
      </c>
      <c r="W79" s="211">
        <v>0</v>
      </c>
      <c r="X79" s="211">
        <v>0</v>
      </c>
      <c r="Y79" s="211">
        <v>0</v>
      </c>
      <c r="Z79" s="211">
        <v>0</v>
      </c>
      <c r="AA79" s="211">
        <v>0</v>
      </c>
      <c r="AB79" s="248">
        <v>4</v>
      </c>
      <c r="AC79" s="211">
        <v>3</v>
      </c>
      <c r="AD79" s="211">
        <v>3</v>
      </c>
      <c r="AE79" s="211">
        <v>1</v>
      </c>
      <c r="AF79" s="211">
        <v>2</v>
      </c>
      <c r="AG79" s="211">
        <v>6</v>
      </c>
      <c r="AH79" s="211">
        <v>0</v>
      </c>
      <c r="AI79" s="211">
        <v>0</v>
      </c>
      <c r="AJ79" s="211">
        <v>18</v>
      </c>
      <c r="AK79" s="211"/>
      <c r="AL79" s="211"/>
      <c r="AM79" s="213" t="s">
        <v>519</v>
      </c>
      <c r="AN79" s="214">
        <v>5</v>
      </c>
      <c r="AO79" s="214">
        <v>0</v>
      </c>
      <c r="AP79" s="214">
        <v>2</v>
      </c>
      <c r="AQ79" s="214">
        <v>1</v>
      </c>
      <c r="AR79" s="214">
        <v>0</v>
      </c>
      <c r="AS79" s="214">
        <v>3</v>
      </c>
      <c r="AT79" s="214">
        <v>0</v>
      </c>
      <c r="AU79" s="214">
        <v>0</v>
      </c>
      <c r="AV79" s="215">
        <v>2</v>
      </c>
      <c r="AW79" s="213" t="s">
        <v>534</v>
      </c>
      <c r="AX79" s="214">
        <v>3</v>
      </c>
      <c r="AY79" s="214">
        <v>0</v>
      </c>
      <c r="AZ79" s="214">
        <v>0</v>
      </c>
      <c r="BA79" s="214">
        <v>0</v>
      </c>
      <c r="BB79" s="214">
        <v>1</v>
      </c>
      <c r="BC79" s="214">
        <v>2</v>
      </c>
      <c r="BD79" s="214">
        <v>1</v>
      </c>
      <c r="BE79" s="214">
        <v>0</v>
      </c>
      <c r="BF79" s="215">
        <v>0</v>
      </c>
      <c r="BG79" s="213" t="s">
        <v>531</v>
      </c>
      <c r="BH79" s="214">
        <v>5</v>
      </c>
      <c r="BI79" s="214">
        <v>0</v>
      </c>
      <c r="BJ79" s="214">
        <v>1</v>
      </c>
      <c r="BK79" s="214">
        <v>0</v>
      </c>
      <c r="BL79" s="214">
        <v>0</v>
      </c>
      <c r="BM79" s="214">
        <v>1</v>
      </c>
      <c r="BN79" s="214">
        <v>0</v>
      </c>
      <c r="BO79" s="214">
        <v>0</v>
      </c>
      <c r="BP79" s="215">
        <v>1</v>
      </c>
      <c r="BQ79" s="213" t="s">
        <v>530</v>
      </c>
      <c r="BR79" s="214">
        <v>4</v>
      </c>
      <c r="BS79" s="214">
        <v>0</v>
      </c>
      <c r="BT79" s="214">
        <v>1</v>
      </c>
      <c r="BU79" s="214">
        <v>0</v>
      </c>
      <c r="BV79" s="214">
        <v>0</v>
      </c>
      <c r="BW79" s="214">
        <v>1</v>
      </c>
      <c r="BX79" s="214">
        <v>0</v>
      </c>
      <c r="BY79" s="214">
        <v>0</v>
      </c>
      <c r="BZ79" s="215">
        <v>1</v>
      </c>
      <c r="CA79" s="213" t="s">
        <v>539</v>
      </c>
      <c r="CB79" s="214">
        <v>4</v>
      </c>
      <c r="CC79" s="214">
        <v>0</v>
      </c>
      <c r="CD79" s="214">
        <v>1</v>
      </c>
      <c r="CE79" s="214">
        <v>0</v>
      </c>
      <c r="CF79" s="214">
        <v>0</v>
      </c>
      <c r="CG79" s="214">
        <v>0</v>
      </c>
      <c r="CH79" s="214">
        <v>0</v>
      </c>
      <c r="CI79" s="214">
        <v>0</v>
      </c>
      <c r="CJ79" s="215">
        <v>1</v>
      </c>
      <c r="CK79" s="213" t="s">
        <v>561</v>
      </c>
      <c r="CL79" s="214">
        <v>4</v>
      </c>
      <c r="CM79" s="214">
        <v>1</v>
      </c>
      <c r="CN79" s="214">
        <v>1</v>
      </c>
      <c r="CO79" s="214">
        <v>0</v>
      </c>
      <c r="CP79" s="214">
        <v>0</v>
      </c>
      <c r="CQ79" s="214">
        <v>0</v>
      </c>
      <c r="CR79" s="214">
        <v>0</v>
      </c>
      <c r="CS79" s="214">
        <v>0</v>
      </c>
      <c r="CT79" s="215">
        <v>2</v>
      </c>
      <c r="CU79" s="213" t="s">
        <v>543</v>
      </c>
      <c r="CV79" s="214">
        <v>4</v>
      </c>
      <c r="CW79" s="214">
        <v>0</v>
      </c>
      <c r="CX79" s="214">
        <v>0</v>
      </c>
      <c r="CY79" s="214">
        <v>0</v>
      </c>
      <c r="CZ79" s="214">
        <v>0</v>
      </c>
      <c r="DA79" s="214">
        <v>3</v>
      </c>
      <c r="DB79" s="214">
        <v>0</v>
      </c>
      <c r="DC79" s="214">
        <v>0</v>
      </c>
      <c r="DD79" s="215">
        <v>0</v>
      </c>
      <c r="DE79" s="213" t="s">
        <v>538</v>
      </c>
      <c r="DF79" s="214">
        <v>3</v>
      </c>
      <c r="DG79" s="214">
        <v>1</v>
      </c>
      <c r="DH79" s="214">
        <v>2</v>
      </c>
      <c r="DI79" s="214">
        <v>0</v>
      </c>
      <c r="DJ79" s="214">
        <v>1</v>
      </c>
      <c r="DK79" s="214">
        <v>0</v>
      </c>
      <c r="DL79" s="214">
        <v>0</v>
      </c>
      <c r="DM79" s="214">
        <v>0</v>
      </c>
      <c r="DN79" s="215">
        <v>2</v>
      </c>
      <c r="DO79" s="213" t="s">
        <v>535</v>
      </c>
      <c r="DP79" s="214">
        <v>3</v>
      </c>
      <c r="DQ79" s="214">
        <v>0</v>
      </c>
      <c r="DR79" s="214">
        <v>1</v>
      </c>
      <c r="DS79" s="214">
        <v>1</v>
      </c>
      <c r="DT79" s="214">
        <v>1</v>
      </c>
      <c r="DU79" s="214">
        <v>0</v>
      </c>
      <c r="DV79" s="214">
        <v>0</v>
      </c>
      <c r="DW79" s="214">
        <v>0</v>
      </c>
      <c r="DX79" s="215">
        <v>2</v>
      </c>
      <c r="DY79" s="249">
        <v>6</v>
      </c>
      <c r="DZ79" s="217">
        <v>0</v>
      </c>
      <c r="EA79" s="217">
        <v>0</v>
      </c>
      <c r="EB79" s="250">
        <v>3</v>
      </c>
      <c r="EC79" s="217">
        <v>0</v>
      </c>
      <c r="ED79" s="219">
        <v>0</v>
      </c>
      <c r="EE79" s="220">
        <v>0</v>
      </c>
      <c r="EF79" s="217">
        <v>0</v>
      </c>
      <c r="EG79" s="217">
        <v>0</v>
      </c>
      <c r="EH79" s="217">
        <v>0</v>
      </c>
      <c r="EI79" s="217">
        <v>0</v>
      </c>
      <c r="EJ79" s="217">
        <v>0</v>
      </c>
      <c r="EK79" s="217">
        <v>0</v>
      </c>
      <c r="EL79" s="217">
        <v>0</v>
      </c>
      <c r="EM79" s="217">
        <v>2</v>
      </c>
      <c r="EN79" s="217"/>
      <c r="EO79" s="217"/>
      <c r="EP79" s="217"/>
      <c r="EQ79" s="217"/>
      <c r="ER79" s="219">
        <f t="shared" si="61"/>
        <v>2</v>
      </c>
      <c r="ES79" s="217">
        <v>0</v>
      </c>
      <c r="ET79" s="217">
        <v>5</v>
      </c>
      <c r="EU79" s="217">
        <v>0</v>
      </c>
      <c r="EV79" s="217">
        <v>0</v>
      </c>
      <c r="EW79" s="217">
        <v>1</v>
      </c>
      <c r="EX79" s="217">
        <v>3</v>
      </c>
      <c r="EY79" s="217">
        <v>0</v>
      </c>
      <c r="EZ79" s="217">
        <v>0</v>
      </c>
      <c r="FA79" s="217">
        <v>0</v>
      </c>
      <c r="FB79" s="217"/>
      <c r="FC79" s="217"/>
      <c r="FD79" s="217"/>
      <c r="FE79" s="217"/>
      <c r="FF79" s="217">
        <f t="shared" si="62"/>
        <v>9</v>
      </c>
      <c r="FG79" s="221">
        <f t="shared" si="63"/>
        <v>0</v>
      </c>
      <c r="FH79" s="221">
        <f t="shared" si="64"/>
        <v>0</v>
      </c>
      <c r="FI79" s="221">
        <f t="shared" si="65"/>
        <v>0</v>
      </c>
      <c r="FJ79" s="221">
        <f t="shared" si="66"/>
        <v>-5</v>
      </c>
      <c r="FK79" s="221">
        <f t="shared" si="67"/>
        <v>0</v>
      </c>
      <c r="FL79" s="221">
        <f t="shared" si="68"/>
        <v>0</v>
      </c>
      <c r="FM79" s="221">
        <f t="shared" si="69"/>
        <v>-1</v>
      </c>
      <c r="FN79" s="221">
        <f t="shared" si="70"/>
        <v>-3</v>
      </c>
      <c r="FO79" s="221">
        <f t="shared" si="71"/>
        <v>0</v>
      </c>
      <c r="FP79" s="221">
        <f t="shared" si="72"/>
        <v>0</v>
      </c>
      <c r="FQ79" s="221">
        <f t="shared" si="73"/>
        <v>2</v>
      </c>
      <c r="FR79" s="221">
        <f t="shared" si="74"/>
        <v>0</v>
      </c>
      <c r="FS79" s="221">
        <f t="shared" si="75"/>
        <v>0</v>
      </c>
      <c r="FT79" s="221">
        <f t="shared" si="76"/>
        <v>0</v>
      </c>
      <c r="FU79" s="221">
        <f t="shared" si="77"/>
        <v>0</v>
      </c>
      <c r="FV79" s="221">
        <f t="shared" si="78"/>
        <v>-7</v>
      </c>
      <c r="FW79" s="222"/>
    </row>
    <row r="80" spans="1:179" x14ac:dyDescent="0.25">
      <c r="A80" s="204">
        <v>40361</v>
      </c>
      <c r="B80" s="204" t="s">
        <v>19</v>
      </c>
      <c r="C80" s="204" t="s">
        <v>131</v>
      </c>
      <c r="D80" s="204" t="s">
        <v>537</v>
      </c>
      <c r="E80" s="205">
        <v>4580</v>
      </c>
      <c r="F80" s="206">
        <v>3</v>
      </c>
      <c r="G80" s="207" t="s">
        <v>545</v>
      </c>
      <c r="H80" s="211">
        <v>0</v>
      </c>
      <c r="I80" s="211">
        <v>1</v>
      </c>
      <c r="J80" s="248">
        <f>3+1/3</f>
        <v>3.3333333333333335</v>
      </c>
      <c r="K80" s="211">
        <v>6</v>
      </c>
      <c r="L80" s="211">
        <v>5</v>
      </c>
      <c r="M80" s="211">
        <v>4</v>
      </c>
      <c r="N80" s="211">
        <v>1</v>
      </c>
      <c r="O80" s="211">
        <v>4</v>
      </c>
      <c r="P80" s="211">
        <v>1</v>
      </c>
      <c r="Q80" s="211">
        <v>0</v>
      </c>
      <c r="R80" s="211">
        <v>17</v>
      </c>
      <c r="S80" s="211"/>
      <c r="T80" s="211"/>
      <c r="U80" s="211">
        <v>1</v>
      </c>
      <c r="V80" s="210">
        <v>1</v>
      </c>
      <c r="W80" s="211">
        <v>0</v>
      </c>
      <c r="X80" s="211">
        <v>0</v>
      </c>
      <c r="Y80" s="211">
        <v>0</v>
      </c>
      <c r="Z80" s="211">
        <v>0</v>
      </c>
      <c r="AA80" s="211">
        <v>0</v>
      </c>
      <c r="AB80" s="248">
        <f>5+2/3</f>
        <v>5.666666666666667</v>
      </c>
      <c r="AC80" s="211">
        <v>3</v>
      </c>
      <c r="AD80" s="211">
        <v>1</v>
      </c>
      <c r="AE80" s="211">
        <v>1</v>
      </c>
      <c r="AF80" s="211">
        <v>3</v>
      </c>
      <c r="AG80" s="211">
        <v>4</v>
      </c>
      <c r="AH80" s="211">
        <v>1</v>
      </c>
      <c r="AI80" s="211">
        <v>2</v>
      </c>
      <c r="AJ80" s="211">
        <v>24</v>
      </c>
      <c r="AK80" s="211"/>
      <c r="AL80" s="211"/>
      <c r="AM80" s="213" t="s">
        <v>531</v>
      </c>
      <c r="AN80" s="214">
        <v>4</v>
      </c>
      <c r="AO80" s="214">
        <v>2</v>
      </c>
      <c r="AP80" s="214">
        <v>1</v>
      </c>
      <c r="AQ80" s="214">
        <v>0</v>
      </c>
      <c r="AR80" s="214">
        <v>0</v>
      </c>
      <c r="AS80" s="214">
        <v>1</v>
      </c>
      <c r="AT80" s="214">
        <v>1</v>
      </c>
      <c r="AU80" s="214">
        <v>0</v>
      </c>
      <c r="AV80" s="215">
        <v>1</v>
      </c>
      <c r="AW80" s="213" t="s">
        <v>538</v>
      </c>
      <c r="AX80" s="214">
        <v>3</v>
      </c>
      <c r="AY80" s="214">
        <v>1</v>
      </c>
      <c r="AZ80" s="214">
        <v>1</v>
      </c>
      <c r="BA80" s="214">
        <v>0</v>
      </c>
      <c r="BB80" s="214">
        <v>1</v>
      </c>
      <c r="BC80" s="214">
        <v>0</v>
      </c>
      <c r="BD80" s="214">
        <v>0</v>
      </c>
      <c r="BE80" s="214">
        <v>0</v>
      </c>
      <c r="BF80" s="215">
        <v>1</v>
      </c>
      <c r="BG80" s="213" t="s">
        <v>534</v>
      </c>
      <c r="BH80" s="214">
        <v>4</v>
      </c>
      <c r="BI80" s="214">
        <v>1</v>
      </c>
      <c r="BJ80" s="214">
        <v>3</v>
      </c>
      <c r="BK80" s="214">
        <v>2</v>
      </c>
      <c r="BL80" s="214">
        <v>0</v>
      </c>
      <c r="BM80" s="214">
        <v>1</v>
      </c>
      <c r="BN80" s="214">
        <v>0</v>
      </c>
      <c r="BO80" s="214">
        <v>0</v>
      </c>
      <c r="BP80" s="215">
        <v>3</v>
      </c>
      <c r="BQ80" s="213" t="s">
        <v>530</v>
      </c>
      <c r="BR80" s="214">
        <v>4</v>
      </c>
      <c r="BS80" s="214">
        <v>0</v>
      </c>
      <c r="BT80" s="214">
        <v>1</v>
      </c>
      <c r="BU80" s="214">
        <v>0</v>
      </c>
      <c r="BV80" s="214">
        <v>0</v>
      </c>
      <c r="BW80" s="214">
        <v>1</v>
      </c>
      <c r="BX80" s="214">
        <v>0</v>
      </c>
      <c r="BY80" s="214">
        <v>0</v>
      </c>
      <c r="BZ80" s="215">
        <v>1</v>
      </c>
      <c r="CA80" s="213" t="s">
        <v>539</v>
      </c>
      <c r="CB80" s="214">
        <v>3</v>
      </c>
      <c r="CC80" s="214">
        <v>0</v>
      </c>
      <c r="CD80" s="214">
        <v>1</v>
      </c>
      <c r="CE80" s="214">
        <v>1</v>
      </c>
      <c r="CF80" s="214">
        <v>1</v>
      </c>
      <c r="CG80" s="214">
        <v>0</v>
      </c>
      <c r="CH80" s="214">
        <v>0</v>
      </c>
      <c r="CI80" s="214">
        <v>0</v>
      </c>
      <c r="CJ80" s="215">
        <v>2</v>
      </c>
      <c r="CK80" s="213" t="s">
        <v>561</v>
      </c>
      <c r="CL80" s="214">
        <v>4</v>
      </c>
      <c r="CM80" s="214">
        <v>0</v>
      </c>
      <c r="CN80" s="214">
        <v>0</v>
      </c>
      <c r="CO80" s="214">
        <v>0</v>
      </c>
      <c r="CP80" s="214">
        <v>0</v>
      </c>
      <c r="CQ80" s="214">
        <v>1</v>
      </c>
      <c r="CR80" s="214">
        <v>0</v>
      </c>
      <c r="CS80" s="214">
        <v>0</v>
      </c>
      <c r="CT80" s="215">
        <v>0</v>
      </c>
      <c r="CU80" s="213" t="s">
        <v>529</v>
      </c>
      <c r="CV80" s="214">
        <v>4</v>
      </c>
      <c r="CW80" s="214">
        <v>0</v>
      </c>
      <c r="CX80" s="214">
        <v>0</v>
      </c>
      <c r="CY80" s="214">
        <v>0</v>
      </c>
      <c r="CZ80" s="214">
        <v>0</v>
      </c>
      <c r="DA80" s="214">
        <v>1</v>
      </c>
      <c r="DB80" s="214">
        <v>0</v>
      </c>
      <c r="DC80" s="214">
        <v>0</v>
      </c>
      <c r="DD80" s="215">
        <v>0</v>
      </c>
      <c r="DE80" s="213" t="s">
        <v>291</v>
      </c>
      <c r="DF80" s="214">
        <v>3</v>
      </c>
      <c r="DG80" s="214">
        <v>0</v>
      </c>
      <c r="DH80" s="214">
        <v>0</v>
      </c>
      <c r="DI80" s="214">
        <v>0</v>
      </c>
      <c r="DJ80" s="214">
        <v>1</v>
      </c>
      <c r="DK80" s="214">
        <v>2</v>
      </c>
      <c r="DL80" s="214">
        <v>0</v>
      </c>
      <c r="DM80" s="214">
        <v>0</v>
      </c>
      <c r="DN80" s="215">
        <v>0</v>
      </c>
      <c r="DO80" s="213" t="s">
        <v>535</v>
      </c>
      <c r="DP80" s="214">
        <v>4</v>
      </c>
      <c r="DQ80" s="214">
        <v>0</v>
      </c>
      <c r="DR80" s="214">
        <v>0</v>
      </c>
      <c r="DS80" s="214">
        <v>0</v>
      </c>
      <c r="DT80" s="214">
        <v>0</v>
      </c>
      <c r="DU80" s="214">
        <v>2</v>
      </c>
      <c r="DV80" s="214">
        <v>0</v>
      </c>
      <c r="DW80" s="214">
        <v>0</v>
      </c>
      <c r="DX80" s="215">
        <v>0</v>
      </c>
      <c r="DY80" s="249">
        <f>4+1/3</f>
        <v>4.333333333333333</v>
      </c>
      <c r="DZ80" s="217">
        <v>3</v>
      </c>
      <c r="EA80" s="217">
        <v>0</v>
      </c>
      <c r="EB80" s="250">
        <f>4+2/3</f>
        <v>4.666666666666667</v>
      </c>
      <c r="EC80" s="217">
        <v>1</v>
      </c>
      <c r="ED80" s="219">
        <v>0</v>
      </c>
      <c r="EE80" s="220">
        <v>2</v>
      </c>
      <c r="EF80" s="217">
        <v>0</v>
      </c>
      <c r="EG80" s="217">
        <v>1</v>
      </c>
      <c r="EH80" s="217">
        <v>0</v>
      </c>
      <c r="EI80" s="217">
        <v>1</v>
      </c>
      <c r="EJ80" s="217">
        <v>0</v>
      </c>
      <c r="EK80" s="217">
        <v>0</v>
      </c>
      <c r="EL80" s="217">
        <v>0</v>
      </c>
      <c r="EM80" s="217">
        <v>0</v>
      </c>
      <c r="EN80" s="217"/>
      <c r="EO80" s="217"/>
      <c r="EP80" s="217"/>
      <c r="EQ80" s="217"/>
      <c r="ER80" s="219">
        <f t="shared" si="61"/>
        <v>4</v>
      </c>
      <c r="ES80" s="217">
        <v>0</v>
      </c>
      <c r="ET80" s="217">
        <v>2</v>
      </c>
      <c r="EU80" s="217">
        <v>1</v>
      </c>
      <c r="EV80" s="217">
        <v>2</v>
      </c>
      <c r="EW80" s="217">
        <v>0</v>
      </c>
      <c r="EX80" s="217">
        <v>0</v>
      </c>
      <c r="EY80" s="217">
        <v>0</v>
      </c>
      <c r="EZ80" s="217">
        <v>0</v>
      </c>
      <c r="FA80" s="217">
        <v>1</v>
      </c>
      <c r="FB80" s="217"/>
      <c r="FC80" s="217"/>
      <c r="FD80" s="217"/>
      <c r="FE80" s="217"/>
      <c r="FF80" s="217">
        <f t="shared" si="62"/>
        <v>6</v>
      </c>
      <c r="FG80" s="221">
        <f t="shared" si="63"/>
        <v>0</v>
      </c>
      <c r="FH80" s="221">
        <f t="shared" si="64"/>
        <v>0</v>
      </c>
      <c r="FI80" s="221">
        <f t="shared" si="65"/>
        <v>2</v>
      </c>
      <c r="FJ80" s="221">
        <f t="shared" si="66"/>
        <v>-2</v>
      </c>
      <c r="FK80" s="221">
        <f t="shared" si="67"/>
        <v>0</v>
      </c>
      <c r="FL80" s="221">
        <f t="shared" si="68"/>
        <v>-2</v>
      </c>
      <c r="FM80" s="221">
        <f t="shared" si="69"/>
        <v>1</v>
      </c>
      <c r="FN80" s="221">
        <f t="shared" si="70"/>
        <v>0</v>
      </c>
      <c r="FO80" s="221">
        <f t="shared" si="71"/>
        <v>0</v>
      </c>
      <c r="FP80" s="221">
        <f t="shared" si="72"/>
        <v>0</v>
      </c>
      <c r="FQ80" s="221">
        <f t="shared" si="73"/>
        <v>-1</v>
      </c>
      <c r="FR80" s="221">
        <f t="shared" si="74"/>
        <v>0</v>
      </c>
      <c r="FS80" s="221">
        <f t="shared" si="75"/>
        <v>0</v>
      </c>
      <c r="FT80" s="221">
        <f t="shared" si="76"/>
        <v>0</v>
      </c>
      <c r="FU80" s="221">
        <f t="shared" si="77"/>
        <v>0</v>
      </c>
      <c r="FV80" s="221">
        <f t="shared" si="78"/>
        <v>-2</v>
      </c>
      <c r="FW80" s="222"/>
    </row>
    <row r="81" spans="1:179" x14ac:dyDescent="0.25">
      <c r="A81" s="204">
        <v>40362</v>
      </c>
      <c r="B81" s="204" t="s">
        <v>19</v>
      </c>
      <c r="C81" s="204" t="s">
        <v>129</v>
      </c>
      <c r="D81" s="204" t="s">
        <v>537</v>
      </c>
      <c r="E81" s="205">
        <v>5161</v>
      </c>
      <c r="F81" s="206">
        <v>4</v>
      </c>
      <c r="G81" s="207" t="s">
        <v>536</v>
      </c>
      <c r="H81" s="211">
        <v>1</v>
      </c>
      <c r="I81" s="211">
        <v>0</v>
      </c>
      <c r="J81" s="248">
        <v>5</v>
      </c>
      <c r="K81" s="211">
        <v>6</v>
      </c>
      <c r="L81" s="211">
        <v>2</v>
      </c>
      <c r="M81" s="211">
        <v>2</v>
      </c>
      <c r="N81" s="211">
        <v>3</v>
      </c>
      <c r="O81" s="211">
        <v>2</v>
      </c>
      <c r="P81" s="211">
        <v>2</v>
      </c>
      <c r="Q81" s="211">
        <v>0</v>
      </c>
      <c r="R81" s="211">
        <v>24</v>
      </c>
      <c r="S81" s="211"/>
      <c r="T81" s="211"/>
      <c r="U81" s="211">
        <v>0</v>
      </c>
      <c r="V81" s="210">
        <v>0</v>
      </c>
      <c r="W81" s="211">
        <v>0</v>
      </c>
      <c r="X81" s="211">
        <v>0</v>
      </c>
      <c r="Y81" s="211">
        <v>1</v>
      </c>
      <c r="Z81" s="211">
        <v>1</v>
      </c>
      <c r="AA81" s="211">
        <v>0</v>
      </c>
      <c r="AB81" s="248">
        <v>4</v>
      </c>
      <c r="AC81" s="211">
        <v>4</v>
      </c>
      <c r="AD81" s="211">
        <v>2</v>
      </c>
      <c r="AE81" s="211">
        <v>1</v>
      </c>
      <c r="AF81" s="211">
        <v>3</v>
      </c>
      <c r="AG81" s="211">
        <v>3</v>
      </c>
      <c r="AH81" s="211">
        <v>0</v>
      </c>
      <c r="AI81" s="211">
        <v>0</v>
      </c>
      <c r="AJ81" s="211">
        <v>19</v>
      </c>
      <c r="AK81" s="211"/>
      <c r="AL81" s="211"/>
      <c r="AM81" s="213" t="s">
        <v>531</v>
      </c>
      <c r="AN81" s="214">
        <v>5</v>
      </c>
      <c r="AO81" s="214">
        <v>1</v>
      </c>
      <c r="AP81" s="214">
        <v>2</v>
      </c>
      <c r="AQ81" s="214">
        <v>1</v>
      </c>
      <c r="AR81" s="214">
        <v>0</v>
      </c>
      <c r="AS81" s="214">
        <v>1</v>
      </c>
      <c r="AT81" s="214">
        <v>0</v>
      </c>
      <c r="AU81" s="214">
        <v>0</v>
      </c>
      <c r="AV81" s="215">
        <v>5</v>
      </c>
      <c r="AW81" s="213" t="s">
        <v>538</v>
      </c>
      <c r="AX81" s="214">
        <v>5</v>
      </c>
      <c r="AY81" s="214">
        <v>1</v>
      </c>
      <c r="AZ81" s="214">
        <v>1</v>
      </c>
      <c r="BA81" s="214">
        <v>0</v>
      </c>
      <c r="BB81" s="214">
        <v>0</v>
      </c>
      <c r="BC81" s="214">
        <v>1</v>
      </c>
      <c r="BD81" s="214">
        <v>0</v>
      </c>
      <c r="BE81" s="214">
        <v>0</v>
      </c>
      <c r="BF81" s="215">
        <v>2</v>
      </c>
      <c r="BG81" s="213" t="s">
        <v>534</v>
      </c>
      <c r="BH81" s="214">
        <v>3</v>
      </c>
      <c r="BI81" s="214">
        <v>2</v>
      </c>
      <c r="BJ81" s="214">
        <v>2</v>
      </c>
      <c r="BK81" s="214">
        <v>1</v>
      </c>
      <c r="BL81" s="214">
        <v>2</v>
      </c>
      <c r="BM81" s="214">
        <v>0</v>
      </c>
      <c r="BN81" s="214">
        <v>0</v>
      </c>
      <c r="BO81" s="214">
        <v>0</v>
      </c>
      <c r="BP81" s="215">
        <v>3</v>
      </c>
      <c r="BQ81" s="213" t="s">
        <v>530</v>
      </c>
      <c r="BR81" s="214">
        <v>4</v>
      </c>
      <c r="BS81" s="214">
        <v>1</v>
      </c>
      <c r="BT81" s="214">
        <v>1</v>
      </c>
      <c r="BU81" s="214">
        <v>1</v>
      </c>
      <c r="BV81" s="214">
        <v>0</v>
      </c>
      <c r="BW81" s="214">
        <v>0</v>
      </c>
      <c r="BX81" s="214">
        <v>0</v>
      </c>
      <c r="BY81" s="214">
        <v>0</v>
      </c>
      <c r="BZ81" s="215">
        <v>1</v>
      </c>
      <c r="CA81" s="213" t="s">
        <v>539</v>
      </c>
      <c r="CB81" s="214">
        <v>4</v>
      </c>
      <c r="CC81" s="214">
        <v>0</v>
      </c>
      <c r="CD81" s="214">
        <v>0</v>
      </c>
      <c r="CE81" s="214">
        <v>0</v>
      </c>
      <c r="CF81" s="214">
        <v>0</v>
      </c>
      <c r="CG81" s="214">
        <v>0</v>
      </c>
      <c r="CH81" s="214">
        <v>0</v>
      </c>
      <c r="CI81" s="214">
        <v>0</v>
      </c>
      <c r="CJ81" s="215">
        <v>0</v>
      </c>
      <c r="CK81" s="213" t="s">
        <v>561</v>
      </c>
      <c r="CL81" s="214">
        <v>4</v>
      </c>
      <c r="CM81" s="214">
        <v>0</v>
      </c>
      <c r="CN81" s="214">
        <v>2</v>
      </c>
      <c r="CO81" s="214">
        <v>1</v>
      </c>
      <c r="CP81" s="214">
        <v>0</v>
      </c>
      <c r="CQ81" s="214">
        <v>1</v>
      </c>
      <c r="CR81" s="214">
        <v>0</v>
      </c>
      <c r="CS81" s="214">
        <v>0</v>
      </c>
      <c r="CT81" s="215">
        <v>3</v>
      </c>
      <c r="CU81" s="213" t="s">
        <v>425</v>
      </c>
      <c r="CV81" s="214">
        <v>4</v>
      </c>
      <c r="CW81" s="214">
        <v>0</v>
      </c>
      <c r="CX81" s="214">
        <v>2</v>
      </c>
      <c r="CY81" s="214">
        <v>0</v>
      </c>
      <c r="CZ81" s="214">
        <v>0</v>
      </c>
      <c r="DA81" s="214">
        <v>0</v>
      </c>
      <c r="DB81" s="214">
        <v>0</v>
      </c>
      <c r="DC81" s="214">
        <v>0</v>
      </c>
      <c r="DD81" s="215">
        <v>2</v>
      </c>
      <c r="DE81" s="213" t="s">
        <v>543</v>
      </c>
      <c r="DF81" s="214">
        <v>4</v>
      </c>
      <c r="DG81" s="214">
        <v>0</v>
      </c>
      <c r="DH81" s="214">
        <v>1</v>
      </c>
      <c r="DI81" s="214">
        <v>0</v>
      </c>
      <c r="DJ81" s="214">
        <v>0</v>
      </c>
      <c r="DK81" s="214">
        <v>0</v>
      </c>
      <c r="DL81" s="214">
        <v>0</v>
      </c>
      <c r="DM81" s="214">
        <v>0</v>
      </c>
      <c r="DN81" s="215">
        <v>1</v>
      </c>
      <c r="DO81" s="213" t="s">
        <v>535</v>
      </c>
      <c r="DP81" s="214">
        <v>2</v>
      </c>
      <c r="DQ81" s="214">
        <v>1</v>
      </c>
      <c r="DR81" s="214">
        <v>1</v>
      </c>
      <c r="DS81" s="214">
        <v>0</v>
      </c>
      <c r="DT81" s="214">
        <v>1</v>
      </c>
      <c r="DU81" s="214">
        <v>1</v>
      </c>
      <c r="DV81" s="214">
        <v>1</v>
      </c>
      <c r="DW81" s="214">
        <v>0</v>
      </c>
      <c r="DX81" s="215">
        <v>2</v>
      </c>
      <c r="DY81" s="249">
        <v>4</v>
      </c>
      <c r="DZ81" s="217">
        <v>1</v>
      </c>
      <c r="EA81" s="217">
        <v>1</v>
      </c>
      <c r="EB81" s="250">
        <v>4</v>
      </c>
      <c r="EC81" s="217">
        <v>1</v>
      </c>
      <c r="ED81" s="219">
        <v>0</v>
      </c>
      <c r="EE81" s="220">
        <v>1</v>
      </c>
      <c r="EF81" s="217">
        <v>0</v>
      </c>
      <c r="EG81" s="217">
        <v>1</v>
      </c>
      <c r="EH81" s="217">
        <v>0</v>
      </c>
      <c r="EI81" s="217">
        <v>3</v>
      </c>
      <c r="EJ81" s="217">
        <v>0</v>
      </c>
      <c r="EK81" s="217">
        <v>1</v>
      </c>
      <c r="EL81" s="217">
        <v>0</v>
      </c>
      <c r="EM81" s="217"/>
      <c r="EN81" s="217"/>
      <c r="EO81" s="217"/>
      <c r="EP81" s="217"/>
      <c r="EQ81" s="217"/>
      <c r="ER81" s="219">
        <f t="shared" ref="ER81:ER87" si="79">SUM(EE81:EQ81)</f>
        <v>6</v>
      </c>
      <c r="ES81" s="217">
        <v>1</v>
      </c>
      <c r="ET81" s="217">
        <v>0</v>
      </c>
      <c r="EU81" s="217">
        <v>0</v>
      </c>
      <c r="EV81" s="217">
        <v>0</v>
      </c>
      <c r="EW81" s="217">
        <v>1</v>
      </c>
      <c r="EX81" s="217">
        <v>1</v>
      </c>
      <c r="EY81" s="217">
        <v>0</v>
      </c>
      <c r="EZ81" s="217">
        <v>1</v>
      </c>
      <c r="FA81" s="217">
        <v>0</v>
      </c>
      <c r="FB81" s="217"/>
      <c r="FC81" s="217"/>
      <c r="FD81" s="217"/>
      <c r="FE81" s="217"/>
      <c r="FF81" s="217">
        <f t="shared" ref="FF81:FF87" si="80">SUM(ES81:FE81)</f>
        <v>4</v>
      </c>
      <c r="FG81" s="221">
        <f t="shared" ref="FG81:FG87" si="81">((SUM(L81,AD81))-(FF81))</f>
        <v>0</v>
      </c>
      <c r="FH81" s="221">
        <f t="shared" ref="FH81:FH87" si="82">((SUM(AO81,AY81,BI81,BS81,CC81,CM81,CW81,DG81,DQ81))-(ER81))</f>
        <v>0</v>
      </c>
      <c r="FI81" s="221">
        <f t="shared" ref="FI81:FV87" si="83">(EE81-ES81)</f>
        <v>0</v>
      </c>
      <c r="FJ81" s="221">
        <f t="shared" si="83"/>
        <v>0</v>
      </c>
      <c r="FK81" s="221">
        <f t="shared" si="83"/>
        <v>1</v>
      </c>
      <c r="FL81" s="221">
        <f t="shared" si="83"/>
        <v>0</v>
      </c>
      <c r="FM81" s="221">
        <f t="shared" si="83"/>
        <v>2</v>
      </c>
      <c r="FN81" s="221">
        <f t="shared" si="83"/>
        <v>-1</v>
      </c>
      <c r="FO81" s="221">
        <f t="shared" si="83"/>
        <v>1</v>
      </c>
      <c r="FP81" s="221">
        <f t="shared" si="83"/>
        <v>-1</v>
      </c>
      <c r="FQ81" s="221">
        <f t="shared" si="83"/>
        <v>0</v>
      </c>
      <c r="FR81" s="221">
        <f t="shared" si="83"/>
        <v>0</v>
      </c>
      <c r="FS81" s="221">
        <f t="shared" si="83"/>
        <v>0</v>
      </c>
      <c r="FT81" s="221">
        <f t="shared" si="83"/>
        <v>0</v>
      </c>
      <c r="FU81" s="221">
        <f t="shared" si="83"/>
        <v>0</v>
      </c>
      <c r="FV81" s="221">
        <f t="shared" si="83"/>
        <v>2</v>
      </c>
      <c r="FW81" s="222"/>
    </row>
    <row r="82" spans="1:179" x14ac:dyDescent="0.25">
      <c r="A82" s="204">
        <v>40363</v>
      </c>
      <c r="B82" s="204" t="s">
        <v>133</v>
      </c>
      <c r="C82" s="204" t="s">
        <v>131</v>
      </c>
      <c r="D82" s="204" t="s">
        <v>537</v>
      </c>
      <c r="E82" s="205">
        <v>7706</v>
      </c>
      <c r="F82" s="206">
        <v>5</v>
      </c>
      <c r="G82" s="207" t="s">
        <v>580</v>
      </c>
      <c r="H82" s="211">
        <v>0</v>
      </c>
      <c r="I82" s="211">
        <v>0</v>
      </c>
      <c r="J82" s="248">
        <v>5</v>
      </c>
      <c r="K82" s="211">
        <v>3</v>
      </c>
      <c r="L82" s="211">
        <v>2</v>
      </c>
      <c r="M82" s="211">
        <v>2</v>
      </c>
      <c r="N82" s="211">
        <v>4</v>
      </c>
      <c r="O82" s="211">
        <v>3</v>
      </c>
      <c r="P82" s="211">
        <v>0</v>
      </c>
      <c r="Q82" s="211">
        <v>0</v>
      </c>
      <c r="R82" s="211">
        <v>21</v>
      </c>
      <c r="S82" s="211"/>
      <c r="T82" s="211"/>
      <c r="U82" s="211">
        <v>0</v>
      </c>
      <c r="V82" s="210">
        <v>0</v>
      </c>
      <c r="W82" s="211">
        <v>0</v>
      </c>
      <c r="X82" s="211">
        <v>1</v>
      </c>
      <c r="Y82" s="211">
        <v>1</v>
      </c>
      <c r="Z82" s="211">
        <v>0</v>
      </c>
      <c r="AA82" s="211">
        <v>0</v>
      </c>
      <c r="AB82" s="248">
        <f>3+1/3</f>
        <v>3.3333333333333335</v>
      </c>
      <c r="AC82" s="211">
        <v>9</v>
      </c>
      <c r="AD82" s="211">
        <v>10</v>
      </c>
      <c r="AE82" s="211">
        <v>7</v>
      </c>
      <c r="AF82" s="211">
        <v>6</v>
      </c>
      <c r="AG82" s="211">
        <v>3</v>
      </c>
      <c r="AH82" s="211">
        <v>0</v>
      </c>
      <c r="AI82" s="211">
        <v>1</v>
      </c>
      <c r="AJ82" s="211">
        <v>27</v>
      </c>
      <c r="AK82" s="211"/>
      <c r="AL82" s="211"/>
      <c r="AM82" s="213" t="s">
        <v>531</v>
      </c>
      <c r="AN82" s="214">
        <v>6</v>
      </c>
      <c r="AO82" s="214">
        <v>1</v>
      </c>
      <c r="AP82" s="214">
        <v>2</v>
      </c>
      <c r="AQ82" s="214">
        <v>4</v>
      </c>
      <c r="AR82" s="214">
        <v>0</v>
      </c>
      <c r="AS82" s="214">
        <v>1</v>
      </c>
      <c r="AT82" s="214">
        <v>0</v>
      </c>
      <c r="AU82" s="214">
        <v>0</v>
      </c>
      <c r="AV82" s="215">
        <v>5</v>
      </c>
      <c r="AW82" s="213" t="s">
        <v>538</v>
      </c>
      <c r="AX82" s="214">
        <v>5</v>
      </c>
      <c r="AY82" s="214">
        <v>1</v>
      </c>
      <c r="AZ82" s="214">
        <v>2</v>
      </c>
      <c r="BA82" s="214">
        <v>1</v>
      </c>
      <c r="BB82" s="214">
        <v>0</v>
      </c>
      <c r="BC82" s="214">
        <v>1</v>
      </c>
      <c r="BD82" s="214">
        <v>0</v>
      </c>
      <c r="BE82" s="214">
        <v>1</v>
      </c>
      <c r="BF82" s="215">
        <v>2</v>
      </c>
      <c r="BG82" s="213" t="s">
        <v>534</v>
      </c>
      <c r="BH82" s="214">
        <v>6</v>
      </c>
      <c r="BI82" s="214">
        <v>1</v>
      </c>
      <c r="BJ82" s="214">
        <v>3</v>
      </c>
      <c r="BK82" s="214">
        <v>1</v>
      </c>
      <c r="BL82" s="214">
        <v>0</v>
      </c>
      <c r="BM82" s="214">
        <v>1</v>
      </c>
      <c r="BN82" s="214">
        <v>0</v>
      </c>
      <c r="BO82" s="214">
        <v>0</v>
      </c>
      <c r="BP82" s="215">
        <v>3</v>
      </c>
      <c r="BQ82" s="213" t="s">
        <v>539</v>
      </c>
      <c r="BR82" s="214">
        <v>5</v>
      </c>
      <c r="BS82" s="214">
        <v>1</v>
      </c>
      <c r="BT82" s="214">
        <v>3</v>
      </c>
      <c r="BU82" s="214">
        <v>1</v>
      </c>
      <c r="BV82" s="214">
        <v>1</v>
      </c>
      <c r="BW82" s="214">
        <v>1</v>
      </c>
      <c r="BX82" s="214">
        <v>0</v>
      </c>
      <c r="BY82" s="214">
        <v>0</v>
      </c>
      <c r="BZ82" s="215">
        <v>4</v>
      </c>
      <c r="CA82" s="213" t="s">
        <v>530</v>
      </c>
      <c r="CB82" s="214">
        <v>5</v>
      </c>
      <c r="CC82" s="214">
        <v>1</v>
      </c>
      <c r="CD82" s="214">
        <v>1</v>
      </c>
      <c r="CE82" s="214">
        <v>0</v>
      </c>
      <c r="CF82" s="214">
        <v>0</v>
      </c>
      <c r="CG82" s="214">
        <v>0</v>
      </c>
      <c r="CH82" s="214">
        <v>0</v>
      </c>
      <c r="CI82" s="214">
        <v>0</v>
      </c>
      <c r="CJ82" s="215">
        <v>1</v>
      </c>
      <c r="CK82" s="213" t="s">
        <v>561</v>
      </c>
      <c r="CL82" s="214">
        <v>5</v>
      </c>
      <c r="CM82" s="214">
        <v>1</v>
      </c>
      <c r="CN82" s="214">
        <v>3</v>
      </c>
      <c r="CO82" s="214">
        <v>2</v>
      </c>
      <c r="CP82" s="214">
        <v>0</v>
      </c>
      <c r="CQ82" s="214">
        <v>1</v>
      </c>
      <c r="CR82" s="214">
        <v>0</v>
      </c>
      <c r="CS82" s="214">
        <v>0</v>
      </c>
      <c r="CT82" s="215">
        <v>4</v>
      </c>
      <c r="CU82" s="213" t="s">
        <v>529</v>
      </c>
      <c r="CV82" s="214">
        <v>5</v>
      </c>
      <c r="CW82" s="214">
        <v>3</v>
      </c>
      <c r="CX82" s="214">
        <v>3</v>
      </c>
      <c r="CY82" s="214">
        <v>0</v>
      </c>
      <c r="CZ82" s="214">
        <v>0</v>
      </c>
      <c r="DA82" s="214">
        <v>1</v>
      </c>
      <c r="DB82" s="214">
        <v>0</v>
      </c>
      <c r="DC82" s="214">
        <v>0</v>
      </c>
      <c r="DD82" s="215">
        <v>3</v>
      </c>
      <c r="DE82" s="213" t="s">
        <v>543</v>
      </c>
      <c r="DF82" s="214">
        <v>4</v>
      </c>
      <c r="DG82" s="214">
        <v>2</v>
      </c>
      <c r="DH82" s="214">
        <v>2</v>
      </c>
      <c r="DI82" s="214">
        <v>0</v>
      </c>
      <c r="DJ82" s="214">
        <v>0</v>
      </c>
      <c r="DK82" s="214">
        <v>0</v>
      </c>
      <c r="DL82" s="214">
        <v>0</v>
      </c>
      <c r="DM82" s="214">
        <v>0</v>
      </c>
      <c r="DN82" s="215">
        <v>2</v>
      </c>
      <c r="DO82" s="213" t="s">
        <v>535</v>
      </c>
      <c r="DP82" s="214">
        <v>3</v>
      </c>
      <c r="DQ82" s="214">
        <v>0</v>
      </c>
      <c r="DR82" s="214">
        <v>0</v>
      </c>
      <c r="DS82" s="214">
        <v>0</v>
      </c>
      <c r="DT82" s="214">
        <v>2</v>
      </c>
      <c r="DU82" s="214">
        <v>0</v>
      </c>
      <c r="DV82" s="214">
        <v>0</v>
      </c>
      <c r="DW82" s="214">
        <v>0</v>
      </c>
      <c r="DX82" s="215">
        <v>0</v>
      </c>
      <c r="DY82" s="249">
        <v>2</v>
      </c>
      <c r="DZ82" s="217">
        <v>0</v>
      </c>
      <c r="EA82" s="217">
        <v>0</v>
      </c>
      <c r="EB82" s="250">
        <v>7</v>
      </c>
      <c r="EC82" s="217">
        <v>1</v>
      </c>
      <c r="ED82" s="219">
        <v>0</v>
      </c>
      <c r="EE82" s="220">
        <v>0</v>
      </c>
      <c r="EF82" s="217">
        <v>8</v>
      </c>
      <c r="EG82" s="217">
        <v>0</v>
      </c>
      <c r="EH82" s="217">
        <v>0</v>
      </c>
      <c r="EI82" s="217">
        <v>1</v>
      </c>
      <c r="EJ82" s="217">
        <v>0</v>
      </c>
      <c r="EK82" s="217">
        <v>2</v>
      </c>
      <c r="EL82" s="217">
        <v>0</v>
      </c>
      <c r="EM82" s="217">
        <v>0</v>
      </c>
      <c r="EN82" s="217"/>
      <c r="EO82" s="217"/>
      <c r="EP82" s="217"/>
      <c r="EQ82" s="217"/>
      <c r="ER82" s="219">
        <f t="shared" si="79"/>
        <v>11</v>
      </c>
      <c r="ES82" s="217">
        <v>1</v>
      </c>
      <c r="ET82" s="217">
        <v>0</v>
      </c>
      <c r="EU82" s="217">
        <v>0</v>
      </c>
      <c r="EV82" s="217">
        <v>0</v>
      </c>
      <c r="EW82" s="217">
        <v>1</v>
      </c>
      <c r="EX82" s="217">
        <v>3</v>
      </c>
      <c r="EY82" s="217">
        <v>2</v>
      </c>
      <c r="EZ82" s="217">
        <v>0</v>
      </c>
      <c r="FA82" s="217">
        <v>5</v>
      </c>
      <c r="FB82" s="217"/>
      <c r="FC82" s="217"/>
      <c r="FD82" s="217"/>
      <c r="FE82" s="217"/>
      <c r="FF82" s="217">
        <f t="shared" si="80"/>
        <v>12</v>
      </c>
      <c r="FG82" s="221">
        <f t="shared" si="81"/>
        <v>0</v>
      </c>
      <c r="FH82" s="221">
        <f t="shared" si="82"/>
        <v>0</v>
      </c>
      <c r="FI82" s="221">
        <f t="shared" si="83"/>
        <v>-1</v>
      </c>
      <c r="FJ82" s="221">
        <f t="shared" si="83"/>
        <v>8</v>
      </c>
      <c r="FK82" s="221">
        <f t="shared" si="83"/>
        <v>0</v>
      </c>
      <c r="FL82" s="221">
        <f t="shared" si="83"/>
        <v>0</v>
      </c>
      <c r="FM82" s="221">
        <f t="shared" si="83"/>
        <v>0</v>
      </c>
      <c r="FN82" s="221">
        <f t="shared" si="83"/>
        <v>-3</v>
      </c>
      <c r="FO82" s="221">
        <f t="shared" si="83"/>
        <v>0</v>
      </c>
      <c r="FP82" s="221">
        <f t="shared" si="83"/>
        <v>0</v>
      </c>
      <c r="FQ82" s="221">
        <f t="shared" si="83"/>
        <v>-5</v>
      </c>
      <c r="FR82" s="221">
        <f t="shared" si="83"/>
        <v>0</v>
      </c>
      <c r="FS82" s="221">
        <f t="shared" si="83"/>
        <v>0</v>
      </c>
      <c r="FT82" s="221">
        <f t="shared" si="83"/>
        <v>0</v>
      </c>
      <c r="FU82" s="221">
        <f t="shared" si="83"/>
        <v>0</v>
      </c>
      <c r="FV82" s="221">
        <f t="shared" si="83"/>
        <v>-1</v>
      </c>
      <c r="FW82" s="222"/>
    </row>
    <row r="83" spans="1:179" x14ac:dyDescent="0.25">
      <c r="A83" s="204">
        <v>40364</v>
      </c>
      <c r="B83" s="204" t="s">
        <v>133</v>
      </c>
      <c r="C83" s="204" t="s">
        <v>129</v>
      </c>
      <c r="D83" s="204" t="s">
        <v>537</v>
      </c>
      <c r="E83" s="205">
        <v>4437</v>
      </c>
      <c r="F83" s="206">
        <v>1</v>
      </c>
      <c r="G83" s="207" t="s">
        <v>540</v>
      </c>
      <c r="H83" s="211">
        <v>0</v>
      </c>
      <c r="I83" s="211">
        <v>0</v>
      </c>
      <c r="J83" s="248">
        <v>6</v>
      </c>
      <c r="K83" s="211">
        <v>7</v>
      </c>
      <c r="L83" s="211">
        <v>7</v>
      </c>
      <c r="M83" s="211">
        <v>6</v>
      </c>
      <c r="N83" s="211">
        <v>3</v>
      </c>
      <c r="O83" s="211">
        <v>4</v>
      </c>
      <c r="P83" s="211">
        <v>1</v>
      </c>
      <c r="Q83" s="211">
        <v>0</v>
      </c>
      <c r="R83" s="211">
        <v>27</v>
      </c>
      <c r="S83" s="211"/>
      <c r="T83" s="211"/>
      <c r="U83" s="211">
        <v>0</v>
      </c>
      <c r="V83" s="210">
        <v>0</v>
      </c>
      <c r="W83" s="211">
        <v>1</v>
      </c>
      <c r="X83" s="211">
        <v>0</v>
      </c>
      <c r="Y83" s="211">
        <v>0</v>
      </c>
      <c r="Z83" s="211">
        <v>1</v>
      </c>
      <c r="AA83" s="211">
        <v>0</v>
      </c>
      <c r="AB83" s="248">
        <v>3</v>
      </c>
      <c r="AC83" s="211">
        <v>5</v>
      </c>
      <c r="AD83" s="211">
        <v>0</v>
      </c>
      <c r="AE83" s="211">
        <v>0</v>
      </c>
      <c r="AF83" s="211">
        <v>3</v>
      </c>
      <c r="AG83" s="211">
        <v>2</v>
      </c>
      <c r="AH83" s="211">
        <v>0</v>
      </c>
      <c r="AI83" s="211">
        <v>0</v>
      </c>
      <c r="AJ83" s="211">
        <v>15</v>
      </c>
      <c r="AK83" s="211"/>
      <c r="AL83" s="211"/>
      <c r="AM83" s="213" t="s">
        <v>459</v>
      </c>
      <c r="AN83" s="214">
        <v>5</v>
      </c>
      <c r="AO83" s="214">
        <v>2</v>
      </c>
      <c r="AP83" s="214">
        <v>4</v>
      </c>
      <c r="AQ83" s="214">
        <v>4</v>
      </c>
      <c r="AR83" s="214">
        <v>0</v>
      </c>
      <c r="AS83" s="214">
        <v>1</v>
      </c>
      <c r="AT83" s="214">
        <v>0</v>
      </c>
      <c r="AU83" s="214">
        <v>0</v>
      </c>
      <c r="AV83" s="215">
        <v>11</v>
      </c>
      <c r="AW83" s="213" t="s">
        <v>534</v>
      </c>
      <c r="AX83" s="214">
        <v>4</v>
      </c>
      <c r="AY83" s="214">
        <v>1</v>
      </c>
      <c r="AZ83" s="214">
        <v>1</v>
      </c>
      <c r="BA83" s="214">
        <v>0</v>
      </c>
      <c r="BB83" s="214">
        <v>1</v>
      </c>
      <c r="BC83" s="214">
        <v>1</v>
      </c>
      <c r="BD83" s="214">
        <v>0</v>
      </c>
      <c r="BE83" s="214">
        <v>0</v>
      </c>
      <c r="BF83" s="215">
        <v>1</v>
      </c>
      <c r="BG83" s="213" t="s">
        <v>531</v>
      </c>
      <c r="BH83" s="214">
        <v>5</v>
      </c>
      <c r="BI83" s="214">
        <v>2</v>
      </c>
      <c r="BJ83" s="214">
        <v>3</v>
      </c>
      <c r="BK83" s="214">
        <v>1</v>
      </c>
      <c r="BL83" s="214">
        <v>0</v>
      </c>
      <c r="BM83" s="214">
        <v>0</v>
      </c>
      <c r="BN83" s="214">
        <v>0</v>
      </c>
      <c r="BO83" s="214">
        <v>0</v>
      </c>
      <c r="BP83" s="215">
        <v>3</v>
      </c>
      <c r="BQ83" s="213" t="s">
        <v>539</v>
      </c>
      <c r="BR83" s="214">
        <v>5</v>
      </c>
      <c r="BS83" s="214">
        <v>1</v>
      </c>
      <c r="BT83" s="214">
        <v>2</v>
      </c>
      <c r="BU83" s="214">
        <v>1</v>
      </c>
      <c r="BV83" s="214">
        <v>0</v>
      </c>
      <c r="BW83" s="214">
        <v>1</v>
      </c>
      <c r="BX83" s="214">
        <v>0</v>
      </c>
      <c r="BY83" s="214">
        <v>0</v>
      </c>
      <c r="BZ83" s="215">
        <v>2</v>
      </c>
      <c r="CA83" s="213" t="s">
        <v>529</v>
      </c>
      <c r="CB83" s="214">
        <v>4</v>
      </c>
      <c r="CC83" s="214">
        <v>0</v>
      </c>
      <c r="CD83" s="214">
        <v>1</v>
      </c>
      <c r="CE83" s="214">
        <v>1</v>
      </c>
      <c r="CF83" s="214">
        <v>1</v>
      </c>
      <c r="CG83" s="214">
        <v>0</v>
      </c>
      <c r="CH83" s="214">
        <v>0</v>
      </c>
      <c r="CI83" s="214">
        <v>0</v>
      </c>
      <c r="CJ83" s="215">
        <v>1</v>
      </c>
      <c r="CK83" s="213" t="s">
        <v>543</v>
      </c>
      <c r="CL83" s="214">
        <v>3</v>
      </c>
      <c r="CM83" s="214">
        <v>0</v>
      </c>
      <c r="CN83" s="214">
        <v>0</v>
      </c>
      <c r="CO83" s="214">
        <v>0</v>
      </c>
      <c r="CP83" s="214">
        <v>1</v>
      </c>
      <c r="CQ83" s="214">
        <v>0</v>
      </c>
      <c r="CR83" s="214">
        <v>0</v>
      </c>
      <c r="CS83" s="214">
        <v>0</v>
      </c>
      <c r="CT83" s="215">
        <v>0</v>
      </c>
      <c r="CU83" s="213" t="s">
        <v>549</v>
      </c>
      <c r="CV83" s="214">
        <v>5</v>
      </c>
      <c r="CW83" s="214">
        <v>0</v>
      </c>
      <c r="CX83" s="214">
        <v>0</v>
      </c>
      <c r="CY83" s="214">
        <v>1</v>
      </c>
      <c r="CZ83" s="214">
        <v>0</v>
      </c>
      <c r="DA83" s="214">
        <v>0</v>
      </c>
      <c r="DB83" s="214">
        <v>0</v>
      </c>
      <c r="DC83" s="214">
        <v>0</v>
      </c>
      <c r="DD83" s="215">
        <v>0</v>
      </c>
      <c r="DE83" s="213" t="s">
        <v>538</v>
      </c>
      <c r="DF83" s="214">
        <v>3</v>
      </c>
      <c r="DG83" s="214">
        <v>1</v>
      </c>
      <c r="DH83" s="214">
        <v>2</v>
      </c>
      <c r="DI83" s="214">
        <v>0</v>
      </c>
      <c r="DJ83" s="214">
        <v>1</v>
      </c>
      <c r="DK83" s="214">
        <v>0</v>
      </c>
      <c r="DL83" s="214">
        <v>0</v>
      </c>
      <c r="DM83" s="214">
        <v>0</v>
      </c>
      <c r="DN83" s="215">
        <v>2</v>
      </c>
      <c r="DO83" s="213" t="s">
        <v>535</v>
      </c>
      <c r="DP83" s="214">
        <v>3</v>
      </c>
      <c r="DQ83" s="214">
        <v>1</v>
      </c>
      <c r="DR83" s="214">
        <v>0</v>
      </c>
      <c r="DS83" s="214">
        <v>0</v>
      </c>
      <c r="DT83" s="214">
        <v>0</v>
      </c>
      <c r="DU83" s="214">
        <v>0</v>
      </c>
      <c r="DV83" s="214">
        <v>0</v>
      </c>
      <c r="DW83" s="214">
        <v>0</v>
      </c>
      <c r="DX83" s="215">
        <v>0</v>
      </c>
      <c r="DY83" s="249">
        <v>5</v>
      </c>
      <c r="DZ83" s="217">
        <v>2</v>
      </c>
      <c r="EA83" s="217">
        <v>1</v>
      </c>
      <c r="EB83" s="250">
        <v>4</v>
      </c>
      <c r="EC83" s="217">
        <v>2</v>
      </c>
      <c r="ED83" s="219">
        <v>0</v>
      </c>
      <c r="EE83" s="220">
        <v>3</v>
      </c>
      <c r="EF83" s="217">
        <v>2</v>
      </c>
      <c r="EG83" s="217">
        <v>0</v>
      </c>
      <c r="EH83" s="217">
        <v>1</v>
      </c>
      <c r="EI83" s="217">
        <v>0</v>
      </c>
      <c r="EJ83" s="217">
        <v>1</v>
      </c>
      <c r="EK83" s="217">
        <v>0</v>
      </c>
      <c r="EL83" s="217">
        <v>0</v>
      </c>
      <c r="EM83" s="217">
        <v>1</v>
      </c>
      <c r="EN83" s="217"/>
      <c r="EO83" s="217"/>
      <c r="EP83" s="217"/>
      <c r="EQ83" s="217"/>
      <c r="ER83" s="219">
        <f t="shared" si="79"/>
        <v>8</v>
      </c>
      <c r="ES83" s="217">
        <v>0</v>
      </c>
      <c r="ET83" s="217">
        <v>2</v>
      </c>
      <c r="EU83" s="217">
        <v>3</v>
      </c>
      <c r="EV83" s="217">
        <v>0</v>
      </c>
      <c r="EW83" s="217">
        <v>2</v>
      </c>
      <c r="EX83" s="217">
        <v>0</v>
      </c>
      <c r="EY83" s="217">
        <v>0</v>
      </c>
      <c r="EZ83" s="217">
        <v>0</v>
      </c>
      <c r="FA83" s="217">
        <v>0</v>
      </c>
      <c r="FB83" s="217"/>
      <c r="FC83" s="217"/>
      <c r="FD83" s="217"/>
      <c r="FE83" s="217"/>
      <c r="FF83" s="217">
        <f t="shared" si="80"/>
        <v>7</v>
      </c>
      <c r="FG83" s="221">
        <f t="shared" si="81"/>
        <v>0</v>
      </c>
      <c r="FH83" s="221">
        <f t="shared" si="82"/>
        <v>0</v>
      </c>
      <c r="FI83" s="221">
        <f t="shared" si="83"/>
        <v>3</v>
      </c>
      <c r="FJ83" s="221">
        <f t="shared" si="83"/>
        <v>0</v>
      </c>
      <c r="FK83" s="221">
        <f t="shared" si="83"/>
        <v>-3</v>
      </c>
      <c r="FL83" s="221">
        <f t="shared" si="83"/>
        <v>1</v>
      </c>
      <c r="FM83" s="221">
        <f t="shared" si="83"/>
        <v>-2</v>
      </c>
      <c r="FN83" s="221">
        <f t="shared" si="83"/>
        <v>1</v>
      </c>
      <c r="FO83" s="221">
        <f t="shared" si="83"/>
        <v>0</v>
      </c>
      <c r="FP83" s="221">
        <f t="shared" si="83"/>
        <v>0</v>
      </c>
      <c r="FQ83" s="221">
        <f t="shared" si="83"/>
        <v>1</v>
      </c>
      <c r="FR83" s="221">
        <f t="shared" si="83"/>
        <v>0</v>
      </c>
      <c r="FS83" s="221">
        <f t="shared" si="83"/>
        <v>0</v>
      </c>
      <c r="FT83" s="221">
        <f t="shared" si="83"/>
        <v>0</v>
      </c>
      <c r="FU83" s="221">
        <f t="shared" si="83"/>
        <v>0</v>
      </c>
      <c r="FV83" s="221">
        <f t="shared" si="83"/>
        <v>1</v>
      </c>
      <c r="FW83" s="222"/>
    </row>
    <row r="84" spans="1:179" x14ac:dyDescent="0.25">
      <c r="A84" s="204">
        <v>40365</v>
      </c>
      <c r="B84" s="204" t="s">
        <v>133</v>
      </c>
      <c r="C84" s="204" t="s">
        <v>129</v>
      </c>
      <c r="D84" s="204" t="s">
        <v>537</v>
      </c>
      <c r="E84" s="205">
        <v>4659</v>
      </c>
      <c r="F84" s="206">
        <v>2</v>
      </c>
      <c r="G84" s="207" t="s">
        <v>546</v>
      </c>
      <c r="H84" s="211">
        <v>0</v>
      </c>
      <c r="I84" s="211">
        <v>0</v>
      </c>
      <c r="J84" s="248">
        <f>6+1/3</f>
        <v>6.333333333333333</v>
      </c>
      <c r="K84" s="211">
        <v>5</v>
      </c>
      <c r="L84" s="211">
        <v>2</v>
      </c>
      <c r="M84" s="211">
        <v>2</v>
      </c>
      <c r="N84" s="211">
        <v>3</v>
      </c>
      <c r="O84" s="211">
        <v>8</v>
      </c>
      <c r="P84" s="211">
        <v>0</v>
      </c>
      <c r="Q84" s="211">
        <v>0</v>
      </c>
      <c r="R84" s="211">
        <v>25</v>
      </c>
      <c r="S84" s="211"/>
      <c r="T84" s="211"/>
      <c r="U84" s="211">
        <v>2</v>
      </c>
      <c r="V84" s="210">
        <v>1</v>
      </c>
      <c r="W84" s="211">
        <v>1</v>
      </c>
      <c r="X84" s="211">
        <v>0</v>
      </c>
      <c r="Y84" s="211">
        <v>0</v>
      </c>
      <c r="Z84" s="211">
        <v>0</v>
      </c>
      <c r="AA84" s="211">
        <v>0</v>
      </c>
      <c r="AB84" s="248">
        <f>4+2/3</f>
        <v>4.666666666666667</v>
      </c>
      <c r="AC84" s="211">
        <v>3</v>
      </c>
      <c r="AD84" s="211">
        <v>0</v>
      </c>
      <c r="AE84" s="211">
        <v>0</v>
      </c>
      <c r="AF84" s="211">
        <v>2</v>
      </c>
      <c r="AG84" s="211">
        <v>3</v>
      </c>
      <c r="AH84" s="211">
        <v>0</v>
      </c>
      <c r="AI84" s="211">
        <v>0</v>
      </c>
      <c r="AJ84" s="211">
        <v>18</v>
      </c>
      <c r="AK84" s="211"/>
      <c r="AL84" s="211"/>
      <c r="AM84" s="213" t="s">
        <v>529</v>
      </c>
      <c r="AN84" s="214">
        <v>6</v>
      </c>
      <c r="AO84" s="214">
        <v>0</v>
      </c>
      <c r="AP84" s="214">
        <v>1</v>
      </c>
      <c r="AQ84" s="214">
        <v>0</v>
      </c>
      <c r="AR84" s="214">
        <v>0</v>
      </c>
      <c r="AS84" s="214">
        <v>2</v>
      </c>
      <c r="AT84" s="214">
        <v>0</v>
      </c>
      <c r="AU84" s="214">
        <v>0</v>
      </c>
      <c r="AV84" s="215">
        <v>1</v>
      </c>
      <c r="AW84" s="213" t="s">
        <v>534</v>
      </c>
      <c r="AX84" s="214">
        <v>5</v>
      </c>
      <c r="AY84" s="214">
        <v>0</v>
      </c>
      <c r="AZ84" s="214">
        <v>1</v>
      </c>
      <c r="BA84" s="214">
        <v>1</v>
      </c>
      <c r="BB84" s="214">
        <v>1</v>
      </c>
      <c r="BC84" s="214">
        <v>0</v>
      </c>
      <c r="BD84" s="214">
        <v>0</v>
      </c>
      <c r="BE84" s="214">
        <v>0</v>
      </c>
      <c r="BF84" s="215">
        <v>2</v>
      </c>
      <c r="BG84" s="213" t="s">
        <v>531</v>
      </c>
      <c r="BH84" s="214">
        <v>5</v>
      </c>
      <c r="BI84" s="214">
        <v>1</v>
      </c>
      <c r="BJ84" s="214">
        <v>3</v>
      </c>
      <c r="BK84" s="214">
        <v>1</v>
      </c>
      <c r="BL84" s="214">
        <v>1</v>
      </c>
      <c r="BM84" s="214">
        <v>0</v>
      </c>
      <c r="BN84" s="214">
        <v>0</v>
      </c>
      <c r="BO84" s="214">
        <v>0</v>
      </c>
      <c r="BP84" s="215">
        <v>6</v>
      </c>
      <c r="BQ84" s="213" t="s">
        <v>530</v>
      </c>
      <c r="BR84" s="214">
        <v>5</v>
      </c>
      <c r="BS84" s="214">
        <v>0</v>
      </c>
      <c r="BT84" s="214">
        <v>2</v>
      </c>
      <c r="BU84" s="214">
        <v>0</v>
      </c>
      <c r="BV84" s="214">
        <v>0</v>
      </c>
      <c r="BW84" s="214">
        <v>0</v>
      </c>
      <c r="BX84" s="214">
        <v>0</v>
      </c>
      <c r="BY84" s="214">
        <v>0</v>
      </c>
      <c r="BZ84" s="215">
        <v>2</v>
      </c>
      <c r="CA84" s="213" t="s">
        <v>561</v>
      </c>
      <c r="CB84" s="214">
        <v>5</v>
      </c>
      <c r="CC84" s="214">
        <v>1</v>
      </c>
      <c r="CD84" s="214">
        <v>1</v>
      </c>
      <c r="CE84" s="214">
        <v>0</v>
      </c>
      <c r="CF84" s="214">
        <v>0</v>
      </c>
      <c r="CG84" s="214">
        <v>0</v>
      </c>
      <c r="CH84" s="214">
        <v>0</v>
      </c>
      <c r="CI84" s="214">
        <v>0</v>
      </c>
      <c r="CJ84" s="215">
        <v>2</v>
      </c>
      <c r="CK84" s="213" t="s">
        <v>543</v>
      </c>
      <c r="CL84" s="214">
        <v>5</v>
      </c>
      <c r="CM84" s="214">
        <v>0</v>
      </c>
      <c r="CN84" s="214">
        <v>1</v>
      </c>
      <c r="CO84" s="214">
        <v>1</v>
      </c>
      <c r="CP84" s="214">
        <v>0</v>
      </c>
      <c r="CQ84" s="214">
        <v>0</v>
      </c>
      <c r="CR84" s="214">
        <v>0</v>
      </c>
      <c r="CS84" s="214">
        <v>0</v>
      </c>
      <c r="CT84" s="215">
        <v>1</v>
      </c>
      <c r="CU84" s="213" t="s">
        <v>549</v>
      </c>
      <c r="CV84" s="214">
        <v>5</v>
      </c>
      <c r="CW84" s="214">
        <v>0</v>
      </c>
      <c r="CX84" s="214">
        <v>2</v>
      </c>
      <c r="CY84" s="214">
        <v>0</v>
      </c>
      <c r="CZ84" s="214">
        <v>0</v>
      </c>
      <c r="DA84" s="214">
        <v>0</v>
      </c>
      <c r="DB84" s="214">
        <v>0</v>
      </c>
      <c r="DC84" s="214">
        <v>0</v>
      </c>
      <c r="DD84" s="215">
        <v>2</v>
      </c>
      <c r="DE84" s="213" t="s">
        <v>538</v>
      </c>
      <c r="DF84" s="214">
        <v>5</v>
      </c>
      <c r="DG84" s="214">
        <v>1</v>
      </c>
      <c r="DH84" s="214">
        <v>2</v>
      </c>
      <c r="DI84" s="214">
        <v>0</v>
      </c>
      <c r="DJ84" s="214">
        <v>0</v>
      </c>
      <c r="DK84" s="214">
        <v>0</v>
      </c>
      <c r="DL84" s="214">
        <v>0</v>
      </c>
      <c r="DM84" s="214">
        <v>0</v>
      </c>
      <c r="DN84" s="215">
        <v>2</v>
      </c>
      <c r="DO84" s="213" t="s">
        <v>535</v>
      </c>
      <c r="DP84" s="214">
        <v>3</v>
      </c>
      <c r="DQ84" s="214">
        <v>0</v>
      </c>
      <c r="DR84" s="214">
        <v>0</v>
      </c>
      <c r="DS84" s="214">
        <v>0</v>
      </c>
      <c r="DT84" s="214">
        <v>1</v>
      </c>
      <c r="DU84" s="214">
        <v>0</v>
      </c>
      <c r="DV84" s="214">
        <v>0</v>
      </c>
      <c r="DW84" s="214">
        <v>0</v>
      </c>
      <c r="DX84" s="215">
        <v>0</v>
      </c>
      <c r="DY84" s="249">
        <v>7</v>
      </c>
      <c r="DZ84" s="217">
        <v>1</v>
      </c>
      <c r="EA84" s="217">
        <v>0</v>
      </c>
      <c r="EB84" s="250">
        <v>4</v>
      </c>
      <c r="EC84" s="217">
        <v>1</v>
      </c>
      <c r="ED84" s="219">
        <v>0</v>
      </c>
      <c r="EE84" s="220">
        <v>1</v>
      </c>
      <c r="EF84" s="217">
        <v>0</v>
      </c>
      <c r="EG84" s="217">
        <v>0</v>
      </c>
      <c r="EH84" s="217">
        <v>0</v>
      </c>
      <c r="EI84" s="217">
        <v>0</v>
      </c>
      <c r="EJ84" s="217">
        <v>0</v>
      </c>
      <c r="EK84" s="217">
        <v>0</v>
      </c>
      <c r="EL84" s="217">
        <v>1</v>
      </c>
      <c r="EM84" s="217">
        <v>0</v>
      </c>
      <c r="EN84" s="217">
        <v>0</v>
      </c>
      <c r="EO84" s="217">
        <v>1</v>
      </c>
      <c r="EP84" s="217"/>
      <c r="EQ84" s="217"/>
      <c r="ER84" s="219">
        <f t="shared" si="79"/>
        <v>3</v>
      </c>
      <c r="ES84" s="217">
        <v>0</v>
      </c>
      <c r="ET84" s="217">
        <v>1</v>
      </c>
      <c r="EU84" s="217">
        <v>0</v>
      </c>
      <c r="EV84" s="217">
        <v>0</v>
      </c>
      <c r="EW84" s="217">
        <v>0</v>
      </c>
      <c r="EX84" s="217">
        <v>0</v>
      </c>
      <c r="EY84" s="217">
        <v>1</v>
      </c>
      <c r="EZ84" s="217">
        <v>0</v>
      </c>
      <c r="FA84" s="217">
        <v>0</v>
      </c>
      <c r="FB84" s="217">
        <v>0</v>
      </c>
      <c r="FC84" s="217">
        <v>0</v>
      </c>
      <c r="FD84" s="217"/>
      <c r="FE84" s="217"/>
      <c r="FF84" s="217">
        <f t="shared" si="80"/>
        <v>2</v>
      </c>
      <c r="FG84" s="221">
        <f t="shared" si="81"/>
        <v>0</v>
      </c>
      <c r="FH84" s="221">
        <f t="shared" si="82"/>
        <v>0</v>
      </c>
      <c r="FI84" s="221">
        <f t="shared" si="83"/>
        <v>1</v>
      </c>
      <c r="FJ84" s="221">
        <f t="shared" si="83"/>
        <v>-1</v>
      </c>
      <c r="FK84" s="221">
        <f t="shared" si="83"/>
        <v>0</v>
      </c>
      <c r="FL84" s="221">
        <f t="shared" si="83"/>
        <v>0</v>
      </c>
      <c r="FM84" s="221">
        <f t="shared" si="83"/>
        <v>0</v>
      </c>
      <c r="FN84" s="221">
        <f t="shared" si="83"/>
        <v>0</v>
      </c>
      <c r="FO84" s="221">
        <f t="shared" si="83"/>
        <v>-1</v>
      </c>
      <c r="FP84" s="221">
        <f t="shared" si="83"/>
        <v>1</v>
      </c>
      <c r="FQ84" s="221">
        <f t="shared" si="83"/>
        <v>0</v>
      </c>
      <c r="FR84" s="221">
        <f t="shared" si="83"/>
        <v>0</v>
      </c>
      <c r="FS84" s="221">
        <f t="shared" si="83"/>
        <v>1</v>
      </c>
      <c r="FT84" s="221">
        <f t="shared" si="83"/>
        <v>0</v>
      </c>
      <c r="FU84" s="221">
        <f t="shared" si="83"/>
        <v>0</v>
      </c>
      <c r="FV84" s="221">
        <f t="shared" si="83"/>
        <v>1</v>
      </c>
      <c r="FW84" s="222"/>
    </row>
    <row r="85" spans="1:179" x14ac:dyDescent="0.25">
      <c r="A85" s="204">
        <v>40366</v>
      </c>
      <c r="B85" s="204" t="s">
        <v>19</v>
      </c>
      <c r="C85" s="204" t="s">
        <v>131</v>
      </c>
      <c r="D85" s="204" t="s">
        <v>544</v>
      </c>
      <c r="E85" s="205">
        <v>2831</v>
      </c>
      <c r="F85" s="206">
        <v>3</v>
      </c>
      <c r="G85" s="207" t="s">
        <v>545</v>
      </c>
      <c r="H85" s="211">
        <v>0</v>
      </c>
      <c r="I85" s="211">
        <v>0</v>
      </c>
      <c r="J85" s="248">
        <v>5</v>
      </c>
      <c r="K85" s="211">
        <v>2</v>
      </c>
      <c r="L85" s="211">
        <v>1</v>
      </c>
      <c r="M85" s="211">
        <v>1</v>
      </c>
      <c r="N85" s="211">
        <v>2</v>
      </c>
      <c r="O85" s="211">
        <v>3</v>
      </c>
      <c r="P85" s="211">
        <v>0</v>
      </c>
      <c r="Q85" s="211">
        <v>0</v>
      </c>
      <c r="R85" s="211">
        <v>18</v>
      </c>
      <c r="S85" s="211"/>
      <c r="T85" s="211"/>
      <c r="U85" s="211">
        <v>0</v>
      </c>
      <c r="V85" s="210">
        <v>0</v>
      </c>
      <c r="W85" s="211">
        <v>0</v>
      </c>
      <c r="X85" s="211">
        <v>1</v>
      </c>
      <c r="Y85" s="211">
        <v>0</v>
      </c>
      <c r="Z85" s="211">
        <v>0</v>
      </c>
      <c r="AA85" s="211">
        <v>1</v>
      </c>
      <c r="AB85" s="248">
        <v>4</v>
      </c>
      <c r="AC85" s="211">
        <v>6</v>
      </c>
      <c r="AD85" s="211">
        <v>4</v>
      </c>
      <c r="AE85" s="211">
        <v>3</v>
      </c>
      <c r="AF85" s="211">
        <v>1</v>
      </c>
      <c r="AG85" s="211">
        <v>3</v>
      </c>
      <c r="AH85" s="211">
        <v>1</v>
      </c>
      <c r="AI85" s="211">
        <v>1</v>
      </c>
      <c r="AJ85" s="211">
        <v>21</v>
      </c>
      <c r="AK85" s="211"/>
      <c r="AL85" s="211"/>
      <c r="AM85" s="213" t="s">
        <v>459</v>
      </c>
      <c r="AN85" s="214">
        <v>5</v>
      </c>
      <c r="AO85" s="214">
        <v>2</v>
      </c>
      <c r="AP85" s="214">
        <v>3</v>
      </c>
      <c r="AQ85" s="214">
        <v>0</v>
      </c>
      <c r="AR85" s="214">
        <v>0</v>
      </c>
      <c r="AS85" s="214">
        <v>1</v>
      </c>
      <c r="AT85" s="214">
        <v>0</v>
      </c>
      <c r="AU85" s="214">
        <v>0</v>
      </c>
      <c r="AV85" s="215">
        <v>3</v>
      </c>
      <c r="AW85" s="213" t="s">
        <v>538</v>
      </c>
      <c r="AX85" s="214">
        <v>4</v>
      </c>
      <c r="AY85" s="214">
        <v>0</v>
      </c>
      <c r="AZ85" s="214">
        <v>1</v>
      </c>
      <c r="BA85" s="214">
        <v>0</v>
      </c>
      <c r="BB85" s="214">
        <v>1</v>
      </c>
      <c r="BC85" s="214">
        <v>2</v>
      </c>
      <c r="BD85" s="214">
        <v>0</v>
      </c>
      <c r="BE85" s="214">
        <v>0</v>
      </c>
      <c r="BF85" s="215">
        <v>1</v>
      </c>
      <c r="BG85" s="213" t="s">
        <v>531</v>
      </c>
      <c r="BH85" s="214">
        <v>3</v>
      </c>
      <c r="BI85" s="214">
        <v>0</v>
      </c>
      <c r="BJ85" s="214">
        <v>1</v>
      </c>
      <c r="BK85" s="214">
        <v>1</v>
      </c>
      <c r="BL85" s="214">
        <v>1</v>
      </c>
      <c r="BM85" s="214">
        <v>0</v>
      </c>
      <c r="BN85" s="214">
        <v>0</v>
      </c>
      <c r="BO85" s="214">
        <v>0</v>
      </c>
      <c r="BP85" s="215">
        <v>1</v>
      </c>
      <c r="BQ85" s="213" t="s">
        <v>530</v>
      </c>
      <c r="BR85" s="214">
        <v>3</v>
      </c>
      <c r="BS85" s="214">
        <v>0</v>
      </c>
      <c r="BT85" s="214">
        <v>0</v>
      </c>
      <c r="BU85" s="214">
        <v>1</v>
      </c>
      <c r="BV85" s="214">
        <v>0</v>
      </c>
      <c r="BW85" s="214">
        <v>1</v>
      </c>
      <c r="BX85" s="214">
        <v>0</v>
      </c>
      <c r="BY85" s="214">
        <v>1</v>
      </c>
      <c r="BZ85" s="215">
        <v>0</v>
      </c>
      <c r="CA85" s="213" t="s">
        <v>529</v>
      </c>
      <c r="CB85" s="214">
        <v>4</v>
      </c>
      <c r="CC85" s="214">
        <v>0</v>
      </c>
      <c r="CD85" s="214">
        <v>0</v>
      </c>
      <c r="CE85" s="214">
        <v>0</v>
      </c>
      <c r="CF85" s="214">
        <v>0</v>
      </c>
      <c r="CG85" s="214">
        <v>1</v>
      </c>
      <c r="CH85" s="214">
        <v>0</v>
      </c>
      <c r="CI85" s="214">
        <v>0</v>
      </c>
      <c r="CJ85" s="215">
        <v>0</v>
      </c>
      <c r="CK85" s="213" t="s">
        <v>543</v>
      </c>
      <c r="CL85" s="214">
        <v>4</v>
      </c>
      <c r="CM85" s="214">
        <v>0</v>
      </c>
      <c r="CN85" s="214">
        <v>0</v>
      </c>
      <c r="CO85" s="214">
        <v>0</v>
      </c>
      <c r="CP85" s="214">
        <v>0</v>
      </c>
      <c r="CQ85" s="214">
        <v>1</v>
      </c>
      <c r="CR85" s="214">
        <v>0</v>
      </c>
      <c r="CS85" s="214">
        <v>0</v>
      </c>
      <c r="CT85" s="215">
        <v>0</v>
      </c>
      <c r="CU85" s="213" t="s">
        <v>291</v>
      </c>
      <c r="CV85" s="214">
        <v>4</v>
      </c>
      <c r="CW85" s="214">
        <v>1</v>
      </c>
      <c r="CX85" s="214">
        <v>1</v>
      </c>
      <c r="CY85" s="214">
        <v>1</v>
      </c>
      <c r="CZ85" s="214">
        <v>0</v>
      </c>
      <c r="DA85" s="214">
        <v>1</v>
      </c>
      <c r="DB85" s="214">
        <v>0</v>
      </c>
      <c r="DC85" s="214">
        <v>0</v>
      </c>
      <c r="DD85" s="215">
        <v>4</v>
      </c>
      <c r="DE85" s="213" t="s">
        <v>549</v>
      </c>
      <c r="DF85" s="214">
        <v>3</v>
      </c>
      <c r="DG85" s="214">
        <v>1</v>
      </c>
      <c r="DH85" s="214">
        <v>2</v>
      </c>
      <c r="DI85" s="214">
        <v>0</v>
      </c>
      <c r="DJ85" s="214">
        <v>1</v>
      </c>
      <c r="DK85" s="214">
        <v>0</v>
      </c>
      <c r="DL85" s="214">
        <v>0</v>
      </c>
      <c r="DM85" s="214">
        <v>0</v>
      </c>
      <c r="DN85" s="215">
        <v>3</v>
      </c>
      <c r="DO85" s="213" t="s">
        <v>535</v>
      </c>
      <c r="DP85" s="214">
        <v>4</v>
      </c>
      <c r="DQ85" s="214">
        <v>0</v>
      </c>
      <c r="DR85" s="214">
        <v>2</v>
      </c>
      <c r="DS85" s="214">
        <v>1</v>
      </c>
      <c r="DT85" s="214">
        <v>0</v>
      </c>
      <c r="DU85" s="214">
        <v>1</v>
      </c>
      <c r="DV85" s="214">
        <v>0</v>
      </c>
      <c r="DW85" s="214">
        <v>0</v>
      </c>
      <c r="DX85" s="215">
        <v>4</v>
      </c>
      <c r="DY85" s="249">
        <v>0</v>
      </c>
      <c r="DZ85" s="217">
        <v>0</v>
      </c>
      <c r="EA85" s="217">
        <v>0</v>
      </c>
      <c r="EB85" s="250">
        <v>9</v>
      </c>
      <c r="EC85" s="217">
        <v>1</v>
      </c>
      <c r="ED85" s="219">
        <v>0</v>
      </c>
      <c r="EE85" s="220">
        <v>1</v>
      </c>
      <c r="EF85" s="217">
        <v>1</v>
      </c>
      <c r="EG85" s="217">
        <v>0</v>
      </c>
      <c r="EH85" s="217">
        <v>1</v>
      </c>
      <c r="EI85" s="217">
        <v>1</v>
      </c>
      <c r="EJ85" s="217">
        <v>0</v>
      </c>
      <c r="EK85" s="217">
        <v>0</v>
      </c>
      <c r="EL85" s="217">
        <v>0</v>
      </c>
      <c r="EM85" s="217">
        <v>0</v>
      </c>
      <c r="EN85" s="217"/>
      <c r="EO85" s="217"/>
      <c r="EP85" s="217"/>
      <c r="EQ85" s="217"/>
      <c r="ER85" s="219">
        <f t="shared" si="79"/>
        <v>4</v>
      </c>
      <c r="ES85" s="217">
        <v>0</v>
      </c>
      <c r="ET85" s="217">
        <v>0</v>
      </c>
      <c r="EU85" s="217">
        <v>0</v>
      </c>
      <c r="EV85" s="217">
        <v>1</v>
      </c>
      <c r="EW85" s="217">
        <v>0</v>
      </c>
      <c r="EX85" s="217">
        <v>0</v>
      </c>
      <c r="EY85" s="217">
        <v>3</v>
      </c>
      <c r="EZ85" s="217">
        <v>1</v>
      </c>
      <c r="FA85" s="217">
        <v>0</v>
      </c>
      <c r="FB85" s="217"/>
      <c r="FC85" s="217"/>
      <c r="FD85" s="217"/>
      <c r="FE85" s="217"/>
      <c r="FF85" s="217">
        <f t="shared" si="80"/>
        <v>5</v>
      </c>
      <c r="FG85" s="221">
        <f t="shared" si="81"/>
        <v>0</v>
      </c>
      <c r="FH85" s="221">
        <f t="shared" si="82"/>
        <v>0</v>
      </c>
      <c r="FI85" s="221">
        <f t="shared" si="83"/>
        <v>1</v>
      </c>
      <c r="FJ85" s="221">
        <f t="shared" si="83"/>
        <v>1</v>
      </c>
      <c r="FK85" s="221">
        <f t="shared" si="83"/>
        <v>0</v>
      </c>
      <c r="FL85" s="221">
        <f t="shared" si="83"/>
        <v>0</v>
      </c>
      <c r="FM85" s="221">
        <f t="shared" si="83"/>
        <v>1</v>
      </c>
      <c r="FN85" s="221">
        <f t="shared" si="83"/>
        <v>0</v>
      </c>
      <c r="FO85" s="221">
        <f t="shared" si="83"/>
        <v>-3</v>
      </c>
      <c r="FP85" s="221">
        <f t="shared" si="83"/>
        <v>-1</v>
      </c>
      <c r="FQ85" s="221">
        <f t="shared" si="83"/>
        <v>0</v>
      </c>
      <c r="FR85" s="221">
        <f t="shared" si="83"/>
        <v>0</v>
      </c>
      <c r="FS85" s="221">
        <f t="shared" si="83"/>
        <v>0</v>
      </c>
      <c r="FT85" s="221">
        <f t="shared" si="83"/>
        <v>0</v>
      </c>
      <c r="FU85" s="221">
        <f t="shared" si="83"/>
        <v>0</v>
      </c>
      <c r="FV85" s="221">
        <f t="shared" si="83"/>
        <v>-1</v>
      </c>
      <c r="FW85" s="222"/>
    </row>
    <row r="86" spans="1:179" x14ac:dyDescent="0.25">
      <c r="A86" s="204">
        <v>40367</v>
      </c>
      <c r="B86" s="204" t="s">
        <v>19</v>
      </c>
      <c r="C86" s="204" t="s">
        <v>131</v>
      </c>
      <c r="D86" s="204" t="s">
        <v>544</v>
      </c>
      <c r="E86" s="205">
        <v>2785</v>
      </c>
      <c r="F86" s="206">
        <v>4</v>
      </c>
      <c r="G86" s="207" t="s">
        <v>536</v>
      </c>
      <c r="H86" s="211">
        <v>0</v>
      </c>
      <c r="I86" s="211">
        <v>1</v>
      </c>
      <c r="J86" s="248">
        <v>7</v>
      </c>
      <c r="K86" s="211">
        <v>4</v>
      </c>
      <c r="L86" s="211">
        <v>4</v>
      </c>
      <c r="M86" s="211">
        <v>4</v>
      </c>
      <c r="N86" s="211">
        <v>3</v>
      </c>
      <c r="O86" s="211">
        <v>5</v>
      </c>
      <c r="P86" s="211">
        <v>3</v>
      </c>
      <c r="Q86" s="211">
        <v>0</v>
      </c>
      <c r="R86" s="211">
        <v>28</v>
      </c>
      <c r="S86" s="211"/>
      <c r="T86" s="211"/>
      <c r="U86" s="211">
        <v>0</v>
      </c>
      <c r="V86" s="210">
        <v>0</v>
      </c>
      <c r="W86" s="211">
        <v>0</v>
      </c>
      <c r="X86" s="211">
        <v>0</v>
      </c>
      <c r="Y86" s="211">
        <v>0</v>
      </c>
      <c r="Z86" s="211">
        <v>0</v>
      </c>
      <c r="AA86" s="211">
        <v>0</v>
      </c>
      <c r="AB86" s="248">
        <v>2</v>
      </c>
      <c r="AC86" s="211">
        <v>1</v>
      </c>
      <c r="AD86" s="211">
        <v>0</v>
      </c>
      <c r="AE86" s="211">
        <v>0</v>
      </c>
      <c r="AF86" s="211">
        <v>1</v>
      </c>
      <c r="AG86" s="211">
        <v>0</v>
      </c>
      <c r="AH86" s="211">
        <v>0</v>
      </c>
      <c r="AI86" s="211">
        <v>0</v>
      </c>
      <c r="AJ86" s="211">
        <v>8</v>
      </c>
      <c r="AK86" s="211"/>
      <c r="AL86" s="211"/>
      <c r="AM86" s="213" t="s">
        <v>459</v>
      </c>
      <c r="AN86" s="214">
        <v>4</v>
      </c>
      <c r="AO86" s="214">
        <v>0</v>
      </c>
      <c r="AP86" s="214">
        <v>1</v>
      </c>
      <c r="AQ86" s="214">
        <v>0</v>
      </c>
      <c r="AR86" s="214">
        <v>0</v>
      </c>
      <c r="AS86" s="214">
        <v>0</v>
      </c>
      <c r="AT86" s="214">
        <v>0</v>
      </c>
      <c r="AU86" s="214">
        <v>0</v>
      </c>
      <c r="AV86" s="215">
        <v>1</v>
      </c>
      <c r="AW86" s="213" t="s">
        <v>538</v>
      </c>
      <c r="AX86" s="214">
        <v>4</v>
      </c>
      <c r="AY86" s="214">
        <v>0</v>
      </c>
      <c r="AZ86" s="214">
        <v>2</v>
      </c>
      <c r="BA86" s="214">
        <v>0</v>
      </c>
      <c r="BB86" s="214">
        <v>0</v>
      </c>
      <c r="BC86" s="214">
        <v>0</v>
      </c>
      <c r="BD86" s="214">
        <v>0</v>
      </c>
      <c r="BE86" s="214">
        <v>0</v>
      </c>
      <c r="BF86" s="215">
        <v>0</v>
      </c>
      <c r="BG86" s="213" t="s">
        <v>534</v>
      </c>
      <c r="BH86" s="214">
        <v>4</v>
      </c>
      <c r="BI86" s="214">
        <v>0</v>
      </c>
      <c r="BJ86" s="214">
        <v>0</v>
      </c>
      <c r="BK86" s="214">
        <v>0</v>
      </c>
      <c r="BL86" s="214">
        <v>0</v>
      </c>
      <c r="BM86" s="214">
        <v>1</v>
      </c>
      <c r="BN86" s="214">
        <v>0</v>
      </c>
      <c r="BO86" s="214">
        <v>0</v>
      </c>
      <c r="BP86" s="215">
        <v>0</v>
      </c>
      <c r="BQ86" s="213" t="s">
        <v>531</v>
      </c>
      <c r="BR86" s="214">
        <v>4</v>
      </c>
      <c r="BS86" s="214">
        <v>0</v>
      </c>
      <c r="BT86" s="214">
        <v>0</v>
      </c>
      <c r="BU86" s="214">
        <v>0</v>
      </c>
      <c r="BV86" s="214">
        <v>0</v>
      </c>
      <c r="BW86" s="214">
        <v>1</v>
      </c>
      <c r="BX86" s="214">
        <v>0</v>
      </c>
      <c r="BY86" s="214">
        <v>0</v>
      </c>
      <c r="BZ86" s="215">
        <v>0</v>
      </c>
      <c r="CA86" s="213" t="s">
        <v>561</v>
      </c>
      <c r="CB86" s="214">
        <v>3</v>
      </c>
      <c r="CC86" s="214">
        <v>1</v>
      </c>
      <c r="CD86" s="214">
        <v>1</v>
      </c>
      <c r="CE86" s="214">
        <v>0</v>
      </c>
      <c r="CF86" s="214">
        <v>0</v>
      </c>
      <c r="CG86" s="214">
        <v>1</v>
      </c>
      <c r="CH86" s="214">
        <v>0</v>
      </c>
      <c r="CI86" s="214">
        <v>0</v>
      </c>
      <c r="CJ86" s="215">
        <v>1</v>
      </c>
      <c r="CK86" s="213" t="s">
        <v>530</v>
      </c>
      <c r="CL86" s="214">
        <v>4</v>
      </c>
      <c r="CM86" s="214">
        <v>0</v>
      </c>
      <c r="CN86" s="214">
        <v>1</v>
      </c>
      <c r="CO86" s="214">
        <v>0</v>
      </c>
      <c r="CP86" s="214">
        <v>0</v>
      </c>
      <c r="CQ86" s="214">
        <v>1</v>
      </c>
      <c r="CR86" s="214">
        <v>0</v>
      </c>
      <c r="CS86" s="214">
        <v>0</v>
      </c>
      <c r="CT86" s="215">
        <v>2</v>
      </c>
      <c r="CU86" s="213" t="s">
        <v>291</v>
      </c>
      <c r="CV86" s="214">
        <v>3</v>
      </c>
      <c r="CW86" s="214">
        <v>0</v>
      </c>
      <c r="CX86" s="214">
        <v>0</v>
      </c>
      <c r="CY86" s="214">
        <v>0</v>
      </c>
      <c r="CZ86" s="214">
        <v>0</v>
      </c>
      <c r="DA86" s="214">
        <v>0</v>
      </c>
      <c r="DB86" s="214">
        <v>0</v>
      </c>
      <c r="DC86" s="214">
        <v>0</v>
      </c>
      <c r="DD86" s="215">
        <v>0</v>
      </c>
      <c r="DE86" s="213" t="s">
        <v>549</v>
      </c>
      <c r="DF86" s="214">
        <v>3</v>
      </c>
      <c r="DG86" s="214">
        <v>0</v>
      </c>
      <c r="DH86" s="214">
        <v>0</v>
      </c>
      <c r="DI86" s="214">
        <v>0</v>
      </c>
      <c r="DJ86" s="214">
        <v>0</v>
      </c>
      <c r="DK86" s="214">
        <v>0</v>
      </c>
      <c r="DL86" s="214">
        <v>0</v>
      </c>
      <c r="DM86" s="214">
        <v>0</v>
      </c>
      <c r="DN86" s="215">
        <v>0</v>
      </c>
      <c r="DO86" s="213" t="s">
        <v>535</v>
      </c>
      <c r="DP86" s="214">
        <v>3</v>
      </c>
      <c r="DQ86" s="214">
        <v>0</v>
      </c>
      <c r="DR86" s="214">
        <v>0</v>
      </c>
      <c r="DS86" s="214">
        <v>0</v>
      </c>
      <c r="DT86" s="214">
        <v>0</v>
      </c>
      <c r="DU86" s="214">
        <v>1</v>
      </c>
      <c r="DV86" s="214">
        <v>0</v>
      </c>
      <c r="DW86" s="214">
        <v>0</v>
      </c>
      <c r="DX86" s="215">
        <v>0</v>
      </c>
      <c r="DY86" s="249">
        <v>6</v>
      </c>
      <c r="DZ86" s="217">
        <v>0</v>
      </c>
      <c r="EA86" s="217">
        <v>0</v>
      </c>
      <c r="EB86" s="250">
        <v>3</v>
      </c>
      <c r="EC86" s="217">
        <v>0</v>
      </c>
      <c r="ED86" s="219">
        <v>0</v>
      </c>
      <c r="EE86" s="220">
        <v>0</v>
      </c>
      <c r="EF86" s="217">
        <v>0</v>
      </c>
      <c r="EG86" s="217">
        <v>0</v>
      </c>
      <c r="EH86" s="217">
        <v>1</v>
      </c>
      <c r="EI86" s="217">
        <v>0</v>
      </c>
      <c r="EJ86" s="217">
        <v>0</v>
      </c>
      <c r="EK86" s="217">
        <v>0</v>
      </c>
      <c r="EL86" s="217">
        <v>0</v>
      </c>
      <c r="EM86" s="217">
        <v>0</v>
      </c>
      <c r="EN86" s="217"/>
      <c r="EO86" s="217"/>
      <c r="EP86" s="217"/>
      <c r="EQ86" s="217"/>
      <c r="ER86" s="219">
        <f t="shared" si="79"/>
        <v>1</v>
      </c>
      <c r="ES86" s="217">
        <v>3</v>
      </c>
      <c r="ET86" s="217">
        <v>0</v>
      </c>
      <c r="EU86" s="217">
        <v>0</v>
      </c>
      <c r="EV86" s="217">
        <v>1</v>
      </c>
      <c r="EW86" s="217">
        <v>0</v>
      </c>
      <c r="EX86" s="217">
        <v>0</v>
      </c>
      <c r="EY86" s="217">
        <v>0</v>
      </c>
      <c r="EZ86" s="217">
        <v>0</v>
      </c>
      <c r="FA86" s="217">
        <v>0</v>
      </c>
      <c r="FB86" s="217"/>
      <c r="FC86" s="217"/>
      <c r="FD86" s="217"/>
      <c r="FE86" s="217"/>
      <c r="FF86" s="217">
        <f t="shared" si="80"/>
        <v>4</v>
      </c>
      <c r="FG86" s="221">
        <f t="shared" si="81"/>
        <v>0</v>
      </c>
      <c r="FH86" s="221">
        <f t="shared" si="82"/>
        <v>0</v>
      </c>
      <c r="FI86" s="221">
        <f t="shared" si="83"/>
        <v>-3</v>
      </c>
      <c r="FJ86" s="221">
        <f t="shared" si="83"/>
        <v>0</v>
      </c>
      <c r="FK86" s="221">
        <f t="shared" si="83"/>
        <v>0</v>
      </c>
      <c r="FL86" s="221">
        <f t="shared" si="83"/>
        <v>0</v>
      </c>
      <c r="FM86" s="221">
        <f t="shared" si="83"/>
        <v>0</v>
      </c>
      <c r="FN86" s="221">
        <f t="shared" si="83"/>
        <v>0</v>
      </c>
      <c r="FO86" s="221">
        <f t="shared" si="83"/>
        <v>0</v>
      </c>
      <c r="FP86" s="221">
        <f t="shared" si="83"/>
        <v>0</v>
      </c>
      <c r="FQ86" s="221">
        <f t="shared" si="83"/>
        <v>0</v>
      </c>
      <c r="FR86" s="221">
        <f t="shared" si="83"/>
        <v>0</v>
      </c>
      <c r="FS86" s="221">
        <f t="shared" si="83"/>
        <v>0</v>
      </c>
      <c r="FT86" s="221">
        <f t="shared" si="83"/>
        <v>0</v>
      </c>
      <c r="FU86" s="221">
        <f t="shared" si="83"/>
        <v>0</v>
      </c>
      <c r="FV86" s="221">
        <f t="shared" si="83"/>
        <v>-3</v>
      </c>
      <c r="FW86" s="222"/>
    </row>
    <row r="87" spans="1:179" x14ac:dyDescent="0.25">
      <c r="A87" s="204">
        <v>40368</v>
      </c>
      <c r="B87" s="204" t="s">
        <v>19</v>
      </c>
      <c r="C87" s="204" t="s">
        <v>131</v>
      </c>
      <c r="D87" s="204" t="s">
        <v>544</v>
      </c>
      <c r="E87" s="205">
        <v>4058</v>
      </c>
      <c r="F87" s="206">
        <v>5</v>
      </c>
      <c r="G87" s="207" t="s">
        <v>580</v>
      </c>
      <c r="H87" s="211">
        <v>0</v>
      </c>
      <c r="I87" s="211">
        <v>1</v>
      </c>
      <c r="J87" s="248">
        <v>5</v>
      </c>
      <c r="K87" s="211">
        <v>6</v>
      </c>
      <c r="L87" s="211">
        <v>1</v>
      </c>
      <c r="M87" s="211">
        <v>1</v>
      </c>
      <c r="N87" s="211">
        <v>0</v>
      </c>
      <c r="O87" s="211">
        <v>3</v>
      </c>
      <c r="P87" s="211">
        <v>0</v>
      </c>
      <c r="Q87" s="211">
        <v>0</v>
      </c>
      <c r="R87" s="211">
        <v>20</v>
      </c>
      <c r="S87" s="211"/>
      <c r="T87" s="211"/>
      <c r="U87" s="211">
        <v>0</v>
      </c>
      <c r="V87" s="210">
        <v>0</v>
      </c>
      <c r="W87" s="211">
        <v>0</v>
      </c>
      <c r="X87" s="211">
        <v>0</v>
      </c>
      <c r="Y87" s="211">
        <v>0</v>
      </c>
      <c r="Z87" s="211">
        <v>0</v>
      </c>
      <c r="AA87" s="211">
        <v>0</v>
      </c>
      <c r="AB87" s="248">
        <v>4</v>
      </c>
      <c r="AC87" s="211">
        <v>6</v>
      </c>
      <c r="AD87" s="211">
        <v>5</v>
      </c>
      <c r="AE87" s="211">
        <v>1</v>
      </c>
      <c r="AF87" s="211">
        <v>1</v>
      </c>
      <c r="AG87" s="211">
        <v>5</v>
      </c>
      <c r="AH87" s="211">
        <v>1</v>
      </c>
      <c r="AI87" s="211">
        <v>0</v>
      </c>
      <c r="AJ87" s="211">
        <v>20</v>
      </c>
      <c r="AK87" s="211"/>
      <c r="AL87" s="211"/>
      <c r="AM87" s="213" t="s">
        <v>459</v>
      </c>
      <c r="AN87" s="214">
        <v>4</v>
      </c>
      <c r="AO87" s="214">
        <v>0</v>
      </c>
      <c r="AP87" s="214">
        <v>0</v>
      </c>
      <c r="AQ87" s="214">
        <v>0</v>
      </c>
      <c r="AR87" s="214">
        <v>1</v>
      </c>
      <c r="AS87" s="214">
        <v>1</v>
      </c>
      <c r="AT87" s="214">
        <v>0</v>
      </c>
      <c r="AU87" s="214">
        <v>0</v>
      </c>
      <c r="AV87" s="215">
        <v>0</v>
      </c>
      <c r="AW87" s="213" t="s">
        <v>529</v>
      </c>
      <c r="AX87" s="214">
        <v>4</v>
      </c>
      <c r="AY87" s="214">
        <v>0</v>
      </c>
      <c r="AZ87" s="214">
        <v>0</v>
      </c>
      <c r="BA87" s="214">
        <v>0</v>
      </c>
      <c r="BB87" s="214">
        <v>0</v>
      </c>
      <c r="BC87" s="214">
        <v>2</v>
      </c>
      <c r="BD87" s="214">
        <v>0</v>
      </c>
      <c r="BE87" s="214">
        <v>0</v>
      </c>
      <c r="BF87" s="215">
        <v>0</v>
      </c>
      <c r="BG87" s="213" t="s">
        <v>534</v>
      </c>
      <c r="BH87" s="214">
        <v>4</v>
      </c>
      <c r="BI87" s="214">
        <v>0</v>
      </c>
      <c r="BJ87" s="214">
        <v>1</v>
      </c>
      <c r="BK87" s="214">
        <v>0</v>
      </c>
      <c r="BL87" s="214">
        <v>0</v>
      </c>
      <c r="BM87" s="214">
        <v>1</v>
      </c>
      <c r="BN87" s="214">
        <v>0</v>
      </c>
      <c r="BO87" s="214">
        <v>0</v>
      </c>
      <c r="BP87" s="215">
        <v>1</v>
      </c>
      <c r="BQ87" s="213" t="s">
        <v>561</v>
      </c>
      <c r="BR87" s="214">
        <v>3</v>
      </c>
      <c r="BS87" s="214">
        <v>0</v>
      </c>
      <c r="BT87" s="214">
        <v>0</v>
      </c>
      <c r="BU87" s="214">
        <v>0</v>
      </c>
      <c r="BV87" s="214">
        <v>1</v>
      </c>
      <c r="BW87" s="214">
        <v>1</v>
      </c>
      <c r="BX87" s="214">
        <v>0</v>
      </c>
      <c r="BY87" s="214">
        <v>0</v>
      </c>
      <c r="BZ87" s="215">
        <v>0</v>
      </c>
      <c r="CA87" s="213" t="s">
        <v>530</v>
      </c>
      <c r="CB87" s="214">
        <v>3</v>
      </c>
      <c r="CC87" s="214">
        <v>0</v>
      </c>
      <c r="CD87" s="214">
        <v>0</v>
      </c>
      <c r="CE87" s="214">
        <v>0</v>
      </c>
      <c r="CF87" s="214">
        <v>1</v>
      </c>
      <c r="CG87" s="214">
        <v>1</v>
      </c>
      <c r="CH87" s="214">
        <v>0</v>
      </c>
      <c r="CI87" s="214">
        <v>0</v>
      </c>
      <c r="CJ87" s="215">
        <v>0</v>
      </c>
      <c r="CK87" s="213" t="s">
        <v>543</v>
      </c>
      <c r="CL87" s="214">
        <v>4</v>
      </c>
      <c r="CM87" s="214">
        <v>0</v>
      </c>
      <c r="CN87" s="214">
        <v>1</v>
      </c>
      <c r="CO87" s="214">
        <v>0</v>
      </c>
      <c r="CP87" s="214">
        <v>0</v>
      </c>
      <c r="CQ87" s="214">
        <v>1</v>
      </c>
      <c r="CR87" s="214">
        <v>0</v>
      </c>
      <c r="CS87" s="214">
        <v>0</v>
      </c>
      <c r="CT87" s="215">
        <v>1</v>
      </c>
      <c r="CU87" s="213" t="s">
        <v>549</v>
      </c>
      <c r="CV87" s="214">
        <v>2</v>
      </c>
      <c r="CW87" s="214">
        <v>0</v>
      </c>
      <c r="CX87" s="214">
        <v>0</v>
      </c>
      <c r="CY87" s="214">
        <v>0</v>
      </c>
      <c r="CZ87" s="214">
        <v>2</v>
      </c>
      <c r="DA87" s="214">
        <v>1</v>
      </c>
      <c r="DB87" s="214">
        <v>0</v>
      </c>
      <c r="DC87" s="214">
        <v>0</v>
      </c>
      <c r="DD87" s="215">
        <v>0</v>
      </c>
      <c r="DE87" s="213" t="s">
        <v>538</v>
      </c>
      <c r="DF87" s="214">
        <v>3</v>
      </c>
      <c r="DG87" s="214">
        <v>0</v>
      </c>
      <c r="DH87" s="214">
        <v>1</v>
      </c>
      <c r="DI87" s="214">
        <v>0</v>
      </c>
      <c r="DJ87" s="214">
        <v>1</v>
      </c>
      <c r="DK87" s="214">
        <v>2</v>
      </c>
      <c r="DL87" s="214">
        <v>0</v>
      </c>
      <c r="DM87" s="214">
        <v>0</v>
      </c>
      <c r="DN87" s="215">
        <v>1</v>
      </c>
      <c r="DO87" s="213" t="s">
        <v>535</v>
      </c>
      <c r="DP87" s="214">
        <v>2</v>
      </c>
      <c r="DQ87" s="214">
        <v>0</v>
      </c>
      <c r="DR87" s="214">
        <v>0</v>
      </c>
      <c r="DS87" s="214">
        <v>0</v>
      </c>
      <c r="DT87" s="214">
        <v>2</v>
      </c>
      <c r="DU87" s="214">
        <v>1</v>
      </c>
      <c r="DV87" s="214">
        <v>0</v>
      </c>
      <c r="DW87" s="214">
        <v>0</v>
      </c>
      <c r="DX87" s="215">
        <v>0</v>
      </c>
      <c r="DY87" s="249">
        <v>3</v>
      </c>
      <c r="DZ87" s="217">
        <v>0</v>
      </c>
      <c r="EA87" s="217">
        <v>0</v>
      </c>
      <c r="EB87" s="250">
        <v>6</v>
      </c>
      <c r="EC87" s="217">
        <v>2</v>
      </c>
      <c r="ED87" s="219">
        <v>1</v>
      </c>
      <c r="EE87" s="220">
        <v>0</v>
      </c>
      <c r="EF87" s="217">
        <v>0</v>
      </c>
      <c r="EG87" s="217">
        <v>0</v>
      </c>
      <c r="EH87" s="217">
        <v>0</v>
      </c>
      <c r="EI87" s="217">
        <v>0</v>
      </c>
      <c r="EJ87" s="217">
        <v>0</v>
      </c>
      <c r="EK87" s="217">
        <v>0</v>
      </c>
      <c r="EL87" s="217">
        <v>0</v>
      </c>
      <c r="EM87" s="217">
        <v>0</v>
      </c>
      <c r="EN87" s="217"/>
      <c r="EO87" s="217"/>
      <c r="EP87" s="217"/>
      <c r="EQ87" s="217"/>
      <c r="ER87" s="219">
        <f t="shared" si="79"/>
        <v>0</v>
      </c>
      <c r="ES87" s="217">
        <v>0</v>
      </c>
      <c r="ET87" s="217">
        <v>0</v>
      </c>
      <c r="EU87" s="217">
        <v>0</v>
      </c>
      <c r="EV87" s="217">
        <v>0</v>
      </c>
      <c r="EW87" s="217">
        <v>1</v>
      </c>
      <c r="EX87" s="217">
        <v>5</v>
      </c>
      <c r="EY87" s="217">
        <v>0</v>
      </c>
      <c r="EZ87" s="217">
        <v>0</v>
      </c>
      <c r="FA87" s="217">
        <v>0</v>
      </c>
      <c r="FB87" s="217"/>
      <c r="FC87" s="217"/>
      <c r="FD87" s="217"/>
      <c r="FE87" s="217"/>
      <c r="FF87" s="217">
        <f t="shared" si="80"/>
        <v>6</v>
      </c>
      <c r="FG87" s="221">
        <f t="shared" si="81"/>
        <v>0</v>
      </c>
      <c r="FH87" s="221">
        <f t="shared" si="82"/>
        <v>0</v>
      </c>
      <c r="FI87" s="221">
        <f t="shared" si="83"/>
        <v>0</v>
      </c>
      <c r="FJ87" s="221">
        <f t="shared" si="83"/>
        <v>0</v>
      </c>
      <c r="FK87" s="221">
        <f t="shared" si="83"/>
        <v>0</v>
      </c>
      <c r="FL87" s="221">
        <f t="shared" si="83"/>
        <v>0</v>
      </c>
      <c r="FM87" s="221">
        <f t="shared" si="83"/>
        <v>-1</v>
      </c>
      <c r="FN87" s="221">
        <f t="shared" si="83"/>
        <v>-5</v>
      </c>
      <c r="FO87" s="221">
        <f t="shared" si="83"/>
        <v>0</v>
      </c>
      <c r="FP87" s="221">
        <f t="shared" si="83"/>
        <v>0</v>
      </c>
      <c r="FQ87" s="221">
        <f t="shared" si="83"/>
        <v>0</v>
      </c>
      <c r="FR87" s="221">
        <f t="shared" si="83"/>
        <v>0</v>
      </c>
      <c r="FS87" s="221">
        <f t="shared" si="83"/>
        <v>0</v>
      </c>
      <c r="FT87" s="221">
        <f t="shared" si="83"/>
        <v>0</v>
      </c>
      <c r="FU87" s="221">
        <f t="shared" si="83"/>
        <v>0</v>
      </c>
      <c r="FV87" s="221">
        <f t="shared" si="83"/>
        <v>-6</v>
      </c>
      <c r="FW87" s="222"/>
    </row>
    <row r="88" spans="1:179" x14ac:dyDescent="0.25">
      <c r="A88" s="204">
        <v>40369</v>
      </c>
      <c r="B88" s="204" t="s">
        <v>133</v>
      </c>
      <c r="C88" s="204" t="s">
        <v>129</v>
      </c>
      <c r="D88" s="204" t="s">
        <v>548</v>
      </c>
      <c r="E88" s="205">
        <v>8114</v>
      </c>
      <c r="F88" s="206">
        <v>1</v>
      </c>
      <c r="G88" s="207" t="s">
        <v>540</v>
      </c>
      <c r="H88" s="211">
        <v>1</v>
      </c>
      <c r="I88" s="211">
        <v>0</v>
      </c>
      <c r="J88" s="248">
        <v>6</v>
      </c>
      <c r="K88" s="211">
        <v>5</v>
      </c>
      <c r="L88" s="211">
        <v>2</v>
      </c>
      <c r="M88" s="211">
        <v>2</v>
      </c>
      <c r="N88" s="211">
        <v>0</v>
      </c>
      <c r="O88" s="211">
        <v>6</v>
      </c>
      <c r="P88" s="211">
        <v>0</v>
      </c>
      <c r="Q88" s="211">
        <v>0</v>
      </c>
      <c r="R88" s="211">
        <v>23</v>
      </c>
      <c r="S88" s="211"/>
      <c r="T88" s="211"/>
      <c r="U88" s="211">
        <v>0</v>
      </c>
      <c r="V88" s="210">
        <v>0</v>
      </c>
      <c r="W88" s="211">
        <v>0</v>
      </c>
      <c r="X88" s="211">
        <v>0</v>
      </c>
      <c r="Y88" s="211">
        <v>0</v>
      </c>
      <c r="Z88" s="211">
        <v>0</v>
      </c>
      <c r="AA88" s="211">
        <v>0</v>
      </c>
      <c r="AB88" s="248">
        <v>3</v>
      </c>
      <c r="AC88" s="211">
        <v>2</v>
      </c>
      <c r="AD88" s="211">
        <v>3</v>
      </c>
      <c r="AE88" s="211">
        <v>3</v>
      </c>
      <c r="AF88" s="211">
        <v>1</v>
      </c>
      <c r="AG88" s="211">
        <v>2</v>
      </c>
      <c r="AH88" s="211">
        <v>1</v>
      </c>
      <c r="AI88" s="211">
        <v>0</v>
      </c>
      <c r="AJ88" s="211">
        <v>13</v>
      </c>
      <c r="AK88" s="211"/>
      <c r="AL88" s="211"/>
      <c r="AM88" s="213" t="s">
        <v>459</v>
      </c>
      <c r="AN88" s="214">
        <v>4</v>
      </c>
      <c r="AO88" s="214">
        <v>4</v>
      </c>
      <c r="AP88" s="214">
        <v>3</v>
      </c>
      <c r="AQ88" s="214">
        <v>1</v>
      </c>
      <c r="AR88" s="214">
        <v>0</v>
      </c>
      <c r="AS88" s="214">
        <v>1</v>
      </c>
      <c r="AT88" s="214">
        <v>2</v>
      </c>
      <c r="AU88" s="214">
        <v>0</v>
      </c>
      <c r="AV88" s="215">
        <v>6</v>
      </c>
      <c r="AW88" s="213" t="s">
        <v>534</v>
      </c>
      <c r="AX88" s="214">
        <v>4</v>
      </c>
      <c r="AY88" s="214">
        <v>1</v>
      </c>
      <c r="AZ88" s="214">
        <v>0</v>
      </c>
      <c r="BA88" s="214">
        <v>0</v>
      </c>
      <c r="BB88" s="214">
        <v>2</v>
      </c>
      <c r="BC88" s="214">
        <v>0</v>
      </c>
      <c r="BD88" s="214">
        <v>0</v>
      </c>
      <c r="BE88" s="214">
        <v>0</v>
      </c>
      <c r="BF88" s="215">
        <v>0</v>
      </c>
      <c r="BG88" s="213" t="s">
        <v>531</v>
      </c>
      <c r="BH88" s="214">
        <v>4</v>
      </c>
      <c r="BI88" s="214">
        <v>2</v>
      </c>
      <c r="BJ88" s="214">
        <v>2</v>
      </c>
      <c r="BK88" s="214">
        <v>0</v>
      </c>
      <c r="BL88" s="214">
        <v>1</v>
      </c>
      <c r="BM88" s="214">
        <v>0</v>
      </c>
      <c r="BN88" s="214">
        <v>0</v>
      </c>
      <c r="BO88" s="214">
        <v>0</v>
      </c>
      <c r="BP88" s="215">
        <v>2</v>
      </c>
      <c r="BQ88" s="213" t="s">
        <v>539</v>
      </c>
      <c r="BR88" s="214">
        <v>3</v>
      </c>
      <c r="BS88" s="214">
        <v>1</v>
      </c>
      <c r="BT88" s="214">
        <v>1</v>
      </c>
      <c r="BU88" s="214">
        <v>2</v>
      </c>
      <c r="BV88" s="214">
        <v>1</v>
      </c>
      <c r="BW88" s="214">
        <v>0</v>
      </c>
      <c r="BX88" s="214">
        <v>0</v>
      </c>
      <c r="BY88" s="214">
        <v>1</v>
      </c>
      <c r="BZ88" s="215">
        <v>1</v>
      </c>
      <c r="CA88" s="213" t="s">
        <v>530</v>
      </c>
      <c r="CB88" s="214">
        <v>4</v>
      </c>
      <c r="CC88" s="214">
        <v>0</v>
      </c>
      <c r="CD88" s="214">
        <v>2</v>
      </c>
      <c r="CE88" s="214">
        <v>2</v>
      </c>
      <c r="CF88" s="214">
        <v>1</v>
      </c>
      <c r="CG88" s="214">
        <v>0</v>
      </c>
      <c r="CH88" s="214">
        <v>0</v>
      </c>
      <c r="CI88" s="214">
        <v>0</v>
      </c>
      <c r="CJ88" s="215">
        <v>3</v>
      </c>
      <c r="CK88" s="213" t="s">
        <v>529</v>
      </c>
      <c r="CL88" s="214">
        <v>5</v>
      </c>
      <c r="CM88" s="214">
        <v>0</v>
      </c>
      <c r="CN88" s="214">
        <v>0</v>
      </c>
      <c r="CO88" s="214">
        <v>0</v>
      </c>
      <c r="CP88" s="214">
        <v>0</v>
      </c>
      <c r="CQ88" s="214">
        <v>2</v>
      </c>
      <c r="CR88" s="214">
        <v>0</v>
      </c>
      <c r="CS88" s="214">
        <v>0</v>
      </c>
      <c r="CT88" s="215">
        <v>0</v>
      </c>
      <c r="CU88" s="213" t="s">
        <v>561</v>
      </c>
      <c r="CV88" s="214">
        <v>4</v>
      </c>
      <c r="CW88" s="214">
        <v>1</v>
      </c>
      <c r="CX88" s="214">
        <v>1</v>
      </c>
      <c r="CY88" s="214">
        <v>1</v>
      </c>
      <c r="CZ88" s="214">
        <v>1</v>
      </c>
      <c r="DA88" s="214">
        <v>0</v>
      </c>
      <c r="DB88" s="214">
        <v>0</v>
      </c>
      <c r="DC88" s="214">
        <v>0</v>
      </c>
      <c r="DD88" s="215">
        <v>1</v>
      </c>
      <c r="DE88" s="213" t="s">
        <v>543</v>
      </c>
      <c r="DF88" s="214">
        <v>5</v>
      </c>
      <c r="DG88" s="214">
        <v>1</v>
      </c>
      <c r="DH88" s="214">
        <v>2</v>
      </c>
      <c r="DI88" s="214">
        <v>3</v>
      </c>
      <c r="DJ88" s="214">
        <v>0</v>
      </c>
      <c r="DK88" s="214">
        <v>0</v>
      </c>
      <c r="DL88" s="214">
        <v>0</v>
      </c>
      <c r="DM88" s="214">
        <v>0</v>
      </c>
      <c r="DN88" s="215">
        <v>5</v>
      </c>
      <c r="DO88" s="213" t="s">
        <v>291</v>
      </c>
      <c r="DP88" s="214">
        <v>5</v>
      </c>
      <c r="DQ88" s="214">
        <v>1</v>
      </c>
      <c r="DR88" s="214">
        <v>1</v>
      </c>
      <c r="DS88" s="214">
        <v>1</v>
      </c>
      <c r="DT88" s="214">
        <v>0</v>
      </c>
      <c r="DU88" s="214">
        <v>3</v>
      </c>
      <c r="DV88" s="214">
        <v>0</v>
      </c>
      <c r="DW88" s="214">
        <v>0</v>
      </c>
      <c r="DX88" s="215">
        <v>4</v>
      </c>
      <c r="DY88" s="249">
        <v>6</v>
      </c>
      <c r="DZ88" s="217">
        <v>0</v>
      </c>
      <c r="EA88" s="217">
        <v>0</v>
      </c>
      <c r="EB88" s="250">
        <v>3</v>
      </c>
      <c r="EC88" s="217">
        <v>1</v>
      </c>
      <c r="ED88" s="219">
        <v>0</v>
      </c>
      <c r="EE88" s="220">
        <v>2</v>
      </c>
      <c r="EF88" s="217">
        <v>0</v>
      </c>
      <c r="EG88" s="217">
        <v>2</v>
      </c>
      <c r="EH88" s="217">
        <v>6</v>
      </c>
      <c r="EI88" s="217">
        <v>1</v>
      </c>
      <c r="EJ88" s="217">
        <v>0</v>
      </c>
      <c r="EK88" s="217">
        <v>0</v>
      </c>
      <c r="EL88" s="217">
        <v>0</v>
      </c>
      <c r="EM88" s="217">
        <v>0</v>
      </c>
      <c r="EN88" s="217"/>
      <c r="EO88" s="217"/>
      <c r="EP88" s="217"/>
      <c r="EQ88" s="217"/>
      <c r="ER88" s="219">
        <f t="shared" ref="ER88:ER97" si="84">SUM(EE88:EQ88)</f>
        <v>11</v>
      </c>
      <c r="ES88" s="217">
        <v>1</v>
      </c>
      <c r="ET88" s="217">
        <v>0</v>
      </c>
      <c r="EU88" s="217">
        <v>0</v>
      </c>
      <c r="EV88" s="217">
        <v>0</v>
      </c>
      <c r="EW88" s="217">
        <v>0</v>
      </c>
      <c r="EX88" s="217">
        <v>1</v>
      </c>
      <c r="EY88" s="217">
        <v>1</v>
      </c>
      <c r="EZ88" s="217">
        <v>0</v>
      </c>
      <c r="FA88" s="217">
        <v>2</v>
      </c>
      <c r="FB88" s="217"/>
      <c r="FC88" s="217"/>
      <c r="FD88" s="217"/>
      <c r="FE88" s="217"/>
      <c r="FF88" s="217">
        <f t="shared" ref="FF88:FF97" si="85">SUM(ES88:FE88)</f>
        <v>5</v>
      </c>
      <c r="FG88" s="221">
        <f t="shared" ref="FG88:FG97" si="86">((SUM(L88,AD88))-(FF88))</f>
        <v>0</v>
      </c>
      <c r="FH88" s="221">
        <f t="shared" ref="FH88:FH97" si="87">((SUM(AO88,AY88,BI88,BS88,CC88,CM88,CW88,DG88,DQ88))-(ER88))</f>
        <v>0</v>
      </c>
      <c r="FI88" s="221">
        <f t="shared" ref="FI88:FI97" si="88">(EE88-ES88)</f>
        <v>1</v>
      </c>
      <c r="FJ88" s="221">
        <f t="shared" ref="FJ88:FJ97" si="89">(EF88-ET88)</f>
        <v>0</v>
      </c>
      <c r="FK88" s="221">
        <f t="shared" ref="FK88:FK97" si="90">(EG88-EU88)</f>
        <v>2</v>
      </c>
      <c r="FL88" s="221">
        <f t="shared" ref="FL88:FL97" si="91">(EH88-EV88)</f>
        <v>6</v>
      </c>
      <c r="FM88" s="221">
        <f t="shared" ref="FM88:FM97" si="92">(EI88-EW88)</f>
        <v>1</v>
      </c>
      <c r="FN88" s="221">
        <f t="shared" ref="FN88:FN97" si="93">(EJ88-EX88)</f>
        <v>-1</v>
      </c>
      <c r="FO88" s="221">
        <f t="shared" ref="FO88:FO97" si="94">(EK88-EY88)</f>
        <v>-1</v>
      </c>
      <c r="FP88" s="221">
        <f t="shared" ref="FP88:FP97" si="95">(EL88-EZ88)</f>
        <v>0</v>
      </c>
      <c r="FQ88" s="221">
        <f t="shared" ref="FQ88:FQ97" si="96">(EM88-FA88)</f>
        <v>-2</v>
      </c>
      <c r="FR88" s="221">
        <f t="shared" ref="FR88:FR97" si="97">(EN88-FB88)</f>
        <v>0</v>
      </c>
      <c r="FS88" s="221">
        <f t="shared" ref="FS88:FS97" si="98">(EO88-FC88)</f>
        <v>0</v>
      </c>
      <c r="FT88" s="221">
        <f t="shared" ref="FT88:FT97" si="99">(EP88-FD88)</f>
        <v>0</v>
      </c>
      <c r="FU88" s="221">
        <f t="shared" ref="FU88:FU97" si="100">(EQ88-FE88)</f>
        <v>0</v>
      </c>
      <c r="FV88" s="221">
        <f t="shared" ref="FV88:FV97" si="101">(ER88-FF88)</f>
        <v>6</v>
      </c>
      <c r="FW88" s="222"/>
    </row>
    <row r="89" spans="1:179" x14ac:dyDescent="0.25">
      <c r="A89" s="204">
        <v>40370</v>
      </c>
      <c r="B89" s="204" t="s">
        <v>133</v>
      </c>
      <c r="C89" s="204" t="s">
        <v>129</v>
      </c>
      <c r="D89" s="204" t="s">
        <v>548</v>
      </c>
      <c r="E89" s="205">
        <v>5317</v>
      </c>
      <c r="F89" s="206">
        <v>2</v>
      </c>
      <c r="G89" s="207" t="s">
        <v>546</v>
      </c>
      <c r="H89" s="211">
        <v>1</v>
      </c>
      <c r="I89" s="211">
        <v>0</v>
      </c>
      <c r="J89" s="248">
        <v>6</v>
      </c>
      <c r="K89" s="211">
        <v>5</v>
      </c>
      <c r="L89" s="211">
        <v>2</v>
      </c>
      <c r="M89" s="211">
        <v>2</v>
      </c>
      <c r="N89" s="211">
        <v>1</v>
      </c>
      <c r="O89" s="211">
        <v>7</v>
      </c>
      <c r="P89" s="211">
        <v>1</v>
      </c>
      <c r="Q89" s="211">
        <v>0</v>
      </c>
      <c r="R89" s="211">
        <v>23</v>
      </c>
      <c r="S89" s="211"/>
      <c r="T89" s="211"/>
      <c r="U89" s="211">
        <v>0</v>
      </c>
      <c r="V89" s="210">
        <v>0</v>
      </c>
      <c r="W89" s="211">
        <v>0</v>
      </c>
      <c r="X89" s="211">
        <v>0</v>
      </c>
      <c r="Y89" s="211">
        <v>1</v>
      </c>
      <c r="Z89" s="211">
        <v>1</v>
      </c>
      <c r="AA89" s="211">
        <v>0</v>
      </c>
      <c r="AB89" s="248">
        <v>3</v>
      </c>
      <c r="AC89" s="211">
        <v>2</v>
      </c>
      <c r="AD89" s="211">
        <v>2</v>
      </c>
      <c r="AE89" s="211">
        <v>2</v>
      </c>
      <c r="AF89" s="211">
        <v>1</v>
      </c>
      <c r="AG89" s="211">
        <v>4</v>
      </c>
      <c r="AH89" s="211">
        <v>1</v>
      </c>
      <c r="AI89" s="211">
        <v>0</v>
      </c>
      <c r="AJ89" s="211">
        <v>12</v>
      </c>
      <c r="AK89" s="211"/>
      <c r="AL89" s="211"/>
      <c r="AM89" s="213" t="s">
        <v>529</v>
      </c>
      <c r="AN89" s="214">
        <v>5</v>
      </c>
      <c r="AO89" s="214">
        <v>1</v>
      </c>
      <c r="AP89" s="214">
        <v>2</v>
      </c>
      <c r="AQ89" s="214">
        <v>2</v>
      </c>
      <c r="AR89" s="214">
        <v>0</v>
      </c>
      <c r="AS89" s="214">
        <v>1</v>
      </c>
      <c r="AT89" s="214">
        <v>0</v>
      </c>
      <c r="AU89" s="214">
        <v>0</v>
      </c>
      <c r="AV89" s="215">
        <v>3</v>
      </c>
      <c r="AW89" s="213" t="s">
        <v>534</v>
      </c>
      <c r="AX89" s="214">
        <v>4</v>
      </c>
      <c r="AY89" s="214">
        <v>1</v>
      </c>
      <c r="AZ89" s="214">
        <v>1</v>
      </c>
      <c r="BA89" s="214">
        <v>1</v>
      </c>
      <c r="BB89" s="214">
        <v>1</v>
      </c>
      <c r="BC89" s="214">
        <v>1</v>
      </c>
      <c r="BD89" s="214">
        <v>0</v>
      </c>
      <c r="BE89" s="214">
        <v>0</v>
      </c>
      <c r="BF89" s="215">
        <v>3</v>
      </c>
      <c r="BG89" s="213" t="s">
        <v>531</v>
      </c>
      <c r="BH89" s="214">
        <v>5</v>
      </c>
      <c r="BI89" s="214">
        <v>1</v>
      </c>
      <c r="BJ89" s="214">
        <v>1</v>
      </c>
      <c r="BK89" s="214">
        <v>1</v>
      </c>
      <c r="BL89" s="214">
        <v>0</v>
      </c>
      <c r="BM89" s="214">
        <v>1</v>
      </c>
      <c r="BN89" s="214">
        <v>0</v>
      </c>
      <c r="BO89" s="214">
        <v>0</v>
      </c>
      <c r="BP89" s="215">
        <v>3</v>
      </c>
      <c r="BQ89" s="213" t="s">
        <v>539</v>
      </c>
      <c r="BR89" s="214">
        <v>3</v>
      </c>
      <c r="BS89" s="214">
        <v>0</v>
      </c>
      <c r="BT89" s="214">
        <v>0</v>
      </c>
      <c r="BU89" s="214">
        <v>0</v>
      </c>
      <c r="BV89" s="214">
        <v>0</v>
      </c>
      <c r="BW89" s="214">
        <v>1</v>
      </c>
      <c r="BX89" s="214">
        <v>1</v>
      </c>
      <c r="BY89" s="214">
        <v>0</v>
      </c>
      <c r="BZ89" s="215">
        <v>0</v>
      </c>
      <c r="CA89" s="213" t="s">
        <v>561</v>
      </c>
      <c r="CB89" s="214">
        <v>4</v>
      </c>
      <c r="CC89" s="214">
        <v>1</v>
      </c>
      <c r="CD89" s="214">
        <v>1</v>
      </c>
      <c r="CE89" s="214">
        <v>1</v>
      </c>
      <c r="CF89" s="214">
        <v>0</v>
      </c>
      <c r="CG89" s="214">
        <v>1</v>
      </c>
      <c r="CH89" s="214">
        <v>0</v>
      </c>
      <c r="CI89" s="214">
        <v>0</v>
      </c>
      <c r="CJ89" s="215">
        <v>1</v>
      </c>
      <c r="CK89" s="213" t="s">
        <v>543</v>
      </c>
      <c r="CL89" s="214">
        <v>4</v>
      </c>
      <c r="CM89" s="214">
        <v>0</v>
      </c>
      <c r="CN89" s="214">
        <v>0</v>
      </c>
      <c r="CO89" s="214">
        <v>0</v>
      </c>
      <c r="CP89" s="214">
        <v>0</v>
      </c>
      <c r="CQ89" s="214">
        <v>1</v>
      </c>
      <c r="CR89" s="214">
        <v>0</v>
      </c>
      <c r="CS89" s="214">
        <v>0</v>
      </c>
      <c r="CT89" s="215">
        <v>0</v>
      </c>
      <c r="CU89" s="213" t="s">
        <v>549</v>
      </c>
      <c r="CV89" s="214">
        <v>3</v>
      </c>
      <c r="CW89" s="214">
        <v>1</v>
      </c>
      <c r="CX89" s="214">
        <v>2</v>
      </c>
      <c r="CY89" s="214">
        <v>1</v>
      </c>
      <c r="CZ89" s="214">
        <v>1</v>
      </c>
      <c r="DA89" s="214">
        <v>0</v>
      </c>
      <c r="DB89" s="214">
        <v>0</v>
      </c>
      <c r="DC89" s="214">
        <v>0</v>
      </c>
      <c r="DD89" s="215">
        <v>3</v>
      </c>
      <c r="DE89" s="213" t="s">
        <v>538</v>
      </c>
      <c r="DF89" s="214">
        <v>3</v>
      </c>
      <c r="DG89" s="214">
        <v>0</v>
      </c>
      <c r="DH89" s="214">
        <v>0</v>
      </c>
      <c r="DI89" s="214">
        <v>0</v>
      </c>
      <c r="DJ89" s="214">
        <v>0</v>
      </c>
      <c r="DK89" s="214">
        <v>0</v>
      </c>
      <c r="DL89" s="214">
        <v>0</v>
      </c>
      <c r="DM89" s="214">
        <v>0</v>
      </c>
      <c r="DN89" s="215">
        <v>0</v>
      </c>
      <c r="DO89" s="213" t="s">
        <v>535</v>
      </c>
      <c r="DP89" s="214">
        <v>3</v>
      </c>
      <c r="DQ89" s="214">
        <v>1</v>
      </c>
      <c r="DR89" s="214">
        <v>0</v>
      </c>
      <c r="DS89" s="214">
        <v>0</v>
      </c>
      <c r="DT89" s="214">
        <v>1</v>
      </c>
      <c r="DU89" s="214">
        <v>1</v>
      </c>
      <c r="DV89" s="214">
        <v>0</v>
      </c>
      <c r="DW89" s="214">
        <v>0</v>
      </c>
      <c r="DX89" s="215">
        <v>0</v>
      </c>
      <c r="DY89" s="249">
        <v>0</v>
      </c>
      <c r="DZ89" s="217">
        <v>0</v>
      </c>
      <c r="EA89" s="217">
        <v>0</v>
      </c>
      <c r="EB89" s="250">
        <v>9</v>
      </c>
      <c r="EC89" s="217">
        <v>1</v>
      </c>
      <c r="ED89" s="219">
        <v>0</v>
      </c>
      <c r="EE89" s="220">
        <v>4</v>
      </c>
      <c r="EF89" s="217">
        <v>0</v>
      </c>
      <c r="EG89" s="217">
        <v>0</v>
      </c>
      <c r="EH89" s="217">
        <v>0</v>
      </c>
      <c r="EI89" s="217">
        <v>0</v>
      </c>
      <c r="EJ89" s="217">
        <v>0</v>
      </c>
      <c r="EK89" s="217">
        <v>1</v>
      </c>
      <c r="EL89" s="217">
        <v>0</v>
      </c>
      <c r="EM89" s="217">
        <v>1</v>
      </c>
      <c r="EN89" s="217"/>
      <c r="EO89" s="217"/>
      <c r="EP89" s="217"/>
      <c r="EQ89" s="217"/>
      <c r="ER89" s="219">
        <f t="shared" si="84"/>
        <v>6</v>
      </c>
      <c r="ES89" s="217">
        <v>0</v>
      </c>
      <c r="ET89" s="217">
        <v>0</v>
      </c>
      <c r="EU89" s="217">
        <v>0</v>
      </c>
      <c r="EV89" s="217">
        <v>2</v>
      </c>
      <c r="EW89" s="217">
        <v>0</v>
      </c>
      <c r="EX89" s="217">
        <v>0</v>
      </c>
      <c r="EY89" s="217">
        <v>2</v>
      </c>
      <c r="EZ89" s="217">
        <v>0</v>
      </c>
      <c r="FA89" s="217">
        <v>0</v>
      </c>
      <c r="FB89" s="217"/>
      <c r="FC89" s="217"/>
      <c r="FD89" s="217"/>
      <c r="FE89" s="217"/>
      <c r="FF89" s="217">
        <f t="shared" si="85"/>
        <v>4</v>
      </c>
      <c r="FG89" s="221">
        <f t="shared" si="86"/>
        <v>0</v>
      </c>
      <c r="FH89" s="221">
        <f t="shared" si="87"/>
        <v>0</v>
      </c>
      <c r="FI89" s="221">
        <f t="shared" si="88"/>
        <v>4</v>
      </c>
      <c r="FJ89" s="221">
        <f t="shared" si="89"/>
        <v>0</v>
      </c>
      <c r="FK89" s="221">
        <f t="shared" si="90"/>
        <v>0</v>
      </c>
      <c r="FL89" s="221">
        <f t="shared" si="91"/>
        <v>-2</v>
      </c>
      <c r="FM89" s="221">
        <f t="shared" si="92"/>
        <v>0</v>
      </c>
      <c r="FN89" s="221">
        <f t="shared" si="93"/>
        <v>0</v>
      </c>
      <c r="FO89" s="221">
        <f t="shared" si="94"/>
        <v>-1</v>
      </c>
      <c r="FP89" s="221">
        <f t="shared" si="95"/>
        <v>0</v>
      </c>
      <c r="FQ89" s="221">
        <f t="shared" si="96"/>
        <v>1</v>
      </c>
      <c r="FR89" s="221">
        <f t="shared" si="97"/>
        <v>0</v>
      </c>
      <c r="FS89" s="221">
        <f t="shared" si="98"/>
        <v>0</v>
      </c>
      <c r="FT89" s="221">
        <f t="shared" si="99"/>
        <v>0</v>
      </c>
      <c r="FU89" s="221">
        <f t="shared" si="100"/>
        <v>0</v>
      </c>
      <c r="FV89" s="221">
        <f t="shared" si="101"/>
        <v>2</v>
      </c>
      <c r="FW89" s="222"/>
    </row>
    <row r="90" spans="1:179" x14ac:dyDescent="0.25">
      <c r="A90" s="204">
        <v>40371</v>
      </c>
      <c r="B90" s="204" t="s">
        <v>133</v>
      </c>
      <c r="C90" s="204" t="s">
        <v>131</v>
      </c>
      <c r="D90" s="204" t="s">
        <v>548</v>
      </c>
      <c r="E90" s="205">
        <v>2715</v>
      </c>
      <c r="F90" s="206">
        <v>3</v>
      </c>
      <c r="G90" s="207" t="s">
        <v>321</v>
      </c>
      <c r="H90" s="211">
        <v>0</v>
      </c>
      <c r="I90" s="211">
        <v>1</v>
      </c>
      <c r="J90" s="248">
        <f>2+1/3</f>
        <v>2.3333333333333335</v>
      </c>
      <c r="K90" s="211">
        <v>3</v>
      </c>
      <c r="L90" s="211">
        <v>1</v>
      </c>
      <c r="M90" s="211">
        <v>1</v>
      </c>
      <c r="N90" s="211">
        <v>3</v>
      </c>
      <c r="O90" s="211">
        <v>1</v>
      </c>
      <c r="P90" s="211">
        <v>0</v>
      </c>
      <c r="Q90" s="211">
        <v>0</v>
      </c>
      <c r="R90" s="211">
        <v>10</v>
      </c>
      <c r="S90" s="211"/>
      <c r="T90" s="211"/>
      <c r="U90" s="211">
        <v>1</v>
      </c>
      <c r="V90" s="210">
        <v>1</v>
      </c>
      <c r="W90" s="211">
        <v>0</v>
      </c>
      <c r="X90" s="211">
        <v>0</v>
      </c>
      <c r="Y90" s="211">
        <v>0</v>
      </c>
      <c r="Z90" s="211">
        <v>0</v>
      </c>
      <c r="AA90" s="211">
        <v>0</v>
      </c>
      <c r="AB90" s="248">
        <f>5+2/3</f>
        <v>5.666666666666667</v>
      </c>
      <c r="AC90" s="211">
        <v>7</v>
      </c>
      <c r="AD90" s="211">
        <v>0</v>
      </c>
      <c r="AE90" s="211">
        <v>0</v>
      </c>
      <c r="AF90" s="211">
        <v>0</v>
      </c>
      <c r="AG90" s="211">
        <v>4</v>
      </c>
      <c r="AH90" s="211">
        <v>0</v>
      </c>
      <c r="AI90" s="211">
        <v>0</v>
      </c>
      <c r="AJ90" s="211">
        <v>24</v>
      </c>
      <c r="AK90" s="211"/>
      <c r="AL90" s="211"/>
      <c r="AM90" s="213" t="s">
        <v>459</v>
      </c>
      <c r="AN90" s="214">
        <v>4</v>
      </c>
      <c r="AO90" s="214">
        <v>0</v>
      </c>
      <c r="AP90" s="214">
        <v>1</v>
      </c>
      <c r="AQ90" s="214">
        <v>0</v>
      </c>
      <c r="AR90" s="214">
        <v>0</v>
      </c>
      <c r="AS90" s="214">
        <v>2</v>
      </c>
      <c r="AT90" s="214">
        <v>0</v>
      </c>
      <c r="AU90" s="214">
        <v>0</v>
      </c>
      <c r="AV90" s="215">
        <v>1</v>
      </c>
      <c r="AW90" s="213" t="s">
        <v>534</v>
      </c>
      <c r="AX90" s="214">
        <v>4</v>
      </c>
      <c r="AY90" s="214">
        <v>0</v>
      </c>
      <c r="AZ90" s="214">
        <v>2</v>
      </c>
      <c r="BA90" s="214">
        <v>0</v>
      </c>
      <c r="BB90" s="214">
        <v>0</v>
      </c>
      <c r="BC90" s="214">
        <v>1</v>
      </c>
      <c r="BD90" s="214">
        <v>0</v>
      </c>
      <c r="BE90" s="214">
        <v>0</v>
      </c>
      <c r="BF90" s="215">
        <v>3</v>
      </c>
      <c r="BG90" s="213" t="s">
        <v>531</v>
      </c>
      <c r="BH90" s="214">
        <v>2</v>
      </c>
      <c r="BI90" s="214">
        <v>0</v>
      </c>
      <c r="BJ90" s="214">
        <v>0</v>
      </c>
      <c r="BK90" s="214">
        <v>0</v>
      </c>
      <c r="BL90" s="214">
        <v>2</v>
      </c>
      <c r="BM90" s="214">
        <v>0</v>
      </c>
      <c r="BN90" s="214">
        <v>0</v>
      </c>
      <c r="BO90" s="214">
        <v>0</v>
      </c>
      <c r="BP90" s="215">
        <v>0</v>
      </c>
      <c r="BQ90" s="213" t="s">
        <v>539</v>
      </c>
      <c r="BR90" s="214">
        <v>3</v>
      </c>
      <c r="BS90" s="214">
        <v>0</v>
      </c>
      <c r="BT90" s="214">
        <v>0</v>
      </c>
      <c r="BU90" s="214">
        <v>0</v>
      </c>
      <c r="BV90" s="214">
        <v>1</v>
      </c>
      <c r="BW90" s="214">
        <v>0</v>
      </c>
      <c r="BX90" s="214">
        <v>0</v>
      </c>
      <c r="BY90" s="214">
        <v>0</v>
      </c>
      <c r="BZ90" s="215">
        <v>0</v>
      </c>
      <c r="CA90" s="213" t="s">
        <v>530</v>
      </c>
      <c r="CB90" s="214">
        <v>4</v>
      </c>
      <c r="CC90" s="214">
        <v>0</v>
      </c>
      <c r="CD90" s="214">
        <v>1</v>
      </c>
      <c r="CE90" s="214">
        <v>0</v>
      </c>
      <c r="CF90" s="214">
        <v>0</v>
      </c>
      <c r="CG90" s="214">
        <v>2</v>
      </c>
      <c r="CH90" s="214">
        <v>0</v>
      </c>
      <c r="CI90" s="214">
        <v>0</v>
      </c>
      <c r="CJ90" s="215">
        <v>2</v>
      </c>
      <c r="CK90" s="213" t="s">
        <v>529</v>
      </c>
      <c r="CL90" s="214">
        <v>4</v>
      </c>
      <c r="CM90" s="214">
        <v>0</v>
      </c>
      <c r="CN90" s="214">
        <v>0</v>
      </c>
      <c r="CO90" s="214">
        <v>0</v>
      </c>
      <c r="CP90" s="214">
        <v>0</v>
      </c>
      <c r="CQ90" s="214">
        <v>1</v>
      </c>
      <c r="CR90" s="214">
        <v>0</v>
      </c>
      <c r="CS90" s="214">
        <v>0</v>
      </c>
      <c r="CT90" s="215">
        <v>0</v>
      </c>
      <c r="CU90" s="213" t="s">
        <v>532</v>
      </c>
      <c r="CV90" s="214">
        <v>3</v>
      </c>
      <c r="CW90" s="214">
        <v>0</v>
      </c>
      <c r="CX90" s="214">
        <v>0</v>
      </c>
      <c r="CY90" s="214">
        <v>0</v>
      </c>
      <c r="CZ90" s="214">
        <v>0</v>
      </c>
      <c r="DA90" s="214">
        <v>0</v>
      </c>
      <c r="DB90" s="214">
        <v>0</v>
      </c>
      <c r="DC90" s="214">
        <v>0</v>
      </c>
      <c r="DD90" s="215">
        <v>0</v>
      </c>
      <c r="DE90" s="213" t="s">
        <v>538</v>
      </c>
      <c r="DF90" s="214">
        <v>3</v>
      </c>
      <c r="DG90" s="214">
        <v>0</v>
      </c>
      <c r="DH90" s="214">
        <v>1</v>
      </c>
      <c r="DI90" s="214">
        <v>0</v>
      </c>
      <c r="DJ90" s="214">
        <v>0</v>
      </c>
      <c r="DK90" s="214">
        <v>1</v>
      </c>
      <c r="DL90" s="214">
        <v>0</v>
      </c>
      <c r="DM90" s="214">
        <v>0</v>
      </c>
      <c r="DN90" s="215">
        <v>1</v>
      </c>
      <c r="DO90" s="213" t="s">
        <v>535</v>
      </c>
      <c r="DP90" s="214">
        <v>3</v>
      </c>
      <c r="DQ90" s="214">
        <v>0</v>
      </c>
      <c r="DR90" s="214">
        <v>0</v>
      </c>
      <c r="DS90" s="214">
        <v>0</v>
      </c>
      <c r="DT90" s="214">
        <v>0</v>
      </c>
      <c r="DU90" s="214">
        <v>1</v>
      </c>
      <c r="DV90" s="214">
        <v>0</v>
      </c>
      <c r="DW90" s="214">
        <v>0</v>
      </c>
      <c r="DX90" s="215">
        <v>0</v>
      </c>
      <c r="DY90" s="249">
        <v>1</v>
      </c>
      <c r="DZ90" s="217">
        <v>0</v>
      </c>
      <c r="EA90" s="217">
        <v>0</v>
      </c>
      <c r="EB90" s="250">
        <v>8</v>
      </c>
      <c r="EC90" s="217">
        <v>0</v>
      </c>
      <c r="ED90" s="219">
        <v>1</v>
      </c>
      <c r="EE90" s="220">
        <v>0</v>
      </c>
      <c r="EF90" s="217">
        <v>0</v>
      </c>
      <c r="EG90" s="217">
        <v>0</v>
      </c>
      <c r="EH90" s="217">
        <v>0</v>
      </c>
      <c r="EI90" s="217">
        <v>0</v>
      </c>
      <c r="EJ90" s="217">
        <v>0</v>
      </c>
      <c r="EK90" s="217">
        <v>0</v>
      </c>
      <c r="EL90" s="217">
        <v>0</v>
      </c>
      <c r="EM90" s="217">
        <v>0</v>
      </c>
      <c r="EN90" s="217"/>
      <c r="EO90" s="217"/>
      <c r="EP90" s="217"/>
      <c r="EQ90" s="217"/>
      <c r="ER90" s="219">
        <f t="shared" si="84"/>
        <v>0</v>
      </c>
      <c r="ES90" s="217">
        <v>0</v>
      </c>
      <c r="ET90" s="217">
        <v>0</v>
      </c>
      <c r="EU90" s="217">
        <v>1</v>
      </c>
      <c r="EV90" s="217">
        <v>0</v>
      </c>
      <c r="EW90" s="217">
        <v>0</v>
      </c>
      <c r="EX90" s="217">
        <v>0</v>
      </c>
      <c r="EY90" s="217">
        <v>0</v>
      </c>
      <c r="EZ90" s="217">
        <v>0</v>
      </c>
      <c r="FA90" s="217">
        <v>0</v>
      </c>
      <c r="FB90" s="217"/>
      <c r="FC90" s="217"/>
      <c r="FD90" s="217"/>
      <c r="FE90" s="217"/>
      <c r="FF90" s="217">
        <f t="shared" si="85"/>
        <v>1</v>
      </c>
      <c r="FG90" s="221">
        <f t="shared" si="86"/>
        <v>0</v>
      </c>
      <c r="FH90" s="221">
        <f t="shared" si="87"/>
        <v>0</v>
      </c>
      <c r="FI90" s="221">
        <f t="shared" si="88"/>
        <v>0</v>
      </c>
      <c r="FJ90" s="221">
        <f t="shared" si="89"/>
        <v>0</v>
      </c>
      <c r="FK90" s="221">
        <f t="shared" si="90"/>
        <v>-1</v>
      </c>
      <c r="FL90" s="221">
        <f t="shared" si="91"/>
        <v>0</v>
      </c>
      <c r="FM90" s="221">
        <f t="shared" si="92"/>
        <v>0</v>
      </c>
      <c r="FN90" s="221">
        <f t="shared" si="93"/>
        <v>0</v>
      </c>
      <c r="FO90" s="221">
        <f t="shared" si="94"/>
        <v>0</v>
      </c>
      <c r="FP90" s="221">
        <f t="shared" si="95"/>
        <v>0</v>
      </c>
      <c r="FQ90" s="221">
        <f t="shared" si="96"/>
        <v>0</v>
      </c>
      <c r="FR90" s="221">
        <f t="shared" si="97"/>
        <v>0</v>
      </c>
      <c r="FS90" s="221">
        <f t="shared" si="98"/>
        <v>0</v>
      </c>
      <c r="FT90" s="221">
        <f t="shared" si="99"/>
        <v>0</v>
      </c>
      <c r="FU90" s="221">
        <f t="shared" si="100"/>
        <v>0</v>
      </c>
      <c r="FV90" s="221">
        <f t="shared" si="101"/>
        <v>-1</v>
      </c>
      <c r="FW90" s="222"/>
    </row>
    <row r="91" spans="1:179" x14ac:dyDescent="0.25">
      <c r="A91" s="204">
        <v>40373</v>
      </c>
      <c r="B91" s="204" t="s">
        <v>133</v>
      </c>
      <c r="C91" s="204" t="s">
        <v>131</v>
      </c>
      <c r="D91" s="204" t="s">
        <v>453</v>
      </c>
      <c r="E91" s="205">
        <v>587</v>
      </c>
      <c r="F91" s="206">
        <v>4</v>
      </c>
      <c r="G91" s="207" t="s">
        <v>536</v>
      </c>
      <c r="H91" s="211">
        <v>0</v>
      </c>
      <c r="I91" s="211">
        <v>1</v>
      </c>
      <c r="J91" s="248">
        <v>4</v>
      </c>
      <c r="K91" s="211">
        <v>9</v>
      </c>
      <c r="L91" s="211">
        <v>6</v>
      </c>
      <c r="M91" s="211">
        <v>6</v>
      </c>
      <c r="N91" s="211">
        <v>0</v>
      </c>
      <c r="O91" s="211">
        <v>2</v>
      </c>
      <c r="P91" s="211">
        <v>2</v>
      </c>
      <c r="Q91" s="211">
        <v>1</v>
      </c>
      <c r="R91" s="211">
        <v>22</v>
      </c>
      <c r="S91" s="211"/>
      <c r="T91" s="211"/>
      <c r="U91" s="211">
        <v>0</v>
      </c>
      <c r="V91" s="210">
        <v>0</v>
      </c>
      <c r="W91" s="211">
        <v>0</v>
      </c>
      <c r="X91" s="211">
        <v>0</v>
      </c>
      <c r="Y91" s="211">
        <v>0</v>
      </c>
      <c r="Z91" s="211">
        <v>0</v>
      </c>
      <c r="AA91" s="211">
        <v>0</v>
      </c>
      <c r="AB91" s="248">
        <v>4</v>
      </c>
      <c r="AC91" s="211">
        <v>1</v>
      </c>
      <c r="AD91" s="211">
        <v>1</v>
      </c>
      <c r="AE91" s="211">
        <v>0</v>
      </c>
      <c r="AF91" s="211">
        <v>2</v>
      </c>
      <c r="AG91" s="211">
        <v>5</v>
      </c>
      <c r="AH91" s="211">
        <v>0</v>
      </c>
      <c r="AI91" s="211">
        <v>0</v>
      </c>
      <c r="AJ91" s="211">
        <v>13</v>
      </c>
      <c r="AK91" s="211"/>
      <c r="AL91" s="211"/>
      <c r="AM91" s="213" t="s">
        <v>459</v>
      </c>
      <c r="AN91" s="214">
        <v>3</v>
      </c>
      <c r="AO91" s="214">
        <v>1</v>
      </c>
      <c r="AP91" s="214">
        <v>1</v>
      </c>
      <c r="AQ91" s="214">
        <v>1</v>
      </c>
      <c r="AR91" s="214">
        <v>1</v>
      </c>
      <c r="AS91" s="214">
        <v>1</v>
      </c>
      <c r="AT91" s="214">
        <v>0</v>
      </c>
      <c r="AU91" s="214">
        <v>0</v>
      </c>
      <c r="AV91" s="215">
        <v>4</v>
      </c>
      <c r="AW91" s="213" t="s">
        <v>534</v>
      </c>
      <c r="AX91" s="214">
        <v>3</v>
      </c>
      <c r="AY91" s="214">
        <v>1</v>
      </c>
      <c r="AZ91" s="214">
        <v>1</v>
      </c>
      <c r="BA91" s="214">
        <v>0</v>
      </c>
      <c r="BB91" s="214">
        <v>0</v>
      </c>
      <c r="BC91" s="214">
        <v>1</v>
      </c>
      <c r="BD91" s="214">
        <v>1</v>
      </c>
      <c r="BE91" s="214">
        <v>0</v>
      </c>
      <c r="BF91" s="215">
        <v>1</v>
      </c>
      <c r="BG91" s="213" t="s">
        <v>531</v>
      </c>
      <c r="BH91" s="214">
        <v>2</v>
      </c>
      <c r="BI91" s="214">
        <v>1</v>
      </c>
      <c r="BJ91" s="214">
        <v>0</v>
      </c>
      <c r="BK91" s="214">
        <v>0</v>
      </c>
      <c r="BL91" s="214">
        <v>2</v>
      </c>
      <c r="BM91" s="214">
        <v>1</v>
      </c>
      <c r="BN91" s="214">
        <v>0</v>
      </c>
      <c r="BO91" s="214">
        <v>0</v>
      </c>
      <c r="BP91" s="215">
        <v>0</v>
      </c>
      <c r="BQ91" s="213" t="s">
        <v>539</v>
      </c>
      <c r="BR91" s="214">
        <v>4</v>
      </c>
      <c r="BS91" s="214">
        <v>2</v>
      </c>
      <c r="BT91" s="214">
        <v>2</v>
      </c>
      <c r="BU91" s="214">
        <v>2</v>
      </c>
      <c r="BV91" s="214">
        <v>0</v>
      </c>
      <c r="BW91" s="214">
        <v>1</v>
      </c>
      <c r="BX91" s="214">
        <v>0</v>
      </c>
      <c r="BY91" s="214">
        <v>0</v>
      </c>
      <c r="BZ91" s="215">
        <v>3</v>
      </c>
      <c r="CA91" s="213" t="s">
        <v>530</v>
      </c>
      <c r="CB91" s="214">
        <v>4</v>
      </c>
      <c r="CC91" s="214">
        <v>1</v>
      </c>
      <c r="CD91" s="214">
        <v>1</v>
      </c>
      <c r="CE91" s="214">
        <v>2</v>
      </c>
      <c r="CF91" s="214">
        <v>0</v>
      </c>
      <c r="CG91" s="214">
        <v>1</v>
      </c>
      <c r="CH91" s="214">
        <v>0</v>
      </c>
      <c r="CI91" s="214">
        <v>0</v>
      </c>
      <c r="CJ91" s="215">
        <v>4</v>
      </c>
      <c r="CK91" s="213" t="s">
        <v>529</v>
      </c>
      <c r="CL91" s="214">
        <v>3</v>
      </c>
      <c r="CM91" s="214">
        <v>0</v>
      </c>
      <c r="CN91" s="214">
        <v>1</v>
      </c>
      <c r="CO91" s="214">
        <v>0</v>
      </c>
      <c r="CP91" s="214">
        <v>1</v>
      </c>
      <c r="CQ91" s="214">
        <v>1</v>
      </c>
      <c r="CR91" s="214">
        <v>0</v>
      </c>
      <c r="CS91" s="214">
        <v>0</v>
      </c>
      <c r="CT91" s="215">
        <v>1</v>
      </c>
      <c r="CU91" s="213" t="s">
        <v>532</v>
      </c>
      <c r="CV91" s="214">
        <v>3</v>
      </c>
      <c r="CW91" s="214">
        <v>0</v>
      </c>
      <c r="CX91" s="214">
        <v>0</v>
      </c>
      <c r="CY91" s="214">
        <v>1</v>
      </c>
      <c r="CZ91" s="214">
        <v>0</v>
      </c>
      <c r="DA91" s="214">
        <v>0</v>
      </c>
      <c r="DB91" s="214">
        <v>0</v>
      </c>
      <c r="DC91" s="214">
        <v>0</v>
      </c>
      <c r="DD91" s="215">
        <v>0</v>
      </c>
      <c r="DE91" s="213" t="s">
        <v>538</v>
      </c>
      <c r="DF91" s="214">
        <v>4</v>
      </c>
      <c r="DG91" s="214">
        <v>0</v>
      </c>
      <c r="DH91" s="214">
        <v>0</v>
      </c>
      <c r="DI91" s="214">
        <v>0</v>
      </c>
      <c r="DJ91" s="214">
        <v>0</v>
      </c>
      <c r="DK91" s="214">
        <v>0</v>
      </c>
      <c r="DL91" s="214">
        <v>0</v>
      </c>
      <c r="DM91" s="214">
        <v>0</v>
      </c>
      <c r="DN91" s="215">
        <v>0</v>
      </c>
      <c r="DO91" s="213" t="s">
        <v>535</v>
      </c>
      <c r="DP91" s="214">
        <v>4</v>
      </c>
      <c r="DQ91" s="214">
        <v>0</v>
      </c>
      <c r="DR91" s="214">
        <v>0</v>
      </c>
      <c r="DS91" s="214">
        <v>0</v>
      </c>
      <c r="DT91" s="214">
        <v>0</v>
      </c>
      <c r="DU91" s="214">
        <v>1</v>
      </c>
      <c r="DV91" s="214">
        <v>0</v>
      </c>
      <c r="DW91" s="214">
        <v>0</v>
      </c>
      <c r="DX91" s="215">
        <v>0</v>
      </c>
      <c r="DY91" s="249">
        <f>2+2/3</f>
        <v>2.6666666666666665</v>
      </c>
      <c r="DZ91" s="217">
        <v>2</v>
      </c>
      <c r="EA91" s="217">
        <v>1</v>
      </c>
      <c r="EB91" s="250">
        <f>6+1/3</f>
        <v>6.333333333333333</v>
      </c>
      <c r="EC91" s="217">
        <v>2</v>
      </c>
      <c r="ED91" s="219">
        <v>0</v>
      </c>
      <c r="EE91" s="220">
        <v>0</v>
      </c>
      <c r="EF91" s="217">
        <v>1</v>
      </c>
      <c r="EG91" s="217">
        <v>1</v>
      </c>
      <c r="EH91" s="217">
        <v>0</v>
      </c>
      <c r="EI91" s="217">
        <v>0</v>
      </c>
      <c r="EJ91" s="217">
        <v>4</v>
      </c>
      <c r="EK91" s="217">
        <v>0</v>
      </c>
      <c r="EL91" s="217">
        <v>0</v>
      </c>
      <c r="EM91" s="217">
        <v>0</v>
      </c>
      <c r="EN91" s="217"/>
      <c r="EO91" s="217"/>
      <c r="EP91" s="217"/>
      <c r="EQ91" s="217"/>
      <c r="ER91" s="219">
        <f t="shared" si="84"/>
        <v>6</v>
      </c>
      <c r="ES91" s="217">
        <v>1</v>
      </c>
      <c r="ET91" s="217">
        <v>3</v>
      </c>
      <c r="EU91" s="217">
        <v>1</v>
      </c>
      <c r="EV91" s="217">
        <v>1</v>
      </c>
      <c r="EW91" s="217">
        <v>1</v>
      </c>
      <c r="EX91" s="217">
        <v>0</v>
      </c>
      <c r="EY91" s="217">
        <v>0</v>
      </c>
      <c r="EZ91" s="217">
        <v>0</v>
      </c>
      <c r="FA91" s="217"/>
      <c r="FB91" s="217"/>
      <c r="FC91" s="217"/>
      <c r="FD91" s="217"/>
      <c r="FE91" s="217"/>
      <c r="FF91" s="217">
        <f t="shared" si="85"/>
        <v>7</v>
      </c>
      <c r="FG91" s="221">
        <f t="shared" si="86"/>
        <v>0</v>
      </c>
      <c r="FH91" s="221">
        <f t="shared" si="87"/>
        <v>0</v>
      </c>
      <c r="FI91" s="221">
        <f t="shared" si="88"/>
        <v>-1</v>
      </c>
      <c r="FJ91" s="221">
        <f t="shared" si="89"/>
        <v>-2</v>
      </c>
      <c r="FK91" s="221">
        <f t="shared" si="90"/>
        <v>0</v>
      </c>
      <c r="FL91" s="221">
        <f t="shared" si="91"/>
        <v>-1</v>
      </c>
      <c r="FM91" s="221">
        <f t="shared" si="92"/>
        <v>-1</v>
      </c>
      <c r="FN91" s="221">
        <f t="shared" si="93"/>
        <v>4</v>
      </c>
      <c r="FO91" s="221">
        <f t="shared" si="94"/>
        <v>0</v>
      </c>
      <c r="FP91" s="221">
        <f t="shared" si="95"/>
        <v>0</v>
      </c>
      <c r="FQ91" s="221">
        <f t="shared" si="96"/>
        <v>0</v>
      </c>
      <c r="FR91" s="221">
        <f t="shared" si="97"/>
        <v>0</v>
      </c>
      <c r="FS91" s="221">
        <f t="shared" si="98"/>
        <v>0</v>
      </c>
      <c r="FT91" s="221">
        <f t="shared" si="99"/>
        <v>0</v>
      </c>
      <c r="FU91" s="221">
        <f t="shared" si="100"/>
        <v>0</v>
      </c>
      <c r="FV91" s="221">
        <f t="shared" si="101"/>
        <v>-1</v>
      </c>
      <c r="FW91" s="222"/>
    </row>
    <row r="92" spans="1:179" x14ac:dyDescent="0.25">
      <c r="A92" s="204">
        <v>40374</v>
      </c>
      <c r="B92" s="204" t="s">
        <v>133</v>
      </c>
      <c r="C92" s="204" t="s">
        <v>129</v>
      </c>
      <c r="D92" s="204" t="s">
        <v>453</v>
      </c>
      <c r="E92" s="205">
        <v>772</v>
      </c>
      <c r="F92" s="206">
        <v>5</v>
      </c>
      <c r="G92" s="207" t="s">
        <v>580</v>
      </c>
      <c r="H92" s="211">
        <v>1</v>
      </c>
      <c r="I92" s="211">
        <v>0</v>
      </c>
      <c r="J92" s="248">
        <v>7</v>
      </c>
      <c r="K92" s="211">
        <v>2</v>
      </c>
      <c r="L92" s="211">
        <v>0</v>
      </c>
      <c r="M92" s="211">
        <v>0</v>
      </c>
      <c r="N92" s="211">
        <v>2</v>
      </c>
      <c r="O92" s="211">
        <v>6</v>
      </c>
      <c r="P92" s="211">
        <v>0</v>
      </c>
      <c r="Q92" s="211">
        <v>0</v>
      </c>
      <c r="R92" s="211">
        <v>25</v>
      </c>
      <c r="S92" s="211"/>
      <c r="T92" s="211"/>
      <c r="U92" s="211">
        <v>0</v>
      </c>
      <c r="V92" s="210">
        <v>0</v>
      </c>
      <c r="W92" s="211">
        <v>0</v>
      </c>
      <c r="X92" s="211">
        <v>0</v>
      </c>
      <c r="Y92" s="211">
        <v>0</v>
      </c>
      <c r="Z92" s="211">
        <v>0</v>
      </c>
      <c r="AA92" s="211">
        <v>0</v>
      </c>
      <c r="AB92" s="248">
        <v>2</v>
      </c>
      <c r="AC92" s="211">
        <v>0</v>
      </c>
      <c r="AD92" s="211">
        <v>0</v>
      </c>
      <c r="AE92" s="211">
        <v>0</v>
      </c>
      <c r="AF92" s="211">
        <v>1</v>
      </c>
      <c r="AG92" s="211">
        <v>3</v>
      </c>
      <c r="AH92" s="211">
        <v>0</v>
      </c>
      <c r="AI92" s="211">
        <v>0</v>
      </c>
      <c r="AJ92" s="211">
        <v>7</v>
      </c>
      <c r="AK92" s="211"/>
      <c r="AL92" s="211"/>
      <c r="AM92" s="213" t="s">
        <v>459</v>
      </c>
      <c r="AN92" s="214">
        <v>3</v>
      </c>
      <c r="AO92" s="214">
        <v>2</v>
      </c>
      <c r="AP92" s="214">
        <v>2</v>
      </c>
      <c r="AQ92" s="214">
        <v>1</v>
      </c>
      <c r="AR92" s="214">
        <v>2</v>
      </c>
      <c r="AS92" s="214">
        <v>0</v>
      </c>
      <c r="AT92" s="214">
        <v>0</v>
      </c>
      <c r="AU92" s="214">
        <v>0</v>
      </c>
      <c r="AV92" s="215">
        <v>5</v>
      </c>
      <c r="AW92" s="213" t="s">
        <v>543</v>
      </c>
      <c r="AX92" s="214">
        <v>3</v>
      </c>
      <c r="AY92" s="214">
        <v>0</v>
      </c>
      <c r="AZ92" s="214">
        <v>0</v>
      </c>
      <c r="BA92" s="214">
        <v>0</v>
      </c>
      <c r="BB92" s="214">
        <v>2</v>
      </c>
      <c r="BC92" s="214">
        <v>0</v>
      </c>
      <c r="BD92" s="214">
        <v>0</v>
      </c>
      <c r="BE92" s="214">
        <v>0</v>
      </c>
      <c r="BF92" s="215">
        <v>0</v>
      </c>
      <c r="BG92" s="213" t="s">
        <v>531</v>
      </c>
      <c r="BH92" s="214">
        <v>5</v>
      </c>
      <c r="BI92" s="214">
        <v>0</v>
      </c>
      <c r="BJ92" s="214">
        <v>0</v>
      </c>
      <c r="BK92" s="214">
        <v>0</v>
      </c>
      <c r="BL92" s="214">
        <v>0</v>
      </c>
      <c r="BM92" s="214">
        <v>2</v>
      </c>
      <c r="BN92" s="214">
        <v>0</v>
      </c>
      <c r="BO92" s="214">
        <v>0</v>
      </c>
      <c r="BP92" s="215">
        <v>0</v>
      </c>
      <c r="BQ92" s="213" t="s">
        <v>530</v>
      </c>
      <c r="BR92" s="214">
        <v>4</v>
      </c>
      <c r="BS92" s="214">
        <v>1</v>
      </c>
      <c r="BT92" s="214">
        <v>1</v>
      </c>
      <c r="BU92" s="214">
        <v>0</v>
      </c>
      <c r="BV92" s="214">
        <v>1</v>
      </c>
      <c r="BW92" s="214">
        <v>1</v>
      </c>
      <c r="BX92" s="214">
        <v>0</v>
      </c>
      <c r="BY92" s="214">
        <v>0</v>
      </c>
      <c r="BZ92" s="215">
        <v>3</v>
      </c>
      <c r="CA92" s="213" t="s">
        <v>539</v>
      </c>
      <c r="CB92" s="214">
        <v>4</v>
      </c>
      <c r="CC92" s="214">
        <v>2</v>
      </c>
      <c r="CD92" s="214">
        <v>2</v>
      </c>
      <c r="CE92" s="214">
        <v>1</v>
      </c>
      <c r="CF92" s="214">
        <v>1</v>
      </c>
      <c r="CG92" s="214">
        <v>0</v>
      </c>
      <c r="CH92" s="214">
        <v>0</v>
      </c>
      <c r="CI92" s="214">
        <v>0</v>
      </c>
      <c r="CJ92" s="215">
        <v>3</v>
      </c>
      <c r="CK92" s="213" t="s">
        <v>291</v>
      </c>
      <c r="CL92" s="214">
        <v>5</v>
      </c>
      <c r="CM92" s="214">
        <v>0</v>
      </c>
      <c r="CN92" s="214">
        <v>2</v>
      </c>
      <c r="CO92" s="214">
        <v>0</v>
      </c>
      <c r="CP92" s="214">
        <v>0</v>
      </c>
      <c r="CQ92" s="214">
        <v>2</v>
      </c>
      <c r="CR92" s="214">
        <v>0</v>
      </c>
      <c r="CS92" s="214">
        <v>0</v>
      </c>
      <c r="CT92" s="215">
        <v>2</v>
      </c>
      <c r="CU92" s="213" t="s">
        <v>561</v>
      </c>
      <c r="CV92" s="214">
        <v>5</v>
      </c>
      <c r="CW92" s="214">
        <v>1</v>
      </c>
      <c r="CX92" s="214">
        <v>2</v>
      </c>
      <c r="CY92" s="214">
        <v>1</v>
      </c>
      <c r="CZ92" s="214">
        <v>0</v>
      </c>
      <c r="DA92" s="214">
        <v>1</v>
      </c>
      <c r="DB92" s="214">
        <v>0</v>
      </c>
      <c r="DC92" s="214">
        <v>0</v>
      </c>
      <c r="DD92" s="215">
        <v>2</v>
      </c>
      <c r="DE92" s="213" t="s">
        <v>538</v>
      </c>
      <c r="DF92" s="214">
        <v>2</v>
      </c>
      <c r="DG92" s="214">
        <v>1</v>
      </c>
      <c r="DH92" s="214">
        <v>2</v>
      </c>
      <c r="DI92" s="214">
        <v>2</v>
      </c>
      <c r="DJ92" s="214">
        <v>1</v>
      </c>
      <c r="DK92" s="214">
        <v>0</v>
      </c>
      <c r="DL92" s="214">
        <v>0</v>
      </c>
      <c r="DM92" s="214">
        <v>1</v>
      </c>
      <c r="DN92" s="215">
        <v>3</v>
      </c>
      <c r="DO92" s="213" t="s">
        <v>535</v>
      </c>
      <c r="DP92" s="214">
        <v>4</v>
      </c>
      <c r="DQ92" s="214">
        <v>0</v>
      </c>
      <c r="DR92" s="214">
        <v>0</v>
      </c>
      <c r="DS92" s="214">
        <v>0</v>
      </c>
      <c r="DT92" s="214">
        <v>0</v>
      </c>
      <c r="DU92" s="214">
        <v>2</v>
      </c>
      <c r="DV92" s="214">
        <v>0</v>
      </c>
      <c r="DW92" s="214">
        <v>0</v>
      </c>
      <c r="DX92" s="215">
        <v>0</v>
      </c>
      <c r="DY92" s="249">
        <v>0</v>
      </c>
      <c r="DZ92" s="217">
        <v>0</v>
      </c>
      <c r="EA92" s="217">
        <v>0</v>
      </c>
      <c r="EB92" s="250">
        <v>9</v>
      </c>
      <c r="EC92" s="217">
        <v>2</v>
      </c>
      <c r="ED92" s="219">
        <v>0</v>
      </c>
      <c r="EE92" s="220">
        <v>1</v>
      </c>
      <c r="EF92" s="217">
        <v>2</v>
      </c>
      <c r="EG92" s="217">
        <v>1</v>
      </c>
      <c r="EH92" s="217">
        <v>2</v>
      </c>
      <c r="EI92" s="217">
        <v>1</v>
      </c>
      <c r="EJ92" s="217">
        <v>0</v>
      </c>
      <c r="EK92" s="217">
        <v>0</v>
      </c>
      <c r="EL92" s="217">
        <v>0</v>
      </c>
      <c r="EM92" s="217">
        <v>0</v>
      </c>
      <c r="EN92" s="217"/>
      <c r="EO92" s="217"/>
      <c r="EP92" s="217"/>
      <c r="EQ92" s="217"/>
      <c r="ER92" s="219">
        <f t="shared" si="84"/>
        <v>7</v>
      </c>
      <c r="ES92" s="217">
        <v>0</v>
      </c>
      <c r="ET92" s="217">
        <v>0</v>
      </c>
      <c r="EU92" s="217">
        <v>0</v>
      </c>
      <c r="EV92" s="217">
        <v>0</v>
      </c>
      <c r="EW92" s="217">
        <v>0</v>
      </c>
      <c r="EX92" s="217">
        <v>0</v>
      </c>
      <c r="EY92" s="217">
        <v>0</v>
      </c>
      <c r="EZ92" s="217">
        <v>0</v>
      </c>
      <c r="FA92" s="217">
        <v>0</v>
      </c>
      <c r="FB92" s="217"/>
      <c r="FC92" s="217"/>
      <c r="FD92" s="217"/>
      <c r="FE92" s="217"/>
      <c r="FF92" s="217">
        <f t="shared" si="85"/>
        <v>0</v>
      </c>
      <c r="FG92" s="221">
        <f t="shared" si="86"/>
        <v>0</v>
      </c>
      <c r="FH92" s="221">
        <f t="shared" si="87"/>
        <v>0</v>
      </c>
      <c r="FI92" s="221">
        <f t="shared" si="88"/>
        <v>1</v>
      </c>
      <c r="FJ92" s="221">
        <f t="shared" si="89"/>
        <v>2</v>
      </c>
      <c r="FK92" s="221">
        <f t="shared" si="90"/>
        <v>1</v>
      </c>
      <c r="FL92" s="221">
        <f t="shared" si="91"/>
        <v>2</v>
      </c>
      <c r="FM92" s="221">
        <f t="shared" si="92"/>
        <v>1</v>
      </c>
      <c r="FN92" s="221">
        <f t="shared" si="93"/>
        <v>0</v>
      </c>
      <c r="FO92" s="221">
        <f t="shared" si="94"/>
        <v>0</v>
      </c>
      <c r="FP92" s="221">
        <f t="shared" si="95"/>
        <v>0</v>
      </c>
      <c r="FQ92" s="221">
        <f t="shared" si="96"/>
        <v>0</v>
      </c>
      <c r="FR92" s="221">
        <f t="shared" si="97"/>
        <v>0</v>
      </c>
      <c r="FS92" s="221">
        <f t="shared" si="98"/>
        <v>0</v>
      </c>
      <c r="FT92" s="221">
        <f t="shared" si="99"/>
        <v>0</v>
      </c>
      <c r="FU92" s="221">
        <f t="shared" si="100"/>
        <v>0</v>
      </c>
      <c r="FV92" s="221">
        <f t="shared" si="101"/>
        <v>7</v>
      </c>
      <c r="FW92" s="222"/>
    </row>
    <row r="93" spans="1:179" x14ac:dyDescent="0.25">
      <c r="A93" s="204">
        <v>40375</v>
      </c>
      <c r="B93" s="204" t="s">
        <v>133</v>
      </c>
      <c r="C93" s="204" t="s">
        <v>131</v>
      </c>
      <c r="D93" s="204" t="s">
        <v>453</v>
      </c>
      <c r="E93" s="205">
        <v>938</v>
      </c>
      <c r="F93" s="206">
        <v>1</v>
      </c>
      <c r="G93" s="207" t="s">
        <v>540</v>
      </c>
      <c r="H93" s="211">
        <v>0</v>
      </c>
      <c r="I93" s="211">
        <v>1</v>
      </c>
      <c r="J93" s="248">
        <v>5</v>
      </c>
      <c r="K93" s="211">
        <v>9</v>
      </c>
      <c r="L93" s="211">
        <v>5</v>
      </c>
      <c r="M93" s="211">
        <v>5</v>
      </c>
      <c r="N93" s="211">
        <v>1</v>
      </c>
      <c r="O93" s="211">
        <v>6</v>
      </c>
      <c r="P93" s="211">
        <v>0</v>
      </c>
      <c r="Q93" s="211">
        <v>0</v>
      </c>
      <c r="R93" s="211">
        <v>23</v>
      </c>
      <c r="S93" s="211"/>
      <c r="T93" s="211"/>
      <c r="U93" s="211">
        <v>0</v>
      </c>
      <c r="V93" s="210">
        <v>0</v>
      </c>
      <c r="W93" s="211">
        <v>0</v>
      </c>
      <c r="X93" s="211">
        <v>0</v>
      </c>
      <c r="Y93" s="211">
        <v>0</v>
      </c>
      <c r="Z93" s="211">
        <v>0</v>
      </c>
      <c r="AA93" s="211">
        <v>0</v>
      </c>
      <c r="AB93" s="248">
        <v>3</v>
      </c>
      <c r="AC93" s="211">
        <v>2</v>
      </c>
      <c r="AD93" s="211">
        <v>1</v>
      </c>
      <c r="AE93" s="211">
        <v>0</v>
      </c>
      <c r="AF93" s="211">
        <v>1</v>
      </c>
      <c r="AG93" s="211">
        <v>6</v>
      </c>
      <c r="AH93" s="211">
        <v>0</v>
      </c>
      <c r="AI93" s="211">
        <v>0</v>
      </c>
      <c r="AJ93" s="211">
        <v>12</v>
      </c>
      <c r="AK93" s="211"/>
      <c r="AL93" s="211"/>
      <c r="AM93" s="213" t="s">
        <v>459</v>
      </c>
      <c r="AN93" s="214">
        <v>3</v>
      </c>
      <c r="AO93" s="214">
        <v>0</v>
      </c>
      <c r="AP93" s="214">
        <v>0</v>
      </c>
      <c r="AQ93" s="214">
        <v>0</v>
      </c>
      <c r="AR93" s="214">
        <v>1</v>
      </c>
      <c r="AS93" s="214">
        <v>1</v>
      </c>
      <c r="AT93" s="214">
        <v>1</v>
      </c>
      <c r="AU93" s="214">
        <v>0</v>
      </c>
      <c r="AV93" s="215">
        <v>0</v>
      </c>
      <c r="AW93" s="213" t="s">
        <v>538</v>
      </c>
      <c r="AX93" s="214">
        <v>3</v>
      </c>
      <c r="AY93" s="214">
        <v>1</v>
      </c>
      <c r="AZ93" s="214">
        <v>0</v>
      </c>
      <c r="BA93" s="214">
        <v>0</v>
      </c>
      <c r="BB93" s="214">
        <v>2</v>
      </c>
      <c r="BC93" s="214">
        <v>1</v>
      </c>
      <c r="BD93" s="214">
        <v>0</v>
      </c>
      <c r="BE93" s="214">
        <v>0</v>
      </c>
      <c r="BF93" s="215">
        <v>0</v>
      </c>
      <c r="BG93" s="213" t="s">
        <v>534</v>
      </c>
      <c r="BH93" s="214">
        <v>2</v>
      </c>
      <c r="BI93" s="214">
        <v>1</v>
      </c>
      <c r="BJ93" s="214">
        <v>2</v>
      </c>
      <c r="BK93" s="214">
        <v>0</v>
      </c>
      <c r="BL93" s="214">
        <v>3</v>
      </c>
      <c r="BM93" s="214">
        <v>0</v>
      </c>
      <c r="BN93" s="214">
        <v>0</v>
      </c>
      <c r="BO93" s="214">
        <v>0</v>
      </c>
      <c r="BP93" s="215">
        <v>2</v>
      </c>
      <c r="BQ93" s="213" t="s">
        <v>539</v>
      </c>
      <c r="BR93" s="214">
        <v>3</v>
      </c>
      <c r="BS93" s="214">
        <v>0</v>
      </c>
      <c r="BT93" s="214">
        <v>2</v>
      </c>
      <c r="BU93" s="214">
        <v>2</v>
      </c>
      <c r="BV93" s="214">
        <v>2</v>
      </c>
      <c r="BW93" s="214">
        <v>0</v>
      </c>
      <c r="BX93" s="214">
        <v>0</v>
      </c>
      <c r="BY93" s="214">
        <v>0</v>
      </c>
      <c r="BZ93" s="215">
        <v>3</v>
      </c>
      <c r="CA93" s="213" t="s">
        <v>561</v>
      </c>
      <c r="CB93" s="214">
        <v>4</v>
      </c>
      <c r="CC93" s="214">
        <v>0</v>
      </c>
      <c r="CD93" s="214">
        <v>0</v>
      </c>
      <c r="CE93" s="214">
        <v>0</v>
      </c>
      <c r="CF93" s="214">
        <v>0</v>
      </c>
      <c r="CG93" s="214">
        <v>2</v>
      </c>
      <c r="CH93" s="214">
        <v>0</v>
      </c>
      <c r="CI93" s="214">
        <v>0</v>
      </c>
      <c r="CJ93" s="215">
        <v>0</v>
      </c>
      <c r="CK93" s="213" t="s">
        <v>529</v>
      </c>
      <c r="CL93" s="214">
        <v>4</v>
      </c>
      <c r="CM93" s="214">
        <v>0</v>
      </c>
      <c r="CN93" s="214">
        <v>0</v>
      </c>
      <c r="CO93" s="214">
        <v>0</v>
      </c>
      <c r="CP93" s="214">
        <v>0</v>
      </c>
      <c r="CQ93" s="214">
        <v>0</v>
      </c>
      <c r="CR93" s="214">
        <v>0</v>
      </c>
      <c r="CS93" s="214">
        <v>0</v>
      </c>
      <c r="CT93" s="215">
        <v>0</v>
      </c>
      <c r="CU93" s="213" t="s">
        <v>532</v>
      </c>
      <c r="CV93" s="214">
        <v>4</v>
      </c>
      <c r="CW93" s="214">
        <v>0</v>
      </c>
      <c r="CX93" s="214">
        <v>1</v>
      </c>
      <c r="CY93" s="214">
        <v>0</v>
      </c>
      <c r="CZ93" s="214">
        <v>0</v>
      </c>
      <c r="DA93" s="214">
        <v>1</v>
      </c>
      <c r="DB93" s="214">
        <v>0</v>
      </c>
      <c r="DC93" s="214">
        <v>0</v>
      </c>
      <c r="DD93" s="215">
        <v>1</v>
      </c>
      <c r="DE93" s="213" t="s">
        <v>549</v>
      </c>
      <c r="DF93" s="214">
        <v>4</v>
      </c>
      <c r="DG93" s="214">
        <v>0</v>
      </c>
      <c r="DH93" s="214">
        <v>0</v>
      </c>
      <c r="DI93" s="214">
        <v>0</v>
      </c>
      <c r="DJ93" s="214">
        <v>0</v>
      </c>
      <c r="DK93" s="214">
        <v>2</v>
      </c>
      <c r="DL93" s="214">
        <v>0</v>
      </c>
      <c r="DM93" s="214">
        <v>0</v>
      </c>
      <c r="DN93" s="215">
        <v>0</v>
      </c>
      <c r="DO93" s="213" t="s">
        <v>535</v>
      </c>
      <c r="DP93" s="214">
        <v>3</v>
      </c>
      <c r="DQ93" s="214">
        <v>1</v>
      </c>
      <c r="DR93" s="214">
        <v>1</v>
      </c>
      <c r="DS93" s="214">
        <v>1</v>
      </c>
      <c r="DT93" s="214">
        <v>1</v>
      </c>
      <c r="DU93" s="214">
        <v>2</v>
      </c>
      <c r="DV93" s="214">
        <v>0</v>
      </c>
      <c r="DW93" s="214">
        <v>0</v>
      </c>
      <c r="DX93" s="215">
        <v>4</v>
      </c>
      <c r="DY93" s="249">
        <v>1</v>
      </c>
      <c r="DZ93" s="217">
        <v>0</v>
      </c>
      <c r="EA93" s="217">
        <v>0</v>
      </c>
      <c r="EB93" s="250">
        <v>8</v>
      </c>
      <c r="EC93" s="217">
        <v>4</v>
      </c>
      <c r="ED93" s="219">
        <v>1</v>
      </c>
      <c r="EE93" s="220">
        <v>1</v>
      </c>
      <c r="EF93" s="217">
        <v>0</v>
      </c>
      <c r="EG93" s="217">
        <v>0</v>
      </c>
      <c r="EH93" s="217">
        <v>1</v>
      </c>
      <c r="EI93" s="217">
        <v>1</v>
      </c>
      <c r="EJ93" s="217">
        <v>0</v>
      </c>
      <c r="EK93" s="217">
        <v>0</v>
      </c>
      <c r="EL93" s="217">
        <v>0</v>
      </c>
      <c r="EM93" s="217">
        <v>0</v>
      </c>
      <c r="EN93" s="217"/>
      <c r="EO93" s="217"/>
      <c r="EP93" s="217"/>
      <c r="EQ93" s="217"/>
      <c r="ER93" s="219">
        <f t="shared" si="84"/>
        <v>3</v>
      </c>
      <c r="ES93" s="217">
        <v>3</v>
      </c>
      <c r="ET93" s="217">
        <v>0</v>
      </c>
      <c r="EU93" s="217">
        <v>2</v>
      </c>
      <c r="EV93" s="217">
        <v>0</v>
      </c>
      <c r="EW93" s="217">
        <v>0</v>
      </c>
      <c r="EX93" s="217">
        <v>0</v>
      </c>
      <c r="EY93" s="217">
        <v>1</v>
      </c>
      <c r="EZ93" s="217">
        <v>0</v>
      </c>
      <c r="FA93" s="217"/>
      <c r="FB93" s="217"/>
      <c r="FC93" s="217"/>
      <c r="FD93" s="217"/>
      <c r="FE93" s="217"/>
      <c r="FF93" s="217">
        <f t="shared" si="85"/>
        <v>6</v>
      </c>
      <c r="FG93" s="221">
        <f t="shared" si="86"/>
        <v>0</v>
      </c>
      <c r="FH93" s="221">
        <f t="shared" si="87"/>
        <v>0</v>
      </c>
      <c r="FI93" s="221">
        <f t="shared" si="88"/>
        <v>-2</v>
      </c>
      <c r="FJ93" s="221">
        <f t="shared" si="89"/>
        <v>0</v>
      </c>
      <c r="FK93" s="221">
        <f t="shared" si="90"/>
        <v>-2</v>
      </c>
      <c r="FL93" s="221">
        <f t="shared" si="91"/>
        <v>1</v>
      </c>
      <c r="FM93" s="221">
        <f t="shared" si="92"/>
        <v>1</v>
      </c>
      <c r="FN93" s="221">
        <f t="shared" si="93"/>
        <v>0</v>
      </c>
      <c r="FO93" s="221">
        <f t="shared" si="94"/>
        <v>-1</v>
      </c>
      <c r="FP93" s="221">
        <f t="shared" si="95"/>
        <v>0</v>
      </c>
      <c r="FQ93" s="221">
        <f t="shared" si="96"/>
        <v>0</v>
      </c>
      <c r="FR93" s="221">
        <f t="shared" si="97"/>
        <v>0</v>
      </c>
      <c r="FS93" s="221">
        <f t="shared" si="98"/>
        <v>0</v>
      </c>
      <c r="FT93" s="221">
        <f t="shared" si="99"/>
        <v>0</v>
      </c>
      <c r="FU93" s="221">
        <f t="shared" si="100"/>
        <v>0</v>
      </c>
      <c r="FV93" s="221">
        <f t="shared" si="101"/>
        <v>-3</v>
      </c>
      <c r="FW93" s="222"/>
    </row>
    <row r="94" spans="1:179" x14ac:dyDescent="0.25">
      <c r="A94" s="204">
        <v>40376</v>
      </c>
      <c r="B94" s="204" t="s">
        <v>133</v>
      </c>
      <c r="C94" s="204" t="s">
        <v>131</v>
      </c>
      <c r="D94" s="204" t="s">
        <v>589</v>
      </c>
      <c r="E94" s="205">
        <v>3655</v>
      </c>
      <c r="F94" s="206">
        <v>2</v>
      </c>
      <c r="G94" s="207" t="s">
        <v>546</v>
      </c>
      <c r="H94" s="211">
        <v>0</v>
      </c>
      <c r="I94" s="211">
        <v>1</v>
      </c>
      <c r="J94" s="248">
        <v>6</v>
      </c>
      <c r="K94" s="211">
        <v>10</v>
      </c>
      <c r="L94" s="211">
        <v>5</v>
      </c>
      <c r="M94" s="211">
        <v>5</v>
      </c>
      <c r="N94" s="211">
        <v>1</v>
      </c>
      <c r="O94" s="211">
        <v>4</v>
      </c>
      <c r="P94" s="211">
        <v>1</v>
      </c>
      <c r="Q94" s="211">
        <v>1</v>
      </c>
      <c r="R94" s="211">
        <v>29</v>
      </c>
      <c r="S94" s="211"/>
      <c r="T94" s="211"/>
      <c r="U94" s="211">
        <v>0</v>
      </c>
      <c r="V94" s="210">
        <v>0</v>
      </c>
      <c r="W94" s="211">
        <v>0</v>
      </c>
      <c r="X94" s="211">
        <v>0</v>
      </c>
      <c r="Y94" s="211">
        <v>0</v>
      </c>
      <c r="Z94" s="211">
        <v>0</v>
      </c>
      <c r="AA94" s="211">
        <v>0</v>
      </c>
      <c r="AB94" s="248">
        <v>2</v>
      </c>
      <c r="AC94" s="211">
        <v>1</v>
      </c>
      <c r="AD94" s="211">
        <v>0</v>
      </c>
      <c r="AE94" s="211">
        <v>0</v>
      </c>
      <c r="AF94" s="211">
        <v>1</v>
      </c>
      <c r="AG94" s="211">
        <v>0</v>
      </c>
      <c r="AH94" s="211">
        <v>0</v>
      </c>
      <c r="AI94" s="211">
        <v>0</v>
      </c>
      <c r="AJ94" s="211">
        <v>7</v>
      </c>
      <c r="AK94" s="211"/>
      <c r="AL94" s="211"/>
      <c r="AM94" s="213" t="s">
        <v>459</v>
      </c>
      <c r="AN94" s="214">
        <v>4</v>
      </c>
      <c r="AO94" s="214">
        <v>0</v>
      </c>
      <c r="AP94" s="214">
        <v>0</v>
      </c>
      <c r="AQ94" s="214">
        <v>0</v>
      </c>
      <c r="AR94" s="214">
        <v>0</v>
      </c>
      <c r="AS94" s="214">
        <v>1</v>
      </c>
      <c r="AT94" s="214">
        <v>0</v>
      </c>
      <c r="AU94" s="214">
        <v>0</v>
      </c>
      <c r="AV94" s="215">
        <v>0</v>
      </c>
      <c r="AW94" s="213" t="s">
        <v>534</v>
      </c>
      <c r="AX94" s="214">
        <v>3</v>
      </c>
      <c r="AY94" s="214">
        <v>0</v>
      </c>
      <c r="AZ94" s="214">
        <v>1</v>
      </c>
      <c r="BA94" s="214">
        <v>0</v>
      </c>
      <c r="BB94" s="214">
        <v>0</v>
      </c>
      <c r="BC94" s="214">
        <v>1</v>
      </c>
      <c r="BD94" s="214">
        <v>0</v>
      </c>
      <c r="BE94" s="214">
        <v>0</v>
      </c>
      <c r="BF94" s="215">
        <v>1</v>
      </c>
      <c r="BG94" s="213" t="s">
        <v>531</v>
      </c>
      <c r="BH94" s="214">
        <v>3</v>
      </c>
      <c r="BI94" s="214">
        <v>0</v>
      </c>
      <c r="BJ94" s="214">
        <v>0</v>
      </c>
      <c r="BK94" s="214">
        <v>0</v>
      </c>
      <c r="BL94" s="214">
        <v>0</v>
      </c>
      <c r="BM94" s="214">
        <v>0</v>
      </c>
      <c r="BN94" s="214">
        <v>0</v>
      </c>
      <c r="BO94" s="214">
        <v>0</v>
      </c>
      <c r="BP94" s="215">
        <v>0</v>
      </c>
      <c r="BQ94" s="213" t="s">
        <v>539</v>
      </c>
      <c r="BR94" s="214">
        <v>3</v>
      </c>
      <c r="BS94" s="214">
        <v>0</v>
      </c>
      <c r="BT94" s="214">
        <v>0</v>
      </c>
      <c r="BU94" s="214">
        <v>0</v>
      </c>
      <c r="BV94" s="214">
        <v>0</v>
      </c>
      <c r="BW94" s="214">
        <v>1</v>
      </c>
      <c r="BX94" s="214">
        <v>0</v>
      </c>
      <c r="BY94" s="214">
        <v>0</v>
      </c>
      <c r="BZ94" s="215">
        <v>0</v>
      </c>
      <c r="CA94" s="213" t="s">
        <v>530</v>
      </c>
      <c r="CB94" s="214">
        <v>3</v>
      </c>
      <c r="CC94" s="214">
        <v>0</v>
      </c>
      <c r="CD94" s="214">
        <v>0</v>
      </c>
      <c r="CE94" s="214">
        <v>0</v>
      </c>
      <c r="CF94" s="214">
        <v>0</v>
      </c>
      <c r="CG94" s="214">
        <v>1</v>
      </c>
      <c r="CH94" s="214">
        <v>0</v>
      </c>
      <c r="CI94" s="214">
        <v>0</v>
      </c>
      <c r="CJ94" s="215">
        <v>0</v>
      </c>
      <c r="CK94" s="213" t="s">
        <v>543</v>
      </c>
      <c r="CL94" s="214">
        <v>2</v>
      </c>
      <c r="CM94" s="214">
        <v>0</v>
      </c>
      <c r="CN94" s="214">
        <v>0</v>
      </c>
      <c r="CO94" s="214">
        <v>0</v>
      </c>
      <c r="CP94" s="214">
        <v>1</v>
      </c>
      <c r="CQ94" s="214">
        <v>0</v>
      </c>
      <c r="CR94" s="214">
        <v>0</v>
      </c>
      <c r="CS94" s="214">
        <v>0</v>
      </c>
      <c r="CT94" s="215">
        <v>0</v>
      </c>
      <c r="CU94" s="213" t="s">
        <v>532</v>
      </c>
      <c r="CV94" s="214">
        <v>2</v>
      </c>
      <c r="CW94" s="214">
        <v>0</v>
      </c>
      <c r="CX94" s="214">
        <v>0</v>
      </c>
      <c r="CY94" s="214">
        <v>0</v>
      </c>
      <c r="CZ94" s="214">
        <v>0</v>
      </c>
      <c r="DA94" s="214">
        <v>0</v>
      </c>
      <c r="DB94" s="214">
        <v>1</v>
      </c>
      <c r="DC94" s="214">
        <v>0</v>
      </c>
      <c r="DD94" s="215">
        <v>0</v>
      </c>
      <c r="DE94" s="213" t="s">
        <v>561</v>
      </c>
      <c r="DF94" s="214">
        <v>3</v>
      </c>
      <c r="DG94" s="214">
        <v>0</v>
      </c>
      <c r="DH94" s="214">
        <v>1</v>
      </c>
      <c r="DI94" s="214">
        <v>0</v>
      </c>
      <c r="DJ94" s="214">
        <v>0</v>
      </c>
      <c r="DK94" s="214">
        <v>1</v>
      </c>
      <c r="DL94" s="214">
        <v>0</v>
      </c>
      <c r="DM94" s="214">
        <v>0</v>
      </c>
      <c r="DN94" s="215">
        <v>1</v>
      </c>
      <c r="DO94" s="213" t="s">
        <v>529</v>
      </c>
      <c r="DP94" s="214">
        <v>3</v>
      </c>
      <c r="DQ94" s="214">
        <v>0</v>
      </c>
      <c r="DR94" s="214">
        <v>0</v>
      </c>
      <c r="DS94" s="214">
        <v>0</v>
      </c>
      <c r="DT94" s="214">
        <v>0</v>
      </c>
      <c r="DU94" s="214">
        <v>1</v>
      </c>
      <c r="DV94" s="214">
        <v>0</v>
      </c>
      <c r="DW94" s="214">
        <v>0</v>
      </c>
      <c r="DX94" s="215">
        <v>0</v>
      </c>
      <c r="DY94" s="249">
        <v>0</v>
      </c>
      <c r="DZ94" s="217">
        <v>0</v>
      </c>
      <c r="EA94" s="217">
        <v>0</v>
      </c>
      <c r="EB94" s="250">
        <v>9</v>
      </c>
      <c r="EC94" s="217">
        <v>0</v>
      </c>
      <c r="ED94" s="219">
        <v>1</v>
      </c>
      <c r="EE94" s="220">
        <v>0</v>
      </c>
      <c r="EF94" s="217">
        <v>0</v>
      </c>
      <c r="EG94" s="217">
        <v>0</v>
      </c>
      <c r="EH94" s="217">
        <v>0</v>
      </c>
      <c r="EI94" s="217">
        <v>0</v>
      </c>
      <c r="EJ94" s="217">
        <v>0</v>
      </c>
      <c r="EK94" s="217">
        <v>0</v>
      </c>
      <c r="EL94" s="217">
        <v>0</v>
      </c>
      <c r="EM94" s="217">
        <v>0</v>
      </c>
      <c r="EN94" s="217"/>
      <c r="EO94" s="217"/>
      <c r="EP94" s="217"/>
      <c r="EQ94" s="217"/>
      <c r="ER94" s="219">
        <f t="shared" si="84"/>
        <v>0</v>
      </c>
      <c r="ES94" s="217">
        <v>0</v>
      </c>
      <c r="ET94" s="217">
        <v>0</v>
      </c>
      <c r="EU94" s="217">
        <v>1</v>
      </c>
      <c r="EV94" s="217">
        <v>0</v>
      </c>
      <c r="EW94" s="217">
        <v>3</v>
      </c>
      <c r="EX94" s="217">
        <v>1</v>
      </c>
      <c r="EY94" s="217">
        <v>0</v>
      </c>
      <c r="EZ94" s="217">
        <v>0</v>
      </c>
      <c r="FA94" s="217"/>
      <c r="FB94" s="217"/>
      <c r="FC94" s="217"/>
      <c r="FD94" s="217"/>
      <c r="FE94" s="217"/>
      <c r="FF94" s="217">
        <f t="shared" si="85"/>
        <v>5</v>
      </c>
      <c r="FG94" s="221">
        <f t="shared" si="86"/>
        <v>0</v>
      </c>
      <c r="FH94" s="221">
        <f t="shared" si="87"/>
        <v>0</v>
      </c>
      <c r="FI94" s="221">
        <f t="shared" si="88"/>
        <v>0</v>
      </c>
      <c r="FJ94" s="221">
        <f t="shared" si="89"/>
        <v>0</v>
      </c>
      <c r="FK94" s="221">
        <f t="shared" si="90"/>
        <v>-1</v>
      </c>
      <c r="FL94" s="221">
        <f t="shared" si="91"/>
        <v>0</v>
      </c>
      <c r="FM94" s="221">
        <f t="shared" si="92"/>
        <v>-3</v>
      </c>
      <c r="FN94" s="221">
        <f t="shared" si="93"/>
        <v>-1</v>
      </c>
      <c r="FO94" s="221">
        <f t="shared" si="94"/>
        <v>0</v>
      </c>
      <c r="FP94" s="221">
        <f t="shared" si="95"/>
        <v>0</v>
      </c>
      <c r="FQ94" s="221">
        <f t="shared" si="96"/>
        <v>0</v>
      </c>
      <c r="FR94" s="221">
        <f t="shared" si="97"/>
        <v>0</v>
      </c>
      <c r="FS94" s="221">
        <f t="shared" si="98"/>
        <v>0</v>
      </c>
      <c r="FT94" s="221">
        <f t="shared" si="99"/>
        <v>0</v>
      </c>
      <c r="FU94" s="221">
        <f t="shared" si="100"/>
        <v>0</v>
      </c>
      <c r="FV94" s="221">
        <f t="shared" si="101"/>
        <v>-5</v>
      </c>
      <c r="FW94" s="222"/>
    </row>
    <row r="95" spans="1:179" x14ac:dyDescent="0.25">
      <c r="A95" s="204">
        <v>40377</v>
      </c>
      <c r="B95" s="204" t="s">
        <v>133</v>
      </c>
      <c r="C95" s="204" t="s">
        <v>131</v>
      </c>
      <c r="D95" s="204" t="s">
        <v>589</v>
      </c>
      <c r="E95" s="205">
        <v>1807</v>
      </c>
      <c r="F95" s="206">
        <v>3</v>
      </c>
      <c r="G95" s="207" t="s">
        <v>321</v>
      </c>
      <c r="H95" s="211">
        <v>0</v>
      </c>
      <c r="I95" s="211">
        <v>1</v>
      </c>
      <c r="J95" s="248">
        <f>1+2/3</f>
        <v>1.6666666666666665</v>
      </c>
      <c r="K95" s="211">
        <v>4</v>
      </c>
      <c r="L95" s="211">
        <v>4</v>
      </c>
      <c r="M95" s="211">
        <v>0</v>
      </c>
      <c r="N95" s="211">
        <v>1</v>
      </c>
      <c r="O95" s="211">
        <v>0</v>
      </c>
      <c r="P95" s="211">
        <v>0</v>
      </c>
      <c r="Q95" s="211">
        <v>0</v>
      </c>
      <c r="R95" s="211">
        <v>11</v>
      </c>
      <c r="S95" s="211"/>
      <c r="T95" s="211"/>
      <c r="U95" s="211">
        <v>2</v>
      </c>
      <c r="V95" s="210">
        <v>2</v>
      </c>
      <c r="W95" s="211">
        <v>0</v>
      </c>
      <c r="X95" s="211">
        <v>0</v>
      </c>
      <c r="Y95" s="211">
        <v>0</v>
      </c>
      <c r="Z95" s="211">
        <v>0</v>
      </c>
      <c r="AA95" s="211">
        <v>0</v>
      </c>
      <c r="AB95" s="248">
        <f>6+1/3</f>
        <v>6.333333333333333</v>
      </c>
      <c r="AC95" s="211">
        <v>8</v>
      </c>
      <c r="AD95" s="211">
        <v>5</v>
      </c>
      <c r="AE95" s="211">
        <v>1</v>
      </c>
      <c r="AF95" s="211">
        <v>4</v>
      </c>
      <c r="AG95" s="211">
        <v>5</v>
      </c>
      <c r="AH95" s="211">
        <v>0</v>
      </c>
      <c r="AI95" s="211">
        <v>0</v>
      </c>
      <c r="AJ95" s="211">
        <v>31</v>
      </c>
      <c r="AK95" s="211"/>
      <c r="AL95" s="211"/>
      <c r="AM95" s="213" t="s">
        <v>531</v>
      </c>
      <c r="AN95" s="214">
        <v>4</v>
      </c>
      <c r="AO95" s="214">
        <v>0</v>
      </c>
      <c r="AP95" s="214">
        <v>0</v>
      </c>
      <c r="AQ95" s="214">
        <v>0</v>
      </c>
      <c r="AR95" s="214">
        <v>0</v>
      </c>
      <c r="AS95" s="214">
        <v>1</v>
      </c>
      <c r="AT95" s="214">
        <v>0</v>
      </c>
      <c r="AU95" s="214">
        <v>0</v>
      </c>
      <c r="AV95" s="215">
        <v>0</v>
      </c>
      <c r="AW95" s="213" t="s">
        <v>538</v>
      </c>
      <c r="AX95" s="214">
        <v>4</v>
      </c>
      <c r="AY95" s="214">
        <v>0</v>
      </c>
      <c r="AZ95" s="214">
        <v>0</v>
      </c>
      <c r="BA95" s="214">
        <v>0</v>
      </c>
      <c r="BB95" s="214">
        <v>0</v>
      </c>
      <c r="BC95" s="214">
        <v>2</v>
      </c>
      <c r="BD95" s="214">
        <v>0</v>
      </c>
      <c r="BE95" s="214">
        <v>0</v>
      </c>
      <c r="BF95" s="215">
        <v>0</v>
      </c>
      <c r="BG95" s="213" t="s">
        <v>534</v>
      </c>
      <c r="BH95" s="214">
        <v>4</v>
      </c>
      <c r="BI95" s="214">
        <v>0</v>
      </c>
      <c r="BJ95" s="214">
        <v>1</v>
      </c>
      <c r="BK95" s="214">
        <v>0</v>
      </c>
      <c r="BL95" s="214">
        <v>0</v>
      </c>
      <c r="BM95" s="214">
        <v>0</v>
      </c>
      <c r="BN95" s="214">
        <v>0</v>
      </c>
      <c r="BO95" s="214">
        <v>0</v>
      </c>
      <c r="BP95" s="215">
        <v>1</v>
      </c>
      <c r="BQ95" s="213" t="s">
        <v>539</v>
      </c>
      <c r="BR95" s="214">
        <v>3</v>
      </c>
      <c r="BS95" s="214">
        <v>0</v>
      </c>
      <c r="BT95" s="214">
        <v>0</v>
      </c>
      <c r="BU95" s="214">
        <v>0</v>
      </c>
      <c r="BV95" s="214">
        <v>1</v>
      </c>
      <c r="BW95" s="214">
        <v>3</v>
      </c>
      <c r="BX95" s="214">
        <v>0</v>
      </c>
      <c r="BY95" s="214">
        <v>0</v>
      </c>
      <c r="BZ95" s="215">
        <v>0</v>
      </c>
      <c r="CA95" s="213" t="s">
        <v>530</v>
      </c>
      <c r="CB95" s="214">
        <v>4</v>
      </c>
      <c r="CC95" s="214">
        <v>0</v>
      </c>
      <c r="CD95" s="214">
        <v>2</v>
      </c>
      <c r="CE95" s="214">
        <v>0</v>
      </c>
      <c r="CF95" s="214">
        <v>0</v>
      </c>
      <c r="CG95" s="214">
        <v>2</v>
      </c>
      <c r="CH95" s="214">
        <v>0</v>
      </c>
      <c r="CI95" s="214">
        <v>0</v>
      </c>
      <c r="CJ95" s="215">
        <v>2</v>
      </c>
      <c r="CK95" s="213" t="s">
        <v>561</v>
      </c>
      <c r="CL95" s="214">
        <v>4</v>
      </c>
      <c r="CM95" s="214">
        <v>0</v>
      </c>
      <c r="CN95" s="214">
        <v>3</v>
      </c>
      <c r="CO95" s="214">
        <v>0</v>
      </c>
      <c r="CP95" s="214">
        <v>0</v>
      </c>
      <c r="CQ95" s="214">
        <v>1</v>
      </c>
      <c r="CR95" s="214">
        <v>0</v>
      </c>
      <c r="CS95" s="214">
        <v>0</v>
      </c>
      <c r="CT95" s="215">
        <v>3</v>
      </c>
      <c r="CU95" s="213" t="s">
        <v>532</v>
      </c>
      <c r="CV95" s="214">
        <v>2</v>
      </c>
      <c r="CW95" s="214">
        <v>0</v>
      </c>
      <c r="CX95" s="214">
        <v>0</v>
      </c>
      <c r="CY95" s="214">
        <v>0</v>
      </c>
      <c r="CZ95" s="214">
        <v>2</v>
      </c>
      <c r="DA95" s="214">
        <v>0</v>
      </c>
      <c r="DB95" s="214">
        <v>0</v>
      </c>
      <c r="DC95" s="214">
        <v>0</v>
      </c>
      <c r="DD95" s="215">
        <v>0</v>
      </c>
      <c r="DE95" s="213" t="s">
        <v>529</v>
      </c>
      <c r="DF95" s="214">
        <v>3</v>
      </c>
      <c r="DG95" s="214">
        <v>0</v>
      </c>
      <c r="DH95" s="214">
        <v>0</v>
      </c>
      <c r="DI95" s="214">
        <v>0</v>
      </c>
      <c r="DJ95" s="214">
        <v>1</v>
      </c>
      <c r="DK95" s="214">
        <v>3</v>
      </c>
      <c r="DL95" s="214">
        <v>0</v>
      </c>
      <c r="DM95" s="214">
        <v>0</v>
      </c>
      <c r="DN95" s="215">
        <v>0</v>
      </c>
      <c r="DO95" s="213" t="s">
        <v>535</v>
      </c>
      <c r="DP95" s="214">
        <v>3</v>
      </c>
      <c r="DQ95" s="214">
        <v>0</v>
      </c>
      <c r="DR95" s="214">
        <v>0</v>
      </c>
      <c r="DS95" s="214">
        <v>0</v>
      </c>
      <c r="DT95" s="214">
        <v>0</v>
      </c>
      <c r="DU95" s="214">
        <v>0</v>
      </c>
      <c r="DV95" s="214">
        <v>0</v>
      </c>
      <c r="DW95" s="214">
        <v>0</v>
      </c>
      <c r="DX95" s="215">
        <v>0</v>
      </c>
      <c r="DY95" s="249">
        <v>0</v>
      </c>
      <c r="DZ95" s="217">
        <v>0</v>
      </c>
      <c r="EA95" s="217">
        <v>0</v>
      </c>
      <c r="EB95" s="250">
        <v>9</v>
      </c>
      <c r="EC95" s="217">
        <v>0</v>
      </c>
      <c r="ED95" s="219">
        <v>1</v>
      </c>
      <c r="EE95" s="220">
        <v>0</v>
      </c>
      <c r="EF95" s="217">
        <v>0</v>
      </c>
      <c r="EG95" s="217">
        <v>0</v>
      </c>
      <c r="EH95" s="217">
        <v>0</v>
      </c>
      <c r="EI95" s="217">
        <v>0</v>
      </c>
      <c r="EJ95" s="217">
        <v>0</v>
      </c>
      <c r="EK95" s="217">
        <v>0</v>
      </c>
      <c r="EL95" s="217">
        <v>0</v>
      </c>
      <c r="EM95" s="217">
        <v>0</v>
      </c>
      <c r="EN95" s="217"/>
      <c r="EO95" s="217"/>
      <c r="EP95" s="217"/>
      <c r="EQ95" s="217"/>
      <c r="ER95" s="219">
        <f t="shared" si="84"/>
        <v>0</v>
      </c>
      <c r="ES95" s="217">
        <v>2</v>
      </c>
      <c r="ET95" s="217">
        <v>6</v>
      </c>
      <c r="EU95" s="217">
        <v>1</v>
      </c>
      <c r="EV95" s="217">
        <v>0</v>
      </c>
      <c r="EW95" s="217">
        <v>0</v>
      </c>
      <c r="EX95" s="217">
        <v>0</v>
      </c>
      <c r="EY95" s="217">
        <v>0</v>
      </c>
      <c r="EZ95" s="217">
        <v>0</v>
      </c>
      <c r="FA95" s="217"/>
      <c r="FB95" s="217"/>
      <c r="FC95" s="217"/>
      <c r="FD95" s="217"/>
      <c r="FE95" s="217"/>
      <c r="FF95" s="217">
        <f t="shared" si="85"/>
        <v>9</v>
      </c>
      <c r="FG95" s="221">
        <f t="shared" si="86"/>
        <v>0</v>
      </c>
      <c r="FH95" s="221">
        <f t="shared" si="87"/>
        <v>0</v>
      </c>
      <c r="FI95" s="221">
        <f t="shared" si="88"/>
        <v>-2</v>
      </c>
      <c r="FJ95" s="221">
        <f t="shared" si="89"/>
        <v>-6</v>
      </c>
      <c r="FK95" s="221">
        <f t="shared" si="90"/>
        <v>-1</v>
      </c>
      <c r="FL95" s="221">
        <f t="shared" si="91"/>
        <v>0</v>
      </c>
      <c r="FM95" s="221">
        <f t="shared" si="92"/>
        <v>0</v>
      </c>
      <c r="FN95" s="221">
        <f t="shared" si="93"/>
        <v>0</v>
      </c>
      <c r="FO95" s="221">
        <f t="shared" si="94"/>
        <v>0</v>
      </c>
      <c r="FP95" s="221">
        <f t="shared" si="95"/>
        <v>0</v>
      </c>
      <c r="FQ95" s="221">
        <f t="shared" si="96"/>
        <v>0</v>
      </c>
      <c r="FR95" s="221">
        <f t="shared" si="97"/>
        <v>0</v>
      </c>
      <c r="FS95" s="221">
        <f t="shared" si="98"/>
        <v>0</v>
      </c>
      <c r="FT95" s="221">
        <f t="shared" si="99"/>
        <v>0</v>
      </c>
      <c r="FU95" s="221">
        <f t="shared" si="100"/>
        <v>0</v>
      </c>
      <c r="FV95" s="221">
        <f t="shared" si="101"/>
        <v>-9</v>
      </c>
      <c r="FW95" s="222"/>
    </row>
    <row r="96" spans="1:179" x14ac:dyDescent="0.25">
      <c r="A96" s="204">
        <v>40378</v>
      </c>
      <c r="B96" s="204" t="s">
        <v>133</v>
      </c>
      <c r="C96" s="204" t="s">
        <v>129</v>
      </c>
      <c r="D96" s="204" t="s">
        <v>589</v>
      </c>
      <c r="E96" s="205">
        <v>4347</v>
      </c>
      <c r="F96" s="206">
        <v>4</v>
      </c>
      <c r="G96" s="207" t="s">
        <v>536</v>
      </c>
      <c r="H96" s="211">
        <v>0</v>
      </c>
      <c r="I96" s="211">
        <v>0</v>
      </c>
      <c r="J96" s="248">
        <f>5+1/3</f>
        <v>5.333333333333333</v>
      </c>
      <c r="K96" s="211">
        <v>8</v>
      </c>
      <c r="L96" s="211">
        <v>4</v>
      </c>
      <c r="M96" s="211">
        <v>4</v>
      </c>
      <c r="N96" s="211">
        <v>2</v>
      </c>
      <c r="O96" s="211">
        <v>5</v>
      </c>
      <c r="P96" s="211">
        <v>2</v>
      </c>
      <c r="Q96" s="211">
        <v>0</v>
      </c>
      <c r="R96" s="211">
        <v>26</v>
      </c>
      <c r="S96" s="211"/>
      <c r="T96" s="211"/>
      <c r="U96" s="211">
        <v>0</v>
      </c>
      <c r="V96" s="210">
        <v>0</v>
      </c>
      <c r="W96" s="211">
        <v>1</v>
      </c>
      <c r="X96" s="211">
        <v>0</v>
      </c>
      <c r="Y96" s="211">
        <v>0</v>
      </c>
      <c r="Z96" s="211">
        <v>0</v>
      </c>
      <c r="AA96" s="211">
        <v>0</v>
      </c>
      <c r="AB96" s="248">
        <f>3+2/3</f>
        <v>3.6666666666666665</v>
      </c>
      <c r="AC96" s="211">
        <v>5</v>
      </c>
      <c r="AD96" s="211">
        <v>1</v>
      </c>
      <c r="AE96" s="211">
        <v>1</v>
      </c>
      <c r="AF96" s="211">
        <v>1</v>
      </c>
      <c r="AG96" s="211">
        <v>5</v>
      </c>
      <c r="AH96" s="211">
        <v>1</v>
      </c>
      <c r="AI96" s="211">
        <v>0</v>
      </c>
      <c r="AJ96" s="211">
        <v>17</v>
      </c>
      <c r="AK96" s="211"/>
      <c r="AL96" s="211"/>
      <c r="AM96" s="213" t="s">
        <v>459</v>
      </c>
      <c r="AN96" s="214">
        <v>5</v>
      </c>
      <c r="AO96" s="214">
        <v>1</v>
      </c>
      <c r="AP96" s="214">
        <v>1</v>
      </c>
      <c r="AQ96" s="214">
        <v>2</v>
      </c>
      <c r="AR96" s="214">
        <v>0</v>
      </c>
      <c r="AS96" s="214">
        <v>2</v>
      </c>
      <c r="AT96" s="214">
        <v>0</v>
      </c>
      <c r="AU96" s="214">
        <v>0</v>
      </c>
      <c r="AV96" s="215">
        <v>4</v>
      </c>
      <c r="AW96" s="213" t="s">
        <v>534</v>
      </c>
      <c r="AX96" s="214">
        <v>4</v>
      </c>
      <c r="AY96" s="214">
        <v>0</v>
      </c>
      <c r="AZ96" s="214">
        <v>1</v>
      </c>
      <c r="BA96" s="214">
        <v>0</v>
      </c>
      <c r="BB96" s="214">
        <v>1</v>
      </c>
      <c r="BC96" s="214">
        <v>1</v>
      </c>
      <c r="BD96" s="214">
        <v>0</v>
      </c>
      <c r="BE96" s="214">
        <v>0</v>
      </c>
      <c r="BF96" s="215">
        <v>1</v>
      </c>
      <c r="BG96" s="213" t="s">
        <v>531</v>
      </c>
      <c r="BH96" s="214">
        <v>4</v>
      </c>
      <c r="BI96" s="214">
        <v>0</v>
      </c>
      <c r="BJ96" s="214">
        <v>3</v>
      </c>
      <c r="BK96" s="214">
        <v>0</v>
      </c>
      <c r="BL96" s="214">
        <v>1</v>
      </c>
      <c r="BM96" s="214">
        <v>0</v>
      </c>
      <c r="BN96" s="214">
        <v>0</v>
      </c>
      <c r="BO96" s="214">
        <v>0</v>
      </c>
      <c r="BP96" s="215">
        <v>3</v>
      </c>
      <c r="BQ96" s="213" t="s">
        <v>539</v>
      </c>
      <c r="BR96" s="214">
        <v>5</v>
      </c>
      <c r="BS96" s="214">
        <v>0</v>
      </c>
      <c r="BT96" s="214">
        <v>0</v>
      </c>
      <c r="BU96" s="214">
        <v>0</v>
      </c>
      <c r="BV96" s="214">
        <v>0</v>
      </c>
      <c r="BW96" s="214">
        <v>2</v>
      </c>
      <c r="BX96" s="214">
        <v>0</v>
      </c>
      <c r="BY96" s="214">
        <v>0</v>
      </c>
      <c r="BZ96" s="215">
        <v>0</v>
      </c>
      <c r="CA96" s="213" t="s">
        <v>543</v>
      </c>
      <c r="CB96" s="214">
        <v>5</v>
      </c>
      <c r="CC96" s="214">
        <v>1</v>
      </c>
      <c r="CD96" s="214">
        <v>0</v>
      </c>
      <c r="CE96" s="214">
        <v>0</v>
      </c>
      <c r="CF96" s="214">
        <v>0</v>
      </c>
      <c r="CG96" s="214">
        <v>1</v>
      </c>
      <c r="CH96" s="214">
        <v>0</v>
      </c>
      <c r="CI96" s="214">
        <v>0</v>
      </c>
      <c r="CJ96" s="215">
        <v>0</v>
      </c>
      <c r="CK96" s="213" t="s">
        <v>529</v>
      </c>
      <c r="CL96" s="214">
        <v>4</v>
      </c>
      <c r="CM96" s="214">
        <v>1</v>
      </c>
      <c r="CN96" s="214">
        <v>1</v>
      </c>
      <c r="CO96" s="214">
        <v>0</v>
      </c>
      <c r="CP96" s="214">
        <v>0</v>
      </c>
      <c r="CQ96" s="214">
        <v>1</v>
      </c>
      <c r="CR96" s="214">
        <v>0</v>
      </c>
      <c r="CS96" s="214">
        <v>0</v>
      </c>
      <c r="CT96" s="215">
        <v>1</v>
      </c>
      <c r="CU96" s="213" t="s">
        <v>549</v>
      </c>
      <c r="CV96" s="214">
        <v>3</v>
      </c>
      <c r="CW96" s="214">
        <v>3</v>
      </c>
      <c r="CX96" s="214">
        <v>2</v>
      </c>
      <c r="CY96" s="214">
        <v>1</v>
      </c>
      <c r="CZ96" s="214">
        <v>0</v>
      </c>
      <c r="DA96" s="214">
        <v>1</v>
      </c>
      <c r="DB96" s="214">
        <v>0</v>
      </c>
      <c r="DC96" s="214">
        <v>0</v>
      </c>
      <c r="DD96" s="215">
        <v>2</v>
      </c>
      <c r="DE96" s="213" t="s">
        <v>538</v>
      </c>
      <c r="DF96" s="214">
        <v>4</v>
      </c>
      <c r="DG96" s="214">
        <v>0</v>
      </c>
      <c r="DH96" s="214">
        <v>1</v>
      </c>
      <c r="DI96" s="214">
        <v>1</v>
      </c>
      <c r="DJ96" s="214">
        <v>0</v>
      </c>
      <c r="DK96" s="214">
        <v>1</v>
      </c>
      <c r="DL96" s="214">
        <v>0</v>
      </c>
      <c r="DM96" s="214">
        <v>0</v>
      </c>
      <c r="DN96" s="215">
        <v>2</v>
      </c>
      <c r="DO96" s="213" t="s">
        <v>535</v>
      </c>
      <c r="DP96" s="214">
        <v>4</v>
      </c>
      <c r="DQ96" s="214">
        <v>1</v>
      </c>
      <c r="DR96" s="214">
        <v>2</v>
      </c>
      <c r="DS96" s="214">
        <v>2</v>
      </c>
      <c r="DT96" s="214">
        <v>0</v>
      </c>
      <c r="DU96" s="214">
        <v>2</v>
      </c>
      <c r="DV96" s="214">
        <v>0</v>
      </c>
      <c r="DW96" s="214">
        <v>0</v>
      </c>
      <c r="DX96" s="215">
        <v>2</v>
      </c>
      <c r="DY96" s="249">
        <v>0</v>
      </c>
      <c r="DZ96" s="217">
        <v>0</v>
      </c>
      <c r="EA96" s="217">
        <v>0</v>
      </c>
      <c r="EB96" s="250">
        <v>9</v>
      </c>
      <c r="EC96" s="217">
        <v>3</v>
      </c>
      <c r="ED96" s="219">
        <v>1</v>
      </c>
      <c r="EE96" s="220">
        <v>0</v>
      </c>
      <c r="EF96" s="217">
        <v>1</v>
      </c>
      <c r="EG96" s="217">
        <v>0</v>
      </c>
      <c r="EH96" s="217">
        <v>0</v>
      </c>
      <c r="EI96" s="217">
        <v>2</v>
      </c>
      <c r="EJ96" s="217">
        <v>1</v>
      </c>
      <c r="EK96" s="217">
        <v>0</v>
      </c>
      <c r="EL96" s="217">
        <v>3</v>
      </c>
      <c r="EM96" s="217">
        <v>0</v>
      </c>
      <c r="EN96" s="217"/>
      <c r="EO96" s="217"/>
      <c r="EP96" s="217"/>
      <c r="EQ96" s="217"/>
      <c r="ER96" s="219">
        <f t="shared" si="84"/>
        <v>7</v>
      </c>
      <c r="ES96" s="217">
        <v>0</v>
      </c>
      <c r="ET96" s="217">
        <v>0</v>
      </c>
      <c r="EU96" s="217">
        <v>0</v>
      </c>
      <c r="EV96" s="217">
        <v>0</v>
      </c>
      <c r="EW96" s="217">
        <v>0</v>
      </c>
      <c r="EX96" s="217">
        <v>4</v>
      </c>
      <c r="EY96" s="217">
        <v>0</v>
      </c>
      <c r="EZ96" s="217">
        <v>0</v>
      </c>
      <c r="FA96" s="217">
        <v>1</v>
      </c>
      <c r="FB96" s="217"/>
      <c r="FC96" s="217"/>
      <c r="FD96" s="217"/>
      <c r="FE96" s="217"/>
      <c r="FF96" s="217">
        <f t="shared" si="85"/>
        <v>5</v>
      </c>
      <c r="FG96" s="221">
        <f t="shared" si="86"/>
        <v>0</v>
      </c>
      <c r="FH96" s="221">
        <f t="shared" si="87"/>
        <v>0</v>
      </c>
      <c r="FI96" s="221">
        <f t="shared" si="88"/>
        <v>0</v>
      </c>
      <c r="FJ96" s="221">
        <f t="shared" si="89"/>
        <v>1</v>
      </c>
      <c r="FK96" s="221">
        <f t="shared" si="90"/>
        <v>0</v>
      </c>
      <c r="FL96" s="221">
        <f t="shared" si="91"/>
        <v>0</v>
      </c>
      <c r="FM96" s="221">
        <f t="shared" si="92"/>
        <v>2</v>
      </c>
      <c r="FN96" s="221">
        <f t="shared" si="93"/>
        <v>-3</v>
      </c>
      <c r="FO96" s="221">
        <f t="shared" si="94"/>
        <v>0</v>
      </c>
      <c r="FP96" s="221">
        <f t="shared" si="95"/>
        <v>3</v>
      </c>
      <c r="FQ96" s="221">
        <f t="shared" si="96"/>
        <v>-1</v>
      </c>
      <c r="FR96" s="221">
        <f t="shared" si="97"/>
        <v>0</v>
      </c>
      <c r="FS96" s="221">
        <f t="shared" si="98"/>
        <v>0</v>
      </c>
      <c r="FT96" s="221">
        <f t="shared" si="99"/>
        <v>0</v>
      </c>
      <c r="FU96" s="221">
        <f t="shared" si="100"/>
        <v>0</v>
      </c>
      <c r="FV96" s="221">
        <f t="shared" si="101"/>
        <v>2</v>
      </c>
      <c r="FW96" s="222"/>
    </row>
    <row r="97" spans="1:179" x14ac:dyDescent="0.25">
      <c r="A97" s="204">
        <v>40380</v>
      </c>
      <c r="B97" s="204" t="s">
        <v>19</v>
      </c>
      <c r="C97" s="204" t="s">
        <v>131</v>
      </c>
      <c r="D97" s="204" t="s">
        <v>590</v>
      </c>
      <c r="E97" s="205">
        <v>2963</v>
      </c>
      <c r="F97" s="206">
        <v>5</v>
      </c>
      <c r="G97" s="207" t="s">
        <v>580</v>
      </c>
      <c r="H97" s="211">
        <v>0</v>
      </c>
      <c r="I97" s="211">
        <v>1</v>
      </c>
      <c r="J97" s="248">
        <f>4+2/3</f>
        <v>4.666666666666667</v>
      </c>
      <c r="K97" s="211">
        <v>9</v>
      </c>
      <c r="L97" s="211">
        <v>8</v>
      </c>
      <c r="M97" s="211">
        <v>8</v>
      </c>
      <c r="N97" s="211">
        <v>2</v>
      </c>
      <c r="O97" s="211">
        <v>5</v>
      </c>
      <c r="P97" s="211">
        <v>3</v>
      </c>
      <c r="Q97" s="211">
        <v>0</v>
      </c>
      <c r="R97" s="211">
        <v>24</v>
      </c>
      <c r="S97" s="211"/>
      <c r="T97" s="211"/>
      <c r="U97" s="211">
        <v>0</v>
      </c>
      <c r="V97" s="210">
        <v>0</v>
      </c>
      <c r="W97" s="211">
        <v>0</v>
      </c>
      <c r="X97" s="211">
        <v>0</v>
      </c>
      <c r="Y97" s="211">
        <v>0</v>
      </c>
      <c r="Z97" s="211">
        <v>0</v>
      </c>
      <c r="AA97" s="211">
        <v>0</v>
      </c>
      <c r="AB97" s="248">
        <f>4+1/3</f>
        <v>4.333333333333333</v>
      </c>
      <c r="AC97" s="211">
        <v>3</v>
      </c>
      <c r="AD97" s="211">
        <v>2</v>
      </c>
      <c r="AE97" s="211">
        <v>2</v>
      </c>
      <c r="AF97" s="211">
        <v>3</v>
      </c>
      <c r="AG97" s="211">
        <v>3</v>
      </c>
      <c r="AH97" s="211">
        <v>0</v>
      </c>
      <c r="AI97" s="211">
        <v>0</v>
      </c>
      <c r="AJ97" s="211">
        <v>17</v>
      </c>
      <c r="AK97" s="211"/>
      <c r="AL97" s="211"/>
      <c r="AM97" s="213" t="s">
        <v>459</v>
      </c>
      <c r="AN97" s="214">
        <v>4</v>
      </c>
      <c r="AO97" s="214">
        <v>0</v>
      </c>
      <c r="AP97" s="214">
        <v>0</v>
      </c>
      <c r="AQ97" s="214">
        <v>0</v>
      </c>
      <c r="AR97" s="214">
        <v>1</v>
      </c>
      <c r="AS97" s="214">
        <v>2</v>
      </c>
      <c r="AT97" s="214">
        <v>0</v>
      </c>
      <c r="AU97" s="214">
        <v>0</v>
      </c>
      <c r="AV97" s="215">
        <v>0</v>
      </c>
      <c r="AW97" s="213" t="s">
        <v>534</v>
      </c>
      <c r="AX97" s="214">
        <v>4</v>
      </c>
      <c r="AY97" s="214">
        <v>0</v>
      </c>
      <c r="AZ97" s="214">
        <v>1</v>
      </c>
      <c r="BA97" s="214">
        <v>0</v>
      </c>
      <c r="BB97" s="214">
        <v>0</v>
      </c>
      <c r="BC97" s="214">
        <v>0</v>
      </c>
      <c r="BD97" s="214">
        <v>0</v>
      </c>
      <c r="BE97" s="214">
        <v>0</v>
      </c>
      <c r="BF97" s="215">
        <v>1</v>
      </c>
      <c r="BG97" s="213" t="s">
        <v>531</v>
      </c>
      <c r="BH97" s="214">
        <v>3</v>
      </c>
      <c r="BI97" s="214">
        <v>0</v>
      </c>
      <c r="BJ97" s="214">
        <v>0</v>
      </c>
      <c r="BK97" s="214">
        <v>0</v>
      </c>
      <c r="BL97" s="214">
        <v>1</v>
      </c>
      <c r="BM97" s="214">
        <v>1</v>
      </c>
      <c r="BN97" s="214">
        <v>0</v>
      </c>
      <c r="BO97" s="214">
        <v>0</v>
      </c>
      <c r="BP97" s="215">
        <v>0</v>
      </c>
      <c r="BQ97" s="213" t="s">
        <v>530</v>
      </c>
      <c r="BR97" s="214">
        <v>3</v>
      </c>
      <c r="BS97" s="214">
        <v>0</v>
      </c>
      <c r="BT97" s="214">
        <v>2</v>
      </c>
      <c r="BU97" s="214">
        <v>0</v>
      </c>
      <c r="BV97" s="214">
        <v>1</v>
      </c>
      <c r="BW97" s="214">
        <v>1</v>
      </c>
      <c r="BX97" s="214">
        <v>0</v>
      </c>
      <c r="BY97" s="214">
        <v>0</v>
      </c>
      <c r="BZ97" s="215">
        <v>2</v>
      </c>
      <c r="CA97" s="213" t="s">
        <v>291</v>
      </c>
      <c r="CB97" s="214">
        <v>4</v>
      </c>
      <c r="CC97" s="214">
        <v>0</v>
      </c>
      <c r="CD97" s="214">
        <v>0</v>
      </c>
      <c r="CE97" s="214">
        <v>0</v>
      </c>
      <c r="CF97" s="214">
        <v>0</v>
      </c>
      <c r="CG97" s="214">
        <v>4</v>
      </c>
      <c r="CH97" s="214">
        <v>0</v>
      </c>
      <c r="CI97" s="214">
        <v>0</v>
      </c>
      <c r="CJ97" s="215">
        <v>0</v>
      </c>
      <c r="CK97" s="213" t="s">
        <v>529</v>
      </c>
      <c r="CL97" s="214">
        <v>4</v>
      </c>
      <c r="CM97" s="214">
        <v>0</v>
      </c>
      <c r="CN97" s="214">
        <v>1</v>
      </c>
      <c r="CO97" s="214">
        <v>0</v>
      </c>
      <c r="CP97" s="214">
        <v>0</v>
      </c>
      <c r="CQ97" s="214">
        <v>1</v>
      </c>
      <c r="CR97" s="214">
        <v>0</v>
      </c>
      <c r="CS97" s="214">
        <v>0</v>
      </c>
      <c r="CT97" s="215">
        <v>1</v>
      </c>
      <c r="CU97" s="213" t="s">
        <v>532</v>
      </c>
      <c r="CV97" s="214">
        <v>4</v>
      </c>
      <c r="CW97" s="214">
        <v>0</v>
      </c>
      <c r="CX97" s="214">
        <v>1</v>
      </c>
      <c r="CY97" s="214">
        <v>0</v>
      </c>
      <c r="CZ97" s="214">
        <v>0</v>
      </c>
      <c r="DA97" s="214">
        <v>2</v>
      </c>
      <c r="DB97" s="214">
        <v>0</v>
      </c>
      <c r="DC97" s="214">
        <v>0</v>
      </c>
      <c r="DD97" s="215">
        <v>1</v>
      </c>
      <c r="DE97" s="213" t="s">
        <v>538</v>
      </c>
      <c r="DF97" s="214">
        <v>4</v>
      </c>
      <c r="DG97" s="214">
        <v>0</v>
      </c>
      <c r="DH97" s="214">
        <v>2</v>
      </c>
      <c r="DI97" s="214">
        <v>0</v>
      </c>
      <c r="DJ97" s="214">
        <v>0</v>
      </c>
      <c r="DK97" s="214">
        <v>1</v>
      </c>
      <c r="DL97" s="214">
        <v>0</v>
      </c>
      <c r="DM97" s="214">
        <v>0</v>
      </c>
      <c r="DN97" s="215">
        <v>2</v>
      </c>
      <c r="DO97" s="213" t="s">
        <v>535</v>
      </c>
      <c r="DP97" s="214">
        <v>4</v>
      </c>
      <c r="DQ97" s="214">
        <v>0</v>
      </c>
      <c r="DR97" s="214">
        <v>1</v>
      </c>
      <c r="DS97" s="214">
        <v>0</v>
      </c>
      <c r="DT97" s="214">
        <v>0</v>
      </c>
      <c r="DU97" s="214">
        <v>2</v>
      </c>
      <c r="DV97" s="214">
        <v>0</v>
      </c>
      <c r="DW97" s="214">
        <v>0</v>
      </c>
      <c r="DX97" s="215">
        <v>1</v>
      </c>
      <c r="DY97" s="249">
        <v>2</v>
      </c>
      <c r="DZ97" s="217">
        <v>0</v>
      </c>
      <c r="EA97" s="217">
        <v>0</v>
      </c>
      <c r="EB97" s="250">
        <v>7</v>
      </c>
      <c r="EC97" s="217">
        <v>3</v>
      </c>
      <c r="ED97" s="219">
        <v>1</v>
      </c>
      <c r="EE97" s="220">
        <v>0</v>
      </c>
      <c r="EF97" s="217">
        <v>0</v>
      </c>
      <c r="EG97" s="217">
        <v>0</v>
      </c>
      <c r="EH97" s="217">
        <v>0</v>
      </c>
      <c r="EI97" s="217">
        <v>0</v>
      </c>
      <c r="EJ97" s="217">
        <v>0</v>
      </c>
      <c r="EK97" s="217">
        <v>0</v>
      </c>
      <c r="EL97" s="217">
        <v>0</v>
      </c>
      <c r="EM97" s="217">
        <v>0</v>
      </c>
      <c r="EN97" s="217"/>
      <c r="EO97" s="217"/>
      <c r="EP97" s="217"/>
      <c r="EQ97" s="217"/>
      <c r="ER97" s="219">
        <f t="shared" si="84"/>
        <v>0</v>
      </c>
      <c r="ES97" s="217">
        <v>0</v>
      </c>
      <c r="ET97" s="217">
        <v>1</v>
      </c>
      <c r="EU97" s="217">
        <v>0</v>
      </c>
      <c r="EV97" s="217">
        <v>2</v>
      </c>
      <c r="EW97" s="217">
        <v>5</v>
      </c>
      <c r="EX97" s="217">
        <v>2</v>
      </c>
      <c r="EY97" s="217">
        <v>0</v>
      </c>
      <c r="EZ97" s="217">
        <v>0</v>
      </c>
      <c r="FA97" s="217">
        <v>0</v>
      </c>
      <c r="FB97" s="217"/>
      <c r="FC97" s="217"/>
      <c r="FD97" s="217"/>
      <c r="FE97" s="217"/>
      <c r="FF97" s="217">
        <f t="shared" si="85"/>
        <v>10</v>
      </c>
      <c r="FG97" s="221">
        <f t="shared" si="86"/>
        <v>0</v>
      </c>
      <c r="FH97" s="221">
        <f t="shared" si="87"/>
        <v>0</v>
      </c>
      <c r="FI97" s="221">
        <f t="shared" si="88"/>
        <v>0</v>
      </c>
      <c r="FJ97" s="221">
        <f t="shared" si="89"/>
        <v>-1</v>
      </c>
      <c r="FK97" s="221">
        <f t="shared" si="90"/>
        <v>0</v>
      </c>
      <c r="FL97" s="221">
        <f t="shared" si="91"/>
        <v>-2</v>
      </c>
      <c r="FM97" s="221">
        <f t="shared" si="92"/>
        <v>-5</v>
      </c>
      <c r="FN97" s="221">
        <f t="shared" si="93"/>
        <v>-2</v>
      </c>
      <c r="FO97" s="221">
        <f t="shared" si="94"/>
        <v>0</v>
      </c>
      <c r="FP97" s="221">
        <f t="shared" si="95"/>
        <v>0</v>
      </c>
      <c r="FQ97" s="221">
        <f t="shared" si="96"/>
        <v>0</v>
      </c>
      <c r="FR97" s="221">
        <f t="shared" si="97"/>
        <v>0</v>
      </c>
      <c r="FS97" s="221">
        <f t="shared" si="98"/>
        <v>0</v>
      </c>
      <c r="FT97" s="221">
        <f t="shared" si="99"/>
        <v>0</v>
      </c>
      <c r="FU97" s="221">
        <f t="shared" si="100"/>
        <v>0</v>
      </c>
      <c r="FV97" s="221">
        <f t="shared" si="101"/>
        <v>-10</v>
      </c>
      <c r="FW97" s="222"/>
    </row>
    <row r="98" spans="1:179" x14ac:dyDescent="0.25">
      <c r="A98" s="204">
        <v>40381</v>
      </c>
      <c r="B98" s="204" t="s">
        <v>19</v>
      </c>
      <c r="C98" s="204" t="s">
        <v>131</v>
      </c>
      <c r="D98" s="204" t="s">
        <v>590</v>
      </c>
      <c r="E98" s="205">
        <v>3257</v>
      </c>
      <c r="F98" s="206">
        <v>1</v>
      </c>
      <c r="G98" s="207" t="s">
        <v>540</v>
      </c>
      <c r="H98" s="211">
        <v>0</v>
      </c>
      <c r="I98" s="211">
        <v>0</v>
      </c>
      <c r="J98" s="248">
        <v>4</v>
      </c>
      <c r="K98" s="211">
        <v>7</v>
      </c>
      <c r="L98" s="211">
        <v>5</v>
      </c>
      <c r="M98" s="211">
        <v>5</v>
      </c>
      <c r="N98" s="211">
        <v>3</v>
      </c>
      <c r="O98" s="211">
        <v>7</v>
      </c>
      <c r="P98" s="211">
        <v>3</v>
      </c>
      <c r="Q98" s="211">
        <v>1</v>
      </c>
      <c r="R98" s="211">
        <v>22</v>
      </c>
      <c r="S98" s="211"/>
      <c r="T98" s="211"/>
      <c r="U98" s="211">
        <v>0</v>
      </c>
      <c r="V98" s="210">
        <v>0</v>
      </c>
      <c r="W98" s="211">
        <v>0</v>
      </c>
      <c r="X98" s="211">
        <v>1</v>
      </c>
      <c r="Y98" s="211">
        <v>0</v>
      </c>
      <c r="Z98" s="211">
        <v>0</v>
      </c>
      <c r="AA98" s="211">
        <v>0</v>
      </c>
      <c r="AB98" s="248">
        <v>5</v>
      </c>
      <c r="AC98" s="211">
        <v>4</v>
      </c>
      <c r="AD98" s="211">
        <v>3</v>
      </c>
      <c r="AE98" s="211">
        <v>3</v>
      </c>
      <c r="AF98" s="211">
        <v>2</v>
      </c>
      <c r="AG98" s="211">
        <v>6</v>
      </c>
      <c r="AH98" s="211">
        <v>1</v>
      </c>
      <c r="AI98" s="211">
        <v>0</v>
      </c>
      <c r="AJ98" s="211">
        <v>21</v>
      </c>
      <c r="AK98" s="211"/>
      <c r="AL98" s="211"/>
      <c r="AM98" s="213" t="s">
        <v>459</v>
      </c>
      <c r="AN98" s="214">
        <v>4</v>
      </c>
      <c r="AO98" s="214">
        <v>1</v>
      </c>
      <c r="AP98" s="214">
        <v>0</v>
      </c>
      <c r="AQ98" s="214">
        <v>0</v>
      </c>
      <c r="AR98" s="214">
        <v>1</v>
      </c>
      <c r="AS98" s="214">
        <v>2</v>
      </c>
      <c r="AT98" s="214">
        <v>0</v>
      </c>
      <c r="AU98" s="214">
        <v>0</v>
      </c>
      <c r="AV98" s="215">
        <v>0</v>
      </c>
      <c r="AW98" s="213" t="s">
        <v>538</v>
      </c>
      <c r="AX98" s="214">
        <v>3</v>
      </c>
      <c r="AY98" s="214">
        <v>2</v>
      </c>
      <c r="AZ98" s="214">
        <v>1</v>
      </c>
      <c r="BA98" s="214">
        <v>0</v>
      </c>
      <c r="BB98" s="214">
        <v>2</v>
      </c>
      <c r="BC98" s="214">
        <v>1</v>
      </c>
      <c r="BD98" s="214">
        <v>0</v>
      </c>
      <c r="BE98" s="214">
        <v>0</v>
      </c>
      <c r="BF98" s="215">
        <v>1</v>
      </c>
      <c r="BG98" s="213" t="s">
        <v>531</v>
      </c>
      <c r="BH98" s="214">
        <v>3</v>
      </c>
      <c r="BI98" s="214">
        <v>0</v>
      </c>
      <c r="BJ98" s="214">
        <v>1</v>
      </c>
      <c r="BK98" s="214">
        <v>1</v>
      </c>
      <c r="BL98" s="214">
        <v>0</v>
      </c>
      <c r="BM98" s="214">
        <v>0</v>
      </c>
      <c r="BN98" s="214">
        <v>1</v>
      </c>
      <c r="BO98" s="214">
        <v>1</v>
      </c>
      <c r="BP98" s="215">
        <v>2</v>
      </c>
      <c r="BQ98" s="213" t="s">
        <v>539</v>
      </c>
      <c r="BR98" s="214">
        <v>3</v>
      </c>
      <c r="BS98" s="214">
        <v>2</v>
      </c>
      <c r="BT98" s="214">
        <v>2</v>
      </c>
      <c r="BU98" s="214">
        <v>4</v>
      </c>
      <c r="BV98" s="214">
        <v>1</v>
      </c>
      <c r="BW98" s="214">
        <v>1</v>
      </c>
      <c r="BX98" s="214">
        <v>0</v>
      </c>
      <c r="BY98" s="214">
        <v>0</v>
      </c>
      <c r="BZ98" s="215">
        <v>5</v>
      </c>
      <c r="CA98" s="213" t="s">
        <v>561</v>
      </c>
      <c r="CB98" s="214">
        <v>4</v>
      </c>
      <c r="CC98" s="214">
        <v>1</v>
      </c>
      <c r="CD98" s="214">
        <v>1</v>
      </c>
      <c r="CE98" s="214">
        <v>2</v>
      </c>
      <c r="CF98" s="214">
        <v>0</v>
      </c>
      <c r="CG98" s="214">
        <v>1</v>
      </c>
      <c r="CH98" s="214">
        <v>0</v>
      </c>
      <c r="CI98" s="214">
        <v>0</v>
      </c>
      <c r="CJ98" s="215">
        <v>4</v>
      </c>
      <c r="CK98" s="213" t="s">
        <v>543</v>
      </c>
      <c r="CL98" s="214">
        <v>2</v>
      </c>
      <c r="CM98" s="214">
        <v>0</v>
      </c>
      <c r="CN98" s="214">
        <v>1</v>
      </c>
      <c r="CO98" s="214">
        <v>0</v>
      </c>
      <c r="CP98" s="214">
        <v>2</v>
      </c>
      <c r="CQ98" s="214">
        <v>1</v>
      </c>
      <c r="CR98" s="214">
        <v>0</v>
      </c>
      <c r="CS98" s="214">
        <v>0</v>
      </c>
      <c r="CT98" s="215">
        <v>1</v>
      </c>
      <c r="CU98" s="213" t="s">
        <v>532</v>
      </c>
      <c r="CV98" s="214">
        <v>4</v>
      </c>
      <c r="CW98" s="214">
        <v>0</v>
      </c>
      <c r="CX98" s="214">
        <v>0</v>
      </c>
      <c r="CY98" s="214">
        <v>0</v>
      </c>
      <c r="CZ98" s="214">
        <v>0</v>
      </c>
      <c r="DA98" s="214">
        <v>2</v>
      </c>
      <c r="DB98" s="214">
        <v>0</v>
      </c>
      <c r="DC98" s="214">
        <v>0</v>
      </c>
      <c r="DD98" s="215">
        <v>0</v>
      </c>
      <c r="DE98" s="213" t="s">
        <v>549</v>
      </c>
      <c r="DF98" s="214">
        <v>4</v>
      </c>
      <c r="DG98" s="214">
        <v>0</v>
      </c>
      <c r="DH98" s="214">
        <v>0</v>
      </c>
      <c r="DI98" s="214">
        <v>0</v>
      </c>
      <c r="DJ98" s="214">
        <v>0</v>
      </c>
      <c r="DK98" s="214">
        <v>0</v>
      </c>
      <c r="DL98" s="214">
        <v>0</v>
      </c>
      <c r="DM98" s="214">
        <v>0</v>
      </c>
      <c r="DN98" s="215">
        <v>0</v>
      </c>
      <c r="DO98" s="213" t="s">
        <v>535</v>
      </c>
      <c r="DP98" s="214">
        <v>3</v>
      </c>
      <c r="DQ98" s="214">
        <v>1</v>
      </c>
      <c r="DR98" s="214">
        <v>0</v>
      </c>
      <c r="DS98" s="214">
        <v>0</v>
      </c>
      <c r="DT98" s="214">
        <v>1</v>
      </c>
      <c r="DU98" s="214">
        <v>1</v>
      </c>
      <c r="DV98" s="214">
        <v>0</v>
      </c>
      <c r="DW98" s="214">
        <v>0</v>
      </c>
      <c r="DX98" s="215">
        <v>0</v>
      </c>
      <c r="DY98" s="249">
        <v>0</v>
      </c>
      <c r="DZ98" s="217">
        <v>0</v>
      </c>
      <c r="EA98" s="217">
        <v>0</v>
      </c>
      <c r="EB98" s="250">
        <v>9</v>
      </c>
      <c r="EC98" s="217">
        <v>2</v>
      </c>
      <c r="ED98" s="219">
        <v>0</v>
      </c>
      <c r="EE98" s="220">
        <v>1</v>
      </c>
      <c r="EF98" s="217">
        <v>0</v>
      </c>
      <c r="EG98" s="217">
        <v>0</v>
      </c>
      <c r="EH98" s="217">
        <v>0</v>
      </c>
      <c r="EI98" s="217">
        <v>4</v>
      </c>
      <c r="EJ98" s="217">
        <v>0</v>
      </c>
      <c r="EK98" s="217">
        <v>0</v>
      </c>
      <c r="EL98" s="217">
        <v>2</v>
      </c>
      <c r="EM98" s="217">
        <v>0</v>
      </c>
      <c r="EN98" s="217"/>
      <c r="EO98" s="217"/>
      <c r="EP98" s="217"/>
      <c r="EQ98" s="217"/>
      <c r="ER98" s="219">
        <f t="shared" ref="ER98:ER105" si="102">SUM(EE98:EQ98)</f>
        <v>7</v>
      </c>
      <c r="ES98" s="217">
        <v>3</v>
      </c>
      <c r="ET98" s="217">
        <v>2</v>
      </c>
      <c r="EU98" s="217">
        <v>0</v>
      </c>
      <c r="EV98" s="217">
        <v>0</v>
      </c>
      <c r="EW98" s="217">
        <v>0</v>
      </c>
      <c r="EX98" s="217">
        <v>2</v>
      </c>
      <c r="EY98" s="217">
        <v>1</v>
      </c>
      <c r="EZ98" s="217">
        <v>0</v>
      </c>
      <c r="FA98" s="217">
        <v>0</v>
      </c>
      <c r="FB98" s="217"/>
      <c r="FC98" s="217"/>
      <c r="FD98" s="217"/>
      <c r="FE98" s="217"/>
      <c r="FF98" s="217">
        <f t="shared" ref="FF98:FF105" si="103">SUM(ES98:FE98)</f>
        <v>8</v>
      </c>
      <c r="FG98" s="221">
        <f t="shared" ref="FG98:FG105" si="104">((SUM(L98,AD98))-(FF98))</f>
        <v>0</v>
      </c>
      <c r="FH98" s="221">
        <f t="shared" ref="FH98:FH105" si="105">((SUM(AO98,AY98,BI98,BS98,CC98,CM98,CW98,DG98,DQ98))-(ER98))</f>
        <v>0</v>
      </c>
      <c r="FI98" s="221">
        <f t="shared" ref="FI98:FV98" si="106">(EE98-ES98)</f>
        <v>-2</v>
      </c>
      <c r="FJ98" s="221">
        <f t="shared" si="106"/>
        <v>-2</v>
      </c>
      <c r="FK98" s="221">
        <f t="shared" si="106"/>
        <v>0</v>
      </c>
      <c r="FL98" s="221">
        <f t="shared" si="106"/>
        <v>0</v>
      </c>
      <c r="FM98" s="221">
        <f t="shared" si="106"/>
        <v>4</v>
      </c>
      <c r="FN98" s="221">
        <f t="shared" si="106"/>
        <v>-2</v>
      </c>
      <c r="FO98" s="221">
        <f t="shared" si="106"/>
        <v>-1</v>
      </c>
      <c r="FP98" s="221">
        <f t="shared" si="106"/>
        <v>2</v>
      </c>
      <c r="FQ98" s="221">
        <f t="shared" si="106"/>
        <v>0</v>
      </c>
      <c r="FR98" s="221">
        <f t="shared" si="106"/>
        <v>0</v>
      </c>
      <c r="FS98" s="221">
        <f t="shared" si="106"/>
        <v>0</v>
      </c>
      <c r="FT98" s="221">
        <f t="shared" si="106"/>
        <v>0</v>
      </c>
      <c r="FU98" s="221">
        <f t="shared" si="106"/>
        <v>0</v>
      </c>
      <c r="FV98" s="221">
        <f t="shared" si="106"/>
        <v>-1</v>
      </c>
      <c r="FW98" s="222"/>
    </row>
    <row r="99" spans="1:179" x14ac:dyDescent="0.25">
      <c r="A99" s="204">
        <v>40382</v>
      </c>
      <c r="B99" s="204" t="s">
        <v>19</v>
      </c>
      <c r="C99" s="204" t="s">
        <v>129</v>
      </c>
      <c r="D99" s="204" t="s">
        <v>590</v>
      </c>
      <c r="E99" s="205">
        <v>4611</v>
      </c>
      <c r="F99" s="206">
        <v>2</v>
      </c>
      <c r="G99" s="207" t="s">
        <v>546</v>
      </c>
      <c r="H99" s="211">
        <v>0</v>
      </c>
      <c r="I99" s="211">
        <v>0</v>
      </c>
      <c r="J99" s="248">
        <v>5</v>
      </c>
      <c r="K99" s="211">
        <v>7</v>
      </c>
      <c r="L99" s="211">
        <v>5</v>
      </c>
      <c r="M99" s="211">
        <v>4</v>
      </c>
      <c r="N99" s="211">
        <v>2</v>
      </c>
      <c r="O99" s="211">
        <v>4</v>
      </c>
      <c r="P99" s="211">
        <v>2</v>
      </c>
      <c r="Q99" s="211">
        <v>0</v>
      </c>
      <c r="R99" s="211">
        <v>21</v>
      </c>
      <c r="S99" s="211"/>
      <c r="T99" s="211"/>
      <c r="U99" s="211">
        <v>0</v>
      </c>
      <c r="V99" s="210">
        <v>0</v>
      </c>
      <c r="W99" s="211">
        <v>1</v>
      </c>
      <c r="X99" s="211">
        <v>0</v>
      </c>
      <c r="Y99" s="211">
        <v>0</v>
      </c>
      <c r="Z99" s="211">
        <v>0</v>
      </c>
      <c r="AA99" s="211">
        <v>0</v>
      </c>
      <c r="AB99" s="248">
        <v>4</v>
      </c>
      <c r="AC99" s="211">
        <v>1</v>
      </c>
      <c r="AD99" s="211">
        <v>1</v>
      </c>
      <c r="AE99" s="211">
        <v>1</v>
      </c>
      <c r="AF99" s="211">
        <v>3</v>
      </c>
      <c r="AG99" s="211">
        <v>5</v>
      </c>
      <c r="AH99" s="211">
        <v>0</v>
      </c>
      <c r="AI99" s="211">
        <v>0</v>
      </c>
      <c r="AJ99" s="211">
        <v>16</v>
      </c>
      <c r="AK99" s="211"/>
      <c r="AL99" s="211"/>
      <c r="AM99" s="213" t="s">
        <v>459</v>
      </c>
      <c r="AN99" s="214">
        <v>5</v>
      </c>
      <c r="AO99" s="214">
        <v>1</v>
      </c>
      <c r="AP99" s="214">
        <v>1</v>
      </c>
      <c r="AQ99" s="214">
        <v>0</v>
      </c>
      <c r="AR99" s="214">
        <v>0</v>
      </c>
      <c r="AS99" s="214">
        <v>1</v>
      </c>
      <c r="AT99" s="214">
        <v>0</v>
      </c>
      <c r="AU99" s="214">
        <v>0</v>
      </c>
      <c r="AV99" s="215">
        <v>3</v>
      </c>
      <c r="AW99" s="213" t="s">
        <v>538</v>
      </c>
      <c r="AX99" s="214">
        <v>4</v>
      </c>
      <c r="AY99" s="214">
        <v>2</v>
      </c>
      <c r="AZ99" s="214">
        <v>1</v>
      </c>
      <c r="BA99" s="214">
        <v>1</v>
      </c>
      <c r="BB99" s="214">
        <v>1</v>
      </c>
      <c r="BC99" s="214">
        <v>1</v>
      </c>
      <c r="BD99" s="214">
        <v>0</v>
      </c>
      <c r="BE99" s="214">
        <v>0</v>
      </c>
      <c r="BF99" s="215">
        <v>1</v>
      </c>
      <c r="BG99" s="213" t="s">
        <v>534</v>
      </c>
      <c r="BH99" s="214">
        <v>3</v>
      </c>
      <c r="BI99" s="214">
        <v>2</v>
      </c>
      <c r="BJ99" s="214">
        <v>1</v>
      </c>
      <c r="BK99" s="214">
        <v>0</v>
      </c>
      <c r="BL99" s="214">
        <v>1</v>
      </c>
      <c r="BM99" s="214">
        <v>1</v>
      </c>
      <c r="BN99" s="214">
        <v>1</v>
      </c>
      <c r="BO99" s="214">
        <v>0</v>
      </c>
      <c r="BP99" s="215">
        <v>2</v>
      </c>
      <c r="BQ99" s="213" t="s">
        <v>539</v>
      </c>
      <c r="BR99" s="214">
        <v>5</v>
      </c>
      <c r="BS99" s="214">
        <v>1</v>
      </c>
      <c r="BT99" s="214">
        <v>2</v>
      </c>
      <c r="BU99" s="214">
        <v>2</v>
      </c>
      <c r="BV99" s="214">
        <v>0</v>
      </c>
      <c r="BW99" s="214">
        <v>1</v>
      </c>
      <c r="BX99" s="214">
        <v>0</v>
      </c>
      <c r="BY99" s="214">
        <v>0</v>
      </c>
      <c r="BZ99" s="215">
        <v>2</v>
      </c>
      <c r="CA99" s="213" t="s">
        <v>530</v>
      </c>
      <c r="CB99" s="214">
        <v>5</v>
      </c>
      <c r="CC99" s="214">
        <v>1</v>
      </c>
      <c r="CD99" s="214">
        <v>3</v>
      </c>
      <c r="CE99" s="214">
        <v>1</v>
      </c>
      <c r="CF99" s="214">
        <v>0</v>
      </c>
      <c r="CG99" s="214">
        <v>1</v>
      </c>
      <c r="CH99" s="214">
        <v>0</v>
      </c>
      <c r="CI99" s="214">
        <v>0</v>
      </c>
      <c r="CJ99" s="215">
        <v>4</v>
      </c>
      <c r="CK99" s="213" t="s">
        <v>561</v>
      </c>
      <c r="CL99" s="214">
        <v>4</v>
      </c>
      <c r="CM99" s="214">
        <v>0</v>
      </c>
      <c r="CN99" s="214">
        <v>2</v>
      </c>
      <c r="CO99" s="214">
        <v>2</v>
      </c>
      <c r="CP99" s="214">
        <v>0</v>
      </c>
      <c r="CQ99" s="214">
        <v>2</v>
      </c>
      <c r="CR99" s="214">
        <v>0</v>
      </c>
      <c r="CS99" s="214">
        <v>0</v>
      </c>
      <c r="CT99" s="215">
        <v>2</v>
      </c>
      <c r="CU99" s="213" t="s">
        <v>532</v>
      </c>
      <c r="CV99" s="214">
        <v>4</v>
      </c>
      <c r="CW99" s="214">
        <v>0</v>
      </c>
      <c r="CX99" s="214">
        <v>0</v>
      </c>
      <c r="CY99" s="214">
        <v>0</v>
      </c>
      <c r="CZ99" s="214">
        <v>0</v>
      </c>
      <c r="DA99" s="214">
        <v>2</v>
      </c>
      <c r="DB99" s="214">
        <v>0</v>
      </c>
      <c r="DC99" s="214">
        <v>0</v>
      </c>
      <c r="DD99" s="215">
        <v>0</v>
      </c>
      <c r="DE99" s="213" t="s">
        <v>529</v>
      </c>
      <c r="DF99" s="214">
        <v>3</v>
      </c>
      <c r="DG99" s="214">
        <v>0</v>
      </c>
      <c r="DH99" s="214">
        <v>0</v>
      </c>
      <c r="DI99" s="214">
        <v>0</v>
      </c>
      <c r="DJ99" s="214">
        <v>1</v>
      </c>
      <c r="DK99" s="214">
        <v>2</v>
      </c>
      <c r="DL99" s="214">
        <v>0</v>
      </c>
      <c r="DM99" s="214">
        <v>0</v>
      </c>
      <c r="DN99" s="215">
        <v>0</v>
      </c>
      <c r="DO99" s="213" t="s">
        <v>535</v>
      </c>
      <c r="DP99" s="214">
        <v>3</v>
      </c>
      <c r="DQ99" s="214">
        <v>0</v>
      </c>
      <c r="DR99" s="214">
        <v>1</v>
      </c>
      <c r="DS99" s="214">
        <v>0</v>
      </c>
      <c r="DT99" s="214">
        <v>1</v>
      </c>
      <c r="DU99" s="214">
        <v>1</v>
      </c>
      <c r="DV99" s="214">
        <v>0</v>
      </c>
      <c r="DW99" s="214">
        <v>0</v>
      </c>
      <c r="DX99" s="215">
        <v>1</v>
      </c>
      <c r="DY99" s="249">
        <f>2+2/3</f>
        <v>2.6666666666666665</v>
      </c>
      <c r="DZ99" s="217">
        <v>1</v>
      </c>
      <c r="EA99" s="217">
        <v>0</v>
      </c>
      <c r="EB99" s="250">
        <v>6</v>
      </c>
      <c r="EC99" s="217">
        <v>2</v>
      </c>
      <c r="ED99" s="219">
        <v>0</v>
      </c>
      <c r="EE99" s="220">
        <v>2</v>
      </c>
      <c r="EF99" s="217">
        <v>0</v>
      </c>
      <c r="EG99" s="217">
        <v>2</v>
      </c>
      <c r="EH99" s="217">
        <v>0</v>
      </c>
      <c r="EI99" s="217">
        <v>1</v>
      </c>
      <c r="EJ99" s="217">
        <v>0</v>
      </c>
      <c r="EK99" s="217">
        <v>0</v>
      </c>
      <c r="EL99" s="217">
        <v>0</v>
      </c>
      <c r="EM99" s="217">
        <v>2</v>
      </c>
      <c r="EN99" s="217"/>
      <c r="EO99" s="217"/>
      <c r="EP99" s="217"/>
      <c r="EQ99" s="217"/>
      <c r="ER99" s="219">
        <f t="shared" si="102"/>
        <v>7</v>
      </c>
      <c r="ES99" s="217">
        <v>0</v>
      </c>
      <c r="ET99" s="217">
        <v>0</v>
      </c>
      <c r="EU99" s="217">
        <v>0</v>
      </c>
      <c r="EV99" s="217">
        <v>1</v>
      </c>
      <c r="EW99" s="217">
        <v>4</v>
      </c>
      <c r="EX99" s="217">
        <v>0</v>
      </c>
      <c r="EY99" s="217">
        <v>0</v>
      </c>
      <c r="EZ99" s="217">
        <v>1</v>
      </c>
      <c r="FA99" s="217">
        <v>0</v>
      </c>
      <c r="FB99" s="217"/>
      <c r="FC99" s="217"/>
      <c r="FD99" s="217"/>
      <c r="FE99" s="217"/>
      <c r="FF99" s="217">
        <f t="shared" si="103"/>
        <v>6</v>
      </c>
      <c r="FG99" s="221">
        <f t="shared" si="104"/>
        <v>0</v>
      </c>
      <c r="FH99" s="221">
        <f t="shared" si="105"/>
        <v>0</v>
      </c>
      <c r="FI99" s="221">
        <f t="shared" ref="FI99:FV99" si="107">(EE99-ES99)</f>
        <v>2</v>
      </c>
      <c r="FJ99" s="221">
        <f t="shared" si="107"/>
        <v>0</v>
      </c>
      <c r="FK99" s="221">
        <f t="shared" si="107"/>
        <v>2</v>
      </c>
      <c r="FL99" s="221">
        <f t="shared" si="107"/>
        <v>-1</v>
      </c>
      <c r="FM99" s="221">
        <f t="shared" si="107"/>
        <v>-3</v>
      </c>
      <c r="FN99" s="221">
        <f t="shared" si="107"/>
        <v>0</v>
      </c>
      <c r="FO99" s="221">
        <f t="shared" si="107"/>
        <v>0</v>
      </c>
      <c r="FP99" s="221">
        <f t="shared" si="107"/>
        <v>-1</v>
      </c>
      <c r="FQ99" s="221">
        <f t="shared" si="107"/>
        <v>2</v>
      </c>
      <c r="FR99" s="221">
        <f t="shared" si="107"/>
        <v>0</v>
      </c>
      <c r="FS99" s="221">
        <f t="shared" si="107"/>
        <v>0</v>
      </c>
      <c r="FT99" s="221">
        <f t="shared" si="107"/>
        <v>0</v>
      </c>
      <c r="FU99" s="221">
        <f t="shared" si="107"/>
        <v>0</v>
      </c>
      <c r="FV99" s="221">
        <f t="shared" si="107"/>
        <v>1</v>
      </c>
      <c r="FW99" s="222"/>
    </row>
    <row r="100" spans="1:179" x14ac:dyDescent="0.25">
      <c r="A100" s="204">
        <v>40383</v>
      </c>
      <c r="B100" s="204" t="s">
        <v>19</v>
      </c>
      <c r="C100" s="204" t="s">
        <v>129</v>
      </c>
      <c r="D100" s="204" t="s">
        <v>631</v>
      </c>
      <c r="E100" s="205">
        <v>4993</v>
      </c>
      <c r="F100" s="206">
        <v>3</v>
      </c>
      <c r="G100" s="207" t="s">
        <v>321</v>
      </c>
      <c r="H100" s="211">
        <v>0</v>
      </c>
      <c r="I100" s="211">
        <v>0</v>
      </c>
      <c r="J100" s="248">
        <v>2</v>
      </c>
      <c r="K100" s="211">
        <v>2</v>
      </c>
      <c r="L100" s="211">
        <v>0</v>
      </c>
      <c r="M100" s="211">
        <v>0</v>
      </c>
      <c r="N100" s="211">
        <v>2</v>
      </c>
      <c r="O100" s="211">
        <v>0</v>
      </c>
      <c r="P100" s="211">
        <v>0</v>
      </c>
      <c r="Q100" s="211">
        <v>0</v>
      </c>
      <c r="R100" s="211">
        <v>10</v>
      </c>
      <c r="S100" s="211"/>
      <c r="T100" s="211"/>
      <c r="U100" s="211">
        <v>2</v>
      </c>
      <c r="V100" s="210">
        <v>0</v>
      </c>
      <c r="W100" s="211">
        <v>1</v>
      </c>
      <c r="X100" s="211">
        <v>0</v>
      </c>
      <c r="Y100" s="211">
        <v>0</v>
      </c>
      <c r="Z100" s="211">
        <v>1</v>
      </c>
      <c r="AA100" s="211">
        <v>0</v>
      </c>
      <c r="AB100" s="248">
        <v>7</v>
      </c>
      <c r="AC100" s="211">
        <v>7</v>
      </c>
      <c r="AD100" s="211">
        <v>3</v>
      </c>
      <c r="AE100" s="211">
        <v>3</v>
      </c>
      <c r="AF100" s="211">
        <v>2</v>
      </c>
      <c r="AG100" s="211">
        <v>10</v>
      </c>
      <c r="AH100" s="211">
        <v>1</v>
      </c>
      <c r="AI100" s="211">
        <v>1</v>
      </c>
      <c r="AJ100" s="211">
        <v>28</v>
      </c>
      <c r="AK100" s="211"/>
      <c r="AL100" s="211"/>
      <c r="AM100" s="213" t="s">
        <v>459</v>
      </c>
      <c r="AN100" s="214">
        <v>5</v>
      </c>
      <c r="AO100" s="214">
        <v>0</v>
      </c>
      <c r="AP100" s="214">
        <v>2</v>
      </c>
      <c r="AQ100" s="214">
        <v>0</v>
      </c>
      <c r="AR100" s="214">
        <v>0</v>
      </c>
      <c r="AS100" s="214">
        <v>1</v>
      </c>
      <c r="AT100" s="214">
        <v>0</v>
      </c>
      <c r="AU100" s="214">
        <v>0</v>
      </c>
      <c r="AV100" s="215">
        <v>2</v>
      </c>
      <c r="AW100" s="213" t="s">
        <v>538</v>
      </c>
      <c r="AX100" s="214">
        <v>4</v>
      </c>
      <c r="AY100" s="214">
        <v>0</v>
      </c>
      <c r="AZ100" s="214">
        <v>0</v>
      </c>
      <c r="BA100" s="214">
        <v>0</v>
      </c>
      <c r="BB100" s="214">
        <v>0</v>
      </c>
      <c r="BC100" s="214">
        <v>1</v>
      </c>
      <c r="BD100" s="214">
        <v>0</v>
      </c>
      <c r="BE100" s="214">
        <v>0</v>
      </c>
      <c r="BF100" s="215">
        <v>0</v>
      </c>
      <c r="BG100" s="213" t="s">
        <v>534</v>
      </c>
      <c r="BH100" s="214">
        <v>3</v>
      </c>
      <c r="BI100" s="214">
        <v>1</v>
      </c>
      <c r="BJ100" s="214">
        <v>2</v>
      </c>
      <c r="BK100" s="214">
        <v>0</v>
      </c>
      <c r="BL100" s="214">
        <v>0</v>
      </c>
      <c r="BM100" s="214">
        <v>0</v>
      </c>
      <c r="BN100" s="214">
        <v>1</v>
      </c>
      <c r="BO100" s="214">
        <v>0</v>
      </c>
      <c r="BP100" s="215">
        <v>2</v>
      </c>
      <c r="BQ100" s="213" t="s">
        <v>539</v>
      </c>
      <c r="BR100" s="214">
        <v>2</v>
      </c>
      <c r="BS100" s="214">
        <v>1</v>
      </c>
      <c r="BT100" s="214">
        <v>0</v>
      </c>
      <c r="BU100" s="214">
        <v>0</v>
      </c>
      <c r="BV100" s="214">
        <v>1</v>
      </c>
      <c r="BW100" s="214">
        <v>0</v>
      </c>
      <c r="BX100" s="214">
        <v>1</v>
      </c>
      <c r="BY100" s="214">
        <v>0</v>
      </c>
      <c r="BZ100" s="215">
        <v>0</v>
      </c>
      <c r="CA100" s="213" t="s">
        <v>530</v>
      </c>
      <c r="CB100" s="214">
        <v>4</v>
      </c>
      <c r="CC100" s="214">
        <v>1</v>
      </c>
      <c r="CD100" s="214">
        <v>1</v>
      </c>
      <c r="CE100" s="214">
        <v>1</v>
      </c>
      <c r="CF100" s="214">
        <v>0</v>
      </c>
      <c r="CG100" s="214">
        <v>1</v>
      </c>
      <c r="CH100" s="214">
        <v>0</v>
      </c>
      <c r="CI100" s="214">
        <v>0</v>
      </c>
      <c r="CJ100" s="215">
        <v>1</v>
      </c>
      <c r="CK100" s="213" t="s">
        <v>561</v>
      </c>
      <c r="CL100" s="214">
        <v>4</v>
      </c>
      <c r="CM100" s="214">
        <v>1</v>
      </c>
      <c r="CN100" s="214">
        <v>1</v>
      </c>
      <c r="CO100" s="214">
        <v>0</v>
      </c>
      <c r="CP100" s="214">
        <v>0</v>
      </c>
      <c r="CQ100" s="214">
        <v>1</v>
      </c>
      <c r="CR100" s="214">
        <v>0</v>
      </c>
      <c r="CS100" s="214">
        <v>0</v>
      </c>
      <c r="CT100" s="215">
        <v>2</v>
      </c>
      <c r="CU100" s="213" t="s">
        <v>291</v>
      </c>
      <c r="CV100" s="214">
        <v>3</v>
      </c>
      <c r="CW100" s="214">
        <v>1</v>
      </c>
      <c r="CX100" s="214">
        <v>2</v>
      </c>
      <c r="CY100" s="214">
        <v>2</v>
      </c>
      <c r="CZ100" s="214">
        <v>1</v>
      </c>
      <c r="DA100" s="214">
        <v>0</v>
      </c>
      <c r="DB100" s="214">
        <v>0</v>
      </c>
      <c r="DC100" s="214">
        <v>0</v>
      </c>
      <c r="DD100" s="215">
        <v>2</v>
      </c>
      <c r="DE100" s="213" t="s">
        <v>529</v>
      </c>
      <c r="DF100" s="214">
        <v>4</v>
      </c>
      <c r="DG100" s="214">
        <v>0</v>
      </c>
      <c r="DH100" s="214">
        <v>2</v>
      </c>
      <c r="DI100" s="214">
        <v>1</v>
      </c>
      <c r="DJ100" s="214">
        <v>0</v>
      </c>
      <c r="DK100" s="214">
        <v>2</v>
      </c>
      <c r="DL100" s="214">
        <v>0</v>
      </c>
      <c r="DM100" s="214">
        <v>0</v>
      </c>
      <c r="DN100" s="215">
        <v>2</v>
      </c>
      <c r="DO100" s="213" t="s">
        <v>535</v>
      </c>
      <c r="DP100" s="214">
        <v>4</v>
      </c>
      <c r="DQ100" s="214">
        <v>0</v>
      </c>
      <c r="DR100" s="214">
        <v>1</v>
      </c>
      <c r="DS100" s="214">
        <v>1</v>
      </c>
      <c r="DT100" s="214">
        <v>0</v>
      </c>
      <c r="DU100" s="214">
        <v>0</v>
      </c>
      <c r="DV100" s="214">
        <v>0</v>
      </c>
      <c r="DW100" s="214">
        <v>0</v>
      </c>
      <c r="DX100" s="215">
        <v>1</v>
      </c>
      <c r="DY100" s="249">
        <v>6</v>
      </c>
      <c r="DZ100" s="217">
        <v>1</v>
      </c>
      <c r="EA100" s="217">
        <v>0</v>
      </c>
      <c r="EB100" s="250">
        <v>2</v>
      </c>
      <c r="EC100" s="217">
        <v>1</v>
      </c>
      <c r="ED100" s="219">
        <v>0</v>
      </c>
      <c r="EE100" s="220">
        <v>0</v>
      </c>
      <c r="EF100" s="217">
        <v>0</v>
      </c>
      <c r="EG100" s="217">
        <v>0</v>
      </c>
      <c r="EH100" s="217">
        <v>2</v>
      </c>
      <c r="EI100" s="217">
        <v>3</v>
      </c>
      <c r="EJ100" s="217">
        <v>0</v>
      </c>
      <c r="EK100" s="217">
        <v>0</v>
      </c>
      <c r="EL100" s="217">
        <v>0</v>
      </c>
      <c r="EM100" s="217"/>
      <c r="EN100" s="217"/>
      <c r="EO100" s="217"/>
      <c r="EP100" s="217"/>
      <c r="EQ100" s="217"/>
      <c r="ER100" s="219">
        <f t="shared" si="102"/>
        <v>5</v>
      </c>
      <c r="ES100" s="217">
        <v>0</v>
      </c>
      <c r="ET100" s="217">
        <v>0</v>
      </c>
      <c r="EU100" s="217">
        <v>0</v>
      </c>
      <c r="EV100" s="217">
        <v>0</v>
      </c>
      <c r="EW100" s="217">
        <v>0</v>
      </c>
      <c r="EX100" s="217">
        <v>2</v>
      </c>
      <c r="EY100" s="217">
        <v>0</v>
      </c>
      <c r="EZ100" s="217">
        <v>0</v>
      </c>
      <c r="FA100" s="217">
        <v>1</v>
      </c>
      <c r="FB100" s="217"/>
      <c r="FC100" s="217"/>
      <c r="FD100" s="217"/>
      <c r="FE100" s="217"/>
      <c r="FF100" s="217">
        <f t="shared" si="103"/>
        <v>3</v>
      </c>
      <c r="FG100" s="221">
        <f t="shared" si="104"/>
        <v>0</v>
      </c>
      <c r="FH100" s="221">
        <f t="shared" si="105"/>
        <v>0</v>
      </c>
      <c r="FI100" s="221">
        <f t="shared" ref="FI100:FV100" si="108">(EE100-ES100)</f>
        <v>0</v>
      </c>
      <c r="FJ100" s="221">
        <f t="shared" si="108"/>
        <v>0</v>
      </c>
      <c r="FK100" s="221">
        <f t="shared" si="108"/>
        <v>0</v>
      </c>
      <c r="FL100" s="221">
        <f t="shared" si="108"/>
        <v>2</v>
      </c>
      <c r="FM100" s="221">
        <f t="shared" si="108"/>
        <v>3</v>
      </c>
      <c r="FN100" s="221">
        <f t="shared" si="108"/>
        <v>-2</v>
      </c>
      <c r="FO100" s="221">
        <f t="shared" si="108"/>
        <v>0</v>
      </c>
      <c r="FP100" s="221">
        <f t="shared" si="108"/>
        <v>0</v>
      </c>
      <c r="FQ100" s="221">
        <f t="shared" si="108"/>
        <v>-1</v>
      </c>
      <c r="FR100" s="221">
        <f t="shared" si="108"/>
        <v>0</v>
      </c>
      <c r="FS100" s="221">
        <f t="shared" si="108"/>
        <v>0</v>
      </c>
      <c r="FT100" s="221">
        <f t="shared" si="108"/>
        <v>0</v>
      </c>
      <c r="FU100" s="221">
        <f t="shared" si="108"/>
        <v>0</v>
      </c>
      <c r="FV100" s="221">
        <f t="shared" si="108"/>
        <v>2</v>
      </c>
      <c r="FW100" s="222"/>
    </row>
    <row r="101" spans="1:179" x14ac:dyDescent="0.25">
      <c r="A101" s="204">
        <v>40384</v>
      </c>
      <c r="B101" s="204" t="s">
        <v>19</v>
      </c>
      <c r="C101" s="204" t="s">
        <v>131</v>
      </c>
      <c r="D101" s="204" t="s">
        <v>631</v>
      </c>
      <c r="E101" s="205">
        <v>3283</v>
      </c>
      <c r="F101" s="206">
        <v>4</v>
      </c>
      <c r="G101" s="207" t="s">
        <v>536</v>
      </c>
      <c r="H101" s="211">
        <v>0</v>
      </c>
      <c r="I101" s="211">
        <v>1</v>
      </c>
      <c r="J101" s="248">
        <f>4+2/3</f>
        <v>4.666666666666667</v>
      </c>
      <c r="K101" s="211">
        <v>8</v>
      </c>
      <c r="L101" s="211">
        <v>5</v>
      </c>
      <c r="M101" s="211">
        <v>5</v>
      </c>
      <c r="N101" s="211">
        <v>2</v>
      </c>
      <c r="O101" s="211">
        <v>1</v>
      </c>
      <c r="P101" s="211">
        <v>2</v>
      </c>
      <c r="Q101" s="211">
        <v>1</v>
      </c>
      <c r="R101" s="211">
        <v>24</v>
      </c>
      <c r="S101" s="211"/>
      <c r="T101" s="211"/>
      <c r="U101" s="211">
        <v>2</v>
      </c>
      <c r="V101" s="210">
        <v>0</v>
      </c>
      <c r="W101" s="211">
        <v>0</v>
      </c>
      <c r="X101" s="211">
        <v>0</v>
      </c>
      <c r="Y101" s="211">
        <v>0</v>
      </c>
      <c r="Z101" s="211">
        <v>0</v>
      </c>
      <c r="AA101" s="211">
        <v>0</v>
      </c>
      <c r="AB101" s="248">
        <f>4+1/3</f>
        <v>4.333333333333333</v>
      </c>
      <c r="AC101" s="211">
        <v>6</v>
      </c>
      <c r="AD101" s="211">
        <v>2</v>
      </c>
      <c r="AE101" s="211">
        <v>2</v>
      </c>
      <c r="AF101" s="211">
        <v>1</v>
      </c>
      <c r="AG101" s="211">
        <v>3</v>
      </c>
      <c r="AH101" s="211">
        <v>1</v>
      </c>
      <c r="AI101" s="211">
        <v>0</v>
      </c>
      <c r="AJ101" s="211">
        <v>19</v>
      </c>
      <c r="AK101" s="211"/>
      <c r="AL101" s="211"/>
      <c r="AM101" s="213" t="s">
        <v>529</v>
      </c>
      <c r="AN101" s="214">
        <v>5</v>
      </c>
      <c r="AO101" s="214">
        <v>0</v>
      </c>
      <c r="AP101" s="214">
        <v>1</v>
      </c>
      <c r="AQ101" s="214">
        <v>0</v>
      </c>
      <c r="AR101" s="214">
        <v>0</v>
      </c>
      <c r="AS101" s="214">
        <v>0</v>
      </c>
      <c r="AT101" s="214">
        <v>0</v>
      </c>
      <c r="AU101" s="214">
        <v>0</v>
      </c>
      <c r="AV101" s="215">
        <v>1</v>
      </c>
      <c r="AW101" s="213" t="s">
        <v>543</v>
      </c>
      <c r="AX101" s="214">
        <v>1</v>
      </c>
      <c r="AY101" s="214">
        <v>1</v>
      </c>
      <c r="AZ101" s="214">
        <v>0</v>
      </c>
      <c r="BA101" s="214">
        <v>1</v>
      </c>
      <c r="BB101" s="214">
        <v>3</v>
      </c>
      <c r="BC101" s="214">
        <v>0</v>
      </c>
      <c r="BD101" s="214">
        <v>0</v>
      </c>
      <c r="BE101" s="214">
        <v>0</v>
      </c>
      <c r="BF101" s="215">
        <v>0</v>
      </c>
      <c r="BG101" s="213" t="s">
        <v>534</v>
      </c>
      <c r="BH101" s="214">
        <v>2</v>
      </c>
      <c r="BI101" s="214">
        <v>0</v>
      </c>
      <c r="BJ101" s="214">
        <v>1</v>
      </c>
      <c r="BK101" s="214">
        <v>0</v>
      </c>
      <c r="BL101" s="214">
        <v>2</v>
      </c>
      <c r="BM101" s="214">
        <v>1</v>
      </c>
      <c r="BN101" s="214">
        <v>0</v>
      </c>
      <c r="BO101" s="214">
        <v>0</v>
      </c>
      <c r="BP101" s="215">
        <v>2</v>
      </c>
      <c r="BQ101" s="213" t="s">
        <v>539</v>
      </c>
      <c r="BR101" s="214">
        <v>4</v>
      </c>
      <c r="BS101" s="214">
        <v>0</v>
      </c>
      <c r="BT101" s="214">
        <v>1</v>
      </c>
      <c r="BU101" s="214">
        <v>1</v>
      </c>
      <c r="BV101" s="214">
        <v>0</v>
      </c>
      <c r="BW101" s="214">
        <v>0</v>
      </c>
      <c r="BX101" s="214">
        <v>0</v>
      </c>
      <c r="BY101" s="214">
        <v>0</v>
      </c>
      <c r="BZ101" s="215">
        <v>2</v>
      </c>
      <c r="CA101" s="213" t="s">
        <v>561</v>
      </c>
      <c r="CB101" s="214">
        <v>3</v>
      </c>
      <c r="CC101" s="214">
        <v>0</v>
      </c>
      <c r="CD101" s="214">
        <v>0</v>
      </c>
      <c r="CE101" s="214">
        <v>0</v>
      </c>
      <c r="CF101" s="214">
        <v>1</v>
      </c>
      <c r="CG101" s="214">
        <v>2</v>
      </c>
      <c r="CH101" s="214">
        <v>0</v>
      </c>
      <c r="CI101" s="214">
        <v>0</v>
      </c>
      <c r="CJ101" s="215">
        <v>0</v>
      </c>
      <c r="CK101" s="213" t="s">
        <v>291</v>
      </c>
      <c r="CL101" s="214">
        <v>4</v>
      </c>
      <c r="CM101" s="214">
        <v>0</v>
      </c>
      <c r="CN101" s="214">
        <v>0</v>
      </c>
      <c r="CO101" s="214">
        <v>0</v>
      </c>
      <c r="CP101" s="214">
        <v>0</v>
      </c>
      <c r="CQ101" s="214">
        <v>0</v>
      </c>
      <c r="CR101" s="214">
        <v>0</v>
      </c>
      <c r="CS101" s="214">
        <v>0</v>
      </c>
      <c r="CT101" s="215">
        <v>0</v>
      </c>
      <c r="CU101" s="213" t="s">
        <v>532</v>
      </c>
      <c r="CV101" s="214">
        <v>4</v>
      </c>
      <c r="CW101" s="214">
        <v>1</v>
      </c>
      <c r="CX101" s="214">
        <v>2</v>
      </c>
      <c r="CY101" s="214">
        <v>0</v>
      </c>
      <c r="CZ101" s="214">
        <v>0</v>
      </c>
      <c r="DA101" s="214">
        <v>1</v>
      </c>
      <c r="DB101" s="214">
        <v>0</v>
      </c>
      <c r="DC101" s="214">
        <v>0</v>
      </c>
      <c r="DD101" s="215">
        <v>2</v>
      </c>
      <c r="DE101" s="213" t="s">
        <v>549</v>
      </c>
      <c r="DF101" s="214">
        <v>2</v>
      </c>
      <c r="DG101" s="214">
        <v>0</v>
      </c>
      <c r="DH101" s="214">
        <v>0</v>
      </c>
      <c r="DI101" s="214">
        <v>0</v>
      </c>
      <c r="DJ101" s="214">
        <v>2</v>
      </c>
      <c r="DK101" s="214">
        <v>1</v>
      </c>
      <c r="DL101" s="214">
        <v>0</v>
      </c>
      <c r="DM101" s="214">
        <v>0</v>
      </c>
      <c r="DN101" s="215">
        <v>0</v>
      </c>
      <c r="DO101" s="213" t="s">
        <v>535</v>
      </c>
      <c r="DP101" s="214">
        <v>4</v>
      </c>
      <c r="DQ101" s="214">
        <v>0</v>
      </c>
      <c r="DR101" s="214">
        <v>0</v>
      </c>
      <c r="DS101" s="214">
        <v>0</v>
      </c>
      <c r="DT101" s="214">
        <v>0</v>
      </c>
      <c r="DU101" s="214">
        <v>2</v>
      </c>
      <c r="DV101" s="214">
        <v>0</v>
      </c>
      <c r="DW101" s="214">
        <v>0</v>
      </c>
      <c r="DX101" s="215">
        <v>0</v>
      </c>
      <c r="DY101" s="249">
        <v>0</v>
      </c>
      <c r="DZ101" s="217">
        <v>0</v>
      </c>
      <c r="EA101" s="217">
        <v>0</v>
      </c>
      <c r="EB101" s="250">
        <v>9</v>
      </c>
      <c r="EC101" s="217">
        <v>2</v>
      </c>
      <c r="ED101" s="219">
        <v>0</v>
      </c>
      <c r="EE101" s="220">
        <v>0</v>
      </c>
      <c r="EF101" s="217">
        <v>0</v>
      </c>
      <c r="EG101" s="217">
        <v>0</v>
      </c>
      <c r="EH101" s="217">
        <v>0</v>
      </c>
      <c r="EI101" s="217">
        <v>1</v>
      </c>
      <c r="EJ101" s="217">
        <v>0</v>
      </c>
      <c r="EK101" s="217">
        <v>0</v>
      </c>
      <c r="EL101" s="217">
        <v>1</v>
      </c>
      <c r="EM101" s="217">
        <v>0</v>
      </c>
      <c r="EN101" s="217"/>
      <c r="EO101" s="217"/>
      <c r="EP101" s="217"/>
      <c r="EQ101" s="217"/>
      <c r="ER101" s="219">
        <f t="shared" si="102"/>
        <v>2</v>
      </c>
      <c r="ES101" s="217">
        <v>0</v>
      </c>
      <c r="ET101" s="217">
        <v>0</v>
      </c>
      <c r="EU101" s="217">
        <v>0</v>
      </c>
      <c r="EV101" s="217">
        <v>4</v>
      </c>
      <c r="EW101" s="217">
        <v>1</v>
      </c>
      <c r="EX101" s="217">
        <v>1</v>
      </c>
      <c r="EY101" s="217">
        <v>1</v>
      </c>
      <c r="EZ101" s="217">
        <v>0</v>
      </c>
      <c r="FA101" s="217">
        <v>0</v>
      </c>
      <c r="FB101" s="217"/>
      <c r="FC101" s="217"/>
      <c r="FD101" s="217"/>
      <c r="FE101" s="217"/>
      <c r="FF101" s="217">
        <f t="shared" si="103"/>
        <v>7</v>
      </c>
      <c r="FG101" s="221">
        <f t="shared" si="104"/>
        <v>0</v>
      </c>
      <c r="FH101" s="221">
        <f t="shared" si="105"/>
        <v>0</v>
      </c>
      <c r="FI101" s="221">
        <f t="shared" ref="FI101:FV101" si="109">(EE101-ES101)</f>
        <v>0</v>
      </c>
      <c r="FJ101" s="221">
        <f t="shared" si="109"/>
        <v>0</v>
      </c>
      <c r="FK101" s="221">
        <f t="shared" si="109"/>
        <v>0</v>
      </c>
      <c r="FL101" s="221">
        <f t="shared" si="109"/>
        <v>-4</v>
      </c>
      <c r="FM101" s="221">
        <f t="shared" si="109"/>
        <v>0</v>
      </c>
      <c r="FN101" s="221">
        <f t="shared" si="109"/>
        <v>-1</v>
      </c>
      <c r="FO101" s="221">
        <f t="shared" si="109"/>
        <v>-1</v>
      </c>
      <c r="FP101" s="221">
        <f t="shared" si="109"/>
        <v>1</v>
      </c>
      <c r="FQ101" s="221">
        <f t="shared" si="109"/>
        <v>0</v>
      </c>
      <c r="FR101" s="221">
        <f t="shared" si="109"/>
        <v>0</v>
      </c>
      <c r="FS101" s="221">
        <f t="shared" si="109"/>
        <v>0</v>
      </c>
      <c r="FT101" s="221">
        <f t="shared" si="109"/>
        <v>0</v>
      </c>
      <c r="FU101" s="221">
        <f t="shared" si="109"/>
        <v>0</v>
      </c>
      <c r="FV101" s="221">
        <f t="shared" si="109"/>
        <v>-5</v>
      </c>
      <c r="FW101" s="222"/>
    </row>
    <row r="102" spans="1:179" x14ac:dyDescent="0.25">
      <c r="A102" s="204">
        <v>40385</v>
      </c>
      <c r="B102" s="204" t="s">
        <v>19</v>
      </c>
      <c r="C102" s="204" t="s">
        <v>131</v>
      </c>
      <c r="D102" s="204" t="s">
        <v>631</v>
      </c>
      <c r="E102" s="205">
        <v>3233</v>
      </c>
      <c r="F102" s="206">
        <v>5</v>
      </c>
      <c r="G102" s="207" t="s">
        <v>580</v>
      </c>
      <c r="H102" s="211">
        <v>0</v>
      </c>
      <c r="I102" s="211">
        <v>1</v>
      </c>
      <c r="J102" s="248">
        <v>5</v>
      </c>
      <c r="K102" s="211">
        <v>4</v>
      </c>
      <c r="L102" s="211">
        <v>5</v>
      </c>
      <c r="M102" s="211">
        <v>2</v>
      </c>
      <c r="N102" s="211">
        <v>2</v>
      </c>
      <c r="O102" s="211">
        <v>4</v>
      </c>
      <c r="P102" s="211">
        <v>2</v>
      </c>
      <c r="Q102" s="211">
        <v>0</v>
      </c>
      <c r="R102" s="211">
        <v>22</v>
      </c>
      <c r="S102" s="211"/>
      <c r="T102" s="211"/>
      <c r="U102" s="211">
        <v>0</v>
      </c>
      <c r="V102" s="210">
        <v>0</v>
      </c>
      <c r="W102" s="211">
        <v>0</v>
      </c>
      <c r="X102" s="211">
        <v>0</v>
      </c>
      <c r="Y102" s="211">
        <v>0</v>
      </c>
      <c r="Z102" s="211">
        <v>0</v>
      </c>
      <c r="AA102" s="211">
        <v>0</v>
      </c>
      <c r="AB102" s="248">
        <v>4</v>
      </c>
      <c r="AC102" s="211">
        <v>3</v>
      </c>
      <c r="AD102" s="211">
        <v>1</v>
      </c>
      <c r="AE102" s="211">
        <v>1</v>
      </c>
      <c r="AF102" s="211">
        <v>1</v>
      </c>
      <c r="AG102" s="211">
        <v>7</v>
      </c>
      <c r="AH102" s="211">
        <v>0</v>
      </c>
      <c r="AI102" s="211">
        <v>0</v>
      </c>
      <c r="AJ102" s="211">
        <v>15</v>
      </c>
      <c r="AK102" s="211"/>
      <c r="AL102" s="211"/>
      <c r="AM102" s="213" t="s">
        <v>459</v>
      </c>
      <c r="AN102" s="214">
        <v>4</v>
      </c>
      <c r="AO102" s="214">
        <v>0</v>
      </c>
      <c r="AP102" s="214">
        <v>0</v>
      </c>
      <c r="AQ102" s="214">
        <v>0</v>
      </c>
      <c r="AR102" s="214">
        <v>0</v>
      </c>
      <c r="AS102" s="214">
        <v>2</v>
      </c>
      <c r="AT102" s="214">
        <v>0</v>
      </c>
      <c r="AU102" s="214">
        <v>0</v>
      </c>
      <c r="AV102" s="215">
        <v>0</v>
      </c>
      <c r="AW102" s="213" t="s">
        <v>534</v>
      </c>
      <c r="AX102" s="214">
        <v>4</v>
      </c>
      <c r="AY102" s="214">
        <v>0</v>
      </c>
      <c r="AZ102" s="214">
        <v>0</v>
      </c>
      <c r="BA102" s="214">
        <v>0</v>
      </c>
      <c r="BB102" s="214">
        <v>0</v>
      </c>
      <c r="BC102" s="214">
        <v>1</v>
      </c>
      <c r="BD102" s="214">
        <v>0</v>
      </c>
      <c r="BE102" s="214">
        <v>0</v>
      </c>
      <c r="BF102" s="215">
        <v>0</v>
      </c>
      <c r="BG102" s="213" t="s">
        <v>531</v>
      </c>
      <c r="BH102" s="214">
        <v>4</v>
      </c>
      <c r="BI102" s="214">
        <v>0</v>
      </c>
      <c r="BJ102" s="214">
        <v>2</v>
      </c>
      <c r="BK102" s="214">
        <v>0</v>
      </c>
      <c r="BL102" s="214">
        <v>0</v>
      </c>
      <c r="BM102" s="214">
        <v>0</v>
      </c>
      <c r="BN102" s="214">
        <v>0</v>
      </c>
      <c r="BO102" s="214">
        <v>0</v>
      </c>
      <c r="BP102" s="215">
        <v>2</v>
      </c>
      <c r="BQ102" s="213" t="s">
        <v>539</v>
      </c>
      <c r="BR102" s="214">
        <v>4</v>
      </c>
      <c r="BS102" s="214">
        <v>0</v>
      </c>
      <c r="BT102" s="214">
        <v>0</v>
      </c>
      <c r="BU102" s="214">
        <v>0</v>
      </c>
      <c r="BV102" s="214">
        <v>0</v>
      </c>
      <c r="BW102" s="214">
        <v>2</v>
      </c>
      <c r="BX102" s="214">
        <v>0</v>
      </c>
      <c r="BY102" s="214">
        <v>0</v>
      </c>
      <c r="BZ102" s="215">
        <v>0</v>
      </c>
      <c r="CA102" s="213" t="s">
        <v>530</v>
      </c>
      <c r="CB102" s="214">
        <v>3</v>
      </c>
      <c r="CC102" s="214">
        <v>0</v>
      </c>
      <c r="CD102" s="214">
        <v>0</v>
      </c>
      <c r="CE102" s="214">
        <v>0</v>
      </c>
      <c r="CF102" s="214">
        <v>1</v>
      </c>
      <c r="CG102" s="214">
        <v>1</v>
      </c>
      <c r="CH102" s="214">
        <v>0</v>
      </c>
      <c r="CI102" s="214">
        <v>0</v>
      </c>
      <c r="CJ102" s="215">
        <v>0</v>
      </c>
      <c r="CK102" s="213" t="s">
        <v>529</v>
      </c>
      <c r="CL102" s="214">
        <v>2</v>
      </c>
      <c r="CM102" s="214">
        <v>0</v>
      </c>
      <c r="CN102" s="214">
        <v>0</v>
      </c>
      <c r="CO102" s="214">
        <v>0</v>
      </c>
      <c r="CP102" s="214">
        <v>1</v>
      </c>
      <c r="CQ102" s="214">
        <v>0</v>
      </c>
      <c r="CR102" s="214">
        <v>0</v>
      </c>
      <c r="CS102" s="214">
        <v>0</v>
      </c>
      <c r="CT102" s="215">
        <v>0</v>
      </c>
      <c r="CU102" s="213" t="s">
        <v>532</v>
      </c>
      <c r="CV102" s="214">
        <v>3</v>
      </c>
      <c r="CW102" s="214">
        <v>0</v>
      </c>
      <c r="CX102" s="214">
        <v>1</v>
      </c>
      <c r="CY102" s="214">
        <v>0</v>
      </c>
      <c r="CZ102" s="214">
        <v>0</v>
      </c>
      <c r="DA102" s="214">
        <v>1</v>
      </c>
      <c r="DB102" s="214">
        <v>0</v>
      </c>
      <c r="DC102" s="214">
        <v>0</v>
      </c>
      <c r="DD102" s="215">
        <v>1</v>
      </c>
      <c r="DE102" s="213" t="s">
        <v>538</v>
      </c>
      <c r="DF102" s="214">
        <v>2</v>
      </c>
      <c r="DG102" s="214">
        <v>0</v>
      </c>
      <c r="DH102" s="214">
        <v>0</v>
      </c>
      <c r="DI102" s="214">
        <v>0</v>
      </c>
      <c r="DJ102" s="214">
        <v>1</v>
      </c>
      <c r="DK102" s="214">
        <v>0</v>
      </c>
      <c r="DL102" s="214">
        <v>0</v>
      </c>
      <c r="DM102" s="214">
        <v>0</v>
      </c>
      <c r="DN102" s="215">
        <v>0</v>
      </c>
      <c r="DO102" s="213" t="s">
        <v>535</v>
      </c>
      <c r="DP102" s="214">
        <v>3</v>
      </c>
      <c r="DQ102" s="214">
        <v>0</v>
      </c>
      <c r="DR102" s="214">
        <v>0</v>
      </c>
      <c r="DS102" s="214">
        <v>0</v>
      </c>
      <c r="DT102" s="214">
        <v>0</v>
      </c>
      <c r="DU102" s="214">
        <v>0</v>
      </c>
      <c r="DV102" s="214">
        <v>0</v>
      </c>
      <c r="DW102" s="214">
        <v>0</v>
      </c>
      <c r="DX102" s="215">
        <v>0</v>
      </c>
      <c r="DY102" s="249">
        <v>1</v>
      </c>
      <c r="DZ102" s="217">
        <v>0</v>
      </c>
      <c r="EA102" s="217">
        <v>0</v>
      </c>
      <c r="EB102" s="250">
        <v>8</v>
      </c>
      <c r="EC102" s="217">
        <v>2</v>
      </c>
      <c r="ED102" s="219">
        <v>0</v>
      </c>
      <c r="EE102" s="220">
        <v>0</v>
      </c>
      <c r="EF102" s="217">
        <v>0</v>
      </c>
      <c r="EG102" s="217">
        <v>0</v>
      </c>
      <c r="EH102" s="217">
        <v>0</v>
      </c>
      <c r="EI102" s="217">
        <v>0</v>
      </c>
      <c r="EJ102" s="217">
        <v>0</v>
      </c>
      <c r="EK102" s="217">
        <v>0</v>
      </c>
      <c r="EL102" s="217">
        <v>0</v>
      </c>
      <c r="EM102" s="217">
        <v>0</v>
      </c>
      <c r="EN102" s="217"/>
      <c r="EO102" s="217"/>
      <c r="EP102" s="217"/>
      <c r="EQ102" s="217"/>
      <c r="ER102" s="219">
        <f t="shared" si="102"/>
        <v>0</v>
      </c>
      <c r="ES102" s="217">
        <v>0</v>
      </c>
      <c r="ET102" s="217">
        <v>3</v>
      </c>
      <c r="EU102" s="217">
        <v>0</v>
      </c>
      <c r="EV102" s="217">
        <v>0</v>
      </c>
      <c r="EW102" s="217">
        <v>2</v>
      </c>
      <c r="EX102" s="217">
        <v>0</v>
      </c>
      <c r="EY102" s="217">
        <v>1</v>
      </c>
      <c r="EZ102" s="217">
        <v>0</v>
      </c>
      <c r="FA102" s="217">
        <v>0</v>
      </c>
      <c r="FB102" s="217"/>
      <c r="FC102" s="217"/>
      <c r="FD102" s="217"/>
      <c r="FE102" s="217"/>
      <c r="FF102" s="217">
        <f t="shared" si="103"/>
        <v>6</v>
      </c>
      <c r="FG102" s="221">
        <f t="shared" si="104"/>
        <v>0</v>
      </c>
      <c r="FH102" s="221">
        <f t="shared" si="105"/>
        <v>0</v>
      </c>
      <c r="FI102" s="221">
        <f t="shared" ref="FI102:FV105" si="110">(EE102-ES102)</f>
        <v>0</v>
      </c>
      <c r="FJ102" s="221">
        <f t="shared" si="110"/>
        <v>-3</v>
      </c>
      <c r="FK102" s="221">
        <f t="shared" si="110"/>
        <v>0</v>
      </c>
      <c r="FL102" s="221">
        <f t="shared" si="110"/>
        <v>0</v>
      </c>
      <c r="FM102" s="221">
        <f t="shared" si="110"/>
        <v>-2</v>
      </c>
      <c r="FN102" s="221">
        <f t="shared" si="110"/>
        <v>0</v>
      </c>
      <c r="FO102" s="221">
        <f t="shared" si="110"/>
        <v>-1</v>
      </c>
      <c r="FP102" s="221">
        <f t="shared" si="110"/>
        <v>0</v>
      </c>
      <c r="FQ102" s="221">
        <f t="shared" si="110"/>
        <v>0</v>
      </c>
      <c r="FR102" s="221">
        <f t="shared" si="110"/>
        <v>0</v>
      </c>
      <c r="FS102" s="221">
        <f t="shared" si="110"/>
        <v>0</v>
      </c>
      <c r="FT102" s="221">
        <f t="shared" si="110"/>
        <v>0</v>
      </c>
      <c r="FU102" s="221">
        <f t="shared" si="110"/>
        <v>0</v>
      </c>
      <c r="FV102" s="221">
        <f t="shared" si="110"/>
        <v>-6</v>
      </c>
      <c r="FW102" s="222"/>
    </row>
    <row r="103" spans="1:179" x14ac:dyDescent="0.25">
      <c r="A103" s="204">
        <v>40387</v>
      </c>
      <c r="B103" s="204" t="s">
        <v>133</v>
      </c>
      <c r="C103" s="204" t="s">
        <v>129</v>
      </c>
      <c r="D103" s="204" t="s">
        <v>544</v>
      </c>
      <c r="E103" s="205">
        <v>8109</v>
      </c>
      <c r="F103" s="206">
        <v>1</v>
      </c>
      <c r="G103" s="207" t="s">
        <v>546</v>
      </c>
      <c r="H103" s="211">
        <v>1</v>
      </c>
      <c r="I103" s="211">
        <v>0</v>
      </c>
      <c r="J103" s="248">
        <v>7</v>
      </c>
      <c r="K103" s="211">
        <v>6</v>
      </c>
      <c r="L103" s="211">
        <v>3</v>
      </c>
      <c r="M103" s="211">
        <v>3</v>
      </c>
      <c r="N103" s="211">
        <v>0</v>
      </c>
      <c r="O103" s="211">
        <v>5</v>
      </c>
      <c r="P103" s="211">
        <v>1</v>
      </c>
      <c r="Q103" s="211">
        <v>0</v>
      </c>
      <c r="R103" s="211">
        <v>26</v>
      </c>
      <c r="S103" s="211"/>
      <c r="T103" s="211"/>
      <c r="U103" s="211">
        <v>0</v>
      </c>
      <c r="V103" s="210">
        <v>0</v>
      </c>
      <c r="W103" s="211">
        <v>0</v>
      </c>
      <c r="X103" s="211">
        <v>0</v>
      </c>
      <c r="Y103" s="211">
        <v>1</v>
      </c>
      <c r="Z103" s="211">
        <v>1</v>
      </c>
      <c r="AA103" s="211">
        <v>0</v>
      </c>
      <c r="AB103" s="248">
        <v>2</v>
      </c>
      <c r="AC103" s="211">
        <v>0</v>
      </c>
      <c r="AD103" s="211">
        <v>0</v>
      </c>
      <c r="AE103" s="211">
        <v>0</v>
      </c>
      <c r="AF103" s="211">
        <v>3</v>
      </c>
      <c r="AG103" s="211">
        <v>0</v>
      </c>
      <c r="AH103" s="211">
        <v>0</v>
      </c>
      <c r="AI103" s="211">
        <v>0</v>
      </c>
      <c r="AJ103" s="211">
        <v>8</v>
      </c>
      <c r="AK103" s="211"/>
      <c r="AL103" s="211"/>
      <c r="AM103" s="213" t="s">
        <v>459</v>
      </c>
      <c r="AN103" s="214">
        <v>5</v>
      </c>
      <c r="AO103" s="214">
        <v>1</v>
      </c>
      <c r="AP103" s="214">
        <v>1</v>
      </c>
      <c r="AQ103" s="214">
        <v>0</v>
      </c>
      <c r="AR103" s="214">
        <v>0</v>
      </c>
      <c r="AS103" s="214">
        <v>2</v>
      </c>
      <c r="AT103" s="214">
        <v>0</v>
      </c>
      <c r="AU103" s="214">
        <v>0</v>
      </c>
      <c r="AV103" s="215">
        <v>2</v>
      </c>
      <c r="AW103" s="213" t="s">
        <v>534</v>
      </c>
      <c r="AX103" s="214">
        <v>5</v>
      </c>
      <c r="AY103" s="214">
        <v>0</v>
      </c>
      <c r="AZ103" s="214">
        <v>2</v>
      </c>
      <c r="BA103" s="214">
        <v>1</v>
      </c>
      <c r="BB103" s="214">
        <v>0</v>
      </c>
      <c r="BC103" s="214">
        <v>0</v>
      </c>
      <c r="BD103" s="214">
        <v>0</v>
      </c>
      <c r="BE103" s="214">
        <v>0</v>
      </c>
      <c r="BF103" s="215">
        <v>3</v>
      </c>
      <c r="BG103" s="213" t="s">
        <v>531</v>
      </c>
      <c r="BH103" s="214">
        <v>5</v>
      </c>
      <c r="BI103" s="214">
        <v>0</v>
      </c>
      <c r="BJ103" s="214">
        <v>2</v>
      </c>
      <c r="BK103" s="214">
        <v>1</v>
      </c>
      <c r="BL103" s="214">
        <v>0</v>
      </c>
      <c r="BM103" s="214">
        <v>0</v>
      </c>
      <c r="BN103" s="214">
        <v>0</v>
      </c>
      <c r="BO103" s="214">
        <v>0</v>
      </c>
      <c r="BP103" s="215">
        <v>3</v>
      </c>
      <c r="BQ103" s="213" t="s">
        <v>530</v>
      </c>
      <c r="BR103" s="214">
        <v>4</v>
      </c>
      <c r="BS103" s="214">
        <v>0</v>
      </c>
      <c r="BT103" s="214">
        <v>0</v>
      </c>
      <c r="BU103" s="214">
        <v>0</v>
      </c>
      <c r="BV103" s="214">
        <v>0</v>
      </c>
      <c r="BW103" s="214">
        <v>0</v>
      </c>
      <c r="BX103" s="214">
        <v>0</v>
      </c>
      <c r="BY103" s="214">
        <v>0</v>
      </c>
      <c r="BZ103" s="215">
        <v>0</v>
      </c>
      <c r="CA103" s="213" t="s">
        <v>539</v>
      </c>
      <c r="CB103" s="214">
        <v>3</v>
      </c>
      <c r="CC103" s="214">
        <v>1</v>
      </c>
      <c r="CD103" s="214">
        <v>1</v>
      </c>
      <c r="CE103" s="214">
        <v>0</v>
      </c>
      <c r="CF103" s="214">
        <v>1</v>
      </c>
      <c r="CG103" s="214">
        <v>0</v>
      </c>
      <c r="CH103" s="214">
        <v>0</v>
      </c>
      <c r="CI103" s="214">
        <v>0</v>
      </c>
      <c r="CJ103" s="215">
        <v>1</v>
      </c>
      <c r="CK103" s="213" t="s">
        <v>529</v>
      </c>
      <c r="CL103" s="214">
        <v>4</v>
      </c>
      <c r="CM103" s="214">
        <v>1</v>
      </c>
      <c r="CN103" s="214">
        <v>1</v>
      </c>
      <c r="CO103" s="214">
        <v>0</v>
      </c>
      <c r="CP103" s="214">
        <v>0</v>
      </c>
      <c r="CQ103" s="214">
        <v>0</v>
      </c>
      <c r="CR103" s="214">
        <v>0</v>
      </c>
      <c r="CS103" s="214">
        <v>0</v>
      </c>
      <c r="CT103" s="215">
        <v>1</v>
      </c>
      <c r="CU103" s="213" t="s">
        <v>532</v>
      </c>
      <c r="CV103" s="214">
        <v>4</v>
      </c>
      <c r="CW103" s="214">
        <v>1</v>
      </c>
      <c r="CX103" s="214">
        <v>3</v>
      </c>
      <c r="CY103" s="214">
        <v>1</v>
      </c>
      <c r="CZ103" s="214">
        <v>0</v>
      </c>
      <c r="DA103" s="214">
        <v>0</v>
      </c>
      <c r="DB103" s="214">
        <v>0</v>
      </c>
      <c r="DC103" s="214">
        <v>0</v>
      </c>
      <c r="DD103" s="215">
        <v>3</v>
      </c>
      <c r="DE103" s="213" t="s">
        <v>538</v>
      </c>
      <c r="DF103" s="214">
        <v>4</v>
      </c>
      <c r="DG103" s="214">
        <v>0</v>
      </c>
      <c r="DH103" s="214">
        <v>1</v>
      </c>
      <c r="DI103" s="214">
        <v>0</v>
      </c>
      <c r="DJ103" s="214">
        <v>0</v>
      </c>
      <c r="DK103" s="214">
        <v>1</v>
      </c>
      <c r="DL103" s="214">
        <v>0</v>
      </c>
      <c r="DM103" s="214">
        <v>0</v>
      </c>
      <c r="DN103" s="215">
        <v>1</v>
      </c>
      <c r="DO103" s="213" t="s">
        <v>535</v>
      </c>
      <c r="DP103" s="214">
        <v>4</v>
      </c>
      <c r="DQ103" s="214">
        <v>1</v>
      </c>
      <c r="DR103" s="214">
        <v>2</v>
      </c>
      <c r="DS103" s="214">
        <v>2</v>
      </c>
      <c r="DT103" s="214">
        <v>0</v>
      </c>
      <c r="DU103" s="214">
        <v>1</v>
      </c>
      <c r="DV103" s="214">
        <v>0</v>
      </c>
      <c r="DW103" s="214">
        <v>0</v>
      </c>
      <c r="DX103" s="215">
        <v>3</v>
      </c>
      <c r="DY103" s="249">
        <v>8</v>
      </c>
      <c r="DZ103" s="217">
        <v>2</v>
      </c>
      <c r="EA103" s="217">
        <v>0</v>
      </c>
      <c r="EB103" s="250">
        <v>1</v>
      </c>
      <c r="EC103" s="217">
        <v>0</v>
      </c>
      <c r="ED103" s="219">
        <v>0</v>
      </c>
      <c r="EE103" s="220">
        <v>1</v>
      </c>
      <c r="EF103" s="217">
        <v>0</v>
      </c>
      <c r="EG103" s="217">
        <v>1</v>
      </c>
      <c r="EH103" s="217">
        <v>0</v>
      </c>
      <c r="EI103" s="217">
        <v>0</v>
      </c>
      <c r="EJ103" s="217">
        <v>3</v>
      </c>
      <c r="EK103" s="217">
        <v>0</v>
      </c>
      <c r="EL103" s="217">
        <v>0</v>
      </c>
      <c r="EM103" s="217">
        <v>0</v>
      </c>
      <c r="EN103" s="217"/>
      <c r="EO103" s="217"/>
      <c r="EP103" s="217"/>
      <c r="EQ103" s="217"/>
      <c r="ER103" s="219">
        <f t="shared" si="102"/>
        <v>5</v>
      </c>
      <c r="ES103" s="217">
        <v>0</v>
      </c>
      <c r="ET103" s="217">
        <v>1</v>
      </c>
      <c r="EU103" s="217">
        <v>2</v>
      </c>
      <c r="EV103" s="217">
        <v>0</v>
      </c>
      <c r="EW103" s="217">
        <v>0</v>
      </c>
      <c r="EX103" s="217">
        <v>0</v>
      </c>
      <c r="EY103" s="217">
        <v>0</v>
      </c>
      <c r="EZ103" s="217">
        <v>0</v>
      </c>
      <c r="FA103" s="217">
        <v>0</v>
      </c>
      <c r="FB103" s="217"/>
      <c r="FC103" s="217"/>
      <c r="FD103" s="217"/>
      <c r="FE103" s="217"/>
      <c r="FF103" s="217">
        <f t="shared" si="103"/>
        <v>3</v>
      </c>
      <c r="FG103" s="221">
        <f t="shared" si="104"/>
        <v>0</v>
      </c>
      <c r="FH103" s="221">
        <f t="shared" si="105"/>
        <v>0</v>
      </c>
      <c r="FI103" s="221">
        <f t="shared" si="110"/>
        <v>1</v>
      </c>
      <c r="FJ103" s="221">
        <f t="shared" si="110"/>
        <v>-1</v>
      </c>
      <c r="FK103" s="221">
        <f t="shared" si="110"/>
        <v>-1</v>
      </c>
      <c r="FL103" s="221">
        <f t="shared" si="110"/>
        <v>0</v>
      </c>
      <c r="FM103" s="221">
        <f t="shared" si="110"/>
        <v>0</v>
      </c>
      <c r="FN103" s="221">
        <f t="shared" si="110"/>
        <v>3</v>
      </c>
      <c r="FO103" s="221">
        <f t="shared" si="110"/>
        <v>0</v>
      </c>
      <c r="FP103" s="221">
        <f t="shared" si="110"/>
        <v>0</v>
      </c>
      <c r="FQ103" s="221">
        <f t="shared" si="110"/>
        <v>0</v>
      </c>
      <c r="FR103" s="221">
        <f t="shared" si="110"/>
        <v>0</v>
      </c>
      <c r="FS103" s="221">
        <f t="shared" si="110"/>
        <v>0</v>
      </c>
      <c r="FT103" s="221">
        <f t="shared" si="110"/>
        <v>0</v>
      </c>
      <c r="FU103" s="221">
        <f t="shared" si="110"/>
        <v>0</v>
      </c>
      <c r="FV103" s="221">
        <f t="shared" si="110"/>
        <v>2</v>
      </c>
      <c r="FW103" s="222"/>
    </row>
    <row r="104" spans="1:179" x14ac:dyDescent="0.25">
      <c r="A104" s="204">
        <v>40388</v>
      </c>
      <c r="B104" s="204" t="s">
        <v>133</v>
      </c>
      <c r="C104" s="204" t="s">
        <v>129</v>
      </c>
      <c r="D104" s="204" t="s">
        <v>544</v>
      </c>
      <c r="E104" s="205">
        <v>8514</v>
      </c>
      <c r="F104" s="206">
        <v>2</v>
      </c>
      <c r="G104" s="207" t="s">
        <v>321</v>
      </c>
      <c r="H104" s="211">
        <v>0</v>
      </c>
      <c r="I104" s="211">
        <v>0</v>
      </c>
      <c r="J104" s="248">
        <f>3+1/3</f>
        <v>3.3333333333333335</v>
      </c>
      <c r="K104" s="211">
        <v>4</v>
      </c>
      <c r="L104" s="211">
        <v>3</v>
      </c>
      <c r="M104" s="211">
        <v>3</v>
      </c>
      <c r="N104" s="211">
        <v>1</v>
      </c>
      <c r="O104" s="211">
        <v>3</v>
      </c>
      <c r="P104" s="211">
        <v>1</v>
      </c>
      <c r="Q104" s="211">
        <v>1</v>
      </c>
      <c r="R104" s="211">
        <v>15</v>
      </c>
      <c r="S104" s="211"/>
      <c r="T104" s="211"/>
      <c r="U104" s="211">
        <v>2</v>
      </c>
      <c r="V104" s="210">
        <v>1</v>
      </c>
      <c r="W104" s="211">
        <v>1</v>
      </c>
      <c r="X104" s="211">
        <v>0</v>
      </c>
      <c r="Y104" s="211">
        <v>1</v>
      </c>
      <c r="Z104" s="211">
        <v>1</v>
      </c>
      <c r="AA104" s="211">
        <v>0</v>
      </c>
      <c r="AB104" s="248">
        <f>5+2/3</f>
        <v>5.666666666666667</v>
      </c>
      <c r="AC104" s="211">
        <v>2</v>
      </c>
      <c r="AD104" s="211">
        <v>0</v>
      </c>
      <c r="AE104" s="211">
        <v>0</v>
      </c>
      <c r="AF104" s="211">
        <v>0</v>
      </c>
      <c r="AG104" s="211">
        <v>7</v>
      </c>
      <c r="AH104" s="211">
        <v>0</v>
      </c>
      <c r="AI104" s="211">
        <v>0</v>
      </c>
      <c r="AJ104" s="211">
        <v>18</v>
      </c>
      <c r="AK104" s="211"/>
      <c r="AL104" s="211"/>
      <c r="AM104" s="213" t="s">
        <v>459</v>
      </c>
      <c r="AN104" s="214">
        <v>5</v>
      </c>
      <c r="AO104" s="214">
        <v>1</v>
      </c>
      <c r="AP104" s="214">
        <v>1</v>
      </c>
      <c r="AQ104" s="214">
        <v>3</v>
      </c>
      <c r="AR104" s="214">
        <v>0</v>
      </c>
      <c r="AS104" s="214">
        <v>2</v>
      </c>
      <c r="AT104" s="214">
        <v>0</v>
      </c>
      <c r="AU104" s="214">
        <v>0</v>
      </c>
      <c r="AV104" s="215">
        <v>4</v>
      </c>
      <c r="AW104" s="213" t="s">
        <v>543</v>
      </c>
      <c r="AX104" s="214">
        <v>4</v>
      </c>
      <c r="AY104" s="214">
        <v>0</v>
      </c>
      <c r="AZ104" s="214">
        <v>1</v>
      </c>
      <c r="BA104" s="214">
        <v>0</v>
      </c>
      <c r="BB104" s="214">
        <v>0</v>
      </c>
      <c r="BC104" s="214">
        <v>2</v>
      </c>
      <c r="BD104" s="214">
        <v>1</v>
      </c>
      <c r="BE104" s="214">
        <v>0</v>
      </c>
      <c r="BF104" s="215">
        <v>2</v>
      </c>
      <c r="BG104" s="213" t="s">
        <v>534</v>
      </c>
      <c r="BH104" s="214">
        <v>4</v>
      </c>
      <c r="BI104" s="214">
        <v>0</v>
      </c>
      <c r="BJ104" s="214">
        <v>2</v>
      </c>
      <c r="BK104" s="214">
        <v>1</v>
      </c>
      <c r="BL104" s="214">
        <v>1</v>
      </c>
      <c r="BM104" s="214">
        <v>0</v>
      </c>
      <c r="BN104" s="214">
        <v>0</v>
      </c>
      <c r="BO104" s="214">
        <v>0</v>
      </c>
      <c r="BP104" s="215">
        <v>2</v>
      </c>
      <c r="BQ104" s="213" t="s">
        <v>539</v>
      </c>
      <c r="BR104" s="214">
        <v>4</v>
      </c>
      <c r="BS104" s="214">
        <v>0</v>
      </c>
      <c r="BT104" s="214">
        <v>0</v>
      </c>
      <c r="BU104" s="214">
        <v>1</v>
      </c>
      <c r="BV104" s="214">
        <v>0</v>
      </c>
      <c r="BW104" s="214">
        <v>1</v>
      </c>
      <c r="BX104" s="214">
        <v>1</v>
      </c>
      <c r="BY104" s="214">
        <v>0</v>
      </c>
      <c r="BZ104" s="215">
        <v>0</v>
      </c>
      <c r="CA104" s="213" t="s">
        <v>530</v>
      </c>
      <c r="CB104" s="214">
        <v>4</v>
      </c>
      <c r="CC104" s="214">
        <v>0</v>
      </c>
      <c r="CD104" s="214">
        <v>0</v>
      </c>
      <c r="CE104" s="214">
        <v>0</v>
      </c>
      <c r="CF104" s="214">
        <v>0</v>
      </c>
      <c r="CG104" s="214">
        <v>2</v>
      </c>
      <c r="CH104" s="214">
        <v>0</v>
      </c>
      <c r="CI104" s="214">
        <v>0</v>
      </c>
      <c r="CJ104" s="215">
        <v>0</v>
      </c>
      <c r="CK104" s="213" t="s">
        <v>561</v>
      </c>
      <c r="CL104" s="214">
        <v>3</v>
      </c>
      <c r="CM104" s="214">
        <v>1</v>
      </c>
      <c r="CN104" s="214">
        <v>3</v>
      </c>
      <c r="CO104" s="214">
        <v>0</v>
      </c>
      <c r="CP104" s="214">
        <v>0</v>
      </c>
      <c r="CQ104" s="214">
        <v>0</v>
      </c>
      <c r="CR104" s="214">
        <v>1</v>
      </c>
      <c r="CS104" s="214">
        <v>0</v>
      </c>
      <c r="CT104" s="215">
        <v>4</v>
      </c>
      <c r="CU104" s="213" t="s">
        <v>532</v>
      </c>
      <c r="CV104" s="214">
        <v>4</v>
      </c>
      <c r="CW104" s="214">
        <v>0</v>
      </c>
      <c r="CX104" s="214">
        <v>0</v>
      </c>
      <c r="CY104" s="214">
        <v>0</v>
      </c>
      <c r="CZ104" s="214">
        <v>0</v>
      </c>
      <c r="DA104" s="214">
        <v>0</v>
      </c>
      <c r="DB104" s="214">
        <v>0</v>
      </c>
      <c r="DC104" s="214">
        <v>0</v>
      </c>
      <c r="DD104" s="215">
        <v>0</v>
      </c>
      <c r="DE104" s="213" t="s">
        <v>291</v>
      </c>
      <c r="DF104" s="214">
        <v>3</v>
      </c>
      <c r="DG104" s="214">
        <v>3</v>
      </c>
      <c r="DH104" s="214">
        <v>2</v>
      </c>
      <c r="DI104" s="214">
        <v>1</v>
      </c>
      <c r="DJ104" s="214">
        <v>1</v>
      </c>
      <c r="DK104" s="214">
        <v>0</v>
      </c>
      <c r="DL104" s="214">
        <v>0</v>
      </c>
      <c r="DM104" s="214">
        <v>0</v>
      </c>
      <c r="DN104" s="215">
        <v>5</v>
      </c>
      <c r="DO104" s="213" t="s">
        <v>535</v>
      </c>
      <c r="DP104" s="214">
        <v>3</v>
      </c>
      <c r="DQ104" s="214">
        <v>1</v>
      </c>
      <c r="DR104" s="214">
        <v>1</v>
      </c>
      <c r="DS104" s="214">
        <v>0</v>
      </c>
      <c r="DT104" s="214">
        <v>0</v>
      </c>
      <c r="DU104" s="214">
        <v>1</v>
      </c>
      <c r="DV104" s="214">
        <v>0</v>
      </c>
      <c r="DW104" s="214">
        <v>0</v>
      </c>
      <c r="DX104" s="215">
        <v>1</v>
      </c>
      <c r="DY104" s="249">
        <v>0</v>
      </c>
      <c r="DZ104" s="217">
        <v>0</v>
      </c>
      <c r="EA104" s="217">
        <v>0</v>
      </c>
      <c r="EB104" s="250">
        <v>9</v>
      </c>
      <c r="EC104" s="217">
        <v>1</v>
      </c>
      <c r="ED104" s="219">
        <v>0</v>
      </c>
      <c r="EE104" s="220">
        <v>0</v>
      </c>
      <c r="EF104" s="217">
        <v>0</v>
      </c>
      <c r="EG104" s="217">
        <v>1</v>
      </c>
      <c r="EH104" s="217">
        <v>3</v>
      </c>
      <c r="EI104" s="217">
        <v>0</v>
      </c>
      <c r="EJ104" s="217">
        <v>1</v>
      </c>
      <c r="EK104" s="217">
        <v>0</v>
      </c>
      <c r="EL104" s="217">
        <v>0</v>
      </c>
      <c r="EM104" s="217">
        <v>1</v>
      </c>
      <c r="EN104" s="217"/>
      <c r="EO104" s="217"/>
      <c r="EP104" s="217"/>
      <c r="EQ104" s="217"/>
      <c r="ER104" s="219">
        <f t="shared" si="102"/>
        <v>6</v>
      </c>
      <c r="ES104" s="217">
        <v>0</v>
      </c>
      <c r="ET104" s="217">
        <v>0</v>
      </c>
      <c r="EU104" s="217">
        <v>0</v>
      </c>
      <c r="EV104" s="217">
        <v>3</v>
      </c>
      <c r="EW104" s="217">
        <v>0</v>
      </c>
      <c r="EX104" s="217">
        <v>0</v>
      </c>
      <c r="EY104" s="217">
        <v>0</v>
      </c>
      <c r="EZ104" s="217">
        <v>0</v>
      </c>
      <c r="FA104" s="217">
        <v>0</v>
      </c>
      <c r="FB104" s="217"/>
      <c r="FC104" s="217"/>
      <c r="FD104" s="217"/>
      <c r="FE104" s="217"/>
      <c r="FF104" s="217">
        <f t="shared" si="103"/>
        <v>3</v>
      </c>
      <c r="FG104" s="221">
        <f t="shared" si="104"/>
        <v>0</v>
      </c>
      <c r="FH104" s="221">
        <f t="shared" si="105"/>
        <v>0</v>
      </c>
      <c r="FI104" s="221">
        <f t="shared" si="110"/>
        <v>0</v>
      </c>
      <c r="FJ104" s="221">
        <f t="shared" si="110"/>
        <v>0</v>
      </c>
      <c r="FK104" s="221">
        <f t="shared" si="110"/>
        <v>1</v>
      </c>
      <c r="FL104" s="221">
        <f t="shared" si="110"/>
        <v>0</v>
      </c>
      <c r="FM104" s="221">
        <f t="shared" si="110"/>
        <v>0</v>
      </c>
      <c r="FN104" s="221">
        <f t="shared" si="110"/>
        <v>1</v>
      </c>
      <c r="FO104" s="221">
        <f t="shared" si="110"/>
        <v>0</v>
      </c>
      <c r="FP104" s="221">
        <f t="shared" si="110"/>
        <v>0</v>
      </c>
      <c r="FQ104" s="221">
        <f t="shared" si="110"/>
        <v>1</v>
      </c>
      <c r="FR104" s="221">
        <f t="shared" si="110"/>
        <v>0</v>
      </c>
      <c r="FS104" s="221">
        <f t="shared" si="110"/>
        <v>0</v>
      </c>
      <c r="FT104" s="221">
        <f t="shared" si="110"/>
        <v>0</v>
      </c>
      <c r="FU104" s="221">
        <f t="shared" si="110"/>
        <v>0</v>
      </c>
      <c r="FV104" s="221">
        <f t="shared" si="110"/>
        <v>3</v>
      </c>
      <c r="FW104" s="222"/>
    </row>
    <row r="105" spans="1:179" x14ac:dyDescent="0.25">
      <c r="A105" s="204">
        <v>40389</v>
      </c>
      <c r="B105" s="204" t="s">
        <v>133</v>
      </c>
      <c r="C105" s="204" t="s">
        <v>129</v>
      </c>
      <c r="D105" s="204" t="s">
        <v>544</v>
      </c>
      <c r="E105" s="205">
        <v>8791</v>
      </c>
      <c r="F105" s="206">
        <v>3</v>
      </c>
      <c r="G105" s="207" t="s">
        <v>536</v>
      </c>
      <c r="H105" s="211">
        <v>0</v>
      </c>
      <c r="I105" s="211">
        <v>0</v>
      </c>
      <c r="J105" s="248">
        <v>5</v>
      </c>
      <c r="K105" s="211">
        <v>5</v>
      </c>
      <c r="L105" s="211">
        <v>4</v>
      </c>
      <c r="M105" s="211">
        <v>4</v>
      </c>
      <c r="N105" s="211">
        <v>3</v>
      </c>
      <c r="O105" s="211">
        <v>3</v>
      </c>
      <c r="P105" s="211">
        <v>1</v>
      </c>
      <c r="Q105" s="211">
        <v>2</v>
      </c>
      <c r="R105" s="211">
        <v>25</v>
      </c>
      <c r="S105" s="211"/>
      <c r="T105" s="211"/>
      <c r="U105" s="211">
        <v>0</v>
      </c>
      <c r="V105" s="210">
        <v>0</v>
      </c>
      <c r="W105" s="211">
        <v>1</v>
      </c>
      <c r="X105" s="211">
        <v>0</v>
      </c>
      <c r="Y105" s="211">
        <v>0</v>
      </c>
      <c r="Z105" s="211">
        <v>0</v>
      </c>
      <c r="AA105" s="211">
        <v>1</v>
      </c>
      <c r="AB105" s="248">
        <v>4</v>
      </c>
      <c r="AC105" s="211">
        <v>4</v>
      </c>
      <c r="AD105" s="211">
        <v>3</v>
      </c>
      <c r="AE105" s="211">
        <v>2</v>
      </c>
      <c r="AF105" s="211">
        <v>0</v>
      </c>
      <c r="AG105" s="211">
        <v>5</v>
      </c>
      <c r="AH105" s="211">
        <v>1</v>
      </c>
      <c r="AI105" s="211">
        <v>0</v>
      </c>
      <c r="AJ105" s="211">
        <v>17</v>
      </c>
      <c r="AK105" s="211"/>
      <c r="AL105" s="211"/>
      <c r="AM105" s="213" t="s">
        <v>459</v>
      </c>
      <c r="AN105" s="214">
        <v>6</v>
      </c>
      <c r="AO105" s="214">
        <v>2</v>
      </c>
      <c r="AP105" s="214">
        <v>2</v>
      </c>
      <c r="AQ105" s="214">
        <v>2</v>
      </c>
      <c r="AR105" s="214">
        <v>0</v>
      </c>
      <c r="AS105" s="214">
        <v>0</v>
      </c>
      <c r="AT105" s="214">
        <v>0</v>
      </c>
      <c r="AU105" s="214">
        <v>0</v>
      </c>
      <c r="AV105" s="215">
        <v>4</v>
      </c>
      <c r="AW105" s="213" t="s">
        <v>538</v>
      </c>
      <c r="AX105" s="214">
        <v>4</v>
      </c>
      <c r="AY105" s="214">
        <v>0</v>
      </c>
      <c r="AZ105" s="214">
        <v>0</v>
      </c>
      <c r="BA105" s="214">
        <v>1</v>
      </c>
      <c r="BB105" s="214">
        <v>0</v>
      </c>
      <c r="BC105" s="214">
        <v>0</v>
      </c>
      <c r="BD105" s="214">
        <v>0</v>
      </c>
      <c r="BE105" s="214">
        <v>1</v>
      </c>
      <c r="BF105" s="215">
        <v>0</v>
      </c>
      <c r="BG105" s="213" t="s">
        <v>534</v>
      </c>
      <c r="BH105" s="214">
        <v>3</v>
      </c>
      <c r="BI105" s="214">
        <v>0</v>
      </c>
      <c r="BJ105" s="214">
        <v>2</v>
      </c>
      <c r="BK105" s="214">
        <v>1</v>
      </c>
      <c r="BL105" s="214">
        <v>1</v>
      </c>
      <c r="BM105" s="214">
        <v>0</v>
      </c>
      <c r="BN105" s="214">
        <v>0</v>
      </c>
      <c r="BO105" s="214">
        <v>1</v>
      </c>
      <c r="BP105" s="215">
        <v>3</v>
      </c>
      <c r="BQ105" s="213" t="s">
        <v>539</v>
      </c>
      <c r="BR105" s="214">
        <v>4</v>
      </c>
      <c r="BS105" s="214">
        <v>0</v>
      </c>
      <c r="BT105" s="214">
        <v>1</v>
      </c>
      <c r="BU105" s="214">
        <v>0</v>
      </c>
      <c r="BV105" s="214">
        <v>1</v>
      </c>
      <c r="BW105" s="214">
        <v>1</v>
      </c>
      <c r="BX105" s="214">
        <v>0</v>
      </c>
      <c r="BY105" s="214">
        <v>0</v>
      </c>
      <c r="BZ105" s="215">
        <v>1</v>
      </c>
      <c r="CA105" s="213" t="s">
        <v>530</v>
      </c>
      <c r="CB105" s="214">
        <v>3</v>
      </c>
      <c r="CC105" s="214">
        <v>2</v>
      </c>
      <c r="CD105" s="214">
        <v>1</v>
      </c>
      <c r="CE105" s="214">
        <v>0</v>
      </c>
      <c r="CF105" s="214">
        <v>2</v>
      </c>
      <c r="CG105" s="214">
        <v>0</v>
      </c>
      <c r="CH105" s="214">
        <v>0</v>
      </c>
      <c r="CI105" s="214">
        <v>0</v>
      </c>
      <c r="CJ105" s="215">
        <v>1</v>
      </c>
      <c r="CK105" s="213" t="s">
        <v>561</v>
      </c>
      <c r="CL105" s="214">
        <v>3</v>
      </c>
      <c r="CM105" s="214">
        <v>2</v>
      </c>
      <c r="CN105" s="214">
        <v>1</v>
      </c>
      <c r="CO105" s="214">
        <v>1</v>
      </c>
      <c r="CP105" s="214">
        <v>2</v>
      </c>
      <c r="CQ105" s="214">
        <v>0</v>
      </c>
      <c r="CR105" s="214">
        <v>0</v>
      </c>
      <c r="CS105" s="214">
        <v>0</v>
      </c>
      <c r="CT105" s="215">
        <v>2</v>
      </c>
      <c r="CU105" s="213" t="s">
        <v>529</v>
      </c>
      <c r="CV105" s="214">
        <v>4</v>
      </c>
      <c r="CW105" s="214">
        <v>0</v>
      </c>
      <c r="CX105" s="214">
        <v>2</v>
      </c>
      <c r="CY105" s="214">
        <v>1</v>
      </c>
      <c r="CZ105" s="214">
        <v>0</v>
      </c>
      <c r="DA105" s="214">
        <v>1</v>
      </c>
      <c r="DB105" s="214">
        <v>0</v>
      </c>
      <c r="DC105" s="214">
        <v>0</v>
      </c>
      <c r="DD105" s="215">
        <v>2</v>
      </c>
      <c r="DE105" s="213" t="s">
        <v>291</v>
      </c>
      <c r="DF105" s="214">
        <v>5</v>
      </c>
      <c r="DG105" s="214">
        <v>2</v>
      </c>
      <c r="DH105" s="214">
        <v>3</v>
      </c>
      <c r="DI105" s="214">
        <v>0</v>
      </c>
      <c r="DJ105" s="214">
        <v>0</v>
      </c>
      <c r="DK105" s="214">
        <v>0</v>
      </c>
      <c r="DL105" s="214">
        <v>0</v>
      </c>
      <c r="DM105" s="214">
        <v>0</v>
      </c>
      <c r="DN105" s="215">
        <v>3</v>
      </c>
      <c r="DO105" s="213" t="s">
        <v>535</v>
      </c>
      <c r="DP105" s="214">
        <v>5</v>
      </c>
      <c r="DQ105" s="214">
        <v>1</v>
      </c>
      <c r="DR105" s="214">
        <v>3</v>
      </c>
      <c r="DS105" s="214">
        <v>3</v>
      </c>
      <c r="DT105" s="214">
        <v>0</v>
      </c>
      <c r="DU105" s="214">
        <v>1</v>
      </c>
      <c r="DV105" s="214">
        <v>0</v>
      </c>
      <c r="DW105" s="214">
        <v>0</v>
      </c>
      <c r="DX105" s="215">
        <v>4</v>
      </c>
      <c r="DY105" s="249">
        <v>1</v>
      </c>
      <c r="DZ105" s="217">
        <v>2</v>
      </c>
      <c r="EA105" s="217">
        <v>0</v>
      </c>
      <c r="EB105" s="250">
        <v>8</v>
      </c>
      <c r="EC105" s="217">
        <v>1</v>
      </c>
      <c r="ED105" s="219">
        <v>0</v>
      </c>
      <c r="EE105" s="220">
        <v>0</v>
      </c>
      <c r="EF105" s="217">
        <v>0</v>
      </c>
      <c r="EG105" s="217">
        <v>0</v>
      </c>
      <c r="EH105" s="217">
        <v>3</v>
      </c>
      <c r="EI105" s="217">
        <v>1</v>
      </c>
      <c r="EJ105" s="217">
        <v>1</v>
      </c>
      <c r="EK105" s="217">
        <v>2</v>
      </c>
      <c r="EL105" s="217">
        <v>0</v>
      </c>
      <c r="EM105" s="217">
        <v>2</v>
      </c>
      <c r="EN105" s="217"/>
      <c r="EO105" s="217"/>
      <c r="EP105" s="217"/>
      <c r="EQ105" s="217"/>
      <c r="ER105" s="219">
        <f t="shared" si="102"/>
        <v>9</v>
      </c>
      <c r="ES105" s="217">
        <v>1</v>
      </c>
      <c r="ET105" s="217">
        <v>2</v>
      </c>
      <c r="EU105" s="217">
        <v>0</v>
      </c>
      <c r="EV105" s="217">
        <v>0</v>
      </c>
      <c r="EW105" s="217">
        <v>1</v>
      </c>
      <c r="EX105" s="217">
        <v>0</v>
      </c>
      <c r="EY105" s="217">
        <v>3</v>
      </c>
      <c r="EZ105" s="217">
        <v>0</v>
      </c>
      <c r="FA105" s="217">
        <v>0</v>
      </c>
      <c r="FB105" s="217"/>
      <c r="FC105" s="217"/>
      <c r="FD105" s="217"/>
      <c r="FE105" s="217"/>
      <c r="FF105" s="217">
        <f t="shared" si="103"/>
        <v>7</v>
      </c>
      <c r="FG105" s="221">
        <f t="shared" si="104"/>
        <v>0</v>
      </c>
      <c r="FH105" s="221">
        <f t="shared" si="105"/>
        <v>0</v>
      </c>
      <c r="FI105" s="221">
        <f t="shared" si="110"/>
        <v>-1</v>
      </c>
      <c r="FJ105" s="221">
        <f t="shared" si="110"/>
        <v>-2</v>
      </c>
      <c r="FK105" s="221">
        <f t="shared" si="110"/>
        <v>0</v>
      </c>
      <c r="FL105" s="221">
        <f t="shared" si="110"/>
        <v>3</v>
      </c>
      <c r="FM105" s="221">
        <f t="shared" si="110"/>
        <v>0</v>
      </c>
      <c r="FN105" s="221">
        <f t="shared" si="110"/>
        <v>1</v>
      </c>
      <c r="FO105" s="221">
        <f t="shared" si="110"/>
        <v>-1</v>
      </c>
      <c r="FP105" s="221">
        <f t="shared" si="110"/>
        <v>0</v>
      </c>
      <c r="FQ105" s="221">
        <f t="shared" si="110"/>
        <v>2</v>
      </c>
      <c r="FR105" s="221">
        <f t="shared" si="110"/>
        <v>0</v>
      </c>
      <c r="FS105" s="221">
        <f t="shared" si="110"/>
        <v>0</v>
      </c>
      <c r="FT105" s="221">
        <f t="shared" si="110"/>
        <v>0</v>
      </c>
      <c r="FU105" s="221">
        <f t="shared" si="110"/>
        <v>0</v>
      </c>
      <c r="FV105" s="221">
        <f t="shared" si="110"/>
        <v>2</v>
      </c>
      <c r="FW105" s="222"/>
    </row>
    <row r="106" spans="1:179" x14ac:dyDescent="0.25">
      <c r="A106" s="53">
        <v>40390</v>
      </c>
      <c r="B106" s="53" t="s">
        <v>19</v>
      </c>
      <c r="C106" s="53" t="s">
        <v>131</v>
      </c>
      <c r="D106" s="53" t="s">
        <v>548</v>
      </c>
      <c r="E106" s="54">
        <v>4471</v>
      </c>
      <c r="F106" s="58">
        <v>4</v>
      </c>
      <c r="G106" s="59" t="s">
        <v>580</v>
      </c>
      <c r="H106" s="62">
        <v>0</v>
      </c>
      <c r="I106" s="62">
        <v>1</v>
      </c>
      <c r="J106" s="176">
        <v>5</v>
      </c>
      <c r="K106" s="62">
        <v>7</v>
      </c>
      <c r="L106" s="62">
        <v>6</v>
      </c>
      <c r="M106" s="62">
        <v>4</v>
      </c>
      <c r="N106" s="62">
        <v>4</v>
      </c>
      <c r="O106" s="62">
        <v>3</v>
      </c>
      <c r="P106" s="62">
        <v>0</v>
      </c>
      <c r="Q106" s="62">
        <v>0</v>
      </c>
      <c r="R106" s="62">
        <v>24</v>
      </c>
      <c r="S106" s="62"/>
      <c r="T106" s="62"/>
      <c r="U106" s="62">
        <v>0</v>
      </c>
      <c r="V106" s="61">
        <v>0</v>
      </c>
      <c r="W106" s="62">
        <v>0</v>
      </c>
      <c r="X106" s="62">
        <v>0</v>
      </c>
      <c r="Y106" s="62">
        <v>0</v>
      </c>
      <c r="Z106" s="62">
        <v>0</v>
      </c>
      <c r="AA106" s="62">
        <v>0</v>
      </c>
      <c r="AB106" s="176">
        <v>4</v>
      </c>
      <c r="AC106" s="62">
        <v>4</v>
      </c>
      <c r="AD106" s="62">
        <v>5</v>
      </c>
      <c r="AE106" s="62">
        <v>3</v>
      </c>
      <c r="AF106" s="62">
        <v>3</v>
      </c>
      <c r="AG106" s="62">
        <v>3</v>
      </c>
      <c r="AH106" s="62">
        <v>1</v>
      </c>
      <c r="AI106" s="62">
        <v>0</v>
      </c>
      <c r="AJ106" s="62">
        <v>19</v>
      </c>
      <c r="AK106" s="62"/>
      <c r="AL106" s="62"/>
      <c r="AM106" s="1" t="s">
        <v>459</v>
      </c>
      <c r="AN106" s="78">
        <v>4</v>
      </c>
      <c r="AO106" s="78">
        <v>0</v>
      </c>
      <c r="AP106" s="78">
        <v>0</v>
      </c>
      <c r="AQ106" s="78">
        <v>2</v>
      </c>
      <c r="AR106" s="78">
        <v>0</v>
      </c>
      <c r="AS106" s="78">
        <v>0</v>
      </c>
      <c r="AT106" s="78">
        <v>0</v>
      </c>
      <c r="AU106" s="78">
        <v>1</v>
      </c>
      <c r="AV106" s="76">
        <v>0</v>
      </c>
      <c r="AW106" s="1" t="s">
        <v>543</v>
      </c>
      <c r="AX106" s="78">
        <v>2</v>
      </c>
      <c r="AY106" s="78">
        <v>0</v>
      </c>
      <c r="AZ106" s="78">
        <v>1</v>
      </c>
      <c r="BA106" s="78">
        <v>1</v>
      </c>
      <c r="BB106" s="78">
        <v>2</v>
      </c>
      <c r="BC106" s="78">
        <v>0</v>
      </c>
      <c r="BD106" s="78">
        <v>0</v>
      </c>
      <c r="BE106" s="78">
        <v>1</v>
      </c>
      <c r="BF106" s="76">
        <v>2</v>
      </c>
      <c r="BG106" s="1" t="s">
        <v>534</v>
      </c>
      <c r="BH106" s="78">
        <v>4</v>
      </c>
      <c r="BI106" s="78">
        <v>0</v>
      </c>
      <c r="BJ106" s="78">
        <v>2</v>
      </c>
      <c r="BK106" s="78">
        <v>0</v>
      </c>
      <c r="BL106" s="78">
        <v>1</v>
      </c>
      <c r="BM106" s="78">
        <v>2</v>
      </c>
      <c r="BN106" s="78">
        <v>0</v>
      </c>
      <c r="BO106" s="78">
        <v>0</v>
      </c>
      <c r="BP106" s="76">
        <v>2</v>
      </c>
      <c r="BQ106" s="1" t="s">
        <v>539</v>
      </c>
      <c r="BR106" s="78">
        <v>5</v>
      </c>
      <c r="BS106" s="78">
        <v>0</v>
      </c>
      <c r="BT106" s="78">
        <v>0</v>
      </c>
      <c r="BU106" s="78">
        <v>0</v>
      </c>
      <c r="BV106" s="78">
        <v>0</v>
      </c>
      <c r="BW106" s="78">
        <v>1</v>
      </c>
      <c r="BX106" s="78">
        <v>0</v>
      </c>
      <c r="BY106" s="78">
        <v>0</v>
      </c>
      <c r="BZ106" s="76">
        <v>0</v>
      </c>
      <c r="CA106" s="1" t="s">
        <v>530</v>
      </c>
      <c r="CB106" s="78">
        <v>4</v>
      </c>
      <c r="CC106" s="78">
        <v>0</v>
      </c>
      <c r="CD106" s="78">
        <v>1</v>
      </c>
      <c r="CE106" s="78">
        <v>0</v>
      </c>
      <c r="CF106" s="78">
        <v>0</v>
      </c>
      <c r="CG106" s="78">
        <v>1</v>
      </c>
      <c r="CH106" s="78">
        <v>0</v>
      </c>
      <c r="CI106" s="78">
        <v>0</v>
      </c>
      <c r="CJ106" s="76">
        <v>1</v>
      </c>
      <c r="CK106" s="1" t="s">
        <v>561</v>
      </c>
      <c r="CL106" s="78">
        <v>4</v>
      </c>
      <c r="CM106" s="78">
        <v>0</v>
      </c>
      <c r="CN106" s="78">
        <v>0</v>
      </c>
      <c r="CO106" s="78">
        <v>0</v>
      </c>
      <c r="CP106" s="78">
        <v>0</v>
      </c>
      <c r="CQ106" s="78">
        <v>2</v>
      </c>
      <c r="CR106" s="78">
        <v>0</v>
      </c>
      <c r="CS106" s="78">
        <v>0</v>
      </c>
      <c r="CT106" s="76">
        <v>0</v>
      </c>
      <c r="CU106" s="1" t="s">
        <v>529</v>
      </c>
      <c r="CV106" s="78">
        <v>4</v>
      </c>
      <c r="CW106" s="78">
        <v>1</v>
      </c>
      <c r="CX106" s="78">
        <v>2</v>
      </c>
      <c r="CY106" s="78">
        <v>0</v>
      </c>
      <c r="CZ106" s="78">
        <v>0</v>
      </c>
      <c r="DA106" s="78">
        <v>0</v>
      </c>
      <c r="DB106" s="78">
        <v>0</v>
      </c>
      <c r="DC106" s="78">
        <v>0</v>
      </c>
      <c r="DD106" s="76">
        <v>2</v>
      </c>
      <c r="DE106" s="1" t="s">
        <v>532</v>
      </c>
      <c r="DF106" s="78">
        <v>3</v>
      </c>
      <c r="DG106" s="78">
        <v>2</v>
      </c>
      <c r="DH106" s="78">
        <v>2</v>
      </c>
      <c r="DI106" s="78">
        <v>0</v>
      </c>
      <c r="DJ106" s="78">
        <v>0</v>
      </c>
      <c r="DK106" s="78">
        <v>0</v>
      </c>
      <c r="DL106" s="78">
        <v>1</v>
      </c>
      <c r="DM106" s="78">
        <v>0</v>
      </c>
      <c r="DN106" s="76">
        <v>2</v>
      </c>
      <c r="DO106" s="1" t="s">
        <v>535</v>
      </c>
      <c r="DP106" s="78">
        <v>3</v>
      </c>
      <c r="DQ106" s="78">
        <v>2</v>
      </c>
      <c r="DR106" s="78">
        <v>1</v>
      </c>
      <c r="DS106" s="78">
        <v>1</v>
      </c>
      <c r="DT106" s="78">
        <v>1</v>
      </c>
      <c r="DU106" s="78">
        <v>0</v>
      </c>
      <c r="DV106" s="78">
        <v>0</v>
      </c>
      <c r="DW106" s="78">
        <v>0</v>
      </c>
      <c r="DX106" s="76">
        <v>2</v>
      </c>
      <c r="DY106" s="252">
        <f>2+1/3</f>
        <v>2.3333333333333335</v>
      </c>
      <c r="DZ106" s="43">
        <v>2</v>
      </c>
      <c r="EA106" s="43">
        <v>0</v>
      </c>
      <c r="EB106" s="253">
        <f>6+2/3</f>
        <v>6.666666666666667</v>
      </c>
      <c r="EC106" s="43">
        <v>1</v>
      </c>
      <c r="ED106" s="44">
        <v>1</v>
      </c>
      <c r="EE106" s="71">
        <v>0</v>
      </c>
      <c r="EF106" s="43">
        <v>0</v>
      </c>
      <c r="EG106" s="43">
        <v>0</v>
      </c>
      <c r="EH106" s="43">
        <v>3</v>
      </c>
      <c r="EI106" s="43">
        <v>0</v>
      </c>
      <c r="EJ106" s="43">
        <v>2</v>
      </c>
      <c r="EK106" s="43">
        <v>0</v>
      </c>
      <c r="EL106" s="43">
        <v>0</v>
      </c>
      <c r="EM106" s="43">
        <v>0</v>
      </c>
      <c r="EN106" s="43"/>
      <c r="EO106" s="43"/>
      <c r="EP106" s="43"/>
      <c r="EQ106" s="43"/>
      <c r="ER106" s="44">
        <f t="shared" ref="ER106:ER115" si="111">SUM(EE106:EQ106)</f>
        <v>5</v>
      </c>
      <c r="ES106" s="43">
        <v>0</v>
      </c>
      <c r="ET106" s="43">
        <v>2</v>
      </c>
      <c r="EU106" s="43">
        <v>0</v>
      </c>
      <c r="EV106" s="43">
        <v>1</v>
      </c>
      <c r="EW106" s="43">
        <v>3</v>
      </c>
      <c r="EX106" s="43">
        <v>1</v>
      </c>
      <c r="EY106" s="43">
        <v>0</v>
      </c>
      <c r="EZ106" s="43">
        <v>1</v>
      </c>
      <c r="FA106" s="43">
        <v>3</v>
      </c>
      <c r="FB106" s="43"/>
      <c r="FC106" s="43"/>
      <c r="FD106" s="43"/>
      <c r="FE106" s="43"/>
      <c r="FF106" s="43">
        <f t="shared" ref="FF106:FF115" si="112">SUM(ES106:FE106)</f>
        <v>11</v>
      </c>
      <c r="FG106" s="73">
        <f t="shared" ref="FG106:FG115" si="113">((SUM(L106,AD106))-(FF106))</f>
        <v>0</v>
      </c>
      <c r="FH106" s="73">
        <f t="shared" ref="FH106:FH115" si="114">((SUM(AO106,AY106,BI106,BS106,CC106,CM106,CW106,DG106,DQ106))-(ER106))</f>
        <v>0</v>
      </c>
      <c r="FI106" s="73">
        <f t="shared" ref="FI106:FV107" si="115">(EE106-ES106)</f>
        <v>0</v>
      </c>
      <c r="FJ106" s="73">
        <f t="shared" si="115"/>
        <v>-2</v>
      </c>
      <c r="FK106" s="73">
        <f t="shared" si="115"/>
        <v>0</v>
      </c>
      <c r="FL106" s="73">
        <f t="shared" si="115"/>
        <v>2</v>
      </c>
      <c r="FM106" s="73">
        <f t="shared" si="115"/>
        <v>-3</v>
      </c>
      <c r="FN106" s="73">
        <f t="shared" si="115"/>
        <v>1</v>
      </c>
      <c r="FO106" s="73">
        <f t="shared" si="115"/>
        <v>0</v>
      </c>
      <c r="FP106" s="73">
        <f t="shared" si="115"/>
        <v>-1</v>
      </c>
      <c r="FQ106" s="73">
        <f t="shared" si="115"/>
        <v>-3</v>
      </c>
      <c r="FR106" s="73">
        <f t="shared" si="115"/>
        <v>0</v>
      </c>
      <c r="FS106" s="73">
        <f t="shared" si="115"/>
        <v>0</v>
      </c>
      <c r="FT106" s="73">
        <f t="shared" si="115"/>
        <v>0</v>
      </c>
      <c r="FU106" s="73">
        <f t="shared" si="115"/>
        <v>0</v>
      </c>
      <c r="FV106" s="73">
        <f t="shared" si="115"/>
        <v>-6</v>
      </c>
      <c r="FW106" s="38"/>
    </row>
    <row r="107" spans="1:179" x14ac:dyDescent="0.25">
      <c r="A107" s="53">
        <v>40391</v>
      </c>
      <c r="B107" s="53" t="s">
        <v>19</v>
      </c>
      <c r="C107" s="53" t="s">
        <v>129</v>
      </c>
      <c r="D107" s="53" t="s">
        <v>548</v>
      </c>
      <c r="E107" s="54">
        <v>2991</v>
      </c>
      <c r="F107" s="58">
        <v>5</v>
      </c>
      <c r="G107" s="59" t="s">
        <v>566</v>
      </c>
      <c r="H107" s="62">
        <v>0</v>
      </c>
      <c r="I107" s="62">
        <v>0</v>
      </c>
      <c r="J107" s="176">
        <f>2+2/3</f>
        <v>2.6666666666666665</v>
      </c>
      <c r="K107" s="62">
        <v>7</v>
      </c>
      <c r="L107" s="62">
        <v>5</v>
      </c>
      <c r="M107" s="62">
        <v>5</v>
      </c>
      <c r="N107" s="62">
        <v>2</v>
      </c>
      <c r="O107" s="62">
        <v>2</v>
      </c>
      <c r="P107" s="62">
        <v>1</v>
      </c>
      <c r="Q107" s="62">
        <v>0</v>
      </c>
      <c r="R107" s="62">
        <v>15</v>
      </c>
      <c r="S107" s="62"/>
      <c r="T107" s="62"/>
      <c r="U107" s="62">
        <v>0</v>
      </c>
      <c r="V107" s="61">
        <v>0</v>
      </c>
      <c r="W107" s="62">
        <v>1</v>
      </c>
      <c r="X107" s="62">
        <v>0</v>
      </c>
      <c r="Y107" s="62">
        <v>0</v>
      </c>
      <c r="Z107" s="62">
        <v>0</v>
      </c>
      <c r="AA107" s="62">
        <v>0</v>
      </c>
      <c r="AB107" s="176">
        <f>6+1/3</f>
        <v>6.333333333333333</v>
      </c>
      <c r="AC107" s="62">
        <v>5</v>
      </c>
      <c r="AD107" s="62">
        <v>3</v>
      </c>
      <c r="AE107" s="62">
        <v>3</v>
      </c>
      <c r="AF107" s="62">
        <v>1</v>
      </c>
      <c r="AG107" s="62">
        <v>8</v>
      </c>
      <c r="AH107" s="62">
        <v>2</v>
      </c>
      <c r="AI107" s="62">
        <v>2</v>
      </c>
      <c r="AJ107" s="62">
        <v>26</v>
      </c>
      <c r="AK107" s="62"/>
      <c r="AL107" s="62"/>
      <c r="AM107" s="1" t="s">
        <v>529</v>
      </c>
      <c r="AN107" s="78">
        <v>4</v>
      </c>
      <c r="AO107" s="78">
        <v>2</v>
      </c>
      <c r="AP107" s="78">
        <v>1</v>
      </c>
      <c r="AQ107" s="78">
        <v>0</v>
      </c>
      <c r="AR107" s="78">
        <v>1</v>
      </c>
      <c r="AS107" s="78">
        <v>0</v>
      </c>
      <c r="AT107" s="78">
        <v>0</v>
      </c>
      <c r="AU107" s="78">
        <v>0</v>
      </c>
      <c r="AV107" s="76">
        <v>1</v>
      </c>
      <c r="AW107" s="1" t="s">
        <v>538</v>
      </c>
      <c r="AX107" s="78">
        <v>3</v>
      </c>
      <c r="AY107" s="78">
        <v>0</v>
      </c>
      <c r="AZ107" s="78">
        <v>0</v>
      </c>
      <c r="BA107" s="78">
        <v>0</v>
      </c>
      <c r="BB107" s="78">
        <v>1</v>
      </c>
      <c r="BC107" s="78">
        <v>0</v>
      </c>
      <c r="BD107" s="78">
        <v>0</v>
      </c>
      <c r="BE107" s="78">
        <v>0</v>
      </c>
      <c r="BF107" s="76">
        <v>0</v>
      </c>
      <c r="BG107" s="1" t="s">
        <v>534</v>
      </c>
      <c r="BH107" s="78">
        <v>5</v>
      </c>
      <c r="BI107" s="78">
        <v>3</v>
      </c>
      <c r="BJ107" s="78">
        <v>3</v>
      </c>
      <c r="BK107" s="78">
        <v>2</v>
      </c>
      <c r="BL107" s="78">
        <v>0</v>
      </c>
      <c r="BM107" s="78">
        <v>0</v>
      </c>
      <c r="BN107" s="78">
        <v>0</v>
      </c>
      <c r="BO107" s="78">
        <v>0</v>
      </c>
      <c r="BP107" s="76">
        <v>7</v>
      </c>
      <c r="BQ107" s="1" t="s">
        <v>291</v>
      </c>
      <c r="BR107" s="78">
        <v>2</v>
      </c>
      <c r="BS107" s="78">
        <v>1</v>
      </c>
      <c r="BT107" s="78">
        <v>2</v>
      </c>
      <c r="BU107" s="78">
        <v>2</v>
      </c>
      <c r="BV107" s="78">
        <v>0</v>
      </c>
      <c r="BW107" s="78">
        <v>0</v>
      </c>
      <c r="BX107" s="78">
        <v>1</v>
      </c>
      <c r="BY107" s="78">
        <v>1</v>
      </c>
      <c r="BZ107" s="76">
        <v>3</v>
      </c>
      <c r="CA107" s="1" t="s">
        <v>561</v>
      </c>
      <c r="CB107" s="78">
        <v>4</v>
      </c>
      <c r="CC107" s="78">
        <v>0</v>
      </c>
      <c r="CD107" s="78">
        <v>1</v>
      </c>
      <c r="CE107" s="78">
        <v>1</v>
      </c>
      <c r="CF107" s="78">
        <v>0</v>
      </c>
      <c r="CG107" s="78">
        <v>1</v>
      </c>
      <c r="CH107" s="78">
        <v>0</v>
      </c>
      <c r="CI107" s="78">
        <v>0</v>
      </c>
      <c r="CJ107" s="76">
        <v>2</v>
      </c>
      <c r="CK107" s="1" t="s">
        <v>543</v>
      </c>
      <c r="CL107" s="78">
        <v>3</v>
      </c>
      <c r="CM107" s="78">
        <v>1</v>
      </c>
      <c r="CN107" s="78">
        <v>0</v>
      </c>
      <c r="CO107" s="78">
        <v>0</v>
      </c>
      <c r="CP107" s="78">
        <v>1</v>
      </c>
      <c r="CQ107" s="78">
        <v>1</v>
      </c>
      <c r="CR107" s="78">
        <v>0</v>
      </c>
      <c r="CS107" s="78">
        <v>0</v>
      </c>
      <c r="CT107" s="76">
        <v>0</v>
      </c>
      <c r="CU107" s="1" t="s">
        <v>532</v>
      </c>
      <c r="CV107" s="78">
        <v>4</v>
      </c>
      <c r="CW107" s="78">
        <v>1</v>
      </c>
      <c r="CX107" s="78">
        <v>2</v>
      </c>
      <c r="CY107" s="78">
        <v>1</v>
      </c>
      <c r="CZ107" s="78">
        <v>0</v>
      </c>
      <c r="DA107" s="78">
        <v>1</v>
      </c>
      <c r="DB107" s="78">
        <v>0</v>
      </c>
      <c r="DC107" s="78">
        <v>0</v>
      </c>
      <c r="DD107" s="76">
        <v>4</v>
      </c>
      <c r="DE107" s="1" t="s">
        <v>549</v>
      </c>
      <c r="DF107" s="78">
        <v>4</v>
      </c>
      <c r="DG107" s="78">
        <v>1</v>
      </c>
      <c r="DH107" s="78">
        <v>1</v>
      </c>
      <c r="DI107" s="78">
        <v>1</v>
      </c>
      <c r="DJ107" s="78">
        <v>0</v>
      </c>
      <c r="DK107" s="78">
        <v>0</v>
      </c>
      <c r="DL107" s="78">
        <v>0</v>
      </c>
      <c r="DM107" s="78">
        <v>0</v>
      </c>
      <c r="DN107" s="76">
        <v>1</v>
      </c>
      <c r="DO107" s="1" t="s">
        <v>535</v>
      </c>
      <c r="DP107" s="78">
        <v>4</v>
      </c>
      <c r="DQ107" s="78">
        <v>1</v>
      </c>
      <c r="DR107" s="78">
        <v>1</v>
      </c>
      <c r="DS107" s="78">
        <v>3</v>
      </c>
      <c r="DT107" s="78">
        <v>0</v>
      </c>
      <c r="DU107" s="78">
        <v>1</v>
      </c>
      <c r="DV107" s="78">
        <v>0</v>
      </c>
      <c r="DW107" s="78">
        <v>0</v>
      </c>
      <c r="DX107" s="76">
        <v>4</v>
      </c>
      <c r="DY107" s="252">
        <v>5</v>
      </c>
      <c r="DZ107" s="43">
        <v>4</v>
      </c>
      <c r="EA107" s="43">
        <v>0</v>
      </c>
      <c r="EB107" s="253">
        <v>3</v>
      </c>
      <c r="EC107" s="43">
        <v>0</v>
      </c>
      <c r="ED107" s="44">
        <v>0</v>
      </c>
      <c r="EE107" s="71">
        <v>1</v>
      </c>
      <c r="EF107" s="43">
        <v>0</v>
      </c>
      <c r="EG107" s="43">
        <v>7</v>
      </c>
      <c r="EH107" s="43">
        <v>1</v>
      </c>
      <c r="EI107" s="43">
        <v>0</v>
      </c>
      <c r="EJ107" s="43">
        <v>1</v>
      </c>
      <c r="EK107" s="43">
        <v>0</v>
      </c>
      <c r="EL107" s="43">
        <v>0</v>
      </c>
      <c r="EM107" s="43"/>
      <c r="EN107" s="43"/>
      <c r="EO107" s="43"/>
      <c r="EP107" s="43"/>
      <c r="EQ107" s="43"/>
      <c r="ER107" s="44">
        <f t="shared" si="111"/>
        <v>10</v>
      </c>
      <c r="ES107" s="43">
        <v>0</v>
      </c>
      <c r="ET107" s="43">
        <v>3</v>
      </c>
      <c r="EU107" s="43">
        <v>2</v>
      </c>
      <c r="EV107" s="43">
        <v>0</v>
      </c>
      <c r="EW107" s="43">
        <v>1</v>
      </c>
      <c r="EX107" s="43">
        <v>0</v>
      </c>
      <c r="EY107" s="43">
        <v>0</v>
      </c>
      <c r="EZ107" s="43">
        <v>2</v>
      </c>
      <c r="FA107" s="43">
        <v>0</v>
      </c>
      <c r="FB107" s="43"/>
      <c r="FC107" s="43"/>
      <c r="FD107" s="43"/>
      <c r="FE107" s="43"/>
      <c r="FF107" s="43">
        <f t="shared" si="112"/>
        <v>8</v>
      </c>
      <c r="FG107" s="73">
        <f t="shared" si="113"/>
        <v>0</v>
      </c>
      <c r="FH107" s="73">
        <f t="shared" si="114"/>
        <v>0</v>
      </c>
      <c r="FI107" s="73">
        <f t="shared" si="115"/>
        <v>1</v>
      </c>
      <c r="FJ107" s="73">
        <f t="shared" si="115"/>
        <v>-3</v>
      </c>
      <c r="FK107" s="73">
        <f t="shared" si="115"/>
        <v>5</v>
      </c>
      <c r="FL107" s="73">
        <f t="shared" si="115"/>
        <v>1</v>
      </c>
      <c r="FM107" s="73">
        <f t="shared" si="115"/>
        <v>-1</v>
      </c>
      <c r="FN107" s="73">
        <f t="shared" si="115"/>
        <v>1</v>
      </c>
      <c r="FO107" s="73">
        <f t="shared" si="115"/>
        <v>0</v>
      </c>
      <c r="FP107" s="73">
        <f t="shared" si="115"/>
        <v>-2</v>
      </c>
      <c r="FQ107" s="73">
        <f t="shared" si="115"/>
        <v>0</v>
      </c>
      <c r="FR107" s="73">
        <f t="shared" si="115"/>
        <v>0</v>
      </c>
      <c r="FS107" s="73">
        <f t="shared" si="115"/>
        <v>0</v>
      </c>
      <c r="FT107" s="73">
        <f t="shared" si="115"/>
        <v>0</v>
      </c>
      <c r="FU107" s="73">
        <f t="shared" si="115"/>
        <v>0</v>
      </c>
      <c r="FV107" s="73">
        <f t="shared" si="115"/>
        <v>2</v>
      </c>
      <c r="FW107" s="38"/>
    </row>
    <row r="108" spans="1:179" x14ac:dyDescent="0.25">
      <c r="A108" s="325">
        <v>40392</v>
      </c>
      <c r="B108" s="325" t="s">
        <v>19</v>
      </c>
      <c r="C108" s="325" t="s">
        <v>131</v>
      </c>
      <c r="D108" s="325" t="s">
        <v>548</v>
      </c>
      <c r="E108" s="322">
        <v>2988</v>
      </c>
      <c r="F108" s="307">
        <v>1</v>
      </c>
      <c r="G108" s="308" t="s">
        <v>546</v>
      </c>
      <c r="H108" s="323">
        <v>0</v>
      </c>
      <c r="I108" s="323">
        <v>0</v>
      </c>
      <c r="J108" s="346">
        <f>6+2/3</f>
        <v>6.666666666666667</v>
      </c>
      <c r="K108" s="323">
        <v>8</v>
      </c>
      <c r="L108" s="323">
        <v>7</v>
      </c>
      <c r="M108" s="323">
        <v>4</v>
      </c>
      <c r="N108" s="323">
        <v>0</v>
      </c>
      <c r="O108" s="323">
        <v>6</v>
      </c>
      <c r="P108" s="323">
        <v>2</v>
      </c>
      <c r="Q108" s="323">
        <v>0</v>
      </c>
      <c r="R108" s="323">
        <v>29</v>
      </c>
      <c r="S108" s="323"/>
      <c r="T108" s="323"/>
      <c r="U108" s="323">
        <v>1</v>
      </c>
      <c r="V108" s="311">
        <v>1</v>
      </c>
      <c r="W108" s="323">
        <v>0</v>
      </c>
      <c r="X108" s="323">
        <v>1</v>
      </c>
      <c r="Y108" s="323">
        <v>0</v>
      </c>
      <c r="Z108" s="323">
        <v>0</v>
      </c>
      <c r="AA108" s="323">
        <v>1</v>
      </c>
      <c r="AB108" s="346">
        <f>2+1/3</f>
        <v>2.3333333333333335</v>
      </c>
      <c r="AC108" s="323">
        <v>4</v>
      </c>
      <c r="AD108" s="323">
        <v>3</v>
      </c>
      <c r="AE108" s="323">
        <v>3</v>
      </c>
      <c r="AF108" s="323">
        <v>3</v>
      </c>
      <c r="AG108" s="323">
        <v>5</v>
      </c>
      <c r="AH108" s="323">
        <v>2</v>
      </c>
      <c r="AI108" s="323">
        <v>0</v>
      </c>
      <c r="AJ108" s="323">
        <v>14</v>
      </c>
      <c r="AK108" s="323"/>
      <c r="AL108" s="323"/>
      <c r="AM108" s="312" t="s">
        <v>459</v>
      </c>
      <c r="AN108" s="313">
        <v>5</v>
      </c>
      <c r="AO108" s="313">
        <v>1</v>
      </c>
      <c r="AP108" s="313">
        <v>0</v>
      </c>
      <c r="AQ108" s="313">
        <v>0</v>
      </c>
      <c r="AR108" s="313">
        <v>0</v>
      </c>
      <c r="AS108" s="313">
        <v>2</v>
      </c>
      <c r="AT108" s="313">
        <v>0</v>
      </c>
      <c r="AU108" s="313">
        <v>0</v>
      </c>
      <c r="AV108" s="314">
        <v>0</v>
      </c>
      <c r="AW108" s="312" t="s">
        <v>534</v>
      </c>
      <c r="AX108" s="313">
        <v>4</v>
      </c>
      <c r="AY108" s="313">
        <v>1</v>
      </c>
      <c r="AZ108" s="313">
        <v>2</v>
      </c>
      <c r="BA108" s="313">
        <v>0</v>
      </c>
      <c r="BB108" s="313">
        <v>1</v>
      </c>
      <c r="BC108" s="313">
        <v>0</v>
      </c>
      <c r="BD108" s="313">
        <v>0</v>
      </c>
      <c r="BE108" s="313">
        <v>0</v>
      </c>
      <c r="BF108" s="314">
        <v>2</v>
      </c>
      <c r="BG108" s="312" t="s">
        <v>531</v>
      </c>
      <c r="BH108" s="313">
        <v>4</v>
      </c>
      <c r="BI108" s="313">
        <v>1</v>
      </c>
      <c r="BJ108" s="313">
        <v>1</v>
      </c>
      <c r="BK108" s="313">
        <v>2</v>
      </c>
      <c r="BL108" s="313">
        <v>1</v>
      </c>
      <c r="BM108" s="313">
        <v>0</v>
      </c>
      <c r="BN108" s="313">
        <v>0</v>
      </c>
      <c r="BO108" s="313">
        <v>0</v>
      </c>
      <c r="BP108" s="314">
        <v>1</v>
      </c>
      <c r="BQ108" s="312" t="s">
        <v>291</v>
      </c>
      <c r="BR108" s="313">
        <v>5</v>
      </c>
      <c r="BS108" s="313">
        <v>1</v>
      </c>
      <c r="BT108" s="313">
        <v>1</v>
      </c>
      <c r="BU108" s="313">
        <v>1</v>
      </c>
      <c r="BV108" s="313">
        <v>0</v>
      </c>
      <c r="BW108" s="313">
        <v>2</v>
      </c>
      <c r="BX108" s="313">
        <v>0</v>
      </c>
      <c r="BY108" s="313">
        <v>0</v>
      </c>
      <c r="BZ108" s="314">
        <v>1</v>
      </c>
      <c r="CA108" s="312" t="s">
        <v>539</v>
      </c>
      <c r="CB108" s="313">
        <v>4</v>
      </c>
      <c r="CC108" s="313">
        <v>2</v>
      </c>
      <c r="CD108" s="313">
        <v>2</v>
      </c>
      <c r="CE108" s="313">
        <v>3</v>
      </c>
      <c r="CF108" s="313">
        <v>0</v>
      </c>
      <c r="CG108" s="313">
        <v>1</v>
      </c>
      <c r="CH108" s="313">
        <v>0</v>
      </c>
      <c r="CI108" s="313">
        <v>0</v>
      </c>
      <c r="CJ108" s="314">
        <v>6</v>
      </c>
      <c r="CK108" s="312" t="s">
        <v>530</v>
      </c>
      <c r="CL108" s="313">
        <v>3</v>
      </c>
      <c r="CM108" s="313">
        <v>1</v>
      </c>
      <c r="CN108" s="313">
        <v>0</v>
      </c>
      <c r="CO108" s="313">
        <v>0</v>
      </c>
      <c r="CP108" s="313">
        <v>1</v>
      </c>
      <c r="CQ108" s="313">
        <v>2</v>
      </c>
      <c r="CR108" s="313">
        <v>0</v>
      </c>
      <c r="CS108" s="313">
        <v>0</v>
      </c>
      <c r="CT108" s="314">
        <v>0</v>
      </c>
      <c r="CU108" s="312" t="s">
        <v>532</v>
      </c>
      <c r="CV108" s="313">
        <v>4</v>
      </c>
      <c r="CW108" s="313">
        <v>0</v>
      </c>
      <c r="CX108" s="313">
        <v>1</v>
      </c>
      <c r="CY108" s="313">
        <v>2</v>
      </c>
      <c r="CZ108" s="313">
        <v>0</v>
      </c>
      <c r="DA108" s="313">
        <v>1</v>
      </c>
      <c r="DB108" s="313">
        <v>0</v>
      </c>
      <c r="DC108" s="313">
        <v>0</v>
      </c>
      <c r="DD108" s="314">
        <v>1</v>
      </c>
      <c r="DE108" s="312" t="s">
        <v>538</v>
      </c>
      <c r="DF108" s="313">
        <v>4</v>
      </c>
      <c r="DG108" s="313">
        <v>1</v>
      </c>
      <c r="DH108" s="313">
        <v>1</v>
      </c>
      <c r="DI108" s="313">
        <v>0</v>
      </c>
      <c r="DJ108" s="313">
        <v>0</v>
      </c>
      <c r="DK108" s="313">
        <v>0</v>
      </c>
      <c r="DL108" s="313">
        <v>0</v>
      </c>
      <c r="DM108" s="313">
        <v>0</v>
      </c>
      <c r="DN108" s="314">
        <v>1</v>
      </c>
      <c r="DO108" s="312" t="s">
        <v>529</v>
      </c>
      <c r="DP108" s="313">
        <v>3</v>
      </c>
      <c r="DQ108" s="313">
        <v>1</v>
      </c>
      <c r="DR108" s="313">
        <v>1</v>
      </c>
      <c r="DS108" s="313">
        <v>0</v>
      </c>
      <c r="DT108" s="313">
        <v>1</v>
      </c>
      <c r="DU108" s="313">
        <v>0</v>
      </c>
      <c r="DV108" s="313">
        <v>0</v>
      </c>
      <c r="DW108" s="313">
        <v>0</v>
      </c>
      <c r="DX108" s="314">
        <v>1</v>
      </c>
      <c r="DY108" s="347">
        <v>0</v>
      </c>
      <c r="DZ108" s="316">
        <v>0</v>
      </c>
      <c r="EA108" s="316">
        <v>0</v>
      </c>
      <c r="EB108" s="348">
        <v>9</v>
      </c>
      <c r="EC108" s="316">
        <v>0</v>
      </c>
      <c r="ED108" s="318">
        <v>0</v>
      </c>
      <c r="EE108" s="319">
        <v>0</v>
      </c>
      <c r="EF108" s="316">
        <v>0</v>
      </c>
      <c r="EG108" s="316">
        <v>2</v>
      </c>
      <c r="EH108" s="316">
        <v>1</v>
      </c>
      <c r="EI108" s="316">
        <v>0</v>
      </c>
      <c r="EJ108" s="316">
        <v>0</v>
      </c>
      <c r="EK108" s="316">
        <v>0</v>
      </c>
      <c r="EL108" s="316">
        <v>6</v>
      </c>
      <c r="EM108" s="316">
        <v>0</v>
      </c>
      <c r="EN108" s="316"/>
      <c r="EO108" s="316"/>
      <c r="EP108" s="316"/>
      <c r="EQ108" s="316"/>
      <c r="ER108" s="318">
        <f t="shared" si="111"/>
        <v>9</v>
      </c>
      <c r="ES108" s="316">
        <v>3</v>
      </c>
      <c r="ET108" s="316">
        <v>0</v>
      </c>
      <c r="EU108" s="316">
        <v>0</v>
      </c>
      <c r="EV108" s="316">
        <v>0</v>
      </c>
      <c r="EW108" s="316">
        <v>0</v>
      </c>
      <c r="EX108" s="316">
        <v>2</v>
      </c>
      <c r="EY108" s="316">
        <v>2</v>
      </c>
      <c r="EZ108" s="316">
        <v>0</v>
      </c>
      <c r="FA108" s="316">
        <v>3</v>
      </c>
      <c r="FB108" s="316"/>
      <c r="FC108" s="316"/>
      <c r="FD108" s="316"/>
      <c r="FE108" s="316"/>
      <c r="FF108" s="316">
        <f t="shared" si="112"/>
        <v>10</v>
      </c>
      <c r="FG108" s="320">
        <f t="shared" si="113"/>
        <v>0</v>
      </c>
      <c r="FH108" s="320">
        <f t="shared" si="114"/>
        <v>0</v>
      </c>
      <c r="FI108" s="320">
        <f t="shared" ref="FI108:FV115" si="116">(EE108-ES108)</f>
        <v>-3</v>
      </c>
      <c r="FJ108" s="320">
        <f t="shared" si="116"/>
        <v>0</v>
      </c>
      <c r="FK108" s="320">
        <f t="shared" si="116"/>
        <v>2</v>
      </c>
      <c r="FL108" s="320">
        <f t="shared" si="116"/>
        <v>1</v>
      </c>
      <c r="FM108" s="320">
        <f t="shared" si="116"/>
        <v>0</v>
      </c>
      <c r="FN108" s="320">
        <f t="shared" si="116"/>
        <v>-2</v>
      </c>
      <c r="FO108" s="320">
        <f t="shared" si="116"/>
        <v>-2</v>
      </c>
      <c r="FP108" s="320">
        <f t="shared" si="116"/>
        <v>6</v>
      </c>
      <c r="FQ108" s="320">
        <f t="shared" si="116"/>
        <v>-3</v>
      </c>
      <c r="FR108" s="320">
        <f t="shared" si="116"/>
        <v>0</v>
      </c>
      <c r="FS108" s="320">
        <f t="shared" si="116"/>
        <v>0</v>
      </c>
      <c r="FT108" s="320">
        <f t="shared" si="116"/>
        <v>0</v>
      </c>
      <c r="FU108" s="320">
        <f t="shared" si="116"/>
        <v>0</v>
      </c>
      <c r="FV108" s="320">
        <f t="shared" si="116"/>
        <v>-1</v>
      </c>
      <c r="FW108" s="321"/>
    </row>
    <row r="109" spans="1:179" x14ac:dyDescent="0.25">
      <c r="A109" s="325">
        <v>40393</v>
      </c>
      <c r="B109" s="325" t="s">
        <v>19</v>
      </c>
      <c r="C109" s="325" t="s">
        <v>131</v>
      </c>
      <c r="D109" s="325" t="s">
        <v>550</v>
      </c>
      <c r="E109" s="322">
        <v>2972</v>
      </c>
      <c r="F109" s="307">
        <v>2</v>
      </c>
      <c r="G109" s="308" t="s">
        <v>321</v>
      </c>
      <c r="H109" s="323">
        <v>0</v>
      </c>
      <c r="I109" s="323">
        <v>0</v>
      </c>
      <c r="J109" s="346">
        <f>2+2/3</f>
        <v>2.6666666666666665</v>
      </c>
      <c r="K109" s="323">
        <v>6</v>
      </c>
      <c r="L109" s="323">
        <v>5</v>
      </c>
      <c r="M109" s="323">
        <v>5</v>
      </c>
      <c r="N109" s="323">
        <v>2</v>
      </c>
      <c r="O109" s="323">
        <v>2</v>
      </c>
      <c r="P109" s="323">
        <v>1</v>
      </c>
      <c r="Q109" s="323">
        <v>0</v>
      </c>
      <c r="R109" s="323">
        <v>15</v>
      </c>
      <c r="S109" s="323"/>
      <c r="T109" s="323"/>
      <c r="U109" s="323">
        <v>1</v>
      </c>
      <c r="V109" s="311">
        <v>0</v>
      </c>
      <c r="W109" s="323">
        <v>0</v>
      </c>
      <c r="X109" s="323">
        <v>1</v>
      </c>
      <c r="Y109" s="323">
        <v>0</v>
      </c>
      <c r="Z109" s="323">
        <v>0</v>
      </c>
      <c r="AA109" s="323">
        <v>0</v>
      </c>
      <c r="AB109" s="346">
        <f>6+1/3</f>
        <v>6.333333333333333</v>
      </c>
      <c r="AC109" s="323">
        <v>7</v>
      </c>
      <c r="AD109" s="323">
        <v>4</v>
      </c>
      <c r="AE109" s="323">
        <v>4</v>
      </c>
      <c r="AF109" s="323">
        <v>2</v>
      </c>
      <c r="AG109" s="323">
        <v>5</v>
      </c>
      <c r="AH109" s="323">
        <v>1</v>
      </c>
      <c r="AI109" s="323">
        <v>0</v>
      </c>
      <c r="AJ109" s="323">
        <v>28</v>
      </c>
      <c r="AK109" s="323"/>
      <c r="AL109" s="323"/>
      <c r="AM109" s="312" t="s">
        <v>535</v>
      </c>
      <c r="AN109" s="313">
        <v>5</v>
      </c>
      <c r="AO109" s="313">
        <v>0</v>
      </c>
      <c r="AP109" s="313">
        <v>1</v>
      </c>
      <c r="AQ109" s="313">
        <v>0</v>
      </c>
      <c r="AR109" s="313">
        <v>0</v>
      </c>
      <c r="AS109" s="313">
        <v>3</v>
      </c>
      <c r="AT109" s="313">
        <v>0</v>
      </c>
      <c r="AU109" s="313">
        <v>0</v>
      </c>
      <c r="AV109" s="314">
        <v>1</v>
      </c>
      <c r="AW109" s="312" t="s">
        <v>534</v>
      </c>
      <c r="AX109" s="313">
        <v>5</v>
      </c>
      <c r="AY109" s="313">
        <v>1</v>
      </c>
      <c r="AZ109" s="313">
        <v>1</v>
      </c>
      <c r="BA109" s="313">
        <v>0</v>
      </c>
      <c r="BB109" s="313">
        <v>0</v>
      </c>
      <c r="BC109" s="313">
        <v>3</v>
      </c>
      <c r="BD109" s="313">
        <v>0</v>
      </c>
      <c r="BE109" s="313">
        <v>0</v>
      </c>
      <c r="BF109" s="314">
        <v>1</v>
      </c>
      <c r="BG109" s="312" t="s">
        <v>531</v>
      </c>
      <c r="BH109" s="313">
        <v>3</v>
      </c>
      <c r="BI109" s="313">
        <v>0</v>
      </c>
      <c r="BJ109" s="313">
        <v>0</v>
      </c>
      <c r="BK109" s="313">
        <v>0</v>
      </c>
      <c r="BL109" s="313">
        <v>1</v>
      </c>
      <c r="BM109" s="313">
        <v>0</v>
      </c>
      <c r="BN109" s="313">
        <v>0</v>
      </c>
      <c r="BO109" s="313">
        <v>0</v>
      </c>
      <c r="BP109" s="314">
        <v>0</v>
      </c>
      <c r="BQ109" s="312" t="s">
        <v>539</v>
      </c>
      <c r="BR109" s="313">
        <v>4</v>
      </c>
      <c r="BS109" s="313">
        <v>1</v>
      </c>
      <c r="BT109" s="313">
        <v>1</v>
      </c>
      <c r="BU109" s="313">
        <v>0</v>
      </c>
      <c r="BV109" s="313">
        <v>0</v>
      </c>
      <c r="BW109" s="313">
        <v>0</v>
      </c>
      <c r="BX109" s="313">
        <v>0</v>
      </c>
      <c r="BY109" s="313">
        <v>0</v>
      </c>
      <c r="BZ109" s="314">
        <v>1</v>
      </c>
      <c r="CA109" s="312" t="s">
        <v>561</v>
      </c>
      <c r="CB109" s="313">
        <v>4</v>
      </c>
      <c r="CC109" s="313">
        <v>1</v>
      </c>
      <c r="CD109" s="313">
        <v>2</v>
      </c>
      <c r="CE109" s="313">
        <v>2</v>
      </c>
      <c r="CF109" s="313">
        <v>0</v>
      </c>
      <c r="CG109" s="313">
        <v>1</v>
      </c>
      <c r="CH109" s="313">
        <v>0</v>
      </c>
      <c r="CI109" s="313">
        <v>0</v>
      </c>
      <c r="CJ109" s="314">
        <v>3</v>
      </c>
      <c r="CK109" s="312" t="s">
        <v>530</v>
      </c>
      <c r="CL109" s="313">
        <v>4</v>
      </c>
      <c r="CM109" s="313">
        <v>1</v>
      </c>
      <c r="CN109" s="313">
        <v>2</v>
      </c>
      <c r="CO109" s="313">
        <v>0</v>
      </c>
      <c r="CP109" s="313">
        <v>0</v>
      </c>
      <c r="CQ109" s="313">
        <v>1</v>
      </c>
      <c r="CR109" s="313">
        <v>0</v>
      </c>
      <c r="CS109" s="313">
        <v>0</v>
      </c>
      <c r="CT109" s="314">
        <v>2</v>
      </c>
      <c r="CU109" s="312" t="s">
        <v>532</v>
      </c>
      <c r="CV109" s="313">
        <v>4</v>
      </c>
      <c r="CW109" s="313">
        <v>1</v>
      </c>
      <c r="CX109" s="313">
        <v>3</v>
      </c>
      <c r="CY109" s="313">
        <v>1</v>
      </c>
      <c r="CZ109" s="313">
        <v>0</v>
      </c>
      <c r="DA109" s="313">
        <v>0</v>
      </c>
      <c r="DB109" s="313">
        <v>0</v>
      </c>
      <c r="DC109" s="313">
        <v>0</v>
      </c>
      <c r="DD109" s="314">
        <v>4</v>
      </c>
      <c r="DE109" s="312" t="s">
        <v>543</v>
      </c>
      <c r="DF109" s="313">
        <v>4</v>
      </c>
      <c r="DG109" s="313">
        <v>1</v>
      </c>
      <c r="DH109" s="313">
        <v>1</v>
      </c>
      <c r="DI109" s="313">
        <v>3</v>
      </c>
      <c r="DJ109" s="313">
        <v>0</v>
      </c>
      <c r="DK109" s="313">
        <v>2</v>
      </c>
      <c r="DL109" s="313">
        <v>0</v>
      </c>
      <c r="DM109" s="313">
        <v>0</v>
      </c>
      <c r="DN109" s="314">
        <v>4</v>
      </c>
      <c r="DO109" s="312" t="s">
        <v>529</v>
      </c>
      <c r="DP109" s="313">
        <v>4</v>
      </c>
      <c r="DQ109" s="313">
        <v>0</v>
      </c>
      <c r="DR109" s="313">
        <v>0</v>
      </c>
      <c r="DS109" s="313">
        <v>0</v>
      </c>
      <c r="DT109" s="313">
        <v>0</v>
      </c>
      <c r="DU109" s="313">
        <v>1</v>
      </c>
      <c r="DV109" s="313">
        <v>0</v>
      </c>
      <c r="DW109" s="313">
        <v>0</v>
      </c>
      <c r="DX109" s="314">
        <v>0</v>
      </c>
      <c r="DY109" s="347">
        <v>0</v>
      </c>
      <c r="DZ109" s="316">
        <v>0</v>
      </c>
      <c r="EA109" s="316">
        <v>0</v>
      </c>
      <c r="EB109" s="348">
        <v>9</v>
      </c>
      <c r="EC109" s="316">
        <v>1</v>
      </c>
      <c r="ED109" s="318">
        <v>0</v>
      </c>
      <c r="EE109" s="319">
        <v>0</v>
      </c>
      <c r="EF109" s="316">
        <v>0</v>
      </c>
      <c r="EG109" s="316">
        <v>0</v>
      </c>
      <c r="EH109" s="316">
        <v>6</v>
      </c>
      <c r="EI109" s="316">
        <v>0</v>
      </c>
      <c r="EJ109" s="316">
        <v>0</v>
      </c>
      <c r="EK109" s="316">
        <v>0</v>
      </c>
      <c r="EL109" s="316">
        <v>0</v>
      </c>
      <c r="EM109" s="316">
        <v>0</v>
      </c>
      <c r="EN109" s="316"/>
      <c r="EO109" s="316"/>
      <c r="EP109" s="316"/>
      <c r="EQ109" s="316"/>
      <c r="ER109" s="318">
        <f t="shared" si="111"/>
        <v>6</v>
      </c>
      <c r="ES109" s="316">
        <v>3</v>
      </c>
      <c r="ET109" s="316">
        <v>0</v>
      </c>
      <c r="EU109" s="316">
        <v>2</v>
      </c>
      <c r="EV109" s="316">
        <v>0</v>
      </c>
      <c r="EW109" s="316">
        <v>1</v>
      </c>
      <c r="EX109" s="316">
        <v>3</v>
      </c>
      <c r="EY109" s="316">
        <v>0</v>
      </c>
      <c r="EZ109" s="316">
        <v>0</v>
      </c>
      <c r="FA109" s="316">
        <v>0</v>
      </c>
      <c r="FB109" s="316"/>
      <c r="FC109" s="316"/>
      <c r="FD109" s="316"/>
      <c r="FE109" s="316"/>
      <c r="FF109" s="316">
        <f t="shared" si="112"/>
        <v>9</v>
      </c>
      <c r="FG109" s="320">
        <f t="shared" si="113"/>
        <v>0</v>
      </c>
      <c r="FH109" s="320">
        <f t="shared" si="114"/>
        <v>0</v>
      </c>
      <c r="FI109" s="320">
        <f t="shared" si="116"/>
        <v>-3</v>
      </c>
      <c r="FJ109" s="320">
        <f t="shared" si="116"/>
        <v>0</v>
      </c>
      <c r="FK109" s="320">
        <f t="shared" si="116"/>
        <v>-2</v>
      </c>
      <c r="FL109" s="320">
        <f t="shared" si="116"/>
        <v>6</v>
      </c>
      <c r="FM109" s="320">
        <f t="shared" si="116"/>
        <v>-1</v>
      </c>
      <c r="FN109" s="320">
        <f t="shared" si="116"/>
        <v>-3</v>
      </c>
      <c r="FO109" s="320">
        <f t="shared" si="116"/>
        <v>0</v>
      </c>
      <c r="FP109" s="320">
        <f t="shared" si="116"/>
        <v>0</v>
      </c>
      <c r="FQ109" s="320">
        <f t="shared" si="116"/>
        <v>0</v>
      </c>
      <c r="FR109" s="320">
        <f t="shared" si="116"/>
        <v>0</v>
      </c>
      <c r="FS109" s="320">
        <f t="shared" si="116"/>
        <v>0</v>
      </c>
      <c r="FT109" s="320">
        <f t="shared" si="116"/>
        <v>0</v>
      </c>
      <c r="FU109" s="320">
        <f t="shared" si="116"/>
        <v>0</v>
      </c>
      <c r="FV109" s="320">
        <f t="shared" si="116"/>
        <v>-3</v>
      </c>
      <c r="FW109" s="321"/>
    </row>
    <row r="110" spans="1:179" x14ac:dyDescent="0.25">
      <c r="A110" s="325">
        <v>40394</v>
      </c>
      <c r="B110" s="325" t="s">
        <v>19</v>
      </c>
      <c r="C110" s="325" t="s">
        <v>131</v>
      </c>
      <c r="D110" s="325" t="s">
        <v>550</v>
      </c>
      <c r="E110" s="322">
        <v>2947</v>
      </c>
      <c r="F110" s="307">
        <v>3</v>
      </c>
      <c r="G110" s="308" t="s">
        <v>536</v>
      </c>
      <c r="H110" s="323">
        <v>0</v>
      </c>
      <c r="I110" s="323">
        <v>0</v>
      </c>
      <c r="J110" s="346">
        <v>7</v>
      </c>
      <c r="K110" s="323">
        <v>4</v>
      </c>
      <c r="L110" s="323">
        <v>3</v>
      </c>
      <c r="M110" s="323">
        <v>3</v>
      </c>
      <c r="N110" s="323">
        <v>3</v>
      </c>
      <c r="O110" s="323">
        <v>6</v>
      </c>
      <c r="P110" s="323">
        <v>1</v>
      </c>
      <c r="Q110" s="323">
        <v>0</v>
      </c>
      <c r="R110" s="323">
        <v>26</v>
      </c>
      <c r="S110" s="323"/>
      <c r="T110" s="323"/>
      <c r="U110" s="323">
        <v>0</v>
      </c>
      <c r="V110" s="311">
        <v>0</v>
      </c>
      <c r="W110" s="323">
        <v>0</v>
      </c>
      <c r="X110" s="323">
        <v>1</v>
      </c>
      <c r="Y110" s="323">
        <v>1</v>
      </c>
      <c r="Z110" s="323">
        <v>0</v>
      </c>
      <c r="AA110" s="323">
        <v>1</v>
      </c>
      <c r="AB110" s="346">
        <v>2</v>
      </c>
      <c r="AC110" s="323">
        <v>6</v>
      </c>
      <c r="AD110" s="323">
        <v>5</v>
      </c>
      <c r="AE110" s="323">
        <v>5</v>
      </c>
      <c r="AF110" s="323">
        <v>2</v>
      </c>
      <c r="AG110" s="323">
        <v>4</v>
      </c>
      <c r="AH110" s="323">
        <v>1</v>
      </c>
      <c r="AI110" s="323">
        <v>0</v>
      </c>
      <c r="AJ110" s="323">
        <v>13</v>
      </c>
      <c r="AK110" s="323"/>
      <c r="AL110" s="323"/>
      <c r="AM110" s="312" t="s">
        <v>459</v>
      </c>
      <c r="AN110" s="313">
        <v>3</v>
      </c>
      <c r="AO110" s="313">
        <v>1</v>
      </c>
      <c r="AP110" s="313">
        <v>2</v>
      </c>
      <c r="AQ110" s="313">
        <v>1</v>
      </c>
      <c r="AR110" s="313">
        <v>1</v>
      </c>
      <c r="AS110" s="313">
        <v>1</v>
      </c>
      <c r="AT110" s="313">
        <v>0</v>
      </c>
      <c r="AU110" s="313">
        <v>0</v>
      </c>
      <c r="AV110" s="314">
        <v>2</v>
      </c>
      <c r="AW110" s="312" t="s">
        <v>535</v>
      </c>
      <c r="AX110" s="313">
        <v>4</v>
      </c>
      <c r="AY110" s="313">
        <v>1</v>
      </c>
      <c r="AZ110" s="313">
        <v>2</v>
      </c>
      <c r="BA110" s="313">
        <v>2</v>
      </c>
      <c r="BB110" s="313">
        <v>1</v>
      </c>
      <c r="BC110" s="313">
        <v>0</v>
      </c>
      <c r="BD110" s="313">
        <v>0</v>
      </c>
      <c r="BE110" s="313">
        <v>0</v>
      </c>
      <c r="BF110" s="314">
        <v>5</v>
      </c>
      <c r="BG110" s="312" t="s">
        <v>531</v>
      </c>
      <c r="BH110" s="313">
        <v>5</v>
      </c>
      <c r="BI110" s="313">
        <v>1</v>
      </c>
      <c r="BJ110" s="313">
        <v>2</v>
      </c>
      <c r="BK110" s="313">
        <v>1</v>
      </c>
      <c r="BL110" s="313">
        <v>0</v>
      </c>
      <c r="BM110" s="313">
        <v>1</v>
      </c>
      <c r="BN110" s="313">
        <v>0</v>
      </c>
      <c r="BO110" s="313">
        <v>0</v>
      </c>
      <c r="BP110" s="314">
        <v>2</v>
      </c>
      <c r="BQ110" s="312" t="s">
        <v>539</v>
      </c>
      <c r="BR110" s="313">
        <v>4</v>
      </c>
      <c r="BS110" s="313">
        <v>1</v>
      </c>
      <c r="BT110" s="313">
        <v>1</v>
      </c>
      <c r="BU110" s="313">
        <v>0</v>
      </c>
      <c r="BV110" s="313">
        <v>1</v>
      </c>
      <c r="BW110" s="313">
        <v>0</v>
      </c>
      <c r="BX110" s="313">
        <v>0</v>
      </c>
      <c r="BY110" s="313">
        <v>0</v>
      </c>
      <c r="BZ110" s="314">
        <v>1</v>
      </c>
      <c r="CA110" s="312" t="s">
        <v>291</v>
      </c>
      <c r="CB110" s="313">
        <v>5</v>
      </c>
      <c r="CC110" s="313">
        <v>0</v>
      </c>
      <c r="CD110" s="313">
        <v>2</v>
      </c>
      <c r="CE110" s="313">
        <v>0</v>
      </c>
      <c r="CF110" s="313">
        <v>0</v>
      </c>
      <c r="CG110" s="313">
        <v>1</v>
      </c>
      <c r="CH110" s="313">
        <v>0</v>
      </c>
      <c r="CI110" s="313">
        <v>0</v>
      </c>
      <c r="CJ110" s="314">
        <v>2</v>
      </c>
      <c r="CK110" s="312" t="s">
        <v>543</v>
      </c>
      <c r="CL110" s="313">
        <v>5</v>
      </c>
      <c r="CM110" s="313">
        <v>1</v>
      </c>
      <c r="CN110" s="313">
        <v>1</v>
      </c>
      <c r="CO110" s="313">
        <v>0</v>
      </c>
      <c r="CP110" s="313">
        <v>0</v>
      </c>
      <c r="CQ110" s="313">
        <v>2</v>
      </c>
      <c r="CR110" s="313">
        <v>0</v>
      </c>
      <c r="CS110" s="313">
        <v>0</v>
      </c>
      <c r="CT110" s="314">
        <v>2</v>
      </c>
      <c r="CU110" s="312" t="s">
        <v>532</v>
      </c>
      <c r="CV110" s="313">
        <v>4</v>
      </c>
      <c r="CW110" s="313">
        <v>0</v>
      </c>
      <c r="CX110" s="313">
        <v>1</v>
      </c>
      <c r="CY110" s="313">
        <v>2</v>
      </c>
      <c r="CZ110" s="313">
        <v>0</v>
      </c>
      <c r="DA110" s="313">
        <v>1</v>
      </c>
      <c r="DB110" s="313">
        <v>0</v>
      </c>
      <c r="DC110" s="313">
        <v>1</v>
      </c>
      <c r="DD110" s="314">
        <v>1</v>
      </c>
      <c r="DE110" s="312" t="s">
        <v>549</v>
      </c>
      <c r="DF110" s="313">
        <v>4</v>
      </c>
      <c r="DG110" s="313">
        <v>0</v>
      </c>
      <c r="DH110" s="313">
        <v>1</v>
      </c>
      <c r="DI110" s="313">
        <v>0</v>
      </c>
      <c r="DJ110" s="313">
        <v>0</v>
      </c>
      <c r="DK110" s="313">
        <v>2</v>
      </c>
      <c r="DL110" s="313">
        <v>0</v>
      </c>
      <c r="DM110" s="313">
        <v>0</v>
      </c>
      <c r="DN110" s="314">
        <v>1</v>
      </c>
      <c r="DO110" s="312" t="s">
        <v>538</v>
      </c>
      <c r="DP110" s="313">
        <v>3</v>
      </c>
      <c r="DQ110" s="313">
        <v>2</v>
      </c>
      <c r="DR110" s="313">
        <v>1</v>
      </c>
      <c r="DS110" s="313">
        <v>1</v>
      </c>
      <c r="DT110" s="313">
        <v>1</v>
      </c>
      <c r="DU110" s="313">
        <v>0</v>
      </c>
      <c r="DV110" s="313">
        <v>0</v>
      </c>
      <c r="DW110" s="313">
        <v>0</v>
      </c>
      <c r="DX110" s="314">
        <v>1</v>
      </c>
      <c r="DY110" s="347">
        <v>0</v>
      </c>
      <c r="DZ110" s="316">
        <v>0</v>
      </c>
      <c r="EA110" s="316">
        <v>0</v>
      </c>
      <c r="EB110" s="348">
        <v>9</v>
      </c>
      <c r="EC110" s="316">
        <v>3</v>
      </c>
      <c r="ED110" s="318">
        <v>1</v>
      </c>
      <c r="EE110" s="319">
        <v>0</v>
      </c>
      <c r="EF110" s="316">
        <v>0</v>
      </c>
      <c r="EG110" s="316">
        <v>3</v>
      </c>
      <c r="EH110" s="316">
        <v>0</v>
      </c>
      <c r="EI110" s="316">
        <v>0</v>
      </c>
      <c r="EJ110" s="316">
        <v>2</v>
      </c>
      <c r="EK110" s="316">
        <v>1</v>
      </c>
      <c r="EL110" s="316">
        <v>1</v>
      </c>
      <c r="EM110" s="316">
        <v>0</v>
      </c>
      <c r="EN110" s="316"/>
      <c r="EO110" s="316"/>
      <c r="EP110" s="316"/>
      <c r="EQ110" s="316"/>
      <c r="ER110" s="318">
        <f t="shared" si="111"/>
        <v>7</v>
      </c>
      <c r="ES110" s="316">
        <v>2</v>
      </c>
      <c r="ET110" s="316">
        <v>0</v>
      </c>
      <c r="EU110" s="316">
        <v>0</v>
      </c>
      <c r="EV110" s="316">
        <v>0</v>
      </c>
      <c r="EW110" s="316">
        <v>0</v>
      </c>
      <c r="EX110" s="316">
        <v>1</v>
      </c>
      <c r="EY110" s="316">
        <v>0</v>
      </c>
      <c r="EZ110" s="316">
        <v>2</v>
      </c>
      <c r="FA110" s="316">
        <v>3</v>
      </c>
      <c r="FB110" s="316"/>
      <c r="FC110" s="316"/>
      <c r="FD110" s="316"/>
      <c r="FE110" s="316"/>
      <c r="FF110" s="316">
        <f t="shared" si="112"/>
        <v>8</v>
      </c>
      <c r="FG110" s="320">
        <f t="shared" si="113"/>
        <v>0</v>
      </c>
      <c r="FH110" s="320">
        <f t="shared" si="114"/>
        <v>0</v>
      </c>
      <c r="FI110" s="320">
        <f t="shared" si="116"/>
        <v>-2</v>
      </c>
      <c r="FJ110" s="320">
        <f t="shared" si="116"/>
        <v>0</v>
      </c>
      <c r="FK110" s="320">
        <f t="shared" si="116"/>
        <v>3</v>
      </c>
      <c r="FL110" s="320">
        <f t="shared" si="116"/>
        <v>0</v>
      </c>
      <c r="FM110" s="320">
        <f t="shared" si="116"/>
        <v>0</v>
      </c>
      <c r="FN110" s="320">
        <f t="shared" si="116"/>
        <v>1</v>
      </c>
      <c r="FO110" s="320">
        <f t="shared" si="116"/>
        <v>1</v>
      </c>
      <c r="FP110" s="320">
        <f t="shared" si="116"/>
        <v>-1</v>
      </c>
      <c r="FQ110" s="320">
        <f t="shared" si="116"/>
        <v>-3</v>
      </c>
      <c r="FR110" s="320">
        <f t="shared" si="116"/>
        <v>0</v>
      </c>
      <c r="FS110" s="320">
        <f t="shared" si="116"/>
        <v>0</v>
      </c>
      <c r="FT110" s="320">
        <f t="shared" si="116"/>
        <v>0</v>
      </c>
      <c r="FU110" s="320">
        <f t="shared" si="116"/>
        <v>0</v>
      </c>
      <c r="FV110" s="320">
        <f t="shared" si="116"/>
        <v>-1</v>
      </c>
      <c r="FW110" s="321"/>
    </row>
    <row r="111" spans="1:179" x14ac:dyDescent="0.25">
      <c r="A111" s="325">
        <v>40395</v>
      </c>
      <c r="B111" s="325" t="s">
        <v>19</v>
      </c>
      <c r="C111" s="325" t="s">
        <v>129</v>
      </c>
      <c r="D111" s="325" t="s">
        <v>550</v>
      </c>
      <c r="E111" s="322">
        <v>3941</v>
      </c>
      <c r="F111" s="307">
        <v>4</v>
      </c>
      <c r="G111" s="308" t="s">
        <v>580</v>
      </c>
      <c r="H111" s="323">
        <v>1</v>
      </c>
      <c r="I111" s="323">
        <v>0</v>
      </c>
      <c r="J111" s="346">
        <v>6</v>
      </c>
      <c r="K111" s="323">
        <v>7</v>
      </c>
      <c r="L111" s="323">
        <v>3</v>
      </c>
      <c r="M111" s="323">
        <v>3</v>
      </c>
      <c r="N111" s="323">
        <v>2</v>
      </c>
      <c r="O111" s="323">
        <v>3</v>
      </c>
      <c r="P111" s="323">
        <v>1</v>
      </c>
      <c r="Q111" s="323">
        <v>0</v>
      </c>
      <c r="R111" s="323">
        <v>25</v>
      </c>
      <c r="S111" s="323"/>
      <c r="T111" s="323"/>
      <c r="U111" s="323">
        <v>0</v>
      </c>
      <c r="V111" s="311">
        <v>0</v>
      </c>
      <c r="W111" s="323">
        <v>0</v>
      </c>
      <c r="X111" s="323">
        <v>0</v>
      </c>
      <c r="Y111" s="323">
        <v>1</v>
      </c>
      <c r="Z111" s="323">
        <v>1</v>
      </c>
      <c r="AA111" s="323">
        <v>0</v>
      </c>
      <c r="AB111" s="346">
        <v>3</v>
      </c>
      <c r="AC111" s="323">
        <v>2</v>
      </c>
      <c r="AD111" s="323">
        <v>1</v>
      </c>
      <c r="AE111" s="323">
        <v>1</v>
      </c>
      <c r="AF111" s="323">
        <v>1</v>
      </c>
      <c r="AG111" s="323">
        <v>1</v>
      </c>
      <c r="AH111" s="323">
        <v>0</v>
      </c>
      <c r="AI111" s="323">
        <v>1</v>
      </c>
      <c r="AJ111" s="323">
        <v>13</v>
      </c>
      <c r="AK111" s="323"/>
      <c r="AL111" s="323"/>
      <c r="AM111" s="312" t="s">
        <v>459</v>
      </c>
      <c r="AN111" s="313">
        <v>4</v>
      </c>
      <c r="AO111" s="313">
        <v>0</v>
      </c>
      <c r="AP111" s="313">
        <v>0</v>
      </c>
      <c r="AQ111" s="313">
        <v>0</v>
      </c>
      <c r="AR111" s="313">
        <v>1</v>
      </c>
      <c r="AS111" s="313">
        <v>0</v>
      </c>
      <c r="AT111" s="313">
        <v>0</v>
      </c>
      <c r="AU111" s="313">
        <v>0</v>
      </c>
      <c r="AV111" s="314">
        <v>0</v>
      </c>
      <c r="AW111" s="312" t="s">
        <v>535</v>
      </c>
      <c r="AX111" s="313">
        <v>5</v>
      </c>
      <c r="AY111" s="313">
        <v>2</v>
      </c>
      <c r="AZ111" s="313">
        <v>2</v>
      </c>
      <c r="BA111" s="313">
        <v>0</v>
      </c>
      <c r="BB111" s="313">
        <v>0</v>
      </c>
      <c r="BC111" s="313">
        <v>1</v>
      </c>
      <c r="BD111" s="313">
        <v>0</v>
      </c>
      <c r="BE111" s="313">
        <v>0</v>
      </c>
      <c r="BF111" s="314">
        <v>4</v>
      </c>
      <c r="BG111" s="312" t="s">
        <v>534</v>
      </c>
      <c r="BH111" s="313">
        <v>3</v>
      </c>
      <c r="BI111" s="313">
        <v>2</v>
      </c>
      <c r="BJ111" s="313">
        <v>2</v>
      </c>
      <c r="BK111" s="313">
        <v>0</v>
      </c>
      <c r="BL111" s="313">
        <v>1</v>
      </c>
      <c r="BM111" s="313">
        <v>0</v>
      </c>
      <c r="BN111" s="313">
        <v>0</v>
      </c>
      <c r="BO111" s="313">
        <v>0</v>
      </c>
      <c r="BP111" s="314">
        <v>2</v>
      </c>
      <c r="BQ111" s="312" t="s">
        <v>539</v>
      </c>
      <c r="BR111" s="313">
        <v>3</v>
      </c>
      <c r="BS111" s="313">
        <v>1</v>
      </c>
      <c r="BT111" s="313">
        <v>2</v>
      </c>
      <c r="BU111" s="313">
        <v>2</v>
      </c>
      <c r="BV111" s="313">
        <v>0</v>
      </c>
      <c r="BW111" s="313">
        <v>1</v>
      </c>
      <c r="BX111" s="313">
        <v>0</v>
      </c>
      <c r="BY111" s="313">
        <v>1</v>
      </c>
      <c r="BZ111" s="314">
        <v>2</v>
      </c>
      <c r="CA111" s="312" t="s">
        <v>531</v>
      </c>
      <c r="CB111" s="313">
        <v>4</v>
      </c>
      <c r="CC111" s="313">
        <v>1</v>
      </c>
      <c r="CD111" s="313">
        <v>1</v>
      </c>
      <c r="CE111" s="313">
        <v>1</v>
      </c>
      <c r="CF111" s="313">
        <v>0</v>
      </c>
      <c r="CG111" s="313">
        <v>1</v>
      </c>
      <c r="CH111" s="313">
        <v>0</v>
      </c>
      <c r="CI111" s="313">
        <v>0</v>
      </c>
      <c r="CJ111" s="314">
        <v>2</v>
      </c>
      <c r="CK111" s="312" t="s">
        <v>530</v>
      </c>
      <c r="CL111" s="313">
        <v>3</v>
      </c>
      <c r="CM111" s="313">
        <v>0</v>
      </c>
      <c r="CN111" s="313">
        <v>1</v>
      </c>
      <c r="CO111" s="313">
        <v>0</v>
      </c>
      <c r="CP111" s="313">
        <v>1</v>
      </c>
      <c r="CQ111" s="313">
        <v>1</v>
      </c>
      <c r="CR111" s="313">
        <v>0</v>
      </c>
      <c r="CS111" s="313">
        <v>0</v>
      </c>
      <c r="CT111" s="314">
        <v>2</v>
      </c>
      <c r="CU111" s="312" t="s">
        <v>532</v>
      </c>
      <c r="CV111" s="313">
        <v>4</v>
      </c>
      <c r="CW111" s="313">
        <v>0</v>
      </c>
      <c r="CX111" s="313">
        <v>1</v>
      </c>
      <c r="CY111" s="313">
        <v>2</v>
      </c>
      <c r="CZ111" s="313">
        <v>0</v>
      </c>
      <c r="DA111" s="313">
        <v>0</v>
      </c>
      <c r="DB111" s="313">
        <v>0</v>
      </c>
      <c r="DC111" s="313">
        <v>0</v>
      </c>
      <c r="DD111" s="314">
        <v>1</v>
      </c>
      <c r="DE111" s="312" t="s">
        <v>291</v>
      </c>
      <c r="DF111" s="313">
        <v>2</v>
      </c>
      <c r="DG111" s="313">
        <v>0</v>
      </c>
      <c r="DH111" s="313">
        <v>0</v>
      </c>
      <c r="DI111" s="313">
        <v>0</v>
      </c>
      <c r="DJ111" s="313">
        <v>0</v>
      </c>
      <c r="DK111" s="313">
        <v>2</v>
      </c>
      <c r="DL111" s="313">
        <v>2</v>
      </c>
      <c r="DM111" s="313">
        <v>0</v>
      </c>
      <c r="DN111" s="314">
        <v>0</v>
      </c>
      <c r="DO111" s="312" t="s">
        <v>529</v>
      </c>
      <c r="DP111" s="313">
        <v>4</v>
      </c>
      <c r="DQ111" s="313">
        <v>0</v>
      </c>
      <c r="DR111" s="313">
        <v>1</v>
      </c>
      <c r="DS111" s="313">
        <v>0</v>
      </c>
      <c r="DT111" s="313">
        <v>0</v>
      </c>
      <c r="DU111" s="313">
        <v>1</v>
      </c>
      <c r="DV111" s="313">
        <v>0</v>
      </c>
      <c r="DW111" s="313">
        <v>0</v>
      </c>
      <c r="DX111" s="314">
        <v>1</v>
      </c>
      <c r="DY111" s="347">
        <v>0</v>
      </c>
      <c r="DZ111" s="316">
        <v>0</v>
      </c>
      <c r="EA111" s="316">
        <v>0</v>
      </c>
      <c r="EB111" s="348">
        <v>8</v>
      </c>
      <c r="EC111" s="316">
        <v>4</v>
      </c>
      <c r="ED111" s="318">
        <v>1</v>
      </c>
      <c r="EE111" s="319">
        <v>0</v>
      </c>
      <c r="EF111" s="316">
        <v>0</v>
      </c>
      <c r="EG111" s="316">
        <v>4</v>
      </c>
      <c r="EH111" s="316">
        <v>2</v>
      </c>
      <c r="EI111" s="316">
        <v>0</v>
      </c>
      <c r="EJ111" s="316">
        <v>0</v>
      </c>
      <c r="EK111" s="316">
        <v>0</v>
      </c>
      <c r="EL111" s="316">
        <v>0</v>
      </c>
      <c r="EM111" s="316"/>
      <c r="EN111" s="316"/>
      <c r="EO111" s="316"/>
      <c r="EP111" s="316"/>
      <c r="EQ111" s="316"/>
      <c r="ER111" s="318">
        <f t="shared" si="111"/>
        <v>6</v>
      </c>
      <c r="ES111" s="316">
        <v>1</v>
      </c>
      <c r="ET111" s="316">
        <v>0</v>
      </c>
      <c r="EU111" s="316">
        <v>0</v>
      </c>
      <c r="EV111" s="316">
        <v>0</v>
      </c>
      <c r="EW111" s="316">
        <v>1</v>
      </c>
      <c r="EX111" s="316">
        <v>1</v>
      </c>
      <c r="EY111" s="316">
        <v>0</v>
      </c>
      <c r="EZ111" s="316">
        <v>1</v>
      </c>
      <c r="FA111" s="316">
        <v>0</v>
      </c>
      <c r="FB111" s="316"/>
      <c r="FC111" s="316"/>
      <c r="FD111" s="316"/>
      <c r="FE111" s="316"/>
      <c r="FF111" s="316">
        <f t="shared" si="112"/>
        <v>4</v>
      </c>
      <c r="FG111" s="320">
        <f t="shared" si="113"/>
        <v>0</v>
      </c>
      <c r="FH111" s="320">
        <f t="shared" si="114"/>
        <v>0</v>
      </c>
      <c r="FI111" s="320">
        <f t="shared" si="116"/>
        <v>-1</v>
      </c>
      <c r="FJ111" s="320">
        <f t="shared" si="116"/>
        <v>0</v>
      </c>
      <c r="FK111" s="320">
        <f t="shared" si="116"/>
        <v>4</v>
      </c>
      <c r="FL111" s="320">
        <f t="shared" si="116"/>
        <v>2</v>
      </c>
      <c r="FM111" s="320">
        <f t="shared" si="116"/>
        <v>-1</v>
      </c>
      <c r="FN111" s="320">
        <f t="shared" si="116"/>
        <v>-1</v>
      </c>
      <c r="FO111" s="320">
        <f t="shared" si="116"/>
        <v>0</v>
      </c>
      <c r="FP111" s="320">
        <f t="shared" si="116"/>
        <v>-1</v>
      </c>
      <c r="FQ111" s="320">
        <f t="shared" si="116"/>
        <v>0</v>
      </c>
      <c r="FR111" s="320">
        <f t="shared" si="116"/>
        <v>0</v>
      </c>
      <c r="FS111" s="320">
        <f t="shared" si="116"/>
        <v>0</v>
      </c>
      <c r="FT111" s="320">
        <f t="shared" si="116"/>
        <v>0</v>
      </c>
      <c r="FU111" s="320">
        <f t="shared" si="116"/>
        <v>0</v>
      </c>
      <c r="FV111" s="320">
        <f t="shared" si="116"/>
        <v>2</v>
      </c>
      <c r="FW111" s="321"/>
    </row>
    <row r="112" spans="1:179" x14ac:dyDescent="0.25">
      <c r="A112" s="325">
        <v>40396</v>
      </c>
      <c r="B112" s="325" t="s">
        <v>19</v>
      </c>
      <c r="C112" s="325" t="s">
        <v>129</v>
      </c>
      <c r="D112" s="325" t="s">
        <v>550</v>
      </c>
      <c r="E112" s="322">
        <v>4532</v>
      </c>
      <c r="F112" s="307">
        <v>5</v>
      </c>
      <c r="G112" s="308" t="s">
        <v>566</v>
      </c>
      <c r="H112" s="323">
        <v>0</v>
      </c>
      <c r="I112" s="323">
        <v>0</v>
      </c>
      <c r="J112" s="346">
        <v>4</v>
      </c>
      <c r="K112" s="323">
        <v>5</v>
      </c>
      <c r="L112" s="323">
        <v>2</v>
      </c>
      <c r="M112" s="323">
        <v>2</v>
      </c>
      <c r="N112" s="323">
        <v>1</v>
      </c>
      <c r="O112" s="323">
        <v>3</v>
      </c>
      <c r="P112" s="323">
        <v>0</v>
      </c>
      <c r="Q112" s="323">
        <v>0</v>
      </c>
      <c r="R112" s="323">
        <v>17</v>
      </c>
      <c r="S112" s="323"/>
      <c r="T112" s="323"/>
      <c r="U112" s="323">
        <v>0</v>
      </c>
      <c r="V112" s="311">
        <v>0</v>
      </c>
      <c r="W112" s="323">
        <v>1</v>
      </c>
      <c r="X112" s="323">
        <v>0</v>
      </c>
      <c r="Y112" s="323">
        <v>1</v>
      </c>
      <c r="Z112" s="323">
        <v>1</v>
      </c>
      <c r="AA112" s="323">
        <v>0</v>
      </c>
      <c r="AB112" s="346">
        <v>5</v>
      </c>
      <c r="AC112" s="323">
        <v>5</v>
      </c>
      <c r="AD112" s="323">
        <v>4</v>
      </c>
      <c r="AE112" s="323">
        <v>4</v>
      </c>
      <c r="AF112" s="323">
        <v>3</v>
      </c>
      <c r="AG112" s="323">
        <v>6</v>
      </c>
      <c r="AH112" s="323">
        <v>0</v>
      </c>
      <c r="AI112" s="323">
        <v>0</v>
      </c>
      <c r="AJ112" s="323">
        <v>23</v>
      </c>
      <c r="AK112" s="323"/>
      <c r="AL112" s="323"/>
      <c r="AM112" s="312" t="s">
        <v>459</v>
      </c>
      <c r="AN112" s="313">
        <v>4</v>
      </c>
      <c r="AO112" s="313">
        <v>1</v>
      </c>
      <c r="AP112" s="313">
        <v>0</v>
      </c>
      <c r="AQ112" s="313">
        <v>1</v>
      </c>
      <c r="AR112" s="313">
        <v>1</v>
      </c>
      <c r="AS112" s="313">
        <v>1</v>
      </c>
      <c r="AT112" s="313">
        <v>0</v>
      </c>
      <c r="AU112" s="313">
        <v>0</v>
      </c>
      <c r="AV112" s="314">
        <v>0</v>
      </c>
      <c r="AW112" s="312" t="s">
        <v>535</v>
      </c>
      <c r="AX112" s="313">
        <v>2</v>
      </c>
      <c r="AY112" s="313">
        <v>2</v>
      </c>
      <c r="AZ112" s="313">
        <v>1</v>
      </c>
      <c r="BA112" s="313">
        <v>0</v>
      </c>
      <c r="BB112" s="313">
        <v>2</v>
      </c>
      <c r="BC112" s="313">
        <v>0</v>
      </c>
      <c r="BD112" s="313">
        <v>0</v>
      </c>
      <c r="BE112" s="313">
        <v>0</v>
      </c>
      <c r="BF112" s="314">
        <v>1</v>
      </c>
      <c r="BG112" s="312" t="s">
        <v>534</v>
      </c>
      <c r="BH112" s="313">
        <v>3</v>
      </c>
      <c r="BI112" s="313">
        <v>1</v>
      </c>
      <c r="BJ112" s="313">
        <v>1</v>
      </c>
      <c r="BK112" s="313">
        <v>0</v>
      </c>
      <c r="BL112" s="313">
        <v>1</v>
      </c>
      <c r="BM112" s="313">
        <v>0</v>
      </c>
      <c r="BN112" s="313">
        <v>0</v>
      </c>
      <c r="BO112" s="313">
        <v>0</v>
      </c>
      <c r="BP112" s="314">
        <v>1</v>
      </c>
      <c r="BQ112" s="312" t="s">
        <v>539</v>
      </c>
      <c r="BR112" s="313">
        <v>2</v>
      </c>
      <c r="BS112" s="313">
        <v>0</v>
      </c>
      <c r="BT112" s="313">
        <v>0</v>
      </c>
      <c r="BU112" s="313">
        <v>1</v>
      </c>
      <c r="BV112" s="313">
        <v>1</v>
      </c>
      <c r="BW112" s="313">
        <v>1</v>
      </c>
      <c r="BX112" s="313">
        <v>0</v>
      </c>
      <c r="BY112" s="313">
        <v>1</v>
      </c>
      <c r="BZ112" s="314">
        <v>0</v>
      </c>
      <c r="CA112" s="312" t="s">
        <v>291</v>
      </c>
      <c r="CB112" s="313">
        <v>2</v>
      </c>
      <c r="CC112" s="313">
        <v>1</v>
      </c>
      <c r="CD112" s="313">
        <v>1</v>
      </c>
      <c r="CE112" s="313">
        <v>1</v>
      </c>
      <c r="CF112" s="313">
        <v>2</v>
      </c>
      <c r="CG112" s="313">
        <v>1</v>
      </c>
      <c r="CH112" s="313">
        <v>0</v>
      </c>
      <c r="CI112" s="313">
        <v>0</v>
      </c>
      <c r="CJ112" s="314">
        <v>2</v>
      </c>
      <c r="CK112" s="312" t="s">
        <v>530</v>
      </c>
      <c r="CL112" s="313">
        <v>4</v>
      </c>
      <c r="CM112" s="313">
        <v>0</v>
      </c>
      <c r="CN112" s="313">
        <v>1</v>
      </c>
      <c r="CO112" s="313">
        <v>1</v>
      </c>
      <c r="CP112" s="313">
        <v>0</v>
      </c>
      <c r="CQ112" s="313">
        <v>1</v>
      </c>
      <c r="CR112" s="313">
        <v>0</v>
      </c>
      <c r="CS112" s="313">
        <v>0</v>
      </c>
      <c r="CT112" s="314">
        <v>2</v>
      </c>
      <c r="CU112" s="312" t="s">
        <v>532</v>
      </c>
      <c r="CV112" s="313">
        <v>3</v>
      </c>
      <c r="CW112" s="313">
        <v>2</v>
      </c>
      <c r="CX112" s="313">
        <v>2</v>
      </c>
      <c r="CY112" s="313">
        <v>2</v>
      </c>
      <c r="CZ112" s="313">
        <v>0</v>
      </c>
      <c r="DA112" s="313">
        <v>0</v>
      </c>
      <c r="DB112" s="313">
        <v>0</v>
      </c>
      <c r="DC112" s="313">
        <v>1</v>
      </c>
      <c r="DD112" s="314">
        <v>5</v>
      </c>
      <c r="DE112" s="312" t="s">
        <v>543</v>
      </c>
      <c r="DF112" s="313">
        <v>3</v>
      </c>
      <c r="DG112" s="313">
        <v>0</v>
      </c>
      <c r="DH112" s="313">
        <v>1</v>
      </c>
      <c r="DI112" s="313">
        <v>0</v>
      </c>
      <c r="DJ112" s="313">
        <v>1</v>
      </c>
      <c r="DK112" s="313">
        <v>1</v>
      </c>
      <c r="DL112" s="313">
        <v>0</v>
      </c>
      <c r="DM112" s="313">
        <v>0</v>
      </c>
      <c r="DN112" s="314">
        <v>1</v>
      </c>
      <c r="DO112" s="312" t="s">
        <v>529</v>
      </c>
      <c r="DP112" s="313">
        <v>4</v>
      </c>
      <c r="DQ112" s="313">
        <v>0</v>
      </c>
      <c r="DR112" s="313">
        <v>1</v>
      </c>
      <c r="DS112" s="313">
        <v>0</v>
      </c>
      <c r="DT112" s="313">
        <v>0</v>
      </c>
      <c r="DU112" s="313">
        <v>1</v>
      </c>
      <c r="DV112" s="313">
        <v>0</v>
      </c>
      <c r="DW112" s="313">
        <v>0</v>
      </c>
      <c r="DX112" s="314">
        <v>1</v>
      </c>
      <c r="DY112" s="347">
        <v>5</v>
      </c>
      <c r="DZ112" s="316">
        <v>0</v>
      </c>
      <c r="EA112" s="316">
        <v>1</v>
      </c>
      <c r="EB112" s="348">
        <v>3</v>
      </c>
      <c r="EC112" s="316">
        <v>2</v>
      </c>
      <c r="ED112" s="318">
        <v>0</v>
      </c>
      <c r="EE112" s="319">
        <v>2</v>
      </c>
      <c r="EF112" s="316">
        <v>1</v>
      </c>
      <c r="EG112" s="316">
        <v>2</v>
      </c>
      <c r="EH112" s="316">
        <v>0</v>
      </c>
      <c r="EI112" s="316">
        <v>0</v>
      </c>
      <c r="EJ112" s="316">
        <v>0</v>
      </c>
      <c r="EK112" s="316">
        <v>1</v>
      </c>
      <c r="EL112" s="316">
        <v>1</v>
      </c>
      <c r="EM112" s="316"/>
      <c r="EN112" s="316"/>
      <c r="EO112" s="316"/>
      <c r="EP112" s="316"/>
      <c r="EQ112" s="316"/>
      <c r="ER112" s="318">
        <f t="shared" si="111"/>
        <v>7</v>
      </c>
      <c r="ES112" s="316">
        <v>0</v>
      </c>
      <c r="ET112" s="316">
        <v>1</v>
      </c>
      <c r="EU112" s="316">
        <v>0</v>
      </c>
      <c r="EV112" s="316">
        <v>1</v>
      </c>
      <c r="EW112" s="316">
        <v>0</v>
      </c>
      <c r="EX112" s="316">
        <v>0</v>
      </c>
      <c r="EY112" s="316">
        <v>1</v>
      </c>
      <c r="EZ112" s="316">
        <v>0</v>
      </c>
      <c r="FA112" s="316">
        <v>3</v>
      </c>
      <c r="FB112" s="316"/>
      <c r="FC112" s="316"/>
      <c r="FD112" s="316"/>
      <c r="FE112" s="316"/>
      <c r="FF112" s="316">
        <f t="shared" si="112"/>
        <v>6</v>
      </c>
      <c r="FG112" s="320">
        <f t="shared" si="113"/>
        <v>0</v>
      </c>
      <c r="FH112" s="320">
        <f t="shared" si="114"/>
        <v>0</v>
      </c>
      <c r="FI112" s="320">
        <f t="shared" si="116"/>
        <v>2</v>
      </c>
      <c r="FJ112" s="320">
        <f t="shared" si="116"/>
        <v>0</v>
      </c>
      <c r="FK112" s="320">
        <f t="shared" si="116"/>
        <v>2</v>
      </c>
      <c r="FL112" s="320">
        <f t="shared" si="116"/>
        <v>-1</v>
      </c>
      <c r="FM112" s="320">
        <f t="shared" si="116"/>
        <v>0</v>
      </c>
      <c r="FN112" s="320">
        <f t="shared" si="116"/>
        <v>0</v>
      </c>
      <c r="FO112" s="320">
        <f t="shared" si="116"/>
        <v>0</v>
      </c>
      <c r="FP112" s="320">
        <f t="shared" si="116"/>
        <v>1</v>
      </c>
      <c r="FQ112" s="320">
        <f t="shared" si="116"/>
        <v>-3</v>
      </c>
      <c r="FR112" s="320">
        <f t="shared" si="116"/>
        <v>0</v>
      </c>
      <c r="FS112" s="320">
        <f t="shared" si="116"/>
        <v>0</v>
      </c>
      <c r="FT112" s="320">
        <f t="shared" si="116"/>
        <v>0</v>
      </c>
      <c r="FU112" s="320">
        <f t="shared" si="116"/>
        <v>0</v>
      </c>
      <c r="FV112" s="320">
        <f t="shared" si="116"/>
        <v>1</v>
      </c>
      <c r="FW112" s="321"/>
    </row>
    <row r="113" spans="1:179" x14ac:dyDescent="0.25">
      <c r="A113" s="325">
        <v>40397</v>
      </c>
      <c r="B113" s="325" t="s">
        <v>133</v>
      </c>
      <c r="C113" s="325" t="s">
        <v>131</v>
      </c>
      <c r="D113" s="325" t="s">
        <v>537</v>
      </c>
      <c r="E113" s="322">
        <v>8012</v>
      </c>
      <c r="F113" s="307">
        <v>1</v>
      </c>
      <c r="G113" s="308" t="s">
        <v>546</v>
      </c>
      <c r="H113" s="323">
        <v>0</v>
      </c>
      <c r="I113" s="323">
        <v>0</v>
      </c>
      <c r="J113" s="346">
        <f>4+2/3</f>
        <v>4.666666666666667</v>
      </c>
      <c r="K113" s="323">
        <v>3</v>
      </c>
      <c r="L113" s="323">
        <v>1</v>
      </c>
      <c r="M113" s="323">
        <v>1</v>
      </c>
      <c r="N113" s="323">
        <v>3</v>
      </c>
      <c r="O113" s="323">
        <v>6</v>
      </c>
      <c r="P113" s="323">
        <v>1</v>
      </c>
      <c r="Q113" s="323">
        <v>0</v>
      </c>
      <c r="R113" s="323">
        <v>21</v>
      </c>
      <c r="S113" s="323"/>
      <c r="T113" s="323"/>
      <c r="U113" s="323">
        <v>1</v>
      </c>
      <c r="V113" s="311">
        <v>0</v>
      </c>
      <c r="W113" s="323">
        <v>0</v>
      </c>
      <c r="X113" s="323">
        <v>1</v>
      </c>
      <c r="Y113" s="323">
        <v>0</v>
      </c>
      <c r="Z113" s="323">
        <v>0</v>
      </c>
      <c r="AA113" s="323">
        <v>1</v>
      </c>
      <c r="AB113" s="346">
        <f>3+1/3</f>
        <v>3.3333333333333335</v>
      </c>
      <c r="AC113" s="323">
        <v>3</v>
      </c>
      <c r="AD113" s="323">
        <v>5</v>
      </c>
      <c r="AE113" s="323">
        <v>5</v>
      </c>
      <c r="AF113" s="323">
        <v>8</v>
      </c>
      <c r="AG113" s="323">
        <v>6</v>
      </c>
      <c r="AH113" s="323">
        <v>1</v>
      </c>
      <c r="AI113" s="323">
        <v>1</v>
      </c>
      <c r="AJ113" s="323">
        <v>22</v>
      </c>
      <c r="AK113" s="323"/>
      <c r="AL113" s="323"/>
      <c r="AM113" s="312" t="s">
        <v>459</v>
      </c>
      <c r="AN113" s="313">
        <v>5</v>
      </c>
      <c r="AO113" s="313">
        <v>0</v>
      </c>
      <c r="AP113" s="313">
        <v>0</v>
      </c>
      <c r="AQ113" s="313">
        <v>0</v>
      </c>
      <c r="AR113" s="313">
        <v>0</v>
      </c>
      <c r="AS113" s="313">
        <v>0</v>
      </c>
      <c r="AT113" s="313">
        <v>0</v>
      </c>
      <c r="AU113" s="313">
        <v>0</v>
      </c>
      <c r="AV113" s="314">
        <v>0</v>
      </c>
      <c r="AW113" s="312" t="s">
        <v>535</v>
      </c>
      <c r="AX113" s="313">
        <v>5</v>
      </c>
      <c r="AY113" s="313">
        <v>0</v>
      </c>
      <c r="AZ113" s="313">
        <v>1</v>
      </c>
      <c r="BA113" s="313">
        <v>0</v>
      </c>
      <c r="BB113" s="313">
        <v>0</v>
      </c>
      <c r="BC113" s="313">
        <v>1</v>
      </c>
      <c r="BD113" s="313">
        <v>0</v>
      </c>
      <c r="BE113" s="313">
        <v>0</v>
      </c>
      <c r="BF113" s="314">
        <v>1</v>
      </c>
      <c r="BG113" s="312" t="s">
        <v>534</v>
      </c>
      <c r="BH113" s="313">
        <v>3</v>
      </c>
      <c r="BI113" s="313">
        <v>1</v>
      </c>
      <c r="BJ113" s="313">
        <v>1</v>
      </c>
      <c r="BK113" s="313">
        <v>1</v>
      </c>
      <c r="BL113" s="313">
        <v>1</v>
      </c>
      <c r="BM113" s="313">
        <v>0</v>
      </c>
      <c r="BN113" s="313">
        <v>0</v>
      </c>
      <c r="BO113" s="313">
        <v>0</v>
      </c>
      <c r="BP113" s="314">
        <v>4</v>
      </c>
      <c r="BQ113" s="312" t="s">
        <v>539</v>
      </c>
      <c r="BR113" s="313">
        <v>1</v>
      </c>
      <c r="BS113" s="313">
        <v>1</v>
      </c>
      <c r="BT113" s="313">
        <v>1</v>
      </c>
      <c r="BU113" s="313">
        <v>0</v>
      </c>
      <c r="BV113" s="313">
        <v>3</v>
      </c>
      <c r="BW113" s="313">
        <v>0</v>
      </c>
      <c r="BX113" s="313">
        <v>0</v>
      </c>
      <c r="BY113" s="313">
        <v>0</v>
      </c>
      <c r="BZ113" s="314">
        <v>1</v>
      </c>
      <c r="CA113" s="312" t="s">
        <v>531</v>
      </c>
      <c r="CB113" s="313">
        <v>4</v>
      </c>
      <c r="CC113" s="313">
        <v>1</v>
      </c>
      <c r="CD113" s="313">
        <v>1</v>
      </c>
      <c r="CE113" s="313">
        <v>0</v>
      </c>
      <c r="CF113" s="313">
        <v>0</v>
      </c>
      <c r="CG113" s="313">
        <v>1</v>
      </c>
      <c r="CH113" s="313">
        <v>0</v>
      </c>
      <c r="CI113" s="313">
        <v>0</v>
      </c>
      <c r="CJ113" s="314">
        <v>1</v>
      </c>
      <c r="CK113" s="312" t="s">
        <v>291</v>
      </c>
      <c r="CL113" s="313">
        <v>2</v>
      </c>
      <c r="CM113" s="313">
        <v>1</v>
      </c>
      <c r="CN113" s="313">
        <v>0</v>
      </c>
      <c r="CO113" s="313">
        <v>0</v>
      </c>
      <c r="CP113" s="313">
        <v>2</v>
      </c>
      <c r="CQ113" s="313">
        <v>1</v>
      </c>
      <c r="CR113" s="313">
        <v>0</v>
      </c>
      <c r="CS113" s="313">
        <v>0</v>
      </c>
      <c r="CT113" s="314">
        <v>0</v>
      </c>
      <c r="CU113" s="312" t="s">
        <v>532</v>
      </c>
      <c r="CV113" s="313">
        <v>2</v>
      </c>
      <c r="CW113" s="313">
        <v>0</v>
      </c>
      <c r="CX113" s="313">
        <v>1</v>
      </c>
      <c r="CY113" s="313">
        <v>1</v>
      </c>
      <c r="CZ113" s="313">
        <v>1</v>
      </c>
      <c r="DA113" s="313">
        <v>0</v>
      </c>
      <c r="DB113" s="313">
        <v>0</v>
      </c>
      <c r="DC113" s="313">
        <v>1</v>
      </c>
      <c r="DD113" s="314">
        <v>3</v>
      </c>
      <c r="DE113" s="312" t="s">
        <v>549</v>
      </c>
      <c r="DF113" s="313">
        <v>4</v>
      </c>
      <c r="DG113" s="313">
        <v>1</v>
      </c>
      <c r="DH113" s="313">
        <v>1</v>
      </c>
      <c r="DI113" s="313">
        <v>1</v>
      </c>
      <c r="DJ113" s="313">
        <v>0</v>
      </c>
      <c r="DK113" s="313">
        <v>1</v>
      </c>
      <c r="DL113" s="313">
        <v>0</v>
      </c>
      <c r="DM113" s="313">
        <v>0</v>
      </c>
      <c r="DN113" s="314">
        <v>1</v>
      </c>
      <c r="DO113" s="312" t="s">
        <v>529</v>
      </c>
      <c r="DP113" s="313">
        <v>4</v>
      </c>
      <c r="DQ113" s="313">
        <v>0</v>
      </c>
      <c r="DR113" s="313">
        <v>0</v>
      </c>
      <c r="DS113" s="313">
        <v>0</v>
      </c>
      <c r="DT113" s="313">
        <v>0</v>
      </c>
      <c r="DU113" s="313">
        <v>2</v>
      </c>
      <c r="DV113" s="313">
        <v>0</v>
      </c>
      <c r="DW113" s="313">
        <v>0</v>
      </c>
      <c r="DX113" s="314">
        <v>0</v>
      </c>
      <c r="DY113" s="347">
        <f>0+1/3</f>
        <v>0.33333333333333331</v>
      </c>
      <c r="DZ113" s="316">
        <v>0</v>
      </c>
      <c r="EA113" s="316">
        <v>0</v>
      </c>
      <c r="EB113" s="348">
        <f>8+2/3</f>
        <v>8.6666666666666661</v>
      </c>
      <c r="EC113" s="316">
        <v>4</v>
      </c>
      <c r="ED113" s="318">
        <v>3</v>
      </c>
      <c r="EE113" s="319">
        <v>0</v>
      </c>
      <c r="EF113" s="316">
        <v>0</v>
      </c>
      <c r="EG113" s="316">
        <v>0</v>
      </c>
      <c r="EH113" s="316">
        <v>0</v>
      </c>
      <c r="EI113" s="316">
        <v>0</v>
      </c>
      <c r="EJ113" s="316">
        <v>0</v>
      </c>
      <c r="EK113" s="316">
        <v>0</v>
      </c>
      <c r="EL113" s="316">
        <v>0</v>
      </c>
      <c r="EM113" s="316">
        <v>5</v>
      </c>
      <c r="EN113" s="316"/>
      <c r="EO113" s="316"/>
      <c r="EP113" s="316"/>
      <c r="EQ113" s="316"/>
      <c r="ER113" s="318">
        <f t="shared" si="111"/>
        <v>5</v>
      </c>
      <c r="ES113" s="316">
        <v>1</v>
      </c>
      <c r="ET113" s="316">
        <v>0</v>
      </c>
      <c r="EU113" s="316">
        <v>0</v>
      </c>
      <c r="EV113" s="316">
        <v>0</v>
      </c>
      <c r="EW113" s="316">
        <v>0</v>
      </c>
      <c r="EX113" s="316">
        <v>0</v>
      </c>
      <c r="EY113" s="316">
        <v>0</v>
      </c>
      <c r="EZ113" s="316">
        <v>2</v>
      </c>
      <c r="FA113" s="316">
        <v>3</v>
      </c>
      <c r="FB113" s="316"/>
      <c r="FC113" s="316"/>
      <c r="FD113" s="316"/>
      <c r="FE113" s="316"/>
      <c r="FF113" s="316">
        <f t="shared" si="112"/>
        <v>6</v>
      </c>
      <c r="FG113" s="320">
        <f t="shared" si="113"/>
        <v>0</v>
      </c>
      <c r="FH113" s="320">
        <f t="shared" si="114"/>
        <v>0</v>
      </c>
      <c r="FI113" s="320">
        <f t="shared" si="116"/>
        <v>-1</v>
      </c>
      <c r="FJ113" s="320">
        <f t="shared" si="116"/>
        <v>0</v>
      </c>
      <c r="FK113" s="320">
        <f t="shared" si="116"/>
        <v>0</v>
      </c>
      <c r="FL113" s="320">
        <f t="shared" si="116"/>
        <v>0</v>
      </c>
      <c r="FM113" s="320">
        <f t="shared" si="116"/>
        <v>0</v>
      </c>
      <c r="FN113" s="320">
        <f t="shared" si="116"/>
        <v>0</v>
      </c>
      <c r="FO113" s="320">
        <f t="shared" si="116"/>
        <v>0</v>
      </c>
      <c r="FP113" s="320">
        <f t="shared" si="116"/>
        <v>-2</v>
      </c>
      <c r="FQ113" s="320">
        <f t="shared" si="116"/>
        <v>2</v>
      </c>
      <c r="FR113" s="320">
        <f t="shared" si="116"/>
        <v>0</v>
      </c>
      <c r="FS113" s="320">
        <f t="shared" si="116"/>
        <v>0</v>
      </c>
      <c r="FT113" s="320">
        <f t="shared" si="116"/>
        <v>0</v>
      </c>
      <c r="FU113" s="320">
        <f t="shared" si="116"/>
        <v>0</v>
      </c>
      <c r="FV113" s="320">
        <f t="shared" si="116"/>
        <v>-1</v>
      </c>
      <c r="FW113" s="321"/>
    </row>
    <row r="114" spans="1:179" x14ac:dyDescent="0.25">
      <c r="A114" s="325">
        <v>40398</v>
      </c>
      <c r="B114" s="325" t="s">
        <v>133</v>
      </c>
      <c r="C114" s="325" t="s">
        <v>131</v>
      </c>
      <c r="D114" s="325" t="s">
        <v>537</v>
      </c>
      <c r="E114" s="322">
        <v>6474</v>
      </c>
      <c r="F114" s="307">
        <v>2</v>
      </c>
      <c r="G114" s="308" t="s">
        <v>321</v>
      </c>
      <c r="H114" s="323">
        <v>0</v>
      </c>
      <c r="I114" s="323">
        <v>0</v>
      </c>
      <c r="J114" s="346">
        <v>4</v>
      </c>
      <c r="K114" s="323">
        <v>1</v>
      </c>
      <c r="L114" s="323">
        <v>0</v>
      </c>
      <c r="M114" s="323">
        <v>0</v>
      </c>
      <c r="N114" s="323">
        <v>0</v>
      </c>
      <c r="O114" s="323">
        <v>4</v>
      </c>
      <c r="P114" s="323">
        <v>0</v>
      </c>
      <c r="Q114" s="323">
        <v>0</v>
      </c>
      <c r="R114" s="323">
        <v>13</v>
      </c>
      <c r="S114" s="323"/>
      <c r="T114" s="323"/>
      <c r="U114" s="323">
        <v>0</v>
      </c>
      <c r="V114" s="311">
        <v>0</v>
      </c>
      <c r="W114" s="323">
        <v>0</v>
      </c>
      <c r="X114" s="323">
        <v>1</v>
      </c>
      <c r="Y114" s="323">
        <v>0</v>
      </c>
      <c r="Z114" s="323">
        <v>0</v>
      </c>
      <c r="AA114" s="323">
        <v>0</v>
      </c>
      <c r="AB114" s="346">
        <v>4</v>
      </c>
      <c r="AC114" s="323">
        <v>6</v>
      </c>
      <c r="AD114" s="323">
        <v>5</v>
      </c>
      <c r="AE114" s="323">
        <v>5</v>
      </c>
      <c r="AF114" s="323">
        <v>3</v>
      </c>
      <c r="AG114" s="323">
        <v>1</v>
      </c>
      <c r="AH114" s="323">
        <v>1</v>
      </c>
      <c r="AI114" s="323">
        <v>0</v>
      </c>
      <c r="AJ114" s="323">
        <v>18</v>
      </c>
      <c r="AK114" s="323"/>
      <c r="AL114" s="323"/>
      <c r="AM114" s="312" t="s">
        <v>535</v>
      </c>
      <c r="AN114" s="313">
        <v>5</v>
      </c>
      <c r="AO114" s="313">
        <v>0</v>
      </c>
      <c r="AP114" s="313">
        <v>0</v>
      </c>
      <c r="AQ114" s="313">
        <v>0</v>
      </c>
      <c r="AR114" s="313">
        <v>0</v>
      </c>
      <c r="AS114" s="313">
        <v>3</v>
      </c>
      <c r="AT114" s="313">
        <v>0</v>
      </c>
      <c r="AU114" s="313">
        <v>0</v>
      </c>
      <c r="AV114" s="314">
        <v>0</v>
      </c>
      <c r="AW114" s="312" t="s">
        <v>534</v>
      </c>
      <c r="AX114" s="313">
        <v>3</v>
      </c>
      <c r="AY114" s="313">
        <v>1</v>
      </c>
      <c r="AZ114" s="313">
        <v>1</v>
      </c>
      <c r="BA114" s="313">
        <v>0</v>
      </c>
      <c r="BB114" s="313">
        <v>1</v>
      </c>
      <c r="BC114" s="313">
        <v>0</v>
      </c>
      <c r="BD114" s="313">
        <v>0</v>
      </c>
      <c r="BE114" s="313">
        <v>0</v>
      </c>
      <c r="BF114" s="314">
        <v>1</v>
      </c>
      <c r="BG114" s="312" t="s">
        <v>531</v>
      </c>
      <c r="BH114" s="313">
        <v>3</v>
      </c>
      <c r="BI114" s="313">
        <v>0</v>
      </c>
      <c r="BJ114" s="313">
        <v>1</v>
      </c>
      <c r="BK114" s="313">
        <v>0</v>
      </c>
      <c r="BL114" s="313">
        <v>1</v>
      </c>
      <c r="BM114" s="313">
        <v>0</v>
      </c>
      <c r="BN114" s="313">
        <v>0</v>
      </c>
      <c r="BO114" s="313">
        <v>0</v>
      </c>
      <c r="BP114" s="314">
        <v>1</v>
      </c>
      <c r="BQ114" s="312" t="s">
        <v>539</v>
      </c>
      <c r="BR114" s="313">
        <v>4</v>
      </c>
      <c r="BS114" s="313">
        <v>0</v>
      </c>
      <c r="BT114" s="313">
        <v>2</v>
      </c>
      <c r="BU114" s="313">
        <v>1</v>
      </c>
      <c r="BV114" s="313">
        <v>0</v>
      </c>
      <c r="BW114" s="313">
        <v>2</v>
      </c>
      <c r="BX114" s="313">
        <v>0</v>
      </c>
      <c r="BY114" s="313">
        <v>0</v>
      </c>
      <c r="BZ114" s="314">
        <v>2</v>
      </c>
      <c r="CA114" s="312" t="s">
        <v>291</v>
      </c>
      <c r="CB114" s="313">
        <v>2</v>
      </c>
      <c r="CC114" s="313">
        <v>1</v>
      </c>
      <c r="CD114" s="313">
        <v>1</v>
      </c>
      <c r="CE114" s="313">
        <v>0</v>
      </c>
      <c r="CF114" s="313">
        <v>2</v>
      </c>
      <c r="CG114" s="313">
        <v>0</v>
      </c>
      <c r="CH114" s="313">
        <v>0</v>
      </c>
      <c r="CI114" s="313">
        <v>0</v>
      </c>
      <c r="CJ114" s="314">
        <v>2</v>
      </c>
      <c r="CK114" s="312" t="s">
        <v>530</v>
      </c>
      <c r="CL114" s="313">
        <v>4</v>
      </c>
      <c r="CM114" s="313">
        <v>0</v>
      </c>
      <c r="CN114" s="313">
        <v>0</v>
      </c>
      <c r="CO114" s="313">
        <v>0</v>
      </c>
      <c r="CP114" s="313">
        <v>0</v>
      </c>
      <c r="CQ114" s="313">
        <v>2</v>
      </c>
      <c r="CR114" s="313">
        <v>0</v>
      </c>
      <c r="CS114" s="313">
        <v>0</v>
      </c>
      <c r="CT114" s="314">
        <v>0</v>
      </c>
      <c r="CU114" s="312" t="s">
        <v>532</v>
      </c>
      <c r="CV114" s="313">
        <v>4</v>
      </c>
      <c r="CW114" s="313">
        <v>0</v>
      </c>
      <c r="CX114" s="313">
        <v>2</v>
      </c>
      <c r="CY114" s="313">
        <v>0</v>
      </c>
      <c r="CZ114" s="313">
        <v>0</v>
      </c>
      <c r="DA114" s="313">
        <v>0</v>
      </c>
      <c r="DB114" s="313">
        <v>0</v>
      </c>
      <c r="DC114" s="313">
        <v>0</v>
      </c>
      <c r="DD114" s="314">
        <v>3</v>
      </c>
      <c r="DE114" s="312" t="s">
        <v>543</v>
      </c>
      <c r="DF114" s="313">
        <v>4</v>
      </c>
      <c r="DG114" s="313">
        <v>0</v>
      </c>
      <c r="DH114" s="313">
        <v>1</v>
      </c>
      <c r="DI114" s="313">
        <v>1</v>
      </c>
      <c r="DJ114" s="313">
        <v>0</v>
      </c>
      <c r="DK114" s="313">
        <v>2</v>
      </c>
      <c r="DL114" s="313">
        <v>0</v>
      </c>
      <c r="DM114" s="313">
        <v>0</v>
      </c>
      <c r="DN114" s="314">
        <v>1</v>
      </c>
      <c r="DO114" s="312" t="s">
        <v>529</v>
      </c>
      <c r="DP114" s="313">
        <v>4</v>
      </c>
      <c r="DQ114" s="313">
        <v>0</v>
      </c>
      <c r="DR114" s="313">
        <v>0</v>
      </c>
      <c r="DS114" s="313">
        <v>0</v>
      </c>
      <c r="DT114" s="313">
        <v>0</v>
      </c>
      <c r="DU114" s="313">
        <v>1</v>
      </c>
      <c r="DV114" s="313">
        <v>0</v>
      </c>
      <c r="DW114" s="313">
        <v>0</v>
      </c>
      <c r="DX114" s="314">
        <v>0</v>
      </c>
      <c r="DY114" s="347">
        <v>3</v>
      </c>
      <c r="DZ114" s="316">
        <v>1</v>
      </c>
      <c r="EA114" s="316">
        <v>0</v>
      </c>
      <c r="EB114" s="348">
        <v>6</v>
      </c>
      <c r="EC114" s="316">
        <v>0</v>
      </c>
      <c r="ED114" s="318">
        <v>0</v>
      </c>
      <c r="EE114" s="319">
        <v>0</v>
      </c>
      <c r="EF114" s="316">
        <v>1</v>
      </c>
      <c r="EG114" s="316">
        <v>0</v>
      </c>
      <c r="EH114" s="316">
        <v>0</v>
      </c>
      <c r="EI114" s="316">
        <v>0</v>
      </c>
      <c r="EJ114" s="316">
        <v>0</v>
      </c>
      <c r="EK114" s="316">
        <v>0</v>
      </c>
      <c r="EL114" s="316">
        <v>1</v>
      </c>
      <c r="EM114" s="316">
        <v>0</v>
      </c>
      <c r="EN114" s="316"/>
      <c r="EO114" s="316"/>
      <c r="EP114" s="316"/>
      <c r="EQ114" s="316"/>
      <c r="ER114" s="318">
        <f t="shared" si="111"/>
        <v>2</v>
      </c>
      <c r="ES114" s="316">
        <v>0</v>
      </c>
      <c r="ET114" s="316">
        <v>0</v>
      </c>
      <c r="EU114" s="316">
        <v>0</v>
      </c>
      <c r="EV114" s="316">
        <v>0</v>
      </c>
      <c r="EW114" s="316">
        <v>2</v>
      </c>
      <c r="EX114" s="316">
        <v>2</v>
      </c>
      <c r="EY114" s="316">
        <v>1</v>
      </c>
      <c r="EZ114" s="316">
        <v>0</v>
      </c>
      <c r="FA114" s="316"/>
      <c r="FB114" s="316"/>
      <c r="FC114" s="316"/>
      <c r="FD114" s="316"/>
      <c r="FE114" s="316"/>
      <c r="FF114" s="316">
        <f t="shared" si="112"/>
        <v>5</v>
      </c>
      <c r="FG114" s="320">
        <f t="shared" si="113"/>
        <v>0</v>
      </c>
      <c r="FH114" s="320">
        <f t="shared" si="114"/>
        <v>0</v>
      </c>
      <c r="FI114" s="320">
        <f t="shared" si="116"/>
        <v>0</v>
      </c>
      <c r="FJ114" s="320">
        <f t="shared" si="116"/>
        <v>1</v>
      </c>
      <c r="FK114" s="320">
        <f t="shared" si="116"/>
        <v>0</v>
      </c>
      <c r="FL114" s="320">
        <f t="shared" si="116"/>
        <v>0</v>
      </c>
      <c r="FM114" s="320">
        <f t="shared" si="116"/>
        <v>-2</v>
      </c>
      <c r="FN114" s="320">
        <f t="shared" si="116"/>
        <v>-2</v>
      </c>
      <c r="FO114" s="320">
        <f t="shared" si="116"/>
        <v>-1</v>
      </c>
      <c r="FP114" s="320">
        <f t="shared" si="116"/>
        <v>1</v>
      </c>
      <c r="FQ114" s="320">
        <f t="shared" si="116"/>
        <v>0</v>
      </c>
      <c r="FR114" s="320">
        <f t="shared" si="116"/>
        <v>0</v>
      </c>
      <c r="FS114" s="320">
        <f t="shared" si="116"/>
        <v>0</v>
      </c>
      <c r="FT114" s="320">
        <f t="shared" si="116"/>
        <v>0</v>
      </c>
      <c r="FU114" s="320">
        <f t="shared" si="116"/>
        <v>0</v>
      </c>
      <c r="FV114" s="320">
        <f t="shared" si="116"/>
        <v>-3</v>
      </c>
      <c r="FW114" s="321"/>
    </row>
    <row r="115" spans="1:179" x14ac:dyDescent="0.25">
      <c r="A115" s="325">
        <v>40399</v>
      </c>
      <c r="B115" s="325" t="s">
        <v>133</v>
      </c>
      <c r="C115" s="325" t="s">
        <v>131</v>
      </c>
      <c r="D115" s="325" t="s">
        <v>537</v>
      </c>
      <c r="E115" s="322">
        <v>6267</v>
      </c>
      <c r="F115" s="307">
        <v>3</v>
      </c>
      <c r="G115" s="308" t="s">
        <v>536</v>
      </c>
      <c r="H115" s="323">
        <v>0</v>
      </c>
      <c r="I115" s="323">
        <v>1</v>
      </c>
      <c r="J115" s="346">
        <v>5</v>
      </c>
      <c r="K115" s="323">
        <v>6</v>
      </c>
      <c r="L115" s="323">
        <v>2</v>
      </c>
      <c r="M115" s="323">
        <v>2</v>
      </c>
      <c r="N115" s="323">
        <v>1</v>
      </c>
      <c r="O115" s="323">
        <v>5</v>
      </c>
      <c r="P115" s="323">
        <v>1</v>
      </c>
      <c r="Q115" s="323">
        <v>0</v>
      </c>
      <c r="R115" s="323">
        <v>21</v>
      </c>
      <c r="S115" s="323"/>
      <c r="T115" s="323"/>
      <c r="U115" s="323">
        <v>0</v>
      </c>
      <c r="V115" s="311">
        <v>0</v>
      </c>
      <c r="W115" s="323">
        <v>0</v>
      </c>
      <c r="X115" s="323">
        <v>0</v>
      </c>
      <c r="Y115" s="323">
        <v>0</v>
      </c>
      <c r="Z115" s="323">
        <v>0</v>
      </c>
      <c r="AA115" s="323">
        <v>0</v>
      </c>
      <c r="AB115" s="346">
        <v>3</v>
      </c>
      <c r="AC115" s="323">
        <v>1</v>
      </c>
      <c r="AD115" s="323">
        <v>0</v>
      </c>
      <c r="AE115" s="323">
        <v>0</v>
      </c>
      <c r="AF115" s="323">
        <v>1</v>
      </c>
      <c r="AG115" s="323">
        <v>5</v>
      </c>
      <c r="AH115" s="323">
        <v>0</v>
      </c>
      <c r="AI115" s="323">
        <v>0</v>
      </c>
      <c r="AJ115" s="323">
        <v>11</v>
      </c>
      <c r="AK115" s="323"/>
      <c r="AL115" s="323"/>
      <c r="AM115" s="312" t="s">
        <v>459</v>
      </c>
      <c r="AN115" s="313">
        <v>3</v>
      </c>
      <c r="AO115" s="313">
        <v>0</v>
      </c>
      <c r="AP115" s="313">
        <v>0</v>
      </c>
      <c r="AQ115" s="313">
        <v>0</v>
      </c>
      <c r="AR115" s="313">
        <v>1</v>
      </c>
      <c r="AS115" s="313">
        <v>2</v>
      </c>
      <c r="AT115" s="313">
        <v>0</v>
      </c>
      <c r="AU115" s="313">
        <v>0</v>
      </c>
      <c r="AV115" s="314">
        <v>0</v>
      </c>
      <c r="AW115" s="312" t="s">
        <v>535</v>
      </c>
      <c r="AX115" s="313">
        <v>4</v>
      </c>
      <c r="AY115" s="313">
        <v>0</v>
      </c>
      <c r="AZ115" s="313">
        <v>1</v>
      </c>
      <c r="BA115" s="313">
        <v>0</v>
      </c>
      <c r="BB115" s="313">
        <v>0</v>
      </c>
      <c r="BC115" s="313">
        <v>1</v>
      </c>
      <c r="BD115" s="313">
        <v>0</v>
      </c>
      <c r="BE115" s="313">
        <v>0</v>
      </c>
      <c r="BF115" s="314">
        <v>1</v>
      </c>
      <c r="BG115" s="312" t="s">
        <v>534</v>
      </c>
      <c r="BH115" s="313">
        <v>2</v>
      </c>
      <c r="BI115" s="313">
        <v>0</v>
      </c>
      <c r="BJ115" s="313">
        <v>0</v>
      </c>
      <c r="BK115" s="313">
        <v>0</v>
      </c>
      <c r="BL115" s="313">
        <v>1</v>
      </c>
      <c r="BM115" s="313">
        <v>0</v>
      </c>
      <c r="BN115" s="313">
        <v>0</v>
      </c>
      <c r="BO115" s="313">
        <v>0</v>
      </c>
      <c r="BP115" s="314">
        <v>0</v>
      </c>
      <c r="BQ115" s="312" t="s">
        <v>539</v>
      </c>
      <c r="BR115" s="313">
        <v>3</v>
      </c>
      <c r="BS115" s="313">
        <v>0</v>
      </c>
      <c r="BT115" s="313">
        <v>0</v>
      </c>
      <c r="BU115" s="313">
        <v>0</v>
      </c>
      <c r="BV115" s="313">
        <v>0</v>
      </c>
      <c r="BW115" s="313">
        <v>1</v>
      </c>
      <c r="BX115" s="313">
        <v>0</v>
      </c>
      <c r="BY115" s="313">
        <v>0</v>
      </c>
      <c r="BZ115" s="314">
        <v>0</v>
      </c>
      <c r="CA115" s="312" t="s">
        <v>291</v>
      </c>
      <c r="CB115" s="313">
        <v>3</v>
      </c>
      <c r="CC115" s="313">
        <v>0</v>
      </c>
      <c r="CD115" s="313">
        <v>0</v>
      </c>
      <c r="CE115" s="313">
        <v>0</v>
      </c>
      <c r="CF115" s="313">
        <v>0</v>
      </c>
      <c r="CG115" s="313">
        <v>0</v>
      </c>
      <c r="CH115" s="313">
        <v>0</v>
      </c>
      <c r="CI115" s="313">
        <v>0</v>
      </c>
      <c r="CJ115" s="314">
        <v>0</v>
      </c>
      <c r="CK115" s="312" t="s">
        <v>531</v>
      </c>
      <c r="CL115" s="313">
        <v>2</v>
      </c>
      <c r="CM115" s="313">
        <v>0</v>
      </c>
      <c r="CN115" s="313">
        <v>0</v>
      </c>
      <c r="CO115" s="313">
        <v>0</v>
      </c>
      <c r="CP115" s="313">
        <v>1</v>
      </c>
      <c r="CQ115" s="313">
        <v>0</v>
      </c>
      <c r="CR115" s="313">
        <v>0</v>
      </c>
      <c r="CS115" s="313">
        <v>0</v>
      </c>
      <c r="CT115" s="314">
        <v>0</v>
      </c>
      <c r="CU115" s="312" t="s">
        <v>530</v>
      </c>
      <c r="CV115" s="313">
        <v>3</v>
      </c>
      <c r="CW115" s="313">
        <v>0</v>
      </c>
      <c r="CX115" s="313">
        <v>0</v>
      </c>
      <c r="CY115" s="313">
        <v>0</v>
      </c>
      <c r="CZ115" s="313">
        <v>0</v>
      </c>
      <c r="DA115" s="313">
        <v>1</v>
      </c>
      <c r="DB115" s="313">
        <v>0</v>
      </c>
      <c r="DC115" s="313">
        <v>0</v>
      </c>
      <c r="DD115" s="314">
        <v>0</v>
      </c>
      <c r="DE115" s="312" t="s">
        <v>532</v>
      </c>
      <c r="DF115" s="313">
        <v>3</v>
      </c>
      <c r="DG115" s="313">
        <v>0</v>
      </c>
      <c r="DH115" s="313">
        <v>0</v>
      </c>
      <c r="DI115" s="313">
        <v>0</v>
      </c>
      <c r="DJ115" s="313">
        <v>0</v>
      </c>
      <c r="DK115" s="313">
        <v>1</v>
      </c>
      <c r="DL115" s="313">
        <v>0</v>
      </c>
      <c r="DM115" s="313">
        <v>0</v>
      </c>
      <c r="DN115" s="314">
        <v>0</v>
      </c>
      <c r="DO115" s="312" t="s">
        <v>529</v>
      </c>
      <c r="DP115" s="313">
        <v>3</v>
      </c>
      <c r="DQ115" s="313">
        <v>0</v>
      </c>
      <c r="DR115" s="313">
        <v>0</v>
      </c>
      <c r="DS115" s="313">
        <v>0</v>
      </c>
      <c r="DT115" s="313">
        <v>0</v>
      </c>
      <c r="DU115" s="313">
        <v>1</v>
      </c>
      <c r="DV115" s="313">
        <v>0</v>
      </c>
      <c r="DW115" s="313">
        <v>0</v>
      </c>
      <c r="DX115" s="314">
        <v>0</v>
      </c>
      <c r="DY115" s="347">
        <v>7</v>
      </c>
      <c r="DZ115" s="316">
        <v>0</v>
      </c>
      <c r="EA115" s="316">
        <v>0</v>
      </c>
      <c r="EB115" s="348">
        <v>2</v>
      </c>
      <c r="EC115" s="316">
        <v>1</v>
      </c>
      <c r="ED115" s="318">
        <v>0</v>
      </c>
      <c r="EE115" s="319">
        <v>0</v>
      </c>
      <c r="EF115" s="316">
        <v>0</v>
      </c>
      <c r="EG115" s="316">
        <v>0</v>
      </c>
      <c r="EH115" s="316">
        <v>0</v>
      </c>
      <c r="EI115" s="316">
        <v>0</v>
      </c>
      <c r="EJ115" s="316">
        <v>0</v>
      </c>
      <c r="EK115" s="316">
        <v>0</v>
      </c>
      <c r="EL115" s="316">
        <v>0</v>
      </c>
      <c r="EM115" s="316">
        <v>0</v>
      </c>
      <c r="EN115" s="316"/>
      <c r="EO115" s="316"/>
      <c r="EP115" s="316"/>
      <c r="EQ115" s="316"/>
      <c r="ER115" s="318">
        <f t="shared" si="111"/>
        <v>0</v>
      </c>
      <c r="ES115" s="316">
        <v>0</v>
      </c>
      <c r="ET115" s="316">
        <v>0</v>
      </c>
      <c r="EU115" s="316">
        <v>2</v>
      </c>
      <c r="EV115" s="316">
        <v>0</v>
      </c>
      <c r="EW115" s="316">
        <v>0</v>
      </c>
      <c r="EX115" s="316">
        <v>0</v>
      </c>
      <c r="EY115" s="316">
        <v>0</v>
      </c>
      <c r="EZ115" s="316">
        <v>0</v>
      </c>
      <c r="FA115" s="316"/>
      <c r="FB115" s="316"/>
      <c r="FC115" s="316"/>
      <c r="FD115" s="316"/>
      <c r="FE115" s="316"/>
      <c r="FF115" s="316">
        <f t="shared" si="112"/>
        <v>2</v>
      </c>
      <c r="FG115" s="320">
        <f t="shared" si="113"/>
        <v>0</v>
      </c>
      <c r="FH115" s="320">
        <f t="shared" si="114"/>
        <v>0</v>
      </c>
      <c r="FI115" s="320">
        <f t="shared" si="116"/>
        <v>0</v>
      </c>
      <c r="FJ115" s="320">
        <f t="shared" si="116"/>
        <v>0</v>
      </c>
      <c r="FK115" s="320">
        <f t="shared" si="116"/>
        <v>-2</v>
      </c>
      <c r="FL115" s="320">
        <f t="shared" si="116"/>
        <v>0</v>
      </c>
      <c r="FM115" s="320">
        <f t="shared" si="116"/>
        <v>0</v>
      </c>
      <c r="FN115" s="320">
        <f t="shared" si="116"/>
        <v>0</v>
      </c>
      <c r="FO115" s="320">
        <f t="shared" si="116"/>
        <v>0</v>
      </c>
      <c r="FP115" s="320">
        <f t="shared" si="116"/>
        <v>0</v>
      </c>
      <c r="FQ115" s="320">
        <f t="shared" si="116"/>
        <v>0</v>
      </c>
      <c r="FR115" s="320">
        <f t="shared" si="116"/>
        <v>0</v>
      </c>
      <c r="FS115" s="320">
        <f t="shared" si="116"/>
        <v>0</v>
      </c>
      <c r="FT115" s="320">
        <f t="shared" si="116"/>
        <v>0</v>
      </c>
      <c r="FU115" s="320">
        <f t="shared" si="116"/>
        <v>0</v>
      </c>
      <c r="FV115" s="320">
        <f t="shared" si="116"/>
        <v>-2</v>
      </c>
      <c r="FW115" s="321"/>
    </row>
    <row r="116" spans="1:179" x14ac:dyDescent="0.25">
      <c r="A116" s="325">
        <v>40400</v>
      </c>
      <c r="B116" s="325" t="s">
        <v>133</v>
      </c>
      <c r="C116" s="325" t="s">
        <v>129</v>
      </c>
      <c r="D116" s="325" t="s">
        <v>537</v>
      </c>
      <c r="E116" s="322">
        <v>5032</v>
      </c>
      <c r="F116" s="307">
        <v>4</v>
      </c>
      <c r="G116" s="308" t="s">
        <v>580</v>
      </c>
      <c r="H116" s="323">
        <v>0</v>
      </c>
      <c r="I116" s="323">
        <v>0</v>
      </c>
      <c r="J116" s="346">
        <f>5+1/3</f>
        <v>5.333333333333333</v>
      </c>
      <c r="K116" s="323">
        <v>6</v>
      </c>
      <c r="L116" s="323">
        <v>2</v>
      </c>
      <c r="M116" s="323">
        <v>2</v>
      </c>
      <c r="N116" s="323">
        <v>4</v>
      </c>
      <c r="O116" s="323">
        <v>6</v>
      </c>
      <c r="P116" s="323">
        <v>0</v>
      </c>
      <c r="Q116" s="323">
        <v>0</v>
      </c>
      <c r="R116" s="323">
        <v>24</v>
      </c>
      <c r="S116" s="323"/>
      <c r="T116" s="323"/>
      <c r="U116" s="323">
        <v>1</v>
      </c>
      <c r="V116" s="311">
        <v>1</v>
      </c>
      <c r="W116" s="323">
        <v>1</v>
      </c>
      <c r="X116" s="323">
        <v>0</v>
      </c>
      <c r="Y116" s="323">
        <v>0</v>
      </c>
      <c r="Z116" s="323">
        <v>1</v>
      </c>
      <c r="AA116" s="323">
        <v>1</v>
      </c>
      <c r="AB116" s="346">
        <f>3+2/3</f>
        <v>3.6666666666666665</v>
      </c>
      <c r="AC116" s="323">
        <v>4</v>
      </c>
      <c r="AD116" s="323">
        <v>3</v>
      </c>
      <c r="AE116" s="323">
        <v>3</v>
      </c>
      <c r="AF116" s="323">
        <v>2</v>
      </c>
      <c r="AG116" s="323">
        <v>3</v>
      </c>
      <c r="AH116" s="323">
        <v>0</v>
      </c>
      <c r="AI116" s="323">
        <v>0</v>
      </c>
      <c r="AJ116" s="323">
        <v>20</v>
      </c>
      <c r="AK116" s="323"/>
      <c r="AL116" s="323"/>
      <c r="AM116" s="312" t="s">
        <v>535</v>
      </c>
      <c r="AN116" s="313">
        <v>5</v>
      </c>
      <c r="AO116" s="313">
        <v>0</v>
      </c>
      <c r="AP116" s="313">
        <v>0</v>
      </c>
      <c r="AQ116" s="313">
        <v>1</v>
      </c>
      <c r="AR116" s="313">
        <v>1</v>
      </c>
      <c r="AS116" s="313">
        <v>3</v>
      </c>
      <c r="AT116" s="313">
        <v>0</v>
      </c>
      <c r="AU116" s="313">
        <v>0</v>
      </c>
      <c r="AV116" s="314">
        <v>0</v>
      </c>
      <c r="AW116" s="312" t="s">
        <v>538</v>
      </c>
      <c r="AX116" s="313">
        <v>4</v>
      </c>
      <c r="AY116" s="313">
        <v>2</v>
      </c>
      <c r="AZ116" s="313">
        <v>2</v>
      </c>
      <c r="BA116" s="313">
        <v>1</v>
      </c>
      <c r="BB116" s="313">
        <v>2</v>
      </c>
      <c r="BC116" s="313">
        <v>1</v>
      </c>
      <c r="BD116" s="313">
        <v>0</v>
      </c>
      <c r="BE116" s="313">
        <v>0</v>
      </c>
      <c r="BF116" s="314">
        <v>2</v>
      </c>
      <c r="BG116" s="312" t="s">
        <v>534</v>
      </c>
      <c r="BH116" s="313">
        <v>2</v>
      </c>
      <c r="BI116" s="313">
        <v>2</v>
      </c>
      <c r="BJ116" s="313">
        <v>0</v>
      </c>
      <c r="BK116" s="313">
        <v>1</v>
      </c>
      <c r="BL116" s="313">
        <v>1</v>
      </c>
      <c r="BM116" s="313">
        <v>0</v>
      </c>
      <c r="BN116" s="313">
        <v>0</v>
      </c>
      <c r="BO116" s="313">
        <v>1</v>
      </c>
      <c r="BP116" s="314">
        <v>0</v>
      </c>
      <c r="BQ116" s="312" t="s">
        <v>531</v>
      </c>
      <c r="BR116" s="313">
        <v>5</v>
      </c>
      <c r="BS116" s="313">
        <v>1</v>
      </c>
      <c r="BT116" s="313">
        <v>3</v>
      </c>
      <c r="BU116" s="313">
        <v>5</v>
      </c>
      <c r="BV116" s="313">
        <v>0</v>
      </c>
      <c r="BW116" s="313">
        <v>0</v>
      </c>
      <c r="BX116" s="313">
        <v>0</v>
      </c>
      <c r="BY116" s="313">
        <v>0</v>
      </c>
      <c r="BZ116" s="314">
        <v>7</v>
      </c>
      <c r="CA116" s="312" t="s">
        <v>532</v>
      </c>
      <c r="CB116" s="313">
        <v>5</v>
      </c>
      <c r="CC116" s="313">
        <v>0</v>
      </c>
      <c r="CD116" s="313">
        <v>1</v>
      </c>
      <c r="CE116" s="313">
        <v>0</v>
      </c>
      <c r="CF116" s="313">
        <v>0</v>
      </c>
      <c r="CG116" s="313">
        <v>1</v>
      </c>
      <c r="CH116" s="313">
        <v>0</v>
      </c>
      <c r="CI116" s="313">
        <v>0</v>
      </c>
      <c r="CJ116" s="314">
        <v>1</v>
      </c>
      <c r="CK116" s="312" t="s">
        <v>425</v>
      </c>
      <c r="CL116" s="313">
        <v>5</v>
      </c>
      <c r="CM116" s="313">
        <v>1</v>
      </c>
      <c r="CN116" s="313">
        <v>1</v>
      </c>
      <c r="CO116" s="313">
        <v>1</v>
      </c>
      <c r="CP116" s="313">
        <v>0</v>
      </c>
      <c r="CQ116" s="313">
        <v>1</v>
      </c>
      <c r="CR116" s="313">
        <v>0</v>
      </c>
      <c r="CS116" s="313">
        <v>0</v>
      </c>
      <c r="CT116" s="314">
        <v>1</v>
      </c>
      <c r="CU116" s="312" t="s">
        <v>543</v>
      </c>
      <c r="CV116" s="313">
        <v>5</v>
      </c>
      <c r="CW116" s="313">
        <v>1</v>
      </c>
      <c r="CX116" s="313">
        <v>1</v>
      </c>
      <c r="CY116" s="313">
        <v>0</v>
      </c>
      <c r="CZ116" s="313">
        <v>0</v>
      </c>
      <c r="DA116" s="313">
        <v>1</v>
      </c>
      <c r="DB116" s="313">
        <v>0</v>
      </c>
      <c r="DC116" s="313">
        <v>0</v>
      </c>
      <c r="DD116" s="314">
        <v>1</v>
      </c>
      <c r="DE116" s="312" t="s">
        <v>549</v>
      </c>
      <c r="DF116" s="313">
        <v>5</v>
      </c>
      <c r="DG116" s="313">
        <v>1</v>
      </c>
      <c r="DH116" s="313">
        <v>4</v>
      </c>
      <c r="DI116" s="313">
        <v>0</v>
      </c>
      <c r="DJ116" s="313">
        <v>0</v>
      </c>
      <c r="DK116" s="313">
        <v>0</v>
      </c>
      <c r="DL116" s="313">
        <v>0</v>
      </c>
      <c r="DM116" s="313">
        <v>0</v>
      </c>
      <c r="DN116" s="314">
        <v>4</v>
      </c>
      <c r="DO116" s="312" t="s">
        <v>529</v>
      </c>
      <c r="DP116" s="313">
        <v>4</v>
      </c>
      <c r="DQ116" s="313">
        <v>1</v>
      </c>
      <c r="DR116" s="313">
        <v>2</v>
      </c>
      <c r="DS116" s="313">
        <v>0</v>
      </c>
      <c r="DT116" s="313">
        <v>1</v>
      </c>
      <c r="DU116" s="313">
        <v>0</v>
      </c>
      <c r="DV116" s="313">
        <v>0</v>
      </c>
      <c r="DW116" s="313">
        <v>0</v>
      </c>
      <c r="DX116" s="314">
        <v>2</v>
      </c>
      <c r="DY116" s="347">
        <v>6</v>
      </c>
      <c r="DZ116" s="316">
        <v>0</v>
      </c>
      <c r="EA116" s="316">
        <v>1</v>
      </c>
      <c r="EB116" s="348">
        <v>3</v>
      </c>
      <c r="EC116" s="316">
        <v>2</v>
      </c>
      <c r="ED116" s="318">
        <v>0</v>
      </c>
      <c r="EE116" s="319">
        <v>0</v>
      </c>
      <c r="EF116" s="316">
        <v>0</v>
      </c>
      <c r="EG116" s="316">
        <v>0</v>
      </c>
      <c r="EH116" s="316">
        <v>0</v>
      </c>
      <c r="EI116" s="316">
        <v>3</v>
      </c>
      <c r="EJ116" s="316">
        <v>0</v>
      </c>
      <c r="EK116" s="316">
        <v>2</v>
      </c>
      <c r="EL116" s="316">
        <v>0</v>
      </c>
      <c r="EM116" s="316">
        <v>4</v>
      </c>
      <c r="EN116" s="316"/>
      <c r="EO116" s="316"/>
      <c r="EP116" s="316"/>
      <c r="EQ116" s="316"/>
      <c r="ER116" s="318">
        <f t="shared" ref="ER116:ER125" si="117">SUM(EE116:EQ116)</f>
        <v>9</v>
      </c>
      <c r="ES116" s="316">
        <v>0</v>
      </c>
      <c r="ET116" s="316">
        <v>0</v>
      </c>
      <c r="EU116" s="316">
        <v>0</v>
      </c>
      <c r="EV116" s="316">
        <v>0</v>
      </c>
      <c r="EW116" s="316">
        <v>0</v>
      </c>
      <c r="EX116" s="316">
        <v>4</v>
      </c>
      <c r="EY116" s="316">
        <v>0</v>
      </c>
      <c r="EZ116" s="316">
        <v>0</v>
      </c>
      <c r="FA116" s="316">
        <v>1</v>
      </c>
      <c r="FB116" s="316"/>
      <c r="FC116" s="316"/>
      <c r="FD116" s="316"/>
      <c r="FE116" s="316"/>
      <c r="FF116" s="316">
        <f t="shared" ref="FF116:FF125" si="118">SUM(ES116:FE116)</f>
        <v>5</v>
      </c>
      <c r="FG116" s="320">
        <f t="shared" ref="FG116:FG125" si="119">((SUM(L116,AD116))-(FF116))</f>
        <v>0</v>
      </c>
      <c r="FH116" s="320">
        <f t="shared" ref="FH116:FH125" si="120">((SUM(AO116,AY116,BI116,BS116,CC116,CM116,CW116,DG116,DQ116))-(ER116))</f>
        <v>0</v>
      </c>
      <c r="FI116" s="320">
        <f t="shared" ref="FI116:FV116" si="121">(EE116-ES116)</f>
        <v>0</v>
      </c>
      <c r="FJ116" s="320">
        <f t="shared" si="121"/>
        <v>0</v>
      </c>
      <c r="FK116" s="320">
        <f t="shared" si="121"/>
        <v>0</v>
      </c>
      <c r="FL116" s="320">
        <f t="shared" si="121"/>
        <v>0</v>
      </c>
      <c r="FM116" s="320">
        <f t="shared" si="121"/>
        <v>3</v>
      </c>
      <c r="FN116" s="320">
        <f t="shared" si="121"/>
        <v>-4</v>
      </c>
      <c r="FO116" s="320">
        <f t="shared" si="121"/>
        <v>2</v>
      </c>
      <c r="FP116" s="320">
        <f t="shared" si="121"/>
        <v>0</v>
      </c>
      <c r="FQ116" s="320">
        <f t="shared" si="121"/>
        <v>3</v>
      </c>
      <c r="FR116" s="320">
        <f t="shared" si="121"/>
        <v>0</v>
      </c>
      <c r="FS116" s="320">
        <f t="shared" si="121"/>
        <v>0</v>
      </c>
      <c r="FT116" s="320">
        <f t="shared" si="121"/>
        <v>0</v>
      </c>
      <c r="FU116" s="320">
        <f t="shared" si="121"/>
        <v>0</v>
      </c>
      <c r="FV116" s="320">
        <f t="shared" si="121"/>
        <v>4</v>
      </c>
      <c r="FW116" s="321"/>
    </row>
    <row r="117" spans="1:179" x14ac:dyDescent="0.25">
      <c r="A117" s="325">
        <v>40401</v>
      </c>
      <c r="B117" s="325" t="s">
        <v>19</v>
      </c>
      <c r="C117" s="325" t="s">
        <v>131</v>
      </c>
      <c r="D117" s="325" t="s">
        <v>547</v>
      </c>
      <c r="E117" s="322">
        <v>2985</v>
      </c>
      <c r="F117" s="307">
        <v>5</v>
      </c>
      <c r="G117" s="308" t="s">
        <v>566</v>
      </c>
      <c r="H117" s="323">
        <v>0</v>
      </c>
      <c r="I117" s="323">
        <v>1</v>
      </c>
      <c r="J117" s="346">
        <v>4</v>
      </c>
      <c r="K117" s="323">
        <v>4</v>
      </c>
      <c r="L117" s="323">
        <v>3</v>
      </c>
      <c r="M117" s="323">
        <v>3</v>
      </c>
      <c r="N117" s="323">
        <v>2</v>
      </c>
      <c r="O117" s="323">
        <v>2</v>
      </c>
      <c r="P117" s="323">
        <v>0</v>
      </c>
      <c r="Q117" s="323">
        <v>0</v>
      </c>
      <c r="R117" s="323">
        <v>18</v>
      </c>
      <c r="S117" s="323"/>
      <c r="T117" s="323"/>
      <c r="U117" s="323">
        <v>0</v>
      </c>
      <c r="V117" s="311">
        <v>0</v>
      </c>
      <c r="W117" s="323">
        <v>0</v>
      </c>
      <c r="X117" s="323">
        <v>0</v>
      </c>
      <c r="Y117" s="323">
        <v>0</v>
      </c>
      <c r="Z117" s="323">
        <v>0</v>
      </c>
      <c r="AA117" s="323">
        <v>0</v>
      </c>
      <c r="AB117" s="346">
        <v>5</v>
      </c>
      <c r="AC117" s="323">
        <v>4</v>
      </c>
      <c r="AD117" s="323">
        <v>2</v>
      </c>
      <c r="AE117" s="323">
        <v>2</v>
      </c>
      <c r="AF117" s="323">
        <v>3</v>
      </c>
      <c r="AG117" s="323">
        <v>3</v>
      </c>
      <c r="AH117" s="323">
        <v>0</v>
      </c>
      <c r="AI117" s="323">
        <v>3</v>
      </c>
      <c r="AJ117" s="323">
        <v>24</v>
      </c>
      <c r="AK117" s="323"/>
      <c r="AL117" s="323"/>
      <c r="AM117" s="312" t="s">
        <v>459</v>
      </c>
      <c r="AN117" s="313">
        <v>5</v>
      </c>
      <c r="AO117" s="313">
        <v>0</v>
      </c>
      <c r="AP117" s="313">
        <v>0</v>
      </c>
      <c r="AQ117" s="313">
        <v>0</v>
      </c>
      <c r="AR117" s="313">
        <v>0</v>
      </c>
      <c r="AS117" s="313">
        <v>1</v>
      </c>
      <c r="AT117" s="313">
        <v>0</v>
      </c>
      <c r="AU117" s="313">
        <v>0</v>
      </c>
      <c r="AV117" s="314">
        <v>0</v>
      </c>
      <c r="AW117" s="312" t="s">
        <v>534</v>
      </c>
      <c r="AX117" s="313">
        <v>3</v>
      </c>
      <c r="AY117" s="313">
        <v>0</v>
      </c>
      <c r="AZ117" s="313">
        <v>0</v>
      </c>
      <c r="BA117" s="313">
        <v>0</v>
      </c>
      <c r="BB117" s="313">
        <v>2</v>
      </c>
      <c r="BC117" s="313">
        <v>0</v>
      </c>
      <c r="BD117" s="313">
        <v>0</v>
      </c>
      <c r="BE117" s="313">
        <v>0</v>
      </c>
      <c r="BF117" s="314">
        <v>0</v>
      </c>
      <c r="BG117" s="312" t="s">
        <v>531</v>
      </c>
      <c r="BH117" s="313">
        <v>5</v>
      </c>
      <c r="BI117" s="313">
        <v>2</v>
      </c>
      <c r="BJ117" s="313">
        <v>2</v>
      </c>
      <c r="BK117" s="313">
        <v>1</v>
      </c>
      <c r="BL117" s="313">
        <v>0</v>
      </c>
      <c r="BM117" s="313">
        <v>0</v>
      </c>
      <c r="BN117" s="313">
        <v>0</v>
      </c>
      <c r="BO117" s="313">
        <v>0</v>
      </c>
      <c r="BP117" s="314">
        <v>5</v>
      </c>
      <c r="BQ117" s="312" t="s">
        <v>539</v>
      </c>
      <c r="BR117" s="313">
        <v>4</v>
      </c>
      <c r="BS117" s="313">
        <v>0</v>
      </c>
      <c r="BT117" s="313">
        <v>0</v>
      </c>
      <c r="BU117" s="313">
        <v>0</v>
      </c>
      <c r="BV117" s="313">
        <v>0</v>
      </c>
      <c r="BW117" s="313">
        <v>0</v>
      </c>
      <c r="BX117" s="313">
        <v>0</v>
      </c>
      <c r="BY117" s="313">
        <v>0</v>
      </c>
      <c r="BZ117" s="314">
        <v>0</v>
      </c>
      <c r="CA117" s="312" t="s">
        <v>291</v>
      </c>
      <c r="CB117" s="313">
        <v>3</v>
      </c>
      <c r="CC117" s="313">
        <v>0</v>
      </c>
      <c r="CD117" s="313">
        <v>0</v>
      </c>
      <c r="CE117" s="313">
        <v>0</v>
      </c>
      <c r="CF117" s="313">
        <v>1</v>
      </c>
      <c r="CG117" s="313">
        <v>1</v>
      </c>
      <c r="CH117" s="313">
        <v>0</v>
      </c>
      <c r="CI117" s="313">
        <v>0</v>
      </c>
      <c r="CJ117" s="314">
        <v>0</v>
      </c>
      <c r="CK117" s="312" t="s">
        <v>530</v>
      </c>
      <c r="CL117" s="313">
        <v>4</v>
      </c>
      <c r="CM117" s="313">
        <v>0</v>
      </c>
      <c r="CN117" s="313">
        <v>1</v>
      </c>
      <c r="CO117" s="313">
        <v>1</v>
      </c>
      <c r="CP117" s="313">
        <v>0</v>
      </c>
      <c r="CQ117" s="313">
        <v>0</v>
      </c>
      <c r="CR117" s="313">
        <v>0</v>
      </c>
      <c r="CS117" s="313">
        <v>0</v>
      </c>
      <c r="CT117" s="314">
        <v>1</v>
      </c>
      <c r="CU117" s="312" t="s">
        <v>543</v>
      </c>
      <c r="CV117" s="313">
        <v>2</v>
      </c>
      <c r="CW117" s="313">
        <v>1</v>
      </c>
      <c r="CX117" s="313">
        <v>1</v>
      </c>
      <c r="CY117" s="313">
        <v>0</v>
      </c>
      <c r="CZ117" s="313">
        <v>2</v>
      </c>
      <c r="DA117" s="313">
        <v>0</v>
      </c>
      <c r="DB117" s="313">
        <v>0</v>
      </c>
      <c r="DC117" s="313">
        <v>0</v>
      </c>
      <c r="DD117" s="314">
        <v>1</v>
      </c>
      <c r="DE117" s="312" t="s">
        <v>549</v>
      </c>
      <c r="DF117" s="313">
        <v>4</v>
      </c>
      <c r="DG117" s="313">
        <v>0</v>
      </c>
      <c r="DH117" s="313">
        <v>1</v>
      </c>
      <c r="DI117" s="313">
        <v>0</v>
      </c>
      <c r="DJ117" s="313">
        <v>0</v>
      </c>
      <c r="DK117" s="313">
        <v>2</v>
      </c>
      <c r="DL117" s="313">
        <v>0</v>
      </c>
      <c r="DM117" s="313">
        <v>0</v>
      </c>
      <c r="DN117" s="314">
        <v>2</v>
      </c>
      <c r="DO117" s="312" t="s">
        <v>529</v>
      </c>
      <c r="DP117" s="313">
        <v>4</v>
      </c>
      <c r="DQ117" s="313">
        <v>0</v>
      </c>
      <c r="DR117" s="313">
        <v>2</v>
      </c>
      <c r="DS117" s="313">
        <v>1</v>
      </c>
      <c r="DT117" s="313">
        <v>0</v>
      </c>
      <c r="DU117" s="313">
        <v>0</v>
      </c>
      <c r="DV117" s="313">
        <v>0</v>
      </c>
      <c r="DW117" s="313">
        <v>0</v>
      </c>
      <c r="DX117" s="314">
        <v>2</v>
      </c>
      <c r="DY117" s="347">
        <f>1+1/3</f>
        <v>1.3333333333333333</v>
      </c>
      <c r="DZ117" s="316">
        <v>0</v>
      </c>
      <c r="EA117" s="316">
        <v>0</v>
      </c>
      <c r="EB117" s="348">
        <f>7+2/3</f>
        <v>7.666666666666667</v>
      </c>
      <c r="EC117" s="316">
        <v>3</v>
      </c>
      <c r="ED117" s="318">
        <v>0</v>
      </c>
      <c r="EE117" s="319">
        <v>1</v>
      </c>
      <c r="EF117" s="316">
        <v>0</v>
      </c>
      <c r="EG117" s="316">
        <v>0</v>
      </c>
      <c r="EH117" s="316">
        <v>0</v>
      </c>
      <c r="EI117" s="316">
        <v>0</v>
      </c>
      <c r="EJ117" s="316">
        <v>0</v>
      </c>
      <c r="EK117" s="316">
        <v>1</v>
      </c>
      <c r="EL117" s="316">
        <v>1</v>
      </c>
      <c r="EM117" s="316">
        <v>0</v>
      </c>
      <c r="EN117" s="316"/>
      <c r="EO117" s="316"/>
      <c r="EP117" s="316"/>
      <c r="EQ117" s="316"/>
      <c r="ER117" s="318">
        <f t="shared" si="117"/>
        <v>3</v>
      </c>
      <c r="ES117" s="316">
        <v>0</v>
      </c>
      <c r="ET117" s="316">
        <v>0</v>
      </c>
      <c r="EU117" s="316">
        <v>3</v>
      </c>
      <c r="EV117" s="316">
        <v>0</v>
      </c>
      <c r="EW117" s="316">
        <v>0</v>
      </c>
      <c r="EX117" s="316">
        <v>1</v>
      </c>
      <c r="EY117" s="316">
        <v>0</v>
      </c>
      <c r="EZ117" s="316">
        <v>0</v>
      </c>
      <c r="FA117" s="316">
        <v>1</v>
      </c>
      <c r="FB117" s="316"/>
      <c r="FC117" s="316"/>
      <c r="FD117" s="316"/>
      <c r="FE117" s="316"/>
      <c r="FF117" s="316">
        <f t="shared" si="118"/>
        <v>5</v>
      </c>
      <c r="FG117" s="320">
        <f t="shared" si="119"/>
        <v>0</v>
      </c>
      <c r="FH117" s="320">
        <f t="shared" si="120"/>
        <v>0</v>
      </c>
      <c r="FI117" s="320">
        <f t="shared" ref="FI117:FV117" si="122">(EE117-ES117)</f>
        <v>1</v>
      </c>
      <c r="FJ117" s="320">
        <f t="shared" si="122"/>
        <v>0</v>
      </c>
      <c r="FK117" s="320">
        <f t="shared" si="122"/>
        <v>-3</v>
      </c>
      <c r="FL117" s="320">
        <f t="shared" si="122"/>
        <v>0</v>
      </c>
      <c r="FM117" s="320">
        <f t="shared" si="122"/>
        <v>0</v>
      </c>
      <c r="FN117" s="320">
        <f t="shared" si="122"/>
        <v>-1</v>
      </c>
      <c r="FO117" s="320">
        <f t="shared" si="122"/>
        <v>1</v>
      </c>
      <c r="FP117" s="320">
        <f t="shared" si="122"/>
        <v>1</v>
      </c>
      <c r="FQ117" s="320">
        <f t="shared" si="122"/>
        <v>-1</v>
      </c>
      <c r="FR117" s="320">
        <f t="shared" si="122"/>
        <v>0</v>
      </c>
      <c r="FS117" s="320">
        <f t="shared" si="122"/>
        <v>0</v>
      </c>
      <c r="FT117" s="320">
        <f t="shared" si="122"/>
        <v>0</v>
      </c>
      <c r="FU117" s="320">
        <f t="shared" si="122"/>
        <v>0</v>
      </c>
      <c r="FV117" s="320">
        <f t="shared" si="122"/>
        <v>-2</v>
      </c>
      <c r="FW117" s="321"/>
    </row>
    <row r="118" spans="1:179" x14ac:dyDescent="0.25">
      <c r="A118" s="380">
        <v>40402</v>
      </c>
      <c r="B118" s="380" t="s">
        <v>19</v>
      </c>
      <c r="C118" s="380" t="s">
        <v>131</v>
      </c>
      <c r="D118" s="380" t="s">
        <v>547</v>
      </c>
      <c r="E118" s="374">
        <v>3990</v>
      </c>
      <c r="F118" s="358">
        <v>1</v>
      </c>
      <c r="G118" s="359" t="s">
        <v>546</v>
      </c>
      <c r="H118" s="376">
        <v>0</v>
      </c>
      <c r="I118" s="376">
        <v>1</v>
      </c>
      <c r="J118" s="401">
        <f>6+1/3</f>
        <v>6.333333333333333</v>
      </c>
      <c r="K118" s="376">
        <v>6</v>
      </c>
      <c r="L118" s="376">
        <v>3</v>
      </c>
      <c r="M118" s="376">
        <v>3</v>
      </c>
      <c r="N118" s="376">
        <v>1</v>
      </c>
      <c r="O118" s="376">
        <v>6</v>
      </c>
      <c r="P118" s="376">
        <v>0</v>
      </c>
      <c r="Q118" s="376">
        <v>0</v>
      </c>
      <c r="R118" s="376">
        <v>26</v>
      </c>
      <c r="S118" s="376"/>
      <c r="T118" s="376"/>
      <c r="U118" s="376">
        <v>1</v>
      </c>
      <c r="V118" s="362">
        <v>1</v>
      </c>
      <c r="W118" s="376">
        <v>0</v>
      </c>
      <c r="X118" s="376">
        <v>0</v>
      </c>
      <c r="Y118" s="376">
        <v>0</v>
      </c>
      <c r="Z118" s="376">
        <v>0</v>
      </c>
      <c r="AA118" s="376">
        <v>0</v>
      </c>
      <c r="AB118" s="401">
        <f>2+2/3</f>
        <v>2.6666666666666665</v>
      </c>
      <c r="AC118" s="376">
        <v>3</v>
      </c>
      <c r="AD118" s="376">
        <v>1</v>
      </c>
      <c r="AE118" s="376">
        <v>1</v>
      </c>
      <c r="AF118" s="376">
        <v>0</v>
      </c>
      <c r="AG118" s="376">
        <v>4</v>
      </c>
      <c r="AH118" s="376">
        <v>0</v>
      </c>
      <c r="AI118" s="376">
        <v>0</v>
      </c>
      <c r="AJ118" s="376">
        <v>11</v>
      </c>
      <c r="AK118" s="376"/>
      <c r="AL118" s="376"/>
      <c r="AM118" s="363" t="s">
        <v>535</v>
      </c>
      <c r="AN118" s="364">
        <v>4</v>
      </c>
      <c r="AO118" s="364">
        <v>0</v>
      </c>
      <c r="AP118" s="364">
        <v>2</v>
      </c>
      <c r="AQ118" s="364">
        <v>1</v>
      </c>
      <c r="AR118" s="364">
        <v>0</v>
      </c>
      <c r="AS118" s="364">
        <v>1</v>
      </c>
      <c r="AT118" s="364">
        <v>0</v>
      </c>
      <c r="AU118" s="364">
        <v>0</v>
      </c>
      <c r="AV118" s="365">
        <v>2</v>
      </c>
      <c r="AW118" s="363" t="s">
        <v>459</v>
      </c>
      <c r="AX118" s="364">
        <v>3</v>
      </c>
      <c r="AY118" s="364">
        <v>0</v>
      </c>
      <c r="AZ118" s="364">
        <v>0</v>
      </c>
      <c r="BA118" s="364">
        <v>0</v>
      </c>
      <c r="BB118" s="364">
        <v>1</v>
      </c>
      <c r="BC118" s="364">
        <v>2</v>
      </c>
      <c r="BD118" s="364">
        <v>0</v>
      </c>
      <c r="BE118" s="364">
        <v>0</v>
      </c>
      <c r="BF118" s="365">
        <v>0</v>
      </c>
      <c r="BG118" s="363" t="s">
        <v>534</v>
      </c>
      <c r="BH118" s="364">
        <v>4</v>
      </c>
      <c r="BI118" s="364">
        <v>0</v>
      </c>
      <c r="BJ118" s="364">
        <v>0</v>
      </c>
      <c r="BK118" s="364">
        <v>0</v>
      </c>
      <c r="BL118" s="364">
        <v>0</v>
      </c>
      <c r="BM118" s="364">
        <v>1</v>
      </c>
      <c r="BN118" s="364">
        <v>0</v>
      </c>
      <c r="BO118" s="364">
        <v>0</v>
      </c>
      <c r="BP118" s="365">
        <v>0</v>
      </c>
      <c r="BQ118" s="363" t="s">
        <v>531</v>
      </c>
      <c r="BR118" s="364">
        <v>3</v>
      </c>
      <c r="BS118" s="364">
        <v>0</v>
      </c>
      <c r="BT118" s="364">
        <v>0</v>
      </c>
      <c r="BU118" s="364">
        <v>0</v>
      </c>
      <c r="BV118" s="364">
        <v>1</v>
      </c>
      <c r="BW118" s="364">
        <v>1</v>
      </c>
      <c r="BX118" s="364">
        <v>0</v>
      </c>
      <c r="BY118" s="364">
        <v>0</v>
      </c>
      <c r="BZ118" s="365">
        <v>0</v>
      </c>
      <c r="CA118" s="363" t="s">
        <v>539</v>
      </c>
      <c r="CB118" s="364">
        <v>3</v>
      </c>
      <c r="CC118" s="364">
        <v>0</v>
      </c>
      <c r="CD118" s="364">
        <v>0</v>
      </c>
      <c r="CE118" s="364">
        <v>0</v>
      </c>
      <c r="CF118" s="364">
        <v>1</v>
      </c>
      <c r="CG118" s="364">
        <v>0</v>
      </c>
      <c r="CH118" s="364">
        <v>0</v>
      </c>
      <c r="CI118" s="364">
        <v>0</v>
      </c>
      <c r="CJ118" s="365">
        <v>0</v>
      </c>
      <c r="CK118" s="363" t="s">
        <v>530</v>
      </c>
      <c r="CL118" s="364">
        <v>4</v>
      </c>
      <c r="CM118" s="364">
        <v>0</v>
      </c>
      <c r="CN118" s="364">
        <v>0</v>
      </c>
      <c r="CO118" s="364">
        <v>0</v>
      </c>
      <c r="CP118" s="364">
        <v>0</v>
      </c>
      <c r="CQ118" s="364">
        <v>1</v>
      </c>
      <c r="CR118" s="364">
        <v>0</v>
      </c>
      <c r="CS118" s="364">
        <v>0</v>
      </c>
      <c r="CT118" s="365">
        <v>0</v>
      </c>
      <c r="CU118" s="363" t="s">
        <v>532</v>
      </c>
      <c r="CV118" s="364">
        <v>3</v>
      </c>
      <c r="CW118" s="364">
        <v>0</v>
      </c>
      <c r="CX118" s="364">
        <v>0</v>
      </c>
      <c r="CY118" s="364">
        <v>0</v>
      </c>
      <c r="CZ118" s="364">
        <v>0</v>
      </c>
      <c r="DA118" s="364">
        <v>0</v>
      </c>
      <c r="DB118" s="364">
        <v>0</v>
      </c>
      <c r="DC118" s="364">
        <v>0</v>
      </c>
      <c r="DD118" s="365">
        <v>0</v>
      </c>
      <c r="DE118" s="363" t="s">
        <v>538</v>
      </c>
      <c r="DF118" s="364">
        <v>3</v>
      </c>
      <c r="DG118" s="364">
        <v>0</v>
      </c>
      <c r="DH118" s="364">
        <v>1</v>
      </c>
      <c r="DI118" s="364">
        <v>0</v>
      </c>
      <c r="DJ118" s="364">
        <v>0</v>
      </c>
      <c r="DK118" s="364">
        <v>0</v>
      </c>
      <c r="DL118" s="364">
        <v>0</v>
      </c>
      <c r="DM118" s="364">
        <v>0</v>
      </c>
      <c r="DN118" s="365">
        <v>1</v>
      </c>
      <c r="DO118" s="363" t="s">
        <v>529</v>
      </c>
      <c r="DP118" s="364">
        <v>2</v>
      </c>
      <c r="DQ118" s="364">
        <v>1</v>
      </c>
      <c r="DR118" s="364">
        <v>0</v>
      </c>
      <c r="DS118" s="364">
        <v>0</v>
      </c>
      <c r="DT118" s="364">
        <v>1</v>
      </c>
      <c r="DU118" s="364">
        <v>1</v>
      </c>
      <c r="DV118" s="364">
        <v>0</v>
      </c>
      <c r="DW118" s="364">
        <v>0</v>
      </c>
      <c r="DX118" s="365">
        <v>0</v>
      </c>
      <c r="DY118" s="402">
        <v>3</v>
      </c>
      <c r="DZ118" s="367">
        <v>0</v>
      </c>
      <c r="EA118" s="367">
        <v>0</v>
      </c>
      <c r="EB118" s="403">
        <v>6</v>
      </c>
      <c r="EC118" s="367">
        <v>2</v>
      </c>
      <c r="ED118" s="369">
        <v>2</v>
      </c>
      <c r="EE118" s="370">
        <v>0</v>
      </c>
      <c r="EF118" s="367">
        <v>0</v>
      </c>
      <c r="EG118" s="367">
        <v>0</v>
      </c>
      <c r="EH118" s="367">
        <v>0</v>
      </c>
      <c r="EI118" s="367">
        <v>0</v>
      </c>
      <c r="EJ118" s="367">
        <v>0</v>
      </c>
      <c r="EK118" s="367">
        <v>0</v>
      </c>
      <c r="EL118" s="367">
        <v>1</v>
      </c>
      <c r="EM118" s="367">
        <v>0</v>
      </c>
      <c r="EN118" s="367"/>
      <c r="EO118" s="367"/>
      <c r="EP118" s="367"/>
      <c r="EQ118" s="367"/>
      <c r="ER118" s="369">
        <f t="shared" si="117"/>
        <v>1</v>
      </c>
      <c r="ES118" s="367">
        <v>0</v>
      </c>
      <c r="ET118" s="367">
        <v>0</v>
      </c>
      <c r="EU118" s="367">
        <v>0</v>
      </c>
      <c r="EV118" s="367">
        <v>2</v>
      </c>
      <c r="EW118" s="367">
        <v>0</v>
      </c>
      <c r="EX118" s="367">
        <v>0</v>
      </c>
      <c r="EY118" s="367">
        <v>1</v>
      </c>
      <c r="EZ118" s="367">
        <v>0</v>
      </c>
      <c r="FA118" s="367">
        <v>1</v>
      </c>
      <c r="FB118" s="367"/>
      <c r="FC118" s="367"/>
      <c r="FD118" s="367"/>
      <c r="FE118" s="367"/>
      <c r="FF118" s="367">
        <f t="shared" si="118"/>
        <v>4</v>
      </c>
      <c r="FG118" s="371">
        <f t="shared" si="119"/>
        <v>0</v>
      </c>
      <c r="FH118" s="371">
        <f t="shared" si="120"/>
        <v>0</v>
      </c>
      <c r="FI118" s="371">
        <f t="shared" ref="FI118:FV125" si="123">(EE118-ES118)</f>
        <v>0</v>
      </c>
      <c r="FJ118" s="371">
        <f t="shared" si="123"/>
        <v>0</v>
      </c>
      <c r="FK118" s="371">
        <f t="shared" si="123"/>
        <v>0</v>
      </c>
      <c r="FL118" s="371">
        <f t="shared" si="123"/>
        <v>-2</v>
      </c>
      <c r="FM118" s="371">
        <f t="shared" si="123"/>
        <v>0</v>
      </c>
      <c r="FN118" s="371">
        <f t="shared" si="123"/>
        <v>0</v>
      </c>
      <c r="FO118" s="371">
        <f t="shared" si="123"/>
        <v>-1</v>
      </c>
      <c r="FP118" s="371">
        <f t="shared" si="123"/>
        <v>1</v>
      </c>
      <c r="FQ118" s="371">
        <f t="shared" si="123"/>
        <v>-1</v>
      </c>
      <c r="FR118" s="371">
        <f t="shared" si="123"/>
        <v>0</v>
      </c>
      <c r="FS118" s="371">
        <f t="shared" si="123"/>
        <v>0</v>
      </c>
      <c r="FT118" s="371">
        <f t="shared" si="123"/>
        <v>0</v>
      </c>
      <c r="FU118" s="371">
        <f t="shared" si="123"/>
        <v>0</v>
      </c>
      <c r="FV118" s="371">
        <f t="shared" si="123"/>
        <v>-3</v>
      </c>
      <c r="FW118" s="372"/>
    </row>
    <row r="119" spans="1:179" x14ac:dyDescent="0.25">
      <c r="A119" s="380">
        <v>40403</v>
      </c>
      <c r="B119" s="380" t="s">
        <v>19</v>
      </c>
      <c r="C119" s="380" t="s">
        <v>131</v>
      </c>
      <c r="D119" s="380" t="s">
        <v>547</v>
      </c>
      <c r="E119" s="374">
        <v>4988</v>
      </c>
      <c r="F119" s="358">
        <v>2</v>
      </c>
      <c r="G119" s="359" t="s">
        <v>321</v>
      </c>
      <c r="H119" s="376">
        <v>0</v>
      </c>
      <c r="I119" s="376">
        <v>1</v>
      </c>
      <c r="J119" s="401">
        <v>4</v>
      </c>
      <c r="K119" s="376">
        <v>2</v>
      </c>
      <c r="L119" s="376">
        <v>1</v>
      </c>
      <c r="M119" s="376">
        <v>1</v>
      </c>
      <c r="N119" s="376">
        <v>1</v>
      </c>
      <c r="O119" s="376">
        <v>2</v>
      </c>
      <c r="P119" s="376">
        <v>0</v>
      </c>
      <c r="Q119" s="376">
        <v>0</v>
      </c>
      <c r="R119" s="376">
        <v>15</v>
      </c>
      <c r="S119" s="376"/>
      <c r="T119" s="376"/>
      <c r="U119" s="376">
        <v>0</v>
      </c>
      <c r="V119" s="362">
        <v>0</v>
      </c>
      <c r="W119" s="376">
        <v>0</v>
      </c>
      <c r="X119" s="376">
        <v>0</v>
      </c>
      <c r="Y119" s="376">
        <v>0</v>
      </c>
      <c r="Z119" s="376">
        <v>0</v>
      </c>
      <c r="AA119" s="376">
        <v>0</v>
      </c>
      <c r="AB119" s="401">
        <v>5</v>
      </c>
      <c r="AC119" s="376">
        <v>5</v>
      </c>
      <c r="AD119" s="376">
        <v>3</v>
      </c>
      <c r="AE119" s="376">
        <v>2</v>
      </c>
      <c r="AF119" s="376">
        <v>3</v>
      </c>
      <c r="AG119" s="376">
        <v>5</v>
      </c>
      <c r="AH119" s="376">
        <v>0</v>
      </c>
      <c r="AI119" s="376">
        <v>0</v>
      </c>
      <c r="AJ119" s="376">
        <v>21</v>
      </c>
      <c r="AK119" s="376"/>
      <c r="AL119" s="376"/>
      <c r="AM119" s="363" t="s">
        <v>535</v>
      </c>
      <c r="AN119" s="364">
        <v>4</v>
      </c>
      <c r="AO119" s="364">
        <v>1</v>
      </c>
      <c r="AP119" s="364">
        <v>1</v>
      </c>
      <c r="AQ119" s="364">
        <v>0</v>
      </c>
      <c r="AR119" s="364">
        <v>0</v>
      </c>
      <c r="AS119" s="364">
        <v>0</v>
      </c>
      <c r="AT119" s="364">
        <v>0</v>
      </c>
      <c r="AU119" s="364">
        <v>0</v>
      </c>
      <c r="AV119" s="365">
        <v>2</v>
      </c>
      <c r="AW119" s="363" t="s">
        <v>459</v>
      </c>
      <c r="AX119" s="364">
        <v>3</v>
      </c>
      <c r="AY119" s="364">
        <v>1</v>
      </c>
      <c r="AZ119" s="364">
        <v>0</v>
      </c>
      <c r="BA119" s="364">
        <v>0</v>
      </c>
      <c r="BB119" s="364">
        <v>1</v>
      </c>
      <c r="BC119" s="364">
        <v>0</v>
      </c>
      <c r="BD119" s="364">
        <v>0</v>
      </c>
      <c r="BE119" s="364">
        <v>0</v>
      </c>
      <c r="BF119" s="365">
        <v>0</v>
      </c>
      <c r="BG119" s="363" t="s">
        <v>531</v>
      </c>
      <c r="BH119" s="364">
        <v>3</v>
      </c>
      <c r="BI119" s="364">
        <v>0</v>
      </c>
      <c r="BJ119" s="364">
        <v>1</v>
      </c>
      <c r="BK119" s="364">
        <v>1</v>
      </c>
      <c r="BL119" s="364">
        <v>1</v>
      </c>
      <c r="BM119" s="364">
        <v>1</v>
      </c>
      <c r="BN119" s="364">
        <v>0</v>
      </c>
      <c r="BO119" s="364">
        <v>0</v>
      </c>
      <c r="BP119" s="365">
        <v>2</v>
      </c>
      <c r="BQ119" s="363" t="s">
        <v>291</v>
      </c>
      <c r="BR119" s="364">
        <v>4</v>
      </c>
      <c r="BS119" s="364">
        <v>0</v>
      </c>
      <c r="BT119" s="364">
        <v>0</v>
      </c>
      <c r="BU119" s="364">
        <v>1</v>
      </c>
      <c r="BV119" s="364">
        <v>0</v>
      </c>
      <c r="BW119" s="364">
        <v>0</v>
      </c>
      <c r="BX119" s="364">
        <v>0</v>
      </c>
      <c r="BY119" s="364">
        <v>0</v>
      </c>
      <c r="BZ119" s="365">
        <v>0</v>
      </c>
      <c r="CA119" s="363" t="s">
        <v>539</v>
      </c>
      <c r="CB119" s="364">
        <v>2</v>
      </c>
      <c r="CC119" s="364">
        <v>0</v>
      </c>
      <c r="CD119" s="364">
        <v>1</v>
      </c>
      <c r="CE119" s="364">
        <v>0</v>
      </c>
      <c r="CF119" s="364">
        <v>2</v>
      </c>
      <c r="CG119" s="364">
        <v>0</v>
      </c>
      <c r="CH119" s="364">
        <v>0</v>
      </c>
      <c r="CI119" s="364">
        <v>0</v>
      </c>
      <c r="CJ119" s="365">
        <v>2</v>
      </c>
      <c r="CK119" s="363" t="s">
        <v>532</v>
      </c>
      <c r="CL119" s="364">
        <v>3</v>
      </c>
      <c r="CM119" s="364">
        <v>0</v>
      </c>
      <c r="CN119" s="364">
        <v>1</v>
      </c>
      <c r="CO119" s="364">
        <v>0</v>
      </c>
      <c r="CP119" s="364">
        <v>1</v>
      </c>
      <c r="CQ119" s="364">
        <v>0</v>
      </c>
      <c r="CR119" s="364">
        <v>0</v>
      </c>
      <c r="CS119" s="364">
        <v>0</v>
      </c>
      <c r="CT119" s="365">
        <v>1</v>
      </c>
      <c r="CU119" s="363" t="s">
        <v>543</v>
      </c>
      <c r="CV119" s="364">
        <v>3</v>
      </c>
      <c r="CW119" s="364">
        <v>0</v>
      </c>
      <c r="CX119" s="364">
        <v>0</v>
      </c>
      <c r="CY119" s="364">
        <v>0</v>
      </c>
      <c r="CZ119" s="364">
        <v>0</v>
      </c>
      <c r="DA119" s="364">
        <v>0</v>
      </c>
      <c r="DB119" s="364">
        <v>0</v>
      </c>
      <c r="DC119" s="364">
        <v>0</v>
      </c>
      <c r="DD119" s="365">
        <v>0</v>
      </c>
      <c r="DE119" s="363" t="s">
        <v>538</v>
      </c>
      <c r="DF119" s="364">
        <v>2</v>
      </c>
      <c r="DG119" s="364">
        <v>0</v>
      </c>
      <c r="DH119" s="364">
        <v>1</v>
      </c>
      <c r="DI119" s="364">
        <v>0</v>
      </c>
      <c r="DJ119" s="364">
        <v>1</v>
      </c>
      <c r="DK119" s="364">
        <v>1</v>
      </c>
      <c r="DL119" s="364">
        <v>0</v>
      </c>
      <c r="DM119" s="364">
        <v>0</v>
      </c>
      <c r="DN119" s="365">
        <v>1</v>
      </c>
      <c r="DO119" s="363" t="s">
        <v>549</v>
      </c>
      <c r="DP119" s="364">
        <v>3</v>
      </c>
      <c r="DQ119" s="364">
        <v>0</v>
      </c>
      <c r="DR119" s="364">
        <v>0</v>
      </c>
      <c r="DS119" s="364">
        <v>0</v>
      </c>
      <c r="DT119" s="364">
        <v>0</v>
      </c>
      <c r="DU119" s="364">
        <v>1</v>
      </c>
      <c r="DV119" s="364">
        <v>0</v>
      </c>
      <c r="DW119" s="364">
        <v>0</v>
      </c>
      <c r="DX119" s="365">
        <v>0</v>
      </c>
      <c r="DY119" s="402">
        <v>0</v>
      </c>
      <c r="DZ119" s="367">
        <v>0</v>
      </c>
      <c r="EA119" s="367">
        <v>0</v>
      </c>
      <c r="EB119" s="403">
        <v>9</v>
      </c>
      <c r="EC119" s="367">
        <v>0</v>
      </c>
      <c r="ED119" s="369">
        <v>1</v>
      </c>
      <c r="EE119" s="370">
        <v>0</v>
      </c>
      <c r="EF119" s="367">
        <v>0</v>
      </c>
      <c r="EG119" s="367">
        <v>0</v>
      </c>
      <c r="EH119" s="367">
        <v>0</v>
      </c>
      <c r="EI119" s="367">
        <v>0</v>
      </c>
      <c r="EJ119" s="367">
        <v>0</v>
      </c>
      <c r="EK119" s="367">
        <v>0</v>
      </c>
      <c r="EL119" s="367">
        <v>0</v>
      </c>
      <c r="EM119" s="367">
        <v>2</v>
      </c>
      <c r="EN119" s="367"/>
      <c r="EO119" s="367"/>
      <c r="EP119" s="367"/>
      <c r="EQ119" s="367"/>
      <c r="ER119" s="369">
        <f t="shared" si="117"/>
        <v>2</v>
      </c>
      <c r="ES119" s="367">
        <v>0</v>
      </c>
      <c r="ET119" s="367">
        <v>1</v>
      </c>
      <c r="EU119" s="367">
        <v>0</v>
      </c>
      <c r="EV119" s="367">
        <v>0</v>
      </c>
      <c r="EW119" s="367">
        <v>1</v>
      </c>
      <c r="EX119" s="367">
        <v>0</v>
      </c>
      <c r="EY119" s="367">
        <v>1</v>
      </c>
      <c r="EZ119" s="367">
        <v>1</v>
      </c>
      <c r="FA119" s="367">
        <v>0</v>
      </c>
      <c r="FB119" s="367"/>
      <c r="FC119" s="367"/>
      <c r="FD119" s="367"/>
      <c r="FE119" s="367"/>
      <c r="FF119" s="367">
        <f t="shared" si="118"/>
        <v>4</v>
      </c>
      <c r="FG119" s="371">
        <f t="shared" si="119"/>
        <v>0</v>
      </c>
      <c r="FH119" s="371">
        <f t="shared" si="120"/>
        <v>0</v>
      </c>
      <c r="FI119" s="371">
        <f t="shared" si="123"/>
        <v>0</v>
      </c>
      <c r="FJ119" s="371">
        <f t="shared" si="123"/>
        <v>-1</v>
      </c>
      <c r="FK119" s="371">
        <f t="shared" si="123"/>
        <v>0</v>
      </c>
      <c r="FL119" s="371">
        <f t="shared" si="123"/>
        <v>0</v>
      </c>
      <c r="FM119" s="371">
        <f t="shared" si="123"/>
        <v>-1</v>
      </c>
      <c r="FN119" s="371">
        <f t="shared" si="123"/>
        <v>0</v>
      </c>
      <c r="FO119" s="371">
        <f t="shared" si="123"/>
        <v>-1</v>
      </c>
      <c r="FP119" s="371">
        <f t="shared" si="123"/>
        <v>-1</v>
      </c>
      <c r="FQ119" s="371">
        <f t="shared" si="123"/>
        <v>2</v>
      </c>
      <c r="FR119" s="371">
        <f t="shared" si="123"/>
        <v>0</v>
      </c>
      <c r="FS119" s="371">
        <f t="shared" si="123"/>
        <v>0</v>
      </c>
      <c r="FT119" s="371">
        <f t="shared" si="123"/>
        <v>0</v>
      </c>
      <c r="FU119" s="371">
        <f t="shared" si="123"/>
        <v>0</v>
      </c>
      <c r="FV119" s="371">
        <f t="shared" si="123"/>
        <v>-2</v>
      </c>
      <c r="FW119" s="372"/>
    </row>
    <row r="120" spans="1:179" x14ac:dyDescent="0.25">
      <c r="A120" s="380">
        <v>40404</v>
      </c>
      <c r="B120" s="380" t="s">
        <v>19</v>
      </c>
      <c r="C120" s="380" t="s">
        <v>131</v>
      </c>
      <c r="D120" s="380" t="s">
        <v>558</v>
      </c>
      <c r="E120" s="374">
        <v>5191</v>
      </c>
      <c r="F120" s="358">
        <v>3</v>
      </c>
      <c r="G120" s="359" t="s">
        <v>545</v>
      </c>
      <c r="H120" s="376">
        <v>0</v>
      </c>
      <c r="I120" s="376">
        <v>0</v>
      </c>
      <c r="J120" s="401">
        <f>4+1/3</f>
        <v>4.333333333333333</v>
      </c>
      <c r="K120" s="376">
        <v>2</v>
      </c>
      <c r="L120" s="376">
        <v>1</v>
      </c>
      <c r="M120" s="376">
        <v>1</v>
      </c>
      <c r="N120" s="376">
        <v>1</v>
      </c>
      <c r="O120" s="376">
        <v>5</v>
      </c>
      <c r="P120" s="376">
        <v>0</v>
      </c>
      <c r="Q120" s="376">
        <v>1</v>
      </c>
      <c r="R120" s="376">
        <v>17</v>
      </c>
      <c r="S120" s="376"/>
      <c r="T120" s="376"/>
      <c r="U120" s="376">
        <v>2</v>
      </c>
      <c r="V120" s="362">
        <v>0</v>
      </c>
      <c r="W120" s="376">
        <v>0</v>
      </c>
      <c r="X120" s="376">
        <v>1</v>
      </c>
      <c r="Y120" s="376">
        <v>0</v>
      </c>
      <c r="Z120" s="376">
        <v>0</v>
      </c>
      <c r="AA120" s="376">
        <v>0</v>
      </c>
      <c r="AB120" s="401">
        <f>6+2/3</f>
        <v>6.666666666666667</v>
      </c>
      <c r="AC120" s="376">
        <v>9</v>
      </c>
      <c r="AD120" s="376">
        <v>9</v>
      </c>
      <c r="AE120" s="376">
        <v>7</v>
      </c>
      <c r="AF120" s="376">
        <v>2</v>
      </c>
      <c r="AG120" s="376">
        <v>3</v>
      </c>
      <c r="AH120" s="376">
        <v>2</v>
      </c>
      <c r="AI120" s="376">
        <v>0</v>
      </c>
      <c r="AJ120" s="376">
        <v>31</v>
      </c>
      <c r="AK120" s="376"/>
      <c r="AL120" s="376"/>
      <c r="AM120" s="363" t="s">
        <v>534</v>
      </c>
      <c r="AN120" s="364">
        <v>6</v>
      </c>
      <c r="AO120" s="364">
        <v>2</v>
      </c>
      <c r="AP120" s="364">
        <v>2</v>
      </c>
      <c r="AQ120" s="364">
        <v>1</v>
      </c>
      <c r="AR120" s="364">
        <v>0</v>
      </c>
      <c r="AS120" s="364">
        <v>1</v>
      </c>
      <c r="AT120" s="364">
        <v>0</v>
      </c>
      <c r="AU120" s="364">
        <v>0</v>
      </c>
      <c r="AV120" s="365">
        <v>5</v>
      </c>
      <c r="AW120" s="363" t="s">
        <v>535</v>
      </c>
      <c r="AX120" s="364">
        <v>3</v>
      </c>
      <c r="AY120" s="364">
        <v>0</v>
      </c>
      <c r="AZ120" s="364">
        <v>1</v>
      </c>
      <c r="BA120" s="364">
        <v>0</v>
      </c>
      <c r="BB120" s="364">
        <v>2</v>
      </c>
      <c r="BC120" s="364">
        <v>0</v>
      </c>
      <c r="BD120" s="364">
        <v>0</v>
      </c>
      <c r="BE120" s="364">
        <v>0</v>
      </c>
      <c r="BF120" s="365">
        <v>2</v>
      </c>
      <c r="BG120" s="363" t="s">
        <v>531</v>
      </c>
      <c r="BH120" s="364">
        <v>5</v>
      </c>
      <c r="BI120" s="364">
        <v>0</v>
      </c>
      <c r="BJ120" s="364">
        <v>1</v>
      </c>
      <c r="BK120" s="364">
        <v>1</v>
      </c>
      <c r="BL120" s="364">
        <v>0</v>
      </c>
      <c r="BM120" s="364">
        <v>1</v>
      </c>
      <c r="BN120" s="364">
        <v>0</v>
      </c>
      <c r="BO120" s="364">
        <v>0</v>
      </c>
      <c r="BP120" s="365">
        <v>1</v>
      </c>
      <c r="BQ120" s="363" t="s">
        <v>530</v>
      </c>
      <c r="BR120" s="364">
        <v>5</v>
      </c>
      <c r="BS120" s="364">
        <v>0</v>
      </c>
      <c r="BT120" s="364">
        <v>1</v>
      </c>
      <c r="BU120" s="364">
        <v>1</v>
      </c>
      <c r="BV120" s="364">
        <v>0</v>
      </c>
      <c r="BW120" s="364">
        <v>0</v>
      </c>
      <c r="BX120" s="364">
        <v>0</v>
      </c>
      <c r="BY120" s="364">
        <v>0</v>
      </c>
      <c r="BZ120" s="365">
        <v>1</v>
      </c>
      <c r="CA120" s="363" t="s">
        <v>539</v>
      </c>
      <c r="CB120" s="364">
        <v>4</v>
      </c>
      <c r="CC120" s="364">
        <v>0</v>
      </c>
      <c r="CD120" s="364">
        <v>0</v>
      </c>
      <c r="CE120" s="364">
        <v>0</v>
      </c>
      <c r="CF120" s="364">
        <v>1</v>
      </c>
      <c r="CG120" s="364">
        <v>2</v>
      </c>
      <c r="CH120" s="364">
        <v>0</v>
      </c>
      <c r="CI120" s="364">
        <v>0</v>
      </c>
      <c r="CJ120" s="365">
        <v>0</v>
      </c>
      <c r="CK120" s="363" t="s">
        <v>532</v>
      </c>
      <c r="CL120" s="364">
        <v>5</v>
      </c>
      <c r="CM120" s="364">
        <v>1</v>
      </c>
      <c r="CN120" s="364">
        <v>2</v>
      </c>
      <c r="CO120" s="364">
        <v>0</v>
      </c>
      <c r="CP120" s="364">
        <v>0</v>
      </c>
      <c r="CQ120" s="364">
        <v>0</v>
      </c>
      <c r="CR120" s="364">
        <v>0</v>
      </c>
      <c r="CS120" s="364">
        <v>0</v>
      </c>
      <c r="CT120" s="365">
        <v>3</v>
      </c>
      <c r="CU120" s="363" t="s">
        <v>425</v>
      </c>
      <c r="CV120" s="364">
        <v>4</v>
      </c>
      <c r="CW120" s="364">
        <v>1</v>
      </c>
      <c r="CX120" s="364">
        <v>2</v>
      </c>
      <c r="CY120" s="364">
        <v>1</v>
      </c>
      <c r="CZ120" s="364">
        <v>0</v>
      </c>
      <c r="DA120" s="364">
        <v>0</v>
      </c>
      <c r="DB120" s="364">
        <v>1</v>
      </c>
      <c r="DC120" s="364">
        <v>0</v>
      </c>
      <c r="DD120" s="365">
        <v>3</v>
      </c>
      <c r="DE120" s="363" t="s">
        <v>538</v>
      </c>
      <c r="DF120" s="364">
        <v>3</v>
      </c>
      <c r="DG120" s="364">
        <v>0</v>
      </c>
      <c r="DH120" s="364">
        <v>1</v>
      </c>
      <c r="DI120" s="364">
        <v>0</v>
      </c>
      <c r="DJ120" s="364">
        <v>1</v>
      </c>
      <c r="DK120" s="364">
        <v>1</v>
      </c>
      <c r="DL120" s="364">
        <v>0</v>
      </c>
      <c r="DM120" s="364">
        <v>0</v>
      </c>
      <c r="DN120" s="365">
        <v>1</v>
      </c>
      <c r="DO120" s="363" t="s">
        <v>529</v>
      </c>
      <c r="DP120" s="364">
        <v>5</v>
      </c>
      <c r="DQ120" s="364">
        <v>1</v>
      </c>
      <c r="DR120" s="364">
        <v>2</v>
      </c>
      <c r="DS120" s="364">
        <v>1</v>
      </c>
      <c r="DT120" s="364">
        <v>0</v>
      </c>
      <c r="DU120" s="364">
        <v>1</v>
      </c>
      <c r="DV120" s="364">
        <v>0</v>
      </c>
      <c r="DW120" s="364">
        <v>0</v>
      </c>
      <c r="DX120" s="365">
        <v>2</v>
      </c>
      <c r="DY120" s="402">
        <v>8</v>
      </c>
      <c r="DZ120" s="367">
        <v>0</v>
      </c>
      <c r="EA120" s="367">
        <v>1</v>
      </c>
      <c r="EB120" s="403">
        <v>3</v>
      </c>
      <c r="EC120" s="367">
        <v>0</v>
      </c>
      <c r="ED120" s="369">
        <v>0</v>
      </c>
      <c r="EE120" s="370">
        <v>0</v>
      </c>
      <c r="EF120" s="367">
        <v>4</v>
      </c>
      <c r="EG120" s="367">
        <v>0</v>
      </c>
      <c r="EH120" s="367">
        <v>0</v>
      </c>
      <c r="EI120" s="367">
        <v>0</v>
      </c>
      <c r="EJ120" s="367">
        <v>0</v>
      </c>
      <c r="EK120" s="367">
        <v>0</v>
      </c>
      <c r="EL120" s="367">
        <v>0</v>
      </c>
      <c r="EM120" s="367">
        <v>1</v>
      </c>
      <c r="EN120" s="367">
        <v>0</v>
      </c>
      <c r="EO120" s="367">
        <v>0</v>
      </c>
      <c r="EP120" s="367"/>
      <c r="EQ120" s="367"/>
      <c r="ER120" s="369">
        <f t="shared" si="117"/>
        <v>5</v>
      </c>
      <c r="ES120" s="367">
        <v>0</v>
      </c>
      <c r="ET120" s="367">
        <v>0</v>
      </c>
      <c r="EU120" s="367">
        <v>0</v>
      </c>
      <c r="EV120" s="367">
        <v>0</v>
      </c>
      <c r="EW120" s="367">
        <v>1</v>
      </c>
      <c r="EX120" s="367">
        <v>0</v>
      </c>
      <c r="EY120" s="367">
        <v>2</v>
      </c>
      <c r="EZ120" s="367">
        <v>2</v>
      </c>
      <c r="FA120" s="367">
        <v>0</v>
      </c>
      <c r="FB120" s="367">
        <v>0</v>
      </c>
      <c r="FC120" s="367">
        <v>5</v>
      </c>
      <c r="FD120" s="367"/>
      <c r="FE120" s="367"/>
      <c r="FF120" s="367">
        <f t="shared" si="118"/>
        <v>10</v>
      </c>
      <c r="FG120" s="371">
        <f t="shared" si="119"/>
        <v>0</v>
      </c>
      <c r="FH120" s="371">
        <f t="shared" si="120"/>
        <v>0</v>
      </c>
      <c r="FI120" s="371">
        <f t="shared" si="123"/>
        <v>0</v>
      </c>
      <c r="FJ120" s="371">
        <f t="shared" si="123"/>
        <v>4</v>
      </c>
      <c r="FK120" s="371">
        <f t="shared" si="123"/>
        <v>0</v>
      </c>
      <c r="FL120" s="371">
        <f t="shared" si="123"/>
        <v>0</v>
      </c>
      <c r="FM120" s="371">
        <f t="shared" si="123"/>
        <v>-1</v>
      </c>
      <c r="FN120" s="371">
        <f t="shared" si="123"/>
        <v>0</v>
      </c>
      <c r="FO120" s="371">
        <f t="shared" si="123"/>
        <v>-2</v>
      </c>
      <c r="FP120" s="371">
        <f t="shared" si="123"/>
        <v>-2</v>
      </c>
      <c r="FQ120" s="371">
        <f t="shared" si="123"/>
        <v>1</v>
      </c>
      <c r="FR120" s="371">
        <f t="shared" si="123"/>
        <v>0</v>
      </c>
      <c r="FS120" s="371">
        <f t="shared" si="123"/>
        <v>-5</v>
      </c>
      <c r="FT120" s="371">
        <f t="shared" si="123"/>
        <v>0</v>
      </c>
      <c r="FU120" s="371">
        <f t="shared" si="123"/>
        <v>0</v>
      </c>
      <c r="FV120" s="371">
        <f t="shared" si="123"/>
        <v>-5</v>
      </c>
      <c r="FW120" s="372"/>
    </row>
    <row r="121" spans="1:179" x14ac:dyDescent="0.25">
      <c r="A121" s="380">
        <v>40405</v>
      </c>
      <c r="B121" s="380" t="s">
        <v>19</v>
      </c>
      <c r="C121" s="380" t="s">
        <v>131</v>
      </c>
      <c r="D121" s="380" t="s">
        <v>558</v>
      </c>
      <c r="E121" s="374">
        <v>2976</v>
      </c>
      <c r="F121" s="358">
        <v>4</v>
      </c>
      <c r="G121" s="359" t="s">
        <v>536</v>
      </c>
      <c r="H121" s="376">
        <v>0</v>
      </c>
      <c r="I121" s="376">
        <v>1</v>
      </c>
      <c r="J121" s="401">
        <f>2+1/3</f>
        <v>2.3333333333333335</v>
      </c>
      <c r="K121" s="376">
        <v>4</v>
      </c>
      <c r="L121" s="376">
        <v>8</v>
      </c>
      <c r="M121" s="376">
        <v>3</v>
      </c>
      <c r="N121" s="376">
        <v>5</v>
      </c>
      <c r="O121" s="376">
        <v>2</v>
      </c>
      <c r="P121" s="376">
        <v>0</v>
      </c>
      <c r="Q121" s="376">
        <v>1</v>
      </c>
      <c r="R121" s="376">
        <v>17</v>
      </c>
      <c r="S121" s="376"/>
      <c r="T121" s="376"/>
      <c r="U121" s="376">
        <v>2</v>
      </c>
      <c r="V121" s="362">
        <v>2</v>
      </c>
      <c r="W121" s="376">
        <v>0</v>
      </c>
      <c r="X121" s="376">
        <v>0</v>
      </c>
      <c r="Y121" s="376">
        <v>0</v>
      </c>
      <c r="Z121" s="376">
        <v>0</v>
      </c>
      <c r="AA121" s="376">
        <v>0</v>
      </c>
      <c r="AB121" s="401">
        <f>6+2/3</f>
        <v>6.666666666666667</v>
      </c>
      <c r="AC121" s="376">
        <v>2</v>
      </c>
      <c r="AD121" s="376">
        <v>1</v>
      </c>
      <c r="AE121" s="376">
        <v>0</v>
      </c>
      <c r="AF121" s="376">
        <v>1</v>
      </c>
      <c r="AG121" s="376">
        <v>2</v>
      </c>
      <c r="AH121" s="376">
        <v>0</v>
      </c>
      <c r="AI121" s="376">
        <v>1</v>
      </c>
      <c r="AJ121" s="376">
        <v>24</v>
      </c>
      <c r="AK121" s="376"/>
      <c r="AL121" s="376"/>
      <c r="AM121" s="363" t="s">
        <v>534</v>
      </c>
      <c r="AN121" s="364">
        <v>4</v>
      </c>
      <c r="AO121" s="364">
        <v>1</v>
      </c>
      <c r="AP121" s="364">
        <v>0</v>
      </c>
      <c r="AQ121" s="364">
        <v>0</v>
      </c>
      <c r="AR121" s="364">
        <v>1</v>
      </c>
      <c r="AS121" s="364">
        <v>0</v>
      </c>
      <c r="AT121" s="364">
        <v>0</v>
      </c>
      <c r="AU121" s="364">
        <v>0</v>
      </c>
      <c r="AV121" s="365">
        <v>0</v>
      </c>
      <c r="AW121" s="363" t="s">
        <v>535</v>
      </c>
      <c r="AX121" s="364">
        <v>4</v>
      </c>
      <c r="AY121" s="364">
        <v>1</v>
      </c>
      <c r="AZ121" s="364">
        <v>2</v>
      </c>
      <c r="BA121" s="364">
        <v>2</v>
      </c>
      <c r="BB121" s="364">
        <v>1</v>
      </c>
      <c r="BC121" s="364">
        <v>2</v>
      </c>
      <c r="BD121" s="364">
        <v>0</v>
      </c>
      <c r="BE121" s="364">
        <v>0</v>
      </c>
      <c r="BF121" s="365">
        <v>2</v>
      </c>
      <c r="BG121" s="363" t="s">
        <v>531</v>
      </c>
      <c r="BH121" s="364">
        <v>4</v>
      </c>
      <c r="BI121" s="364">
        <v>1</v>
      </c>
      <c r="BJ121" s="364">
        <v>1</v>
      </c>
      <c r="BK121" s="364">
        <v>0</v>
      </c>
      <c r="BL121" s="364">
        <v>1</v>
      </c>
      <c r="BM121" s="364">
        <v>0</v>
      </c>
      <c r="BN121" s="364">
        <v>0</v>
      </c>
      <c r="BO121" s="364">
        <v>0</v>
      </c>
      <c r="BP121" s="365">
        <v>1</v>
      </c>
      <c r="BQ121" s="363" t="s">
        <v>539</v>
      </c>
      <c r="BR121" s="364">
        <v>4</v>
      </c>
      <c r="BS121" s="364">
        <v>3</v>
      </c>
      <c r="BT121" s="364">
        <v>3</v>
      </c>
      <c r="BU121" s="364">
        <v>2</v>
      </c>
      <c r="BV121" s="364">
        <v>1</v>
      </c>
      <c r="BW121" s="364">
        <v>0</v>
      </c>
      <c r="BX121" s="364">
        <v>0</v>
      </c>
      <c r="BY121" s="364">
        <v>0</v>
      </c>
      <c r="BZ121" s="365">
        <v>6</v>
      </c>
      <c r="CA121" s="363" t="s">
        <v>291</v>
      </c>
      <c r="CB121" s="364">
        <v>3</v>
      </c>
      <c r="CC121" s="364">
        <v>0</v>
      </c>
      <c r="CD121" s="364">
        <v>1</v>
      </c>
      <c r="CE121" s="364">
        <v>0</v>
      </c>
      <c r="CF121" s="364">
        <v>1</v>
      </c>
      <c r="CG121" s="364">
        <v>0</v>
      </c>
      <c r="CH121" s="364">
        <v>0</v>
      </c>
      <c r="CI121" s="364">
        <v>0</v>
      </c>
      <c r="CJ121" s="365">
        <v>1</v>
      </c>
      <c r="CK121" s="363" t="s">
        <v>543</v>
      </c>
      <c r="CL121" s="364">
        <v>4</v>
      </c>
      <c r="CM121" s="364">
        <v>0</v>
      </c>
      <c r="CN121" s="364">
        <v>2</v>
      </c>
      <c r="CO121" s="364">
        <v>2</v>
      </c>
      <c r="CP121" s="364">
        <v>0</v>
      </c>
      <c r="CQ121" s="364">
        <v>0</v>
      </c>
      <c r="CR121" s="364">
        <v>0</v>
      </c>
      <c r="CS121" s="364">
        <v>0</v>
      </c>
      <c r="CT121" s="365">
        <v>3</v>
      </c>
      <c r="CU121" s="363" t="s">
        <v>459</v>
      </c>
      <c r="CV121" s="364">
        <v>3</v>
      </c>
      <c r="CW121" s="364">
        <v>1</v>
      </c>
      <c r="CX121" s="364">
        <v>1</v>
      </c>
      <c r="CY121" s="364">
        <v>1</v>
      </c>
      <c r="CZ121" s="364">
        <v>2</v>
      </c>
      <c r="DA121" s="364">
        <v>0</v>
      </c>
      <c r="DB121" s="364">
        <v>0</v>
      </c>
      <c r="DC121" s="364">
        <v>0</v>
      </c>
      <c r="DD121" s="365">
        <v>1</v>
      </c>
      <c r="DE121" s="363" t="s">
        <v>549</v>
      </c>
      <c r="DF121" s="364">
        <v>4</v>
      </c>
      <c r="DG121" s="364">
        <v>1</v>
      </c>
      <c r="DH121" s="364">
        <v>1</v>
      </c>
      <c r="DI121" s="364">
        <v>0</v>
      </c>
      <c r="DJ121" s="364">
        <v>0</v>
      </c>
      <c r="DK121" s="364">
        <v>2</v>
      </c>
      <c r="DL121" s="364">
        <v>0</v>
      </c>
      <c r="DM121" s="364">
        <v>0</v>
      </c>
      <c r="DN121" s="365">
        <v>1</v>
      </c>
      <c r="DO121" s="363" t="s">
        <v>529</v>
      </c>
      <c r="DP121" s="364">
        <v>3</v>
      </c>
      <c r="DQ121" s="364">
        <v>0</v>
      </c>
      <c r="DR121" s="364">
        <v>2</v>
      </c>
      <c r="DS121" s="364">
        <v>1</v>
      </c>
      <c r="DT121" s="364">
        <v>1</v>
      </c>
      <c r="DU121" s="364">
        <v>0</v>
      </c>
      <c r="DV121" s="364">
        <v>0</v>
      </c>
      <c r="DW121" s="364">
        <v>0</v>
      </c>
      <c r="DX121" s="365">
        <v>3</v>
      </c>
      <c r="DY121" s="402">
        <v>0</v>
      </c>
      <c r="DZ121" s="367">
        <v>0</v>
      </c>
      <c r="EA121" s="367">
        <v>0</v>
      </c>
      <c r="EB121" s="403">
        <v>9</v>
      </c>
      <c r="EC121" s="367">
        <v>2</v>
      </c>
      <c r="ED121" s="369">
        <v>1</v>
      </c>
      <c r="EE121" s="370">
        <v>4</v>
      </c>
      <c r="EF121" s="367">
        <v>1</v>
      </c>
      <c r="EG121" s="367">
        <v>0</v>
      </c>
      <c r="EH121" s="367">
        <v>0</v>
      </c>
      <c r="EI121" s="367">
        <v>1</v>
      </c>
      <c r="EJ121" s="367">
        <v>0</v>
      </c>
      <c r="EK121" s="367">
        <v>0</v>
      </c>
      <c r="EL121" s="367">
        <v>2</v>
      </c>
      <c r="EM121" s="367">
        <v>0</v>
      </c>
      <c r="EN121" s="367"/>
      <c r="EO121" s="367"/>
      <c r="EP121" s="367"/>
      <c r="EQ121" s="367"/>
      <c r="ER121" s="369">
        <f t="shared" si="117"/>
        <v>8</v>
      </c>
      <c r="ES121" s="367">
        <v>0</v>
      </c>
      <c r="ET121" s="367">
        <v>5</v>
      </c>
      <c r="EU121" s="367">
        <v>4</v>
      </c>
      <c r="EV121" s="367">
        <v>0</v>
      </c>
      <c r="EW121" s="367">
        <v>0</v>
      </c>
      <c r="EX121" s="367">
        <v>0</v>
      </c>
      <c r="EY121" s="367">
        <v>0</v>
      </c>
      <c r="EZ121" s="367">
        <v>0</v>
      </c>
      <c r="FA121" s="367">
        <v>0</v>
      </c>
      <c r="FB121" s="367"/>
      <c r="FC121" s="367"/>
      <c r="FD121" s="367"/>
      <c r="FE121" s="367"/>
      <c r="FF121" s="367">
        <f t="shared" si="118"/>
        <v>9</v>
      </c>
      <c r="FG121" s="371">
        <f t="shared" si="119"/>
        <v>0</v>
      </c>
      <c r="FH121" s="371">
        <f t="shared" si="120"/>
        <v>0</v>
      </c>
      <c r="FI121" s="371">
        <f t="shared" si="123"/>
        <v>4</v>
      </c>
      <c r="FJ121" s="371">
        <f t="shared" si="123"/>
        <v>-4</v>
      </c>
      <c r="FK121" s="371">
        <f t="shared" si="123"/>
        <v>-4</v>
      </c>
      <c r="FL121" s="371">
        <f t="shared" si="123"/>
        <v>0</v>
      </c>
      <c r="FM121" s="371">
        <f t="shared" si="123"/>
        <v>1</v>
      </c>
      <c r="FN121" s="371">
        <f t="shared" si="123"/>
        <v>0</v>
      </c>
      <c r="FO121" s="371">
        <f t="shared" si="123"/>
        <v>0</v>
      </c>
      <c r="FP121" s="371">
        <f t="shared" si="123"/>
        <v>2</v>
      </c>
      <c r="FQ121" s="371">
        <f t="shared" si="123"/>
        <v>0</v>
      </c>
      <c r="FR121" s="371">
        <f t="shared" si="123"/>
        <v>0</v>
      </c>
      <c r="FS121" s="371">
        <f t="shared" si="123"/>
        <v>0</v>
      </c>
      <c r="FT121" s="371">
        <f t="shared" si="123"/>
        <v>0</v>
      </c>
      <c r="FU121" s="371">
        <f t="shared" si="123"/>
        <v>0</v>
      </c>
      <c r="FV121" s="371">
        <f t="shared" si="123"/>
        <v>-1</v>
      </c>
      <c r="FW121" s="372"/>
    </row>
    <row r="122" spans="1:179" x14ac:dyDescent="0.25">
      <c r="A122" s="380">
        <v>40406</v>
      </c>
      <c r="B122" s="380" t="s">
        <v>19</v>
      </c>
      <c r="C122" s="380" t="s">
        <v>129</v>
      </c>
      <c r="D122" s="380" t="s">
        <v>558</v>
      </c>
      <c r="E122" s="374">
        <v>3077</v>
      </c>
      <c r="F122" s="358">
        <v>5</v>
      </c>
      <c r="G122" s="359" t="s">
        <v>540</v>
      </c>
      <c r="H122" s="376">
        <v>0</v>
      </c>
      <c r="I122" s="376">
        <v>0</v>
      </c>
      <c r="J122" s="401">
        <v>3</v>
      </c>
      <c r="K122" s="376">
        <v>0</v>
      </c>
      <c r="L122" s="376">
        <v>0</v>
      </c>
      <c r="M122" s="376">
        <v>0</v>
      </c>
      <c r="N122" s="376">
        <v>2</v>
      </c>
      <c r="O122" s="376">
        <v>2</v>
      </c>
      <c r="P122" s="376">
        <v>0</v>
      </c>
      <c r="Q122" s="376">
        <v>0</v>
      </c>
      <c r="R122" s="376">
        <v>9</v>
      </c>
      <c r="S122" s="376"/>
      <c r="T122" s="376"/>
      <c r="U122" s="376">
        <v>0</v>
      </c>
      <c r="V122" s="362">
        <v>0</v>
      </c>
      <c r="W122" s="376">
        <v>1</v>
      </c>
      <c r="X122" s="376">
        <v>0</v>
      </c>
      <c r="Y122" s="376">
        <v>0</v>
      </c>
      <c r="Z122" s="376">
        <v>0</v>
      </c>
      <c r="AA122" s="376">
        <v>0</v>
      </c>
      <c r="AB122" s="401">
        <v>6</v>
      </c>
      <c r="AC122" s="376">
        <v>3</v>
      </c>
      <c r="AD122" s="376">
        <v>0</v>
      </c>
      <c r="AE122" s="376">
        <v>0</v>
      </c>
      <c r="AF122" s="376">
        <v>2</v>
      </c>
      <c r="AG122" s="376">
        <v>6</v>
      </c>
      <c r="AH122" s="376">
        <v>0</v>
      </c>
      <c r="AI122" s="376">
        <v>1</v>
      </c>
      <c r="AJ122" s="376">
        <v>23</v>
      </c>
      <c r="AK122" s="376"/>
      <c r="AL122" s="376"/>
      <c r="AM122" s="363" t="s">
        <v>534</v>
      </c>
      <c r="AN122" s="364">
        <v>4</v>
      </c>
      <c r="AO122" s="364">
        <v>0</v>
      </c>
      <c r="AP122" s="364">
        <v>0</v>
      </c>
      <c r="AQ122" s="364">
        <v>0</v>
      </c>
      <c r="AR122" s="364">
        <v>1</v>
      </c>
      <c r="AS122" s="364">
        <v>1</v>
      </c>
      <c r="AT122" s="364">
        <v>0</v>
      </c>
      <c r="AU122" s="364">
        <v>0</v>
      </c>
      <c r="AV122" s="365">
        <v>0</v>
      </c>
      <c r="AW122" s="363" t="s">
        <v>535</v>
      </c>
      <c r="AX122" s="364">
        <v>4</v>
      </c>
      <c r="AY122" s="364">
        <v>0</v>
      </c>
      <c r="AZ122" s="364">
        <v>0</v>
      </c>
      <c r="BA122" s="364">
        <v>0</v>
      </c>
      <c r="BB122" s="364">
        <v>1</v>
      </c>
      <c r="BC122" s="364">
        <v>2</v>
      </c>
      <c r="BD122" s="364">
        <v>0</v>
      </c>
      <c r="BE122" s="364">
        <v>0</v>
      </c>
      <c r="BF122" s="365">
        <v>0</v>
      </c>
      <c r="BG122" s="363" t="s">
        <v>531</v>
      </c>
      <c r="BH122" s="364">
        <v>3</v>
      </c>
      <c r="BI122" s="364">
        <v>2</v>
      </c>
      <c r="BJ122" s="364">
        <v>1</v>
      </c>
      <c r="BK122" s="364">
        <v>0</v>
      </c>
      <c r="BL122" s="364">
        <v>1</v>
      </c>
      <c r="BM122" s="364">
        <v>1</v>
      </c>
      <c r="BN122" s="364">
        <v>0</v>
      </c>
      <c r="BO122" s="364">
        <v>0</v>
      </c>
      <c r="BP122" s="365">
        <v>1</v>
      </c>
      <c r="BQ122" s="363" t="s">
        <v>539</v>
      </c>
      <c r="BR122" s="364">
        <v>2</v>
      </c>
      <c r="BS122" s="364">
        <v>1</v>
      </c>
      <c r="BT122" s="364">
        <v>0</v>
      </c>
      <c r="BU122" s="364">
        <v>0</v>
      </c>
      <c r="BV122" s="364">
        <v>2</v>
      </c>
      <c r="BW122" s="364">
        <v>0</v>
      </c>
      <c r="BX122" s="364">
        <v>0</v>
      </c>
      <c r="BY122" s="364">
        <v>0</v>
      </c>
      <c r="BZ122" s="365">
        <v>0</v>
      </c>
      <c r="CA122" s="363" t="s">
        <v>530</v>
      </c>
      <c r="CB122" s="364">
        <v>3</v>
      </c>
      <c r="CC122" s="364">
        <v>0</v>
      </c>
      <c r="CD122" s="364">
        <v>1</v>
      </c>
      <c r="CE122" s="364">
        <v>1</v>
      </c>
      <c r="CF122" s="364">
        <v>1</v>
      </c>
      <c r="CG122" s="364">
        <v>0</v>
      </c>
      <c r="CH122" s="364">
        <v>0</v>
      </c>
      <c r="CI122" s="364">
        <v>0</v>
      </c>
      <c r="CJ122" s="365">
        <v>1</v>
      </c>
      <c r="CK122" s="363" t="s">
        <v>532</v>
      </c>
      <c r="CL122" s="364">
        <v>3</v>
      </c>
      <c r="CM122" s="364">
        <v>1</v>
      </c>
      <c r="CN122" s="364">
        <v>2</v>
      </c>
      <c r="CO122" s="364">
        <v>2</v>
      </c>
      <c r="CP122" s="364">
        <v>1</v>
      </c>
      <c r="CQ122" s="364">
        <v>1</v>
      </c>
      <c r="CR122" s="364">
        <v>0</v>
      </c>
      <c r="CS122" s="364">
        <v>0</v>
      </c>
      <c r="CT122" s="365">
        <v>6</v>
      </c>
      <c r="CU122" s="363" t="s">
        <v>459</v>
      </c>
      <c r="CV122" s="364">
        <v>1</v>
      </c>
      <c r="CW122" s="364">
        <v>0</v>
      </c>
      <c r="CX122" s="364">
        <v>0</v>
      </c>
      <c r="CY122" s="364">
        <v>1</v>
      </c>
      <c r="CZ122" s="364">
        <v>2</v>
      </c>
      <c r="DA122" s="364">
        <v>1</v>
      </c>
      <c r="DB122" s="364">
        <v>1</v>
      </c>
      <c r="DC122" s="364">
        <v>0</v>
      </c>
      <c r="DD122" s="365">
        <v>0</v>
      </c>
      <c r="DE122" s="363" t="s">
        <v>543</v>
      </c>
      <c r="DF122" s="364">
        <v>4</v>
      </c>
      <c r="DG122" s="364">
        <v>0</v>
      </c>
      <c r="DH122" s="364">
        <v>0</v>
      </c>
      <c r="DI122" s="364">
        <v>0</v>
      </c>
      <c r="DJ122" s="364">
        <v>0</v>
      </c>
      <c r="DK122" s="364">
        <v>3</v>
      </c>
      <c r="DL122" s="364">
        <v>0</v>
      </c>
      <c r="DM122" s="364">
        <v>0</v>
      </c>
      <c r="DN122" s="365">
        <v>0</v>
      </c>
      <c r="DO122" s="363" t="s">
        <v>538</v>
      </c>
      <c r="DP122" s="364">
        <v>4</v>
      </c>
      <c r="DQ122" s="364">
        <v>0</v>
      </c>
      <c r="DR122" s="364">
        <v>0</v>
      </c>
      <c r="DS122" s="364">
        <v>0</v>
      </c>
      <c r="DT122" s="364">
        <v>0</v>
      </c>
      <c r="DU122" s="364">
        <v>0</v>
      </c>
      <c r="DV122" s="364">
        <v>0</v>
      </c>
      <c r="DW122" s="364">
        <v>0</v>
      </c>
      <c r="DX122" s="365">
        <v>0</v>
      </c>
      <c r="DY122" s="402">
        <v>2</v>
      </c>
      <c r="DZ122" s="367">
        <v>1</v>
      </c>
      <c r="EA122" s="367">
        <v>0</v>
      </c>
      <c r="EB122" s="403">
        <v>6</v>
      </c>
      <c r="EC122" s="367">
        <v>1</v>
      </c>
      <c r="ED122" s="369">
        <v>0</v>
      </c>
      <c r="EE122" s="370">
        <v>0</v>
      </c>
      <c r="EF122" s="367">
        <v>1</v>
      </c>
      <c r="EG122" s="367">
        <v>1</v>
      </c>
      <c r="EH122" s="367">
        <v>0</v>
      </c>
      <c r="EI122" s="367">
        <v>0</v>
      </c>
      <c r="EJ122" s="367">
        <v>0</v>
      </c>
      <c r="EK122" s="367">
        <v>2</v>
      </c>
      <c r="EL122" s="367">
        <v>0</v>
      </c>
      <c r="EM122" s="367"/>
      <c r="EN122" s="367"/>
      <c r="EO122" s="367"/>
      <c r="EP122" s="367"/>
      <c r="EQ122" s="367"/>
      <c r="ER122" s="369">
        <f t="shared" si="117"/>
        <v>4</v>
      </c>
      <c r="ES122" s="367">
        <v>0</v>
      </c>
      <c r="ET122" s="367">
        <v>0</v>
      </c>
      <c r="EU122" s="367">
        <v>0</v>
      </c>
      <c r="EV122" s="367">
        <v>0</v>
      </c>
      <c r="EW122" s="367">
        <v>0</v>
      </c>
      <c r="EX122" s="367">
        <v>0</v>
      </c>
      <c r="EY122" s="367">
        <v>0</v>
      </c>
      <c r="EZ122" s="367">
        <v>0</v>
      </c>
      <c r="FA122" s="367">
        <v>0</v>
      </c>
      <c r="FB122" s="367"/>
      <c r="FC122" s="367"/>
      <c r="FD122" s="367"/>
      <c r="FE122" s="367"/>
      <c r="FF122" s="367">
        <f t="shared" si="118"/>
        <v>0</v>
      </c>
      <c r="FG122" s="371">
        <f t="shared" si="119"/>
        <v>0</v>
      </c>
      <c r="FH122" s="371">
        <f t="shared" si="120"/>
        <v>0</v>
      </c>
      <c r="FI122" s="371">
        <f t="shared" si="123"/>
        <v>0</v>
      </c>
      <c r="FJ122" s="371">
        <f t="shared" si="123"/>
        <v>1</v>
      </c>
      <c r="FK122" s="371">
        <f t="shared" si="123"/>
        <v>1</v>
      </c>
      <c r="FL122" s="371">
        <f t="shared" si="123"/>
        <v>0</v>
      </c>
      <c r="FM122" s="371">
        <f t="shared" si="123"/>
        <v>0</v>
      </c>
      <c r="FN122" s="371">
        <f t="shared" si="123"/>
        <v>0</v>
      </c>
      <c r="FO122" s="371">
        <f t="shared" si="123"/>
        <v>2</v>
      </c>
      <c r="FP122" s="371">
        <f t="shared" si="123"/>
        <v>0</v>
      </c>
      <c r="FQ122" s="371">
        <f t="shared" si="123"/>
        <v>0</v>
      </c>
      <c r="FR122" s="371">
        <f t="shared" si="123"/>
        <v>0</v>
      </c>
      <c r="FS122" s="371">
        <f t="shared" si="123"/>
        <v>0</v>
      </c>
      <c r="FT122" s="371">
        <f t="shared" si="123"/>
        <v>0</v>
      </c>
      <c r="FU122" s="371">
        <f t="shared" si="123"/>
        <v>0</v>
      </c>
      <c r="FV122" s="371">
        <f t="shared" si="123"/>
        <v>4</v>
      </c>
      <c r="FW122" s="372"/>
    </row>
    <row r="123" spans="1:179" x14ac:dyDescent="0.25">
      <c r="A123" s="380">
        <v>40408</v>
      </c>
      <c r="B123" s="380" t="s">
        <v>133</v>
      </c>
      <c r="C123" s="380" t="s">
        <v>129</v>
      </c>
      <c r="D123" s="380" t="s">
        <v>551</v>
      </c>
      <c r="E123" s="374">
        <v>3921</v>
      </c>
      <c r="F123" s="358">
        <v>1</v>
      </c>
      <c r="G123" s="359" t="s">
        <v>546</v>
      </c>
      <c r="H123" s="376">
        <v>1</v>
      </c>
      <c r="I123" s="376">
        <v>0</v>
      </c>
      <c r="J123" s="401">
        <v>7</v>
      </c>
      <c r="K123" s="376">
        <v>4</v>
      </c>
      <c r="L123" s="376">
        <v>0</v>
      </c>
      <c r="M123" s="376">
        <v>0</v>
      </c>
      <c r="N123" s="376">
        <v>0</v>
      </c>
      <c r="O123" s="376">
        <v>7</v>
      </c>
      <c r="P123" s="376">
        <v>0</v>
      </c>
      <c r="Q123" s="376">
        <v>0</v>
      </c>
      <c r="R123" s="376">
        <v>23</v>
      </c>
      <c r="S123" s="376"/>
      <c r="T123" s="376"/>
      <c r="U123" s="376">
        <v>0</v>
      </c>
      <c r="V123" s="362">
        <v>0</v>
      </c>
      <c r="W123" s="376">
        <v>0</v>
      </c>
      <c r="X123" s="376">
        <v>0</v>
      </c>
      <c r="Y123" s="376">
        <v>0</v>
      </c>
      <c r="Z123" s="376">
        <v>0</v>
      </c>
      <c r="AA123" s="376">
        <v>0</v>
      </c>
      <c r="AB123" s="401">
        <v>2</v>
      </c>
      <c r="AC123" s="376">
        <v>3</v>
      </c>
      <c r="AD123" s="376">
        <v>2</v>
      </c>
      <c r="AE123" s="376">
        <v>0</v>
      </c>
      <c r="AF123" s="376">
        <v>1</v>
      </c>
      <c r="AG123" s="376">
        <v>4</v>
      </c>
      <c r="AH123" s="376">
        <v>0</v>
      </c>
      <c r="AI123" s="376">
        <v>0</v>
      </c>
      <c r="AJ123" s="376">
        <v>10</v>
      </c>
      <c r="AK123" s="376"/>
      <c r="AL123" s="376"/>
      <c r="AM123" s="363" t="s">
        <v>534</v>
      </c>
      <c r="AN123" s="364">
        <v>5</v>
      </c>
      <c r="AO123" s="364">
        <v>0</v>
      </c>
      <c r="AP123" s="364">
        <v>2</v>
      </c>
      <c r="AQ123" s="364">
        <v>3</v>
      </c>
      <c r="AR123" s="364">
        <v>0</v>
      </c>
      <c r="AS123" s="364">
        <v>0</v>
      </c>
      <c r="AT123" s="364">
        <v>0</v>
      </c>
      <c r="AU123" s="364">
        <v>0</v>
      </c>
      <c r="AV123" s="365">
        <v>2</v>
      </c>
      <c r="AW123" s="363" t="s">
        <v>535</v>
      </c>
      <c r="AX123" s="364">
        <v>4</v>
      </c>
      <c r="AY123" s="364">
        <v>1</v>
      </c>
      <c r="AZ123" s="364">
        <v>2</v>
      </c>
      <c r="BA123" s="364">
        <v>1</v>
      </c>
      <c r="BB123" s="364">
        <v>1</v>
      </c>
      <c r="BC123" s="364">
        <v>1</v>
      </c>
      <c r="BD123" s="364">
        <v>0</v>
      </c>
      <c r="BE123" s="364">
        <v>0</v>
      </c>
      <c r="BF123" s="365">
        <v>2</v>
      </c>
      <c r="BG123" s="363" t="s">
        <v>531</v>
      </c>
      <c r="BH123" s="364">
        <v>4</v>
      </c>
      <c r="BI123" s="364">
        <v>0</v>
      </c>
      <c r="BJ123" s="364">
        <v>0</v>
      </c>
      <c r="BK123" s="364">
        <v>0</v>
      </c>
      <c r="BL123" s="364">
        <v>1</v>
      </c>
      <c r="BM123" s="364">
        <v>0</v>
      </c>
      <c r="BN123" s="364">
        <v>0</v>
      </c>
      <c r="BO123" s="364">
        <v>0</v>
      </c>
      <c r="BP123" s="365">
        <v>0</v>
      </c>
      <c r="BQ123" s="363" t="s">
        <v>539</v>
      </c>
      <c r="BR123" s="364">
        <v>5</v>
      </c>
      <c r="BS123" s="364">
        <v>0</v>
      </c>
      <c r="BT123" s="364">
        <v>2</v>
      </c>
      <c r="BU123" s="364">
        <v>1</v>
      </c>
      <c r="BV123" s="364">
        <v>0</v>
      </c>
      <c r="BW123" s="364">
        <v>0</v>
      </c>
      <c r="BX123" s="364">
        <v>0</v>
      </c>
      <c r="BY123" s="364">
        <v>0</v>
      </c>
      <c r="BZ123" s="365">
        <v>2</v>
      </c>
      <c r="CA123" s="363" t="s">
        <v>530</v>
      </c>
      <c r="CB123" s="364">
        <v>2</v>
      </c>
      <c r="CC123" s="364">
        <v>1</v>
      </c>
      <c r="CD123" s="364">
        <v>0</v>
      </c>
      <c r="CE123" s="364">
        <v>0</v>
      </c>
      <c r="CF123" s="364">
        <v>3</v>
      </c>
      <c r="CG123" s="364">
        <v>1</v>
      </c>
      <c r="CH123" s="364">
        <v>0</v>
      </c>
      <c r="CI123" s="364">
        <v>0</v>
      </c>
      <c r="CJ123" s="365">
        <v>0</v>
      </c>
      <c r="CK123" s="363" t="s">
        <v>532</v>
      </c>
      <c r="CL123" s="364">
        <v>4</v>
      </c>
      <c r="CM123" s="364">
        <v>1</v>
      </c>
      <c r="CN123" s="364">
        <v>0</v>
      </c>
      <c r="CO123" s="364">
        <v>0</v>
      </c>
      <c r="CP123" s="364">
        <v>0</v>
      </c>
      <c r="CQ123" s="364">
        <v>1</v>
      </c>
      <c r="CR123" s="364">
        <v>0</v>
      </c>
      <c r="CS123" s="364">
        <v>0</v>
      </c>
      <c r="CT123" s="365">
        <v>0</v>
      </c>
      <c r="CU123" s="363" t="s">
        <v>459</v>
      </c>
      <c r="CV123" s="364">
        <v>4</v>
      </c>
      <c r="CW123" s="364">
        <v>2</v>
      </c>
      <c r="CX123" s="364">
        <v>1</v>
      </c>
      <c r="CY123" s="364">
        <v>0</v>
      </c>
      <c r="CZ123" s="364">
        <v>0</v>
      </c>
      <c r="DA123" s="364">
        <v>2</v>
      </c>
      <c r="DB123" s="364">
        <v>0</v>
      </c>
      <c r="DC123" s="364">
        <v>0</v>
      </c>
      <c r="DD123" s="365">
        <v>1</v>
      </c>
      <c r="DE123" s="363" t="s">
        <v>291</v>
      </c>
      <c r="DF123" s="364">
        <v>2</v>
      </c>
      <c r="DG123" s="364">
        <v>1</v>
      </c>
      <c r="DH123" s="364">
        <v>1</v>
      </c>
      <c r="DI123" s="364">
        <v>1</v>
      </c>
      <c r="DJ123" s="364">
        <v>1</v>
      </c>
      <c r="DK123" s="364">
        <v>0</v>
      </c>
      <c r="DL123" s="364">
        <v>1</v>
      </c>
      <c r="DM123" s="364">
        <v>0</v>
      </c>
      <c r="DN123" s="365">
        <v>1</v>
      </c>
      <c r="DO123" s="363" t="s">
        <v>529</v>
      </c>
      <c r="DP123" s="364">
        <v>3</v>
      </c>
      <c r="DQ123" s="364">
        <v>0</v>
      </c>
      <c r="DR123" s="364">
        <v>0</v>
      </c>
      <c r="DS123" s="364">
        <v>0</v>
      </c>
      <c r="DT123" s="364">
        <v>0</v>
      </c>
      <c r="DU123" s="364">
        <v>1</v>
      </c>
      <c r="DV123" s="364">
        <v>0</v>
      </c>
      <c r="DW123" s="364">
        <v>0</v>
      </c>
      <c r="DX123" s="365">
        <v>0</v>
      </c>
      <c r="DY123" s="402">
        <v>0</v>
      </c>
      <c r="DZ123" s="367">
        <v>0</v>
      </c>
      <c r="EA123" s="367">
        <v>0</v>
      </c>
      <c r="EB123" s="403">
        <v>9</v>
      </c>
      <c r="EC123" s="367">
        <v>0</v>
      </c>
      <c r="ED123" s="369">
        <v>2</v>
      </c>
      <c r="EE123" s="370">
        <v>0</v>
      </c>
      <c r="EF123" s="367">
        <v>0</v>
      </c>
      <c r="EG123" s="367">
        <v>0</v>
      </c>
      <c r="EH123" s="367">
        <v>0</v>
      </c>
      <c r="EI123" s="367">
        <v>2</v>
      </c>
      <c r="EJ123" s="367">
        <v>3</v>
      </c>
      <c r="EK123" s="367">
        <v>0</v>
      </c>
      <c r="EL123" s="367">
        <v>0</v>
      </c>
      <c r="EM123" s="367">
        <v>1</v>
      </c>
      <c r="EN123" s="367"/>
      <c r="EO123" s="367"/>
      <c r="EP123" s="367"/>
      <c r="EQ123" s="367"/>
      <c r="ER123" s="369">
        <f t="shared" si="117"/>
        <v>6</v>
      </c>
      <c r="ES123" s="367">
        <v>0</v>
      </c>
      <c r="ET123" s="367">
        <v>0</v>
      </c>
      <c r="EU123" s="367">
        <v>0</v>
      </c>
      <c r="EV123" s="367">
        <v>0</v>
      </c>
      <c r="EW123" s="367">
        <v>0</v>
      </c>
      <c r="EX123" s="367">
        <v>0</v>
      </c>
      <c r="EY123" s="367">
        <v>0</v>
      </c>
      <c r="EZ123" s="367">
        <v>0</v>
      </c>
      <c r="FA123" s="367">
        <v>2</v>
      </c>
      <c r="FB123" s="367"/>
      <c r="FC123" s="367"/>
      <c r="FD123" s="367"/>
      <c r="FE123" s="367"/>
      <c r="FF123" s="367">
        <f t="shared" si="118"/>
        <v>2</v>
      </c>
      <c r="FG123" s="371">
        <f t="shared" si="119"/>
        <v>0</v>
      </c>
      <c r="FH123" s="371">
        <f t="shared" si="120"/>
        <v>0</v>
      </c>
      <c r="FI123" s="371">
        <f t="shared" si="123"/>
        <v>0</v>
      </c>
      <c r="FJ123" s="371">
        <f t="shared" si="123"/>
        <v>0</v>
      </c>
      <c r="FK123" s="371">
        <f t="shared" si="123"/>
        <v>0</v>
      </c>
      <c r="FL123" s="371">
        <f t="shared" si="123"/>
        <v>0</v>
      </c>
      <c r="FM123" s="371">
        <f t="shared" si="123"/>
        <v>2</v>
      </c>
      <c r="FN123" s="371">
        <f t="shared" si="123"/>
        <v>3</v>
      </c>
      <c r="FO123" s="371">
        <f t="shared" si="123"/>
        <v>0</v>
      </c>
      <c r="FP123" s="371">
        <f t="shared" si="123"/>
        <v>0</v>
      </c>
      <c r="FQ123" s="371">
        <f t="shared" si="123"/>
        <v>-1</v>
      </c>
      <c r="FR123" s="371">
        <f t="shared" si="123"/>
        <v>0</v>
      </c>
      <c r="FS123" s="371">
        <f t="shared" si="123"/>
        <v>0</v>
      </c>
      <c r="FT123" s="371">
        <f t="shared" si="123"/>
        <v>0</v>
      </c>
      <c r="FU123" s="371">
        <f t="shared" si="123"/>
        <v>0</v>
      </c>
      <c r="FV123" s="371">
        <f t="shared" si="123"/>
        <v>4</v>
      </c>
      <c r="FW123" s="372"/>
    </row>
    <row r="124" spans="1:179" x14ac:dyDescent="0.25">
      <c r="A124" s="380">
        <v>40409</v>
      </c>
      <c r="B124" s="380" t="s">
        <v>133</v>
      </c>
      <c r="C124" s="380" t="s">
        <v>131</v>
      </c>
      <c r="D124" s="380" t="s">
        <v>551</v>
      </c>
      <c r="E124" s="374">
        <v>3166</v>
      </c>
      <c r="F124" s="358">
        <v>2</v>
      </c>
      <c r="G124" s="359" t="s">
        <v>321</v>
      </c>
      <c r="H124" s="376">
        <v>0</v>
      </c>
      <c r="I124" s="376">
        <v>0</v>
      </c>
      <c r="J124" s="401">
        <v>4</v>
      </c>
      <c r="K124" s="376">
        <v>2</v>
      </c>
      <c r="L124" s="376">
        <v>2</v>
      </c>
      <c r="M124" s="376">
        <v>2</v>
      </c>
      <c r="N124" s="376">
        <v>1</v>
      </c>
      <c r="O124" s="376">
        <v>6</v>
      </c>
      <c r="P124" s="376">
        <v>1</v>
      </c>
      <c r="Q124" s="376">
        <v>0</v>
      </c>
      <c r="R124" s="376">
        <v>15</v>
      </c>
      <c r="S124" s="376"/>
      <c r="T124" s="376"/>
      <c r="U124" s="376">
        <v>0</v>
      </c>
      <c r="V124" s="362">
        <v>0</v>
      </c>
      <c r="W124" s="376">
        <v>0</v>
      </c>
      <c r="X124" s="376">
        <v>1</v>
      </c>
      <c r="Y124" s="376">
        <v>0</v>
      </c>
      <c r="Z124" s="376">
        <v>0</v>
      </c>
      <c r="AA124" s="376">
        <v>0</v>
      </c>
      <c r="AB124" s="401">
        <f>4+2/3</f>
        <v>4.666666666666667</v>
      </c>
      <c r="AC124" s="376">
        <v>5</v>
      </c>
      <c r="AD124" s="376">
        <v>3</v>
      </c>
      <c r="AE124" s="376">
        <v>3</v>
      </c>
      <c r="AF124" s="376">
        <v>0</v>
      </c>
      <c r="AG124" s="376">
        <v>2</v>
      </c>
      <c r="AH124" s="376">
        <v>1</v>
      </c>
      <c r="AI124" s="376">
        <v>1</v>
      </c>
      <c r="AJ124" s="376">
        <v>19</v>
      </c>
      <c r="AK124" s="376"/>
      <c r="AL124" s="376"/>
      <c r="AM124" s="363" t="s">
        <v>534</v>
      </c>
      <c r="AN124" s="364">
        <v>3</v>
      </c>
      <c r="AO124" s="364">
        <v>1</v>
      </c>
      <c r="AP124" s="364">
        <v>0</v>
      </c>
      <c r="AQ124" s="364">
        <v>0</v>
      </c>
      <c r="AR124" s="364">
        <v>1</v>
      </c>
      <c r="AS124" s="364">
        <v>2</v>
      </c>
      <c r="AT124" s="364">
        <v>0</v>
      </c>
      <c r="AU124" s="364">
        <v>0</v>
      </c>
      <c r="AV124" s="365">
        <v>0</v>
      </c>
      <c r="AW124" s="363" t="s">
        <v>535</v>
      </c>
      <c r="AX124" s="364">
        <v>2</v>
      </c>
      <c r="AY124" s="364">
        <v>0</v>
      </c>
      <c r="AZ124" s="364">
        <v>0</v>
      </c>
      <c r="BA124" s="364">
        <v>1</v>
      </c>
      <c r="BB124" s="364">
        <v>0</v>
      </c>
      <c r="BC124" s="364">
        <v>0</v>
      </c>
      <c r="BD124" s="364">
        <v>0</v>
      </c>
      <c r="BE124" s="364">
        <v>1</v>
      </c>
      <c r="BF124" s="365">
        <v>0</v>
      </c>
      <c r="BG124" s="363" t="s">
        <v>531</v>
      </c>
      <c r="BH124" s="364">
        <v>4</v>
      </c>
      <c r="BI124" s="364">
        <v>1</v>
      </c>
      <c r="BJ124" s="364">
        <v>1</v>
      </c>
      <c r="BK124" s="364">
        <v>2</v>
      </c>
      <c r="BL124" s="364">
        <v>0</v>
      </c>
      <c r="BM124" s="364">
        <v>1</v>
      </c>
      <c r="BN124" s="364">
        <v>0</v>
      </c>
      <c r="BO124" s="364">
        <v>0</v>
      </c>
      <c r="BP124" s="365">
        <v>4</v>
      </c>
      <c r="BQ124" s="363" t="s">
        <v>539</v>
      </c>
      <c r="BR124" s="364">
        <v>4</v>
      </c>
      <c r="BS124" s="364">
        <v>1</v>
      </c>
      <c r="BT124" s="364">
        <v>1</v>
      </c>
      <c r="BU124" s="364">
        <v>1</v>
      </c>
      <c r="BV124" s="364">
        <v>0</v>
      </c>
      <c r="BW124" s="364">
        <v>1</v>
      </c>
      <c r="BX124" s="364">
        <v>0</v>
      </c>
      <c r="BY124" s="364">
        <v>0</v>
      </c>
      <c r="BZ124" s="365">
        <v>4</v>
      </c>
      <c r="CA124" s="363" t="s">
        <v>291</v>
      </c>
      <c r="CB124" s="364">
        <v>4</v>
      </c>
      <c r="CC124" s="364">
        <v>0</v>
      </c>
      <c r="CD124" s="364">
        <v>0</v>
      </c>
      <c r="CE124" s="364">
        <v>0</v>
      </c>
      <c r="CF124" s="364">
        <v>0</v>
      </c>
      <c r="CG124" s="364">
        <v>2</v>
      </c>
      <c r="CH124" s="364">
        <v>0</v>
      </c>
      <c r="CI124" s="364">
        <v>0</v>
      </c>
      <c r="CJ124" s="365">
        <v>0</v>
      </c>
      <c r="CK124" s="363" t="s">
        <v>459</v>
      </c>
      <c r="CL124" s="364">
        <v>4</v>
      </c>
      <c r="CM124" s="364">
        <v>0</v>
      </c>
      <c r="CN124" s="364">
        <v>0</v>
      </c>
      <c r="CO124" s="364">
        <v>0</v>
      </c>
      <c r="CP124" s="364">
        <v>0</v>
      </c>
      <c r="CQ124" s="364">
        <v>0</v>
      </c>
      <c r="CR124" s="364">
        <v>0</v>
      </c>
      <c r="CS124" s="364">
        <v>0</v>
      </c>
      <c r="CT124" s="365">
        <v>0</v>
      </c>
      <c r="CU124" s="363" t="s">
        <v>543</v>
      </c>
      <c r="CV124" s="364">
        <v>3</v>
      </c>
      <c r="CW124" s="364">
        <v>0</v>
      </c>
      <c r="CX124" s="364">
        <v>0</v>
      </c>
      <c r="CY124" s="364">
        <v>0</v>
      </c>
      <c r="CZ124" s="364">
        <v>0</v>
      </c>
      <c r="DA124" s="364">
        <v>0</v>
      </c>
      <c r="DB124" s="364">
        <v>0</v>
      </c>
      <c r="DC124" s="364">
        <v>0</v>
      </c>
      <c r="DD124" s="365">
        <v>0</v>
      </c>
      <c r="DE124" s="363" t="s">
        <v>549</v>
      </c>
      <c r="DF124" s="364">
        <v>3</v>
      </c>
      <c r="DG124" s="364">
        <v>1</v>
      </c>
      <c r="DH124" s="364">
        <v>2</v>
      </c>
      <c r="DI124" s="364">
        <v>0</v>
      </c>
      <c r="DJ124" s="364">
        <v>0</v>
      </c>
      <c r="DK124" s="364">
        <v>0</v>
      </c>
      <c r="DL124" s="364">
        <v>0</v>
      </c>
      <c r="DM124" s="364">
        <v>0</v>
      </c>
      <c r="DN124" s="365">
        <v>3</v>
      </c>
      <c r="DO124" s="363" t="s">
        <v>529</v>
      </c>
      <c r="DP124" s="364">
        <v>2</v>
      </c>
      <c r="DQ124" s="364">
        <v>0</v>
      </c>
      <c r="DR124" s="364">
        <v>0</v>
      </c>
      <c r="DS124" s="364">
        <v>0</v>
      </c>
      <c r="DT124" s="364">
        <v>0</v>
      </c>
      <c r="DU124" s="364">
        <v>1</v>
      </c>
      <c r="DV124" s="364">
        <v>0</v>
      </c>
      <c r="DW124" s="364">
        <v>0</v>
      </c>
      <c r="DX124" s="365">
        <v>0</v>
      </c>
      <c r="DY124" s="402">
        <v>2</v>
      </c>
      <c r="DZ124" s="367">
        <v>0</v>
      </c>
      <c r="EA124" s="367">
        <v>0</v>
      </c>
      <c r="EB124" s="403">
        <v>7</v>
      </c>
      <c r="EC124" s="367">
        <v>0</v>
      </c>
      <c r="ED124" s="369">
        <v>0</v>
      </c>
      <c r="EE124" s="370">
        <v>2</v>
      </c>
      <c r="EF124" s="367">
        <v>0</v>
      </c>
      <c r="EG124" s="367">
        <v>0</v>
      </c>
      <c r="EH124" s="367">
        <v>0</v>
      </c>
      <c r="EI124" s="367">
        <v>0</v>
      </c>
      <c r="EJ124" s="367">
        <v>0</v>
      </c>
      <c r="EK124" s="367">
        <v>1</v>
      </c>
      <c r="EL124" s="367">
        <v>1</v>
      </c>
      <c r="EM124" s="367">
        <v>0</v>
      </c>
      <c r="EN124" s="367"/>
      <c r="EO124" s="367"/>
      <c r="EP124" s="367"/>
      <c r="EQ124" s="367"/>
      <c r="ER124" s="369">
        <f t="shared" si="117"/>
        <v>4</v>
      </c>
      <c r="ES124" s="367">
        <v>0</v>
      </c>
      <c r="ET124" s="367">
        <v>1</v>
      </c>
      <c r="EU124" s="367">
        <v>0</v>
      </c>
      <c r="EV124" s="367">
        <v>1</v>
      </c>
      <c r="EW124" s="367">
        <v>0</v>
      </c>
      <c r="EX124" s="367">
        <v>0</v>
      </c>
      <c r="EY124" s="367">
        <v>0</v>
      </c>
      <c r="EZ124" s="367">
        <v>0</v>
      </c>
      <c r="FA124" s="367">
        <v>3</v>
      </c>
      <c r="FB124" s="367"/>
      <c r="FC124" s="367"/>
      <c r="FD124" s="367"/>
      <c r="FE124" s="367"/>
      <c r="FF124" s="367">
        <f t="shared" si="118"/>
        <v>5</v>
      </c>
      <c r="FG124" s="371">
        <f t="shared" si="119"/>
        <v>0</v>
      </c>
      <c r="FH124" s="371">
        <f t="shared" si="120"/>
        <v>0</v>
      </c>
      <c r="FI124" s="371">
        <f t="shared" si="123"/>
        <v>2</v>
      </c>
      <c r="FJ124" s="371">
        <f t="shared" si="123"/>
        <v>-1</v>
      </c>
      <c r="FK124" s="371">
        <f t="shared" si="123"/>
        <v>0</v>
      </c>
      <c r="FL124" s="371">
        <f t="shared" si="123"/>
        <v>-1</v>
      </c>
      <c r="FM124" s="371">
        <f t="shared" si="123"/>
        <v>0</v>
      </c>
      <c r="FN124" s="371">
        <f t="shared" si="123"/>
        <v>0</v>
      </c>
      <c r="FO124" s="371">
        <f t="shared" si="123"/>
        <v>1</v>
      </c>
      <c r="FP124" s="371">
        <f t="shared" si="123"/>
        <v>1</v>
      </c>
      <c r="FQ124" s="371">
        <f t="shared" si="123"/>
        <v>-3</v>
      </c>
      <c r="FR124" s="371">
        <f t="shared" si="123"/>
        <v>0</v>
      </c>
      <c r="FS124" s="371">
        <f t="shared" si="123"/>
        <v>0</v>
      </c>
      <c r="FT124" s="371">
        <f t="shared" si="123"/>
        <v>0</v>
      </c>
      <c r="FU124" s="371">
        <f t="shared" si="123"/>
        <v>0</v>
      </c>
      <c r="FV124" s="371">
        <f t="shared" si="123"/>
        <v>-1</v>
      </c>
      <c r="FW124" s="372"/>
    </row>
    <row r="125" spans="1:179" x14ac:dyDescent="0.25">
      <c r="A125" s="380">
        <v>40410</v>
      </c>
      <c r="B125" s="380" t="s">
        <v>133</v>
      </c>
      <c r="C125" s="380" t="s">
        <v>131</v>
      </c>
      <c r="D125" s="380" t="s">
        <v>551</v>
      </c>
      <c r="E125" s="374">
        <v>5770</v>
      </c>
      <c r="F125" s="358">
        <v>3</v>
      </c>
      <c r="G125" s="359" t="s">
        <v>545</v>
      </c>
      <c r="H125" s="376">
        <v>0</v>
      </c>
      <c r="I125" s="376">
        <v>0</v>
      </c>
      <c r="J125" s="401">
        <v>4</v>
      </c>
      <c r="K125" s="376">
        <v>3</v>
      </c>
      <c r="L125" s="376">
        <v>0</v>
      </c>
      <c r="M125" s="376">
        <v>0</v>
      </c>
      <c r="N125" s="376">
        <v>2</v>
      </c>
      <c r="O125" s="376">
        <v>5</v>
      </c>
      <c r="P125" s="376">
        <v>0</v>
      </c>
      <c r="Q125" s="376">
        <v>0</v>
      </c>
      <c r="R125" s="376">
        <v>17</v>
      </c>
      <c r="S125" s="376"/>
      <c r="T125" s="376"/>
      <c r="U125" s="376">
        <v>0</v>
      </c>
      <c r="V125" s="362">
        <v>0</v>
      </c>
      <c r="W125" s="376">
        <v>0</v>
      </c>
      <c r="X125" s="376">
        <v>1</v>
      </c>
      <c r="Y125" s="376">
        <v>0</v>
      </c>
      <c r="Z125" s="376">
        <v>0</v>
      </c>
      <c r="AA125" s="376">
        <v>0</v>
      </c>
      <c r="AB125" s="401">
        <v>4</v>
      </c>
      <c r="AC125" s="376">
        <v>4</v>
      </c>
      <c r="AD125" s="376">
        <v>5</v>
      </c>
      <c r="AE125" s="376">
        <v>5</v>
      </c>
      <c r="AF125" s="376">
        <v>5</v>
      </c>
      <c r="AG125" s="376">
        <v>6</v>
      </c>
      <c r="AH125" s="376">
        <v>1</v>
      </c>
      <c r="AI125" s="376">
        <v>2</v>
      </c>
      <c r="AJ125" s="376">
        <v>23</v>
      </c>
      <c r="AK125" s="376"/>
      <c r="AL125" s="376"/>
      <c r="AM125" s="363" t="s">
        <v>534</v>
      </c>
      <c r="AN125" s="364">
        <v>4</v>
      </c>
      <c r="AO125" s="364">
        <v>0</v>
      </c>
      <c r="AP125" s="364">
        <v>0</v>
      </c>
      <c r="AQ125" s="364">
        <v>1</v>
      </c>
      <c r="AR125" s="364">
        <v>0</v>
      </c>
      <c r="AS125" s="364">
        <v>0</v>
      </c>
      <c r="AT125" s="364">
        <v>1</v>
      </c>
      <c r="AU125" s="364">
        <v>0</v>
      </c>
      <c r="AV125" s="365">
        <v>0</v>
      </c>
      <c r="AW125" s="363" t="s">
        <v>535</v>
      </c>
      <c r="AX125" s="364">
        <v>5</v>
      </c>
      <c r="AY125" s="364">
        <v>1</v>
      </c>
      <c r="AZ125" s="364">
        <v>1</v>
      </c>
      <c r="BA125" s="364">
        <v>0</v>
      </c>
      <c r="BB125" s="364">
        <v>0</v>
      </c>
      <c r="BC125" s="364">
        <v>2</v>
      </c>
      <c r="BD125" s="364">
        <v>0</v>
      </c>
      <c r="BE125" s="364">
        <v>0</v>
      </c>
      <c r="BF125" s="365">
        <v>1</v>
      </c>
      <c r="BG125" s="363" t="s">
        <v>531</v>
      </c>
      <c r="BH125" s="364">
        <v>4</v>
      </c>
      <c r="BI125" s="364">
        <v>0</v>
      </c>
      <c r="BJ125" s="364">
        <v>0</v>
      </c>
      <c r="BK125" s="364">
        <v>0</v>
      </c>
      <c r="BL125" s="364">
        <v>1</v>
      </c>
      <c r="BM125" s="364">
        <v>2</v>
      </c>
      <c r="BN125" s="364">
        <v>0</v>
      </c>
      <c r="BO125" s="364">
        <v>0</v>
      </c>
      <c r="BP125" s="365">
        <v>0</v>
      </c>
      <c r="BQ125" s="363" t="s">
        <v>539</v>
      </c>
      <c r="BR125" s="364">
        <v>5</v>
      </c>
      <c r="BS125" s="364">
        <v>0</v>
      </c>
      <c r="BT125" s="364">
        <v>1</v>
      </c>
      <c r="BU125" s="364">
        <v>1</v>
      </c>
      <c r="BV125" s="364">
        <v>0</v>
      </c>
      <c r="BW125" s="364">
        <v>2</v>
      </c>
      <c r="BX125" s="364">
        <v>0</v>
      </c>
      <c r="BY125" s="364">
        <v>0</v>
      </c>
      <c r="BZ125" s="365">
        <v>2</v>
      </c>
      <c r="CA125" s="363" t="s">
        <v>530</v>
      </c>
      <c r="CB125" s="364">
        <v>5</v>
      </c>
      <c r="CC125" s="364">
        <v>1</v>
      </c>
      <c r="CD125" s="364">
        <v>2</v>
      </c>
      <c r="CE125" s="364">
        <v>0</v>
      </c>
      <c r="CF125" s="364">
        <v>0</v>
      </c>
      <c r="CG125" s="364">
        <v>2</v>
      </c>
      <c r="CH125" s="364">
        <v>0</v>
      </c>
      <c r="CI125" s="364">
        <v>0</v>
      </c>
      <c r="CJ125" s="365">
        <v>3</v>
      </c>
      <c r="CK125" s="363" t="s">
        <v>532</v>
      </c>
      <c r="CL125" s="364">
        <v>4</v>
      </c>
      <c r="CM125" s="364">
        <v>0</v>
      </c>
      <c r="CN125" s="364">
        <v>2</v>
      </c>
      <c r="CO125" s="364">
        <v>0</v>
      </c>
      <c r="CP125" s="364">
        <v>0</v>
      </c>
      <c r="CQ125" s="364">
        <v>0</v>
      </c>
      <c r="CR125" s="364">
        <v>0</v>
      </c>
      <c r="CS125" s="364">
        <v>0</v>
      </c>
      <c r="CT125" s="365">
        <v>3</v>
      </c>
      <c r="CU125" s="363" t="s">
        <v>549</v>
      </c>
      <c r="CV125" s="364">
        <v>3</v>
      </c>
      <c r="CW125" s="364">
        <v>1</v>
      </c>
      <c r="CX125" s="364">
        <v>2</v>
      </c>
      <c r="CY125" s="364">
        <v>0</v>
      </c>
      <c r="CZ125" s="364">
        <v>1</v>
      </c>
      <c r="DA125" s="364">
        <v>1</v>
      </c>
      <c r="DB125" s="364">
        <v>0</v>
      </c>
      <c r="DC125" s="364">
        <v>0</v>
      </c>
      <c r="DD125" s="365">
        <v>2</v>
      </c>
      <c r="DE125" s="363" t="s">
        <v>538</v>
      </c>
      <c r="DF125" s="364">
        <v>3</v>
      </c>
      <c r="DG125" s="364">
        <v>0</v>
      </c>
      <c r="DH125" s="364">
        <v>1</v>
      </c>
      <c r="DI125" s="364">
        <v>1</v>
      </c>
      <c r="DJ125" s="364">
        <v>1</v>
      </c>
      <c r="DK125" s="364">
        <v>0</v>
      </c>
      <c r="DL125" s="364">
        <v>0</v>
      </c>
      <c r="DM125" s="364">
        <v>0</v>
      </c>
      <c r="DN125" s="365">
        <v>1</v>
      </c>
      <c r="DO125" s="363" t="s">
        <v>529</v>
      </c>
      <c r="DP125" s="364">
        <v>3</v>
      </c>
      <c r="DQ125" s="364">
        <v>0</v>
      </c>
      <c r="DR125" s="364">
        <v>1</v>
      </c>
      <c r="DS125" s="364">
        <v>0</v>
      </c>
      <c r="DT125" s="364">
        <v>1</v>
      </c>
      <c r="DU125" s="364">
        <v>1</v>
      </c>
      <c r="DV125" s="364">
        <v>0</v>
      </c>
      <c r="DW125" s="364">
        <v>0</v>
      </c>
      <c r="DX125" s="365">
        <v>1</v>
      </c>
      <c r="DY125" s="402">
        <v>3</v>
      </c>
      <c r="DZ125" s="367">
        <v>1</v>
      </c>
      <c r="EA125" s="367">
        <v>0</v>
      </c>
      <c r="EB125" s="403">
        <v>6</v>
      </c>
      <c r="EC125" s="367">
        <v>0</v>
      </c>
      <c r="ED125" s="369">
        <v>0</v>
      </c>
      <c r="EE125" s="370">
        <v>0</v>
      </c>
      <c r="EF125" s="367">
        <v>0</v>
      </c>
      <c r="EG125" s="367">
        <v>0</v>
      </c>
      <c r="EH125" s="367">
        <v>0</v>
      </c>
      <c r="EI125" s="367">
        <v>1</v>
      </c>
      <c r="EJ125" s="367">
        <v>1</v>
      </c>
      <c r="EK125" s="367">
        <v>1</v>
      </c>
      <c r="EL125" s="367">
        <v>0</v>
      </c>
      <c r="EM125" s="367">
        <v>0</v>
      </c>
      <c r="EN125" s="367"/>
      <c r="EO125" s="367"/>
      <c r="EP125" s="367"/>
      <c r="EQ125" s="367"/>
      <c r="ER125" s="369">
        <f t="shared" si="117"/>
        <v>3</v>
      </c>
      <c r="ES125" s="367">
        <v>0</v>
      </c>
      <c r="ET125" s="367">
        <v>0</v>
      </c>
      <c r="EU125" s="367">
        <v>0</v>
      </c>
      <c r="EV125" s="367">
        <v>0</v>
      </c>
      <c r="EW125" s="367">
        <v>3</v>
      </c>
      <c r="EX125" s="367">
        <v>0</v>
      </c>
      <c r="EY125" s="367">
        <v>1</v>
      </c>
      <c r="EZ125" s="367">
        <v>1</v>
      </c>
      <c r="FA125" s="367"/>
      <c r="FB125" s="367"/>
      <c r="FC125" s="367"/>
      <c r="FD125" s="367"/>
      <c r="FE125" s="367"/>
      <c r="FF125" s="367">
        <f t="shared" si="118"/>
        <v>5</v>
      </c>
      <c r="FG125" s="371">
        <f t="shared" si="119"/>
        <v>0</v>
      </c>
      <c r="FH125" s="371">
        <f t="shared" si="120"/>
        <v>0</v>
      </c>
      <c r="FI125" s="371">
        <f t="shared" si="123"/>
        <v>0</v>
      </c>
      <c r="FJ125" s="371">
        <f t="shared" si="123"/>
        <v>0</v>
      </c>
      <c r="FK125" s="371">
        <f t="shared" si="123"/>
        <v>0</v>
      </c>
      <c r="FL125" s="371">
        <f t="shared" si="123"/>
        <v>0</v>
      </c>
      <c r="FM125" s="371">
        <f t="shared" si="123"/>
        <v>-2</v>
      </c>
      <c r="FN125" s="371">
        <f t="shared" si="123"/>
        <v>1</v>
      </c>
      <c r="FO125" s="371">
        <f t="shared" si="123"/>
        <v>0</v>
      </c>
      <c r="FP125" s="371">
        <f t="shared" si="123"/>
        <v>-1</v>
      </c>
      <c r="FQ125" s="371">
        <f t="shared" si="123"/>
        <v>0</v>
      </c>
      <c r="FR125" s="371">
        <f t="shared" si="123"/>
        <v>0</v>
      </c>
      <c r="FS125" s="371">
        <f t="shared" si="123"/>
        <v>0</v>
      </c>
      <c r="FT125" s="371">
        <f t="shared" si="123"/>
        <v>0</v>
      </c>
      <c r="FU125" s="371">
        <f t="shared" si="123"/>
        <v>0</v>
      </c>
      <c r="FV125" s="371">
        <f t="shared" si="123"/>
        <v>-2</v>
      </c>
      <c r="FW125" s="372"/>
    </row>
    <row r="126" spans="1:179" x14ac:dyDescent="0.25">
      <c r="A126" s="380">
        <v>40411</v>
      </c>
      <c r="B126" s="380" t="s">
        <v>133</v>
      </c>
      <c r="C126" s="380" t="s">
        <v>131</v>
      </c>
      <c r="D126" s="380" t="s">
        <v>550</v>
      </c>
      <c r="E126" s="374">
        <v>1293</v>
      </c>
      <c r="F126" s="358">
        <v>4</v>
      </c>
      <c r="G126" s="359" t="s">
        <v>536</v>
      </c>
      <c r="H126" s="376">
        <v>0</v>
      </c>
      <c r="I126" s="376">
        <v>0</v>
      </c>
      <c r="J126" s="401">
        <f>0+2/3</f>
        <v>0.66666666666666663</v>
      </c>
      <c r="K126" s="376">
        <v>1</v>
      </c>
      <c r="L126" s="376">
        <v>5</v>
      </c>
      <c r="M126" s="376">
        <v>5</v>
      </c>
      <c r="N126" s="376">
        <v>5</v>
      </c>
      <c r="O126" s="376">
        <v>1</v>
      </c>
      <c r="P126" s="376">
        <v>0</v>
      </c>
      <c r="Q126" s="376">
        <v>0</v>
      </c>
      <c r="R126" s="376">
        <v>8</v>
      </c>
      <c r="S126" s="376"/>
      <c r="T126" s="376"/>
      <c r="U126" s="376">
        <v>3</v>
      </c>
      <c r="V126" s="362">
        <v>2</v>
      </c>
      <c r="W126" s="376">
        <v>0</v>
      </c>
      <c r="X126" s="376">
        <v>1</v>
      </c>
      <c r="Y126" s="376">
        <v>0</v>
      </c>
      <c r="Z126" s="376">
        <v>0</v>
      </c>
      <c r="AA126" s="376">
        <v>0</v>
      </c>
      <c r="AB126" s="401">
        <f>7+1/3</f>
        <v>7.333333333333333</v>
      </c>
      <c r="AC126" s="376">
        <v>8</v>
      </c>
      <c r="AD126" s="376">
        <v>4</v>
      </c>
      <c r="AE126" s="376">
        <v>3</v>
      </c>
      <c r="AF126" s="376">
        <v>3</v>
      </c>
      <c r="AG126" s="376">
        <v>6</v>
      </c>
      <c r="AH126" s="376">
        <v>0</v>
      </c>
      <c r="AI126" s="376">
        <v>0</v>
      </c>
      <c r="AJ126" s="376">
        <v>31</v>
      </c>
      <c r="AK126" s="376"/>
      <c r="AL126" s="376"/>
      <c r="AM126" s="363" t="s">
        <v>534</v>
      </c>
      <c r="AN126" s="364">
        <v>5</v>
      </c>
      <c r="AO126" s="364">
        <v>2</v>
      </c>
      <c r="AP126" s="364">
        <v>4</v>
      </c>
      <c r="AQ126" s="364">
        <v>3</v>
      </c>
      <c r="AR126" s="364">
        <v>0</v>
      </c>
      <c r="AS126" s="364">
        <v>1</v>
      </c>
      <c r="AT126" s="364">
        <v>0</v>
      </c>
      <c r="AU126" s="364">
        <v>0</v>
      </c>
      <c r="AV126" s="365">
        <v>5</v>
      </c>
      <c r="AW126" s="363" t="s">
        <v>535</v>
      </c>
      <c r="AX126" s="364">
        <v>4</v>
      </c>
      <c r="AY126" s="364">
        <v>0</v>
      </c>
      <c r="AZ126" s="364">
        <v>1</v>
      </c>
      <c r="BA126" s="364">
        <v>3</v>
      </c>
      <c r="BB126" s="364">
        <v>0</v>
      </c>
      <c r="BC126" s="364">
        <v>1</v>
      </c>
      <c r="BD126" s="364">
        <v>0</v>
      </c>
      <c r="BE126" s="364">
        <v>0</v>
      </c>
      <c r="BF126" s="365">
        <v>2</v>
      </c>
      <c r="BG126" s="363" t="s">
        <v>531</v>
      </c>
      <c r="BH126" s="364">
        <v>2</v>
      </c>
      <c r="BI126" s="364">
        <v>0</v>
      </c>
      <c r="BJ126" s="364">
        <v>1</v>
      </c>
      <c r="BK126" s="364">
        <v>0</v>
      </c>
      <c r="BL126" s="364">
        <v>3</v>
      </c>
      <c r="BM126" s="364">
        <v>0</v>
      </c>
      <c r="BN126" s="364">
        <v>0</v>
      </c>
      <c r="BO126" s="364">
        <v>0</v>
      </c>
      <c r="BP126" s="365">
        <v>1</v>
      </c>
      <c r="BQ126" s="363" t="s">
        <v>539</v>
      </c>
      <c r="BR126" s="364">
        <v>5</v>
      </c>
      <c r="BS126" s="364">
        <v>0</v>
      </c>
      <c r="BT126" s="364">
        <v>0</v>
      </c>
      <c r="BU126" s="364">
        <v>0</v>
      </c>
      <c r="BV126" s="364">
        <v>0</v>
      </c>
      <c r="BW126" s="364">
        <v>1</v>
      </c>
      <c r="BX126" s="364">
        <v>0</v>
      </c>
      <c r="BY126" s="364">
        <v>0</v>
      </c>
      <c r="BZ126" s="365">
        <v>0</v>
      </c>
      <c r="CA126" s="363" t="s">
        <v>530</v>
      </c>
      <c r="CB126" s="364">
        <v>4</v>
      </c>
      <c r="CC126" s="364">
        <v>0</v>
      </c>
      <c r="CD126" s="364">
        <v>0</v>
      </c>
      <c r="CE126" s="364">
        <v>0</v>
      </c>
      <c r="CF126" s="364">
        <v>1</v>
      </c>
      <c r="CG126" s="364">
        <v>2</v>
      </c>
      <c r="CH126" s="364">
        <v>0</v>
      </c>
      <c r="CI126" s="364">
        <v>0</v>
      </c>
      <c r="CJ126" s="365">
        <v>0</v>
      </c>
      <c r="CK126" s="363" t="s">
        <v>532</v>
      </c>
      <c r="CL126" s="364">
        <v>5</v>
      </c>
      <c r="CM126" s="364">
        <v>0</v>
      </c>
      <c r="CN126" s="364">
        <v>1</v>
      </c>
      <c r="CO126" s="364">
        <v>0</v>
      </c>
      <c r="CP126" s="364">
        <v>0</v>
      </c>
      <c r="CQ126" s="364">
        <v>1</v>
      </c>
      <c r="CR126" s="364">
        <v>0</v>
      </c>
      <c r="CS126" s="364">
        <v>0</v>
      </c>
      <c r="CT126" s="365">
        <v>1</v>
      </c>
      <c r="CU126" s="363" t="s">
        <v>459</v>
      </c>
      <c r="CV126" s="364">
        <v>5</v>
      </c>
      <c r="CW126" s="364">
        <v>0</v>
      </c>
      <c r="CX126" s="364">
        <v>0</v>
      </c>
      <c r="CY126" s="364">
        <v>0</v>
      </c>
      <c r="CZ126" s="364">
        <v>0</v>
      </c>
      <c r="DA126" s="364">
        <v>4</v>
      </c>
      <c r="DB126" s="364">
        <v>0</v>
      </c>
      <c r="DC126" s="364">
        <v>0</v>
      </c>
      <c r="DD126" s="365">
        <v>0</v>
      </c>
      <c r="DE126" s="363" t="s">
        <v>291</v>
      </c>
      <c r="DF126" s="364">
        <v>4</v>
      </c>
      <c r="DG126" s="364">
        <v>3</v>
      </c>
      <c r="DH126" s="364">
        <v>2</v>
      </c>
      <c r="DI126" s="364">
        <v>0</v>
      </c>
      <c r="DJ126" s="364">
        <v>0</v>
      </c>
      <c r="DK126" s="364">
        <v>1</v>
      </c>
      <c r="DL126" s="364">
        <v>1</v>
      </c>
      <c r="DM126" s="364">
        <v>0</v>
      </c>
      <c r="DN126" s="365">
        <v>3</v>
      </c>
      <c r="DO126" s="363" t="s">
        <v>543</v>
      </c>
      <c r="DP126" s="364">
        <v>1</v>
      </c>
      <c r="DQ126" s="364">
        <v>2</v>
      </c>
      <c r="DR126" s="364">
        <v>1</v>
      </c>
      <c r="DS126" s="364">
        <v>0</v>
      </c>
      <c r="DT126" s="364">
        <v>2</v>
      </c>
      <c r="DU126" s="364">
        <v>0</v>
      </c>
      <c r="DV126" s="364">
        <v>1</v>
      </c>
      <c r="DW126" s="364">
        <v>0</v>
      </c>
      <c r="DX126" s="365">
        <v>1</v>
      </c>
      <c r="DY126" s="402">
        <v>0</v>
      </c>
      <c r="DZ126" s="367">
        <v>0</v>
      </c>
      <c r="EA126" s="367">
        <v>0</v>
      </c>
      <c r="EB126" s="403">
        <v>9</v>
      </c>
      <c r="EC126" s="367">
        <v>2</v>
      </c>
      <c r="ED126" s="369">
        <v>0</v>
      </c>
      <c r="EE126" s="370">
        <v>0</v>
      </c>
      <c r="EF126" s="367">
        <v>1</v>
      </c>
      <c r="EG126" s="367">
        <v>0</v>
      </c>
      <c r="EH126" s="367">
        <v>3</v>
      </c>
      <c r="EI126" s="367">
        <v>0</v>
      </c>
      <c r="EJ126" s="367">
        <v>0</v>
      </c>
      <c r="EK126" s="367">
        <v>0</v>
      </c>
      <c r="EL126" s="367">
        <v>3</v>
      </c>
      <c r="EM126" s="367">
        <v>0</v>
      </c>
      <c r="EN126" s="367"/>
      <c r="EO126" s="367"/>
      <c r="EP126" s="367"/>
      <c r="EQ126" s="367"/>
      <c r="ER126" s="369">
        <f t="shared" ref="ER126:ER142" si="124">SUM(EE126:EQ126)</f>
        <v>7</v>
      </c>
      <c r="ES126" s="367">
        <v>5</v>
      </c>
      <c r="ET126" s="367">
        <v>0</v>
      </c>
      <c r="EU126" s="367">
        <v>0</v>
      </c>
      <c r="EV126" s="367">
        <v>1</v>
      </c>
      <c r="EW126" s="367">
        <v>0</v>
      </c>
      <c r="EX126" s="367">
        <v>0</v>
      </c>
      <c r="EY126" s="367">
        <v>1</v>
      </c>
      <c r="EZ126" s="367">
        <v>2</v>
      </c>
      <c r="FA126" s="367"/>
      <c r="FB126" s="367"/>
      <c r="FC126" s="367"/>
      <c r="FD126" s="367"/>
      <c r="FE126" s="367"/>
      <c r="FF126" s="367">
        <f t="shared" ref="FF126:FF142" si="125">SUM(ES126:FE126)</f>
        <v>9</v>
      </c>
      <c r="FG126" s="371">
        <f t="shared" ref="FG126:FG142" si="126">((SUM(L126,AD126))-(FF126))</f>
        <v>0</v>
      </c>
      <c r="FH126" s="371">
        <f t="shared" ref="FH126:FH142" si="127">((SUM(AO126,AY126,BI126,BS126,CC126,CM126,CW126,DG126,DQ126))-(ER126))</f>
        <v>0</v>
      </c>
      <c r="FI126" s="371">
        <f t="shared" ref="FI126:FV126" si="128">(EE126-ES126)</f>
        <v>-5</v>
      </c>
      <c r="FJ126" s="371">
        <f t="shared" si="128"/>
        <v>1</v>
      </c>
      <c r="FK126" s="371">
        <f t="shared" si="128"/>
        <v>0</v>
      </c>
      <c r="FL126" s="371">
        <f t="shared" si="128"/>
        <v>2</v>
      </c>
      <c r="FM126" s="371">
        <f t="shared" si="128"/>
        <v>0</v>
      </c>
      <c r="FN126" s="371">
        <f t="shared" si="128"/>
        <v>0</v>
      </c>
      <c r="FO126" s="371">
        <f t="shared" si="128"/>
        <v>-1</v>
      </c>
      <c r="FP126" s="371">
        <f t="shared" si="128"/>
        <v>1</v>
      </c>
      <c r="FQ126" s="371">
        <f t="shared" si="128"/>
        <v>0</v>
      </c>
      <c r="FR126" s="371">
        <f t="shared" si="128"/>
        <v>0</v>
      </c>
      <c r="FS126" s="371">
        <f t="shared" si="128"/>
        <v>0</v>
      </c>
      <c r="FT126" s="371">
        <f t="shared" si="128"/>
        <v>0</v>
      </c>
      <c r="FU126" s="371">
        <f t="shared" si="128"/>
        <v>0</v>
      </c>
      <c r="FV126" s="371">
        <f t="shared" si="128"/>
        <v>-2</v>
      </c>
      <c r="FW126" s="372"/>
    </row>
    <row r="127" spans="1:179" x14ac:dyDescent="0.25">
      <c r="A127" s="380">
        <v>40412</v>
      </c>
      <c r="B127" s="380" t="s">
        <v>133</v>
      </c>
      <c r="C127" s="380" t="s">
        <v>129</v>
      </c>
      <c r="D127" s="380" t="s">
        <v>550</v>
      </c>
      <c r="E127" s="374">
        <v>1502</v>
      </c>
      <c r="F127" s="358">
        <v>5</v>
      </c>
      <c r="G127" s="359" t="s">
        <v>540</v>
      </c>
      <c r="H127" s="376">
        <v>0</v>
      </c>
      <c r="I127" s="376">
        <v>0</v>
      </c>
      <c r="J127" s="401">
        <v>3</v>
      </c>
      <c r="K127" s="376">
        <v>4</v>
      </c>
      <c r="L127" s="376">
        <v>2</v>
      </c>
      <c r="M127" s="376">
        <v>2</v>
      </c>
      <c r="N127" s="376">
        <v>2</v>
      </c>
      <c r="O127" s="376">
        <v>4</v>
      </c>
      <c r="P127" s="376">
        <v>0</v>
      </c>
      <c r="Q127" s="376">
        <v>0</v>
      </c>
      <c r="R127" s="376">
        <v>15</v>
      </c>
      <c r="S127" s="376"/>
      <c r="T127" s="376"/>
      <c r="U127" s="376">
        <v>0</v>
      </c>
      <c r="V127" s="362">
        <v>0</v>
      </c>
      <c r="W127" s="376">
        <v>1</v>
      </c>
      <c r="X127" s="376">
        <v>0</v>
      </c>
      <c r="Y127" s="376">
        <v>0</v>
      </c>
      <c r="Z127" s="376">
        <v>0</v>
      </c>
      <c r="AA127" s="376">
        <v>0</v>
      </c>
      <c r="AB127" s="401">
        <v>8</v>
      </c>
      <c r="AC127" s="376">
        <v>8</v>
      </c>
      <c r="AD127" s="376">
        <v>5</v>
      </c>
      <c r="AE127" s="376">
        <v>5</v>
      </c>
      <c r="AF127" s="376">
        <v>4</v>
      </c>
      <c r="AG127" s="376">
        <v>9</v>
      </c>
      <c r="AH127" s="376">
        <v>0</v>
      </c>
      <c r="AI127" s="376">
        <v>0</v>
      </c>
      <c r="AJ127" s="376">
        <v>35</v>
      </c>
      <c r="AK127" s="376"/>
      <c r="AL127" s="376"/>
      <c r="AM127" s="363" t="s">
        <v>291</v>
      </c>
      <c r="AN127" s="364">
        <v>6</v>
      </c>
      <c r="AO127" s="364">
        <v>1</v>
      </c>
      <c r="AP127" s="364">
        <v>1</v>
      </c>
      <c r="AQ127" s="364">
        <v>0</v>
      </c>
      <c r="AR127" s="364">
        <v>0</v>
      </c>
      <c r="AS127" s="364">
        <v>2</v>
      </c>
      <c r="AT127" s="364">
        <v>0</v>
      </c>
      <c r="AU127" s="364">
        <v>0</v>
      </c>
      <c r="AV127" s="365">
        <v>1</v>
      </c>
      <c r="AW127" s="363" t="s">
        <v>535</v>
      </c>
      <c r="AX127" s="364">
        <v>6</v>
      </c>
      <c r="AY127" s="364">
        <v>3</v>
      </c>
      <c r="AZ127" s="364">
        <v>3</v>
      </c>
      <c r="BA127" s="364">
        <v>1</v>
      </c>
      <c r="BB127" s="364">
        <v>0</v>
      </c>
      <c r="BC127" s="364">
        <v>0</v>
      </c>
      <c r="BD127" s="364">
        <v>0</v>
      </c>
      <c r="BE127" s="364">
        <v>0</v>
      </c>
      <c r="BF127" s="365">
        <v>3</v>
      </c>
      <c r="BG127" s="363" t="s">
        <v>531</v>
      </c>
      <c r="BH127" s="364">
        <v>3</v>
      </c>
      <c r="BI127" s="364">
        <v>2</v>
      </c>
      <c r="BJ127" s="364">
        <v>1</v>
      </c>
      <c r="BK127" s="364">
        <v>1</v>
      </c>
      <c r="BL127" s="364">
        <v>3</v>
      </c>
      <c r="BM127" s="364">
        <v>0</v>
      </c>
      <c r="BN127" s="364">
        <v>0</v>
      </c>
      <c r="BO127" s="364">
        <v>0</v>
      </c>
      <c r="BP127" s="365">
        <v>2</v>
      </c>
      <c r="BQ127" s="363" t="s">
        <v>539</v>
      </c>
      <c r="BR127" s="364">
        <v>6</v>
      </c>
      <c r="BS127" s="364">
        <v>1</v>
      </c>
      <c r="BT127" s="364">
        <v>1</v>
      </c>
      <c r="BU127" s="364">
        <v>1</v>
      </c>
      <c r="BV127" s="364">
        <v>0</v>
      </c>
      <c r="BW127" s="364">
        <v>2</v>
      </c>
      <c r="BX127" s="364">
        <v>0</v>
      </c>
      <c r="BY127" s="364">
        <v>0</v>
      </c>
      <c r="BZ127" s="365">
        <v>1</v>
      </c>
      <c r="CA127" s="363" t="s">
        <v>532</v>
      </c>
      <c r="CB127" s="364">
        <v>6</v>
      </c>
      <c r="CC127" s="364">
        <v>2</v>
      </c>
      <c r="CD127" s="364">
        <v>3</v>
      </c>
      <c r="CE127" s="364">
        <v>4</v>
      </c>
      <c r="CF127" s="364">
        <v>0</v>
      </c>
      <c r="CG127" s="364">
        <v>1</v>
      </c>
      <c r="CH127" s="364">
        <v>0</v>
      </c>
      <c r="CI127" s="364">
        <v>0</v>
      </c>
      <c r="CJ127" s="365">
        <v>4</v>
      </c>
      <c r="CK127" s="363" t="s">
        <v>529</v>
      </c>
      <c r="CL127" s="364">
        <v>6</v>
      </c>
      <c r="CM127" s="364">
        <v>0</v>
      </c>
      <c r="CN127" s="364">
        <v>3</v>
      </c>
      <c r="CO127" s="364">
        <v>1</v>
      </c>
      <c r="CP127" s="364">
        <v>0</v>
      </c>
      <c r="CQ127" s="364">
        <v>0</v>
      </c>
      <c r="CR127" s="364">
        <v>0</v>
      </c>
      <c r="CS127" s="364">
        <v>0</v>
      </c>
      <c r="CT127" s="365">
        <v>4</v>
      </c>
      <c r="CU127" s="363" t="s">
        <v>425</v>
      </c>
      <c r="CV127" s="364">
        <v>6</v>
      </c>
      <c r="CW127" s="364">
        <v>0</v>
      </c>
      <c r="CX127" s="364">
        <v>2</v>
      </c>
      <c r="CY127" s="364">
        <v>1</v>
      </c>
      <c r="CZ127" s="364">
        <v>0</v>
      </c>
      <c r="DA127" s="364">
        <v>0</v>
      </c>
      <c r="DB127" s="364">
        <v>0</v>
      </c>
      <c r="DC127" s="364">
        <v>0</v>
      </c>
      <c r="DD127" s="365">
        <v>2</v>
      </c>
      <c r="DE127" s="363" t="s">
        <v>549</v>
      </c>
      <c r="DF127" s="364">
        <v>6</v>
      </c>
      <c r="DG127" s="364">
        <v>1</v>
      </c>
      <c r="DH127" s="364">
        <v>2</v>
      </c>
      <c r="DI127" s="364">
        <v>1</v>
      </c>
      <c r="DJ127" s="364">
        <v>0</v>
      </c>
      <c r="DK127" s="364">
        <v>0</v>
      </c>
      <c r="DL127" s="364">
        <v>0</v>
      </c>
      <c r="DM127" s="364">
        <v>0</v>
      </c>
      <c r="DN127" s="365">
        <v>2</v>
      </c>
      <c r="DO127" s="363" t="s">
        <v>543</v>
      </c>
      <c r="DP127" s="364">
        <v>6</v>
      </c>
      <c r="DQ127" s="364">
        <v>1</v>
      </c>
      <c r="DR127" s="364">
        <v>0</v>
      </c>
      <c r="DS127" s="364">
        <v>0</v>
      </c>
      <c r="DT127" s="364">
        <v>0</v>
      </c>
      <c r="DU127" s="364">
        <v>3</v>
      </c>
      <c r="DV127" s="364">
        <v>0</v>
      </c>
      <c r="DW127" s="364">
        <v>0</v>
      </c>
      <c r="DX127" s="365">
        <v>0</v>
      </c>
      <c r="DY127" s="402">
        <v>6</v>
      </c>
      <c r="DZ127" s="367">
        <v>2</v>
      </c>
      <c r="EA127" s="367">
        <v>0</v>
      </c>
      <c r="EB127" s="403">
        <v>5</v>
      </c>
      <c r="EC127" s="367">
        <v>2</v>
      </c>
      <c r="ED127" s="369">
        <v>0</v>
      </c>
      <c r="EE127" s="370">
        <v>0</v>
      </c>
      <c r="EF127" s="367">
        <v>0</v>
      </c>
      <c r="EG127" s="367">
        <v>0</v>
      </c>
      <c r="EH127" s="367">
        <v>0</v>
      </c>
      <c r="EI127" s="367">
        <v>6</v>
      </c>
      <c r="EJ127" s="367">
        <v>0</v>
      </c>
      <c r="EK127" s="367">
        <v>1</v>
      </c>
      <c r="EL127" s="367">
        <v>0</v>
      </c>
      <c r="EM127" s="367">
        <v>0</v>
      </c>
      <c r="EN127" s="367">
        <v>0</v>
      </c>
      <c r="EO127" s="367">
        <v>4</v>
      </c>
      <c r="EP127" s="367"/>
      <c r="EQ127" s="367"/>
      <c r="ER127" s="369">
        <f t="shared" si="124"/>
        <v>11</v>
      </c>
      <c r="ES127" s="367">
        <v>0</v>
      </c>
      <c r="ET127" s="367">
        <v>0</v>
      </c>
      <c r="EU127" s="367">
        <v>2</v>
      </c>
      <c r="EV127" s="367">
        <v>0</v>
      </c>
      <c r="EW127" s="367">
        <v>0</v>
      </c>
      <c r="EX127" s="367">
        <v>0</v>
      </c>
      <c r="EY127" s="367">
        <v>0</v>
      </c>
      <c r="EZ127" s="367">
        <v>1</v>
      </c>
      <c r="FA127" s="367">
        <v>4</v>
      </c>
      <c r="FB127" s="367">
        <v>0</v>
      </c>
      <c r="FC127" s="367">
        <v>0</v>
      </c>
      <c r="FD127" s="367"/>
      <c r="FE127" s="367"/>
      <c r="FF127" s="367">
        <f t="shared" si="125"/>
        <v>7</v>
      </c>
      <c r="FG127" s="371">
        <f t="shared" si="126"/>
        <v>0</v>
      </c>
      <c r="FH127" s="371">
        <f t="shared" si="127"/>
        <v>0</v>
      </c>
      <c r="FI127" s="371">
        <f t="shared" ref="FI127:FV127" si="129">(EE127-ES127)</f>
        <v>0</v>
      </c>
      <c r="FJ127" s="371">
        <f t="shared" si="129"/>
        <v>0</v>
      </c>
      <c r="FK127" s="371">
        <f t="shared" si="129"/>
        <v>-2</v>
      </c>
      <c r="FL127" s="371">
        <f t="shared" si="129"/>
        <v>0</v>
      </c>
      <c r="FM127" s="371">
        <f t="shared" si="129"/>
        <v>6</v>
      </c>
      <c r="FN127" s="371">
        <f t="shared" si="129"/>
        <v>0</v>
      </c>
      <c r="FO127" s="371">
        <f t="shared" si="129"/>
        <v>1</v>
      </c>
      <c r="FP127" s="371">
        <f t="shared" si="129"/>
        <v>-1</v>
      </c>
      <c r="FQ127" s="371">
        <f t="shared" si="129"/>
        <v>-4</v>
      </c>
      <c r="FR127" s="371">
        <f t="shared" si="129"/>
        <v>0</v>
      </c>
      <c r="FS127" s="371">
        <f t="shared" si="129"/>
        <v>4</v>
      </c>
      <c r="FT127" s="371">
        <f t="shared" si="129"/>
        <v>0</v>
      </c>
      <c r="FU127" s="371">
        <f t="shared" si="129"/>
        <v>0</v>
      </c>
      <c r="FV127" s="371">
        <f t="shared" si="129"/>
        <v>4</v>
      </c>
      <c r="FW127" s="372"/>
    </row>
    <row r="128" spans="1:179" x14ac:dyDescent="0.25">
      <c r="A128" s="53">
        <v>40413</v>
      </c>
      <c r="B128" s="53" t="s">
        <v>133</v>
      </c>
      <c r="C128" s="53" t="s">
        <v>131</v>
      </c>
      <c r="D128" s="53" t="s">
        <v>550</v>
      </c>
      <c r="E128" s="54">
        <v>3245</v>
      </c>
      <c r="F128" s="58">
        <v>1</v>
      </c>
      <c r="G128" s="59" t="s">
        <v>546</v>
      </c>
      <c r="H128" s="62">
        <v>0</v>
      </c>
      <c r="I128" s="62">
        <v>1</v>
      </c>
      <c r="J128" s="176">
        <v>5</v>
      </c>
      <c r="K128" s="62">
        <v>3</v>
      </c>
      <c r="L128" s="62">
        <v>3</v>
      </c>
      <c r="M128" s="62">
        <v>3</v>
      </c>
      <c r="N128" s="62">
        <v>2</v>
      </c>
      <c r="O128" s="62">
        <v>4</v>
      </c>
      <c r="P128" s="62">
        <v>1</v>
      </c>
      <c r="Q128" s="62">
        <v>0</v>
      </c>
      <c r="R128" s="62">
        <v>19</v>
      </c>
      <c r="S128" s="62"/>
      <c r="T128" s="62"/>
      <c r="U128" s="62">
        <v>0</v>
      </c>
      <c r="V128" s="61">
        <v>0</v>
      </c>
      <c r="W128" s="62">
        <v>0</v>
      </c>
      <c r="X128" s="62">
        <v>0</v>
      </c>
      <c r="Y128" s="62">
        <v>0</v>
      </c>
      <c r="Z128" s="62">
        <v>0</v>
      </c>
      <c r="AA128" s="62">
        <v>0</v>
      </c>
      <c r="AB128" s="176">
        <v>3</v>
      </c>
      <c r="AC128" s="62">
        <v>5</v>
      </c>
      <c r="AD128" s="62">
        <v>3</v>
      </c>
      <c r="AE128" s="62">
        <v>3</v>
      </c>
      <c r="AF128" s="62">
        <v>2</v>
      </c>
      <c r="AG128" s="62">
        <v>2</v>
      </c>
      <c r="AH128" s="62">
        <v>0</v>
      </c>
      <c r="AI128" s="62">
        <v>1</v>
      </c>
      <c r="AJ128" s="62">
        <v>15</v>
      </c>
      <c r="AK128" s="62"/>
      <c r="AL128" s="62"/>
      <c r="AM128" s="1" t="s">
        <v>291</v>
      </c>
      <c r="AN128" s="78">
        <v>5</v>
      </c>
      <c r="AO128" s="78">
        <v>0</v>
      </c>
      <c r="AP128" s="78">
        <v>3</v>
      </c>
      <c r="AQ128" s="78">
        <v>0</v>
      </c>
      <c r="AR128" s="78">
        <v>0</v>
      </c>
      <c r="AS128" s="78">
        <v>2</v>
      </c>
      <c r="AT128" s="78">
        <v>0</v>
      </c>
      <c r="AU128" s="78">
        <v>0</v>
      </c>
      <c r="AV128" s="76">
        <v>3</v>
      </c>
      <c r="AW128" s="1" t="s">
        <v>535</v>
      </c>
      <c r="AX128" s="78">
        <v>4</v>
      </c>
      <c r="AY128" s="78">
        <v>0</v>
      </c>
      <c r="AZ128" s="78">
        <v>1</v>
      </c>
      <c r="BA128" s="78">
        <v>0</v>
      </c>
      <c r="BB128" s="78">
        <v>0</v>
      </c>
      <c r="BC128" s="78">
        <v>1</v>
      </c>
      <c r="BD128" s="78">
        <v>0</v>
      </c>
      <c r="BE128" s="78">
        <v>0</v>
      </c>
      <c r="BF128" s="76">
        <v>1</v>
      </c>
      <c r="BG128" s="1" t="s">
        <v>539</v>
      </c>
      <c r="BH128" s="78">
        <v>4</v>
      </c>
      <c r="BI128" s="78">
        <v>0</v>
      </c>
      <c r="BJ128" s="78">
        <v>1</v>
      </c>
      <c r="BK128" s="78">
        <v>0</v>
      </c>
      <c r="BL128" s="78">
        <v>0</v>
      </c>
      <c r="BM128" s="78">
        <v>2</v>
      </c>
      <c r="BN128" s="78">
        <v>0</v>
      </c>
      <c r="BO128" s="78">
        <v>0</v>
      </c>
      <c r="BP128" s="76">
        <v>1</v>
      </c>
      <c r="BQ128" s="1" t="s">
        <v>532</v>
      </c>
      <c r="BR128" s="78">
        <v>3</v>
      </c>
      <c r="BS128" s="78">
        <v>1</v>
      </c>
      <c r="BT128" s="78">
        <v>1</v>
      </c>
      <c r="BU128" s="78">
        <v>0</v>
      </c>
      <c r="BV128" s="78">
        <v>1</v>
      </c>
      <c r="BW128" s="78">
        <v>1</v>
      </c>
      <c r="BX128" s="78">
        <v>0</v>
      </c>
      <c r="BY128" s="78">
        <v>0</v>
      </c>
      <c r="BZ128" s="76">
        <v>2</v>
      </c>
      <c r="CA128" s="1" t="s">
        <v>530</v>
      </c>
      <c r="CB128" s="78">
        <v>4</v>
      </c>
      <c r="CC128" s="78">
        <v>0</v>
      </c>
      <c r="CD128" s="78">
        <v>1</v>
      </c>
      <c r="CE128" s="78">
        <v>0</v>
      </c>
      <c r="CF128" s="78">
        <v>0</v>
      </c>
      <c r="CG128" s="78">
        <v>1</v>
      </c>
      <c r="CH128" s="78">
        <v>0</v>
      </c>
      <c r="CI128" s="78">
        <v>0</v>
      </c>
      <c r="CJ128" s="76">
        <v>1</v>
      </c>
      <c r="CK128" s="1" t="s">
        <v>529</v>
      </c>
      <c r="CL128" s="78">
        <v>4</v>
      </c>
      <c r="CM128" s="78">
        <v>2</v>
      </c>
      <c r="CN128" s="78">
        <v>1</v>
      </c>
      <c r="CO128" s="78">
        <v>0</v>
      </c>
      <c r="CP128" s="78">
        <v>0</v>
      </c>
      <c r="CQ128" s="78">
        <v>0</v>
      </c>
      <c r="CR128" s="78">
        <v>0</v>
      </c>
      <c r="CS128" s="78">
        <v>0</v>
      </c>
      <c r="CT128" s="76">
        <v>2</v>
      </c>
      <c r="CU128" s="1" t="s">
        <v>549</v>
      </c>
      <c r="CV128" s="78">
        <v>4</v>
      </c>
      <c r="CW128" s="78">
        <v>1</v>
      </c>
      <c r="CX128" s="78">
        <v>1</v>
      </c>
      <c r="CY128" s="78">
        <v>2</v>
      </c>
      <c r="CZ128" s="78">
        <v>0</v>
      </c>
      <c r="DA128" s="78">
        <v>0</v>
      </c>
      <c r="DB128" s="78">
        <v>0</v>
      </c>
      <c r="DC128" s="78">
        <v>0</v>
      </c>
      <c r="DD128" s="76">
        <v>1</v>
      </c>
      <c r="DE128" s="1" t="s">
        <v>543</v>
      </c>
      <c r="DF128" s="78">
        <v>2</v>
      </c>
      <c r="DG128" s="78">
        <v>0</v>
      </c>
      <c r="DH128" s="78">
        <v>0</v>
      </c>
      <c r="DI128" s="78">
        <v>0</v>
      </c>
      <c r="DJ128" s="78">
        <v>2</v>
      </c>
      <c r="DK128" s="78">
        <v>0</v>
      </c>
      <c r="DL128" s="78">
        <v>0</v>
      </c>
      <c r="DM128" s="78">
        <v>0</v>
      </c>
      <c r="DN128" s="76">
        <v>0</v>
      </c>
      <c r="DO128" s="1" t="s">
        <v>538</v>
      </c>
      <c r="DP128" s="78">
        <v>3</v>
      </c>
      <c r="DQ128" s="78">
        <v>0</v>
      </c>
      <c r="DR128" s="78">
        <v>1</v>
      </c>
      <c r="DS128" s="78">
        <v>1</v>
      </c>
      <c r="DT128" s="78">
        <v>1</v>
      </c>
      <c r="DU128" s="78">
        <v>1</v>
      </c>
      <c r="DV128" s="78">
        <v>0</v>
      </c>
      <c r="DW128" s="78">
        <v>0</v>
      </c>
      <c r="DX128" s="76">
        <v>1</v>
      </c>
      <c r="DY128" s="252">
        <v>0</v>
      </c>
      <c r="DZ128" s="43">
        <v>0</v>
      </c>
      <c r="EA128" s="43">
        <v>0</v>
      </c>
      <c r="EB128" s="253">
        <v>9</v>
      </c>
      <c r="EC128" s="43">
        <v>3</v>
      </c>
      <c r="ED128" s="44">
        <v>0</v>
      </c>
      <c r="EE128" s="71">
        <v>0</v>
      </c>
      <c r="EF128" s="43">
        <v>0</v>
      </c>
      <c r="EG128" s="43">
        <v>0</v>
      </c>
      <c r="EH128" s="43">
        <v>0</v>
      </c>
      <c r="EI128" s="43">
        <v>0</v>
      </c>
      <c r="EJ128" s="43">
        <v>0</v>
      </c>
      <c r="EK128" s="43">
        <v>1</v>
      </c>
      <c r="EL128" s="43">
        <v>0</v>
      </c>
      <c r="EM128" s="43">
        <v>3</v>
      </c>
      <c r="EN128" s="43"/>
      <c r="EO128" s="43"/>
      <c r="EP128" s="43"/>
      <c r="EQ128" s="43"/>
      <c r="ER128" s="44">
        <f t="shared" si="124"/>
        <v>4</v>
      </c>
      <c r="ES128" s="43">
        <v>0</v>
      </c>
      <c r="ET128" s="43">
        <v>2</v>
      </c>
      <c r="EU128" s="43">
        <v>0</v>
      </c>
      <c r="EV128" s="43">
        <v>1</v>
      </c>
      <c r="EW128" s="43">
        <v>0</v>
      </c>
      <c r="EX128" s="43">
        <v>0</v>
      </c>
      <c r="EY128" s="43">
        <v>0</v>
      </c>
      <c r="EZ128" s="43">
        <v>3</v>
      </c>
      <c r="FA128" s="43"/>
      <c r="FB128" s="43"/>
      <c r="FC128" s="43"/>
      <c r="FD128" s="43"/>
      <c r="FE128" s="43"/>
      <c r="FF128" s="43">
        <f t="shared" si="125"/>
        <v>6</v>
      </c>
      <c r="FG128" s="73">
        <f t="shared" si="126"/>
        <v>0</v>
      </c>
      <c r="FH128" s="73">
        <f t="shared" si="127"/>
        <v>0</v>
      </c>
      <c r="FI128" s="73">
        <f t="shared" ref="FI128:FV128" si="130">(EE128-ES128)</f>
        <v>0</v>
      </c>
      <c r="FJ128" s="73">
        <f t="shared" si="130"/>
        <v>-2</v>
      </c>
      <c r="FK128" s="73">
        <f t="shared" si="130"/>
        <v>0</v>
      </c>
      <c r="FL128" s="73">
        <f t="shared" si="130"/>
        <v>-1</v>
      </c>
      <c r="FM128" s="73">
        <f t="shared" si="130"/>
        <v>0</v>
      </c>
      <c r="FN128" s="73">
        <f t="shared" si="130"/>
        <v>0</v>
      </c>
      <c r="FO128" s="73">
        <f t="shared" si="130"/>
        <v>1</v>
      </c>
      <c r="FP128" s="73">
        <f t="shared" si="130"/>
        <v>-3</v>
      </c>
      <c r="FQ128" s="73">
        <f t="shared" si="130"/>
        <v>3</v>
      </c>
      <c r="FR128" s="73">
        <f t="shared" si="130"/>
        <v>0</v>
      </c>
      <c r="FS128" s="73">
        <f t="shared" si="130"/>
        <v>0</v>
      </c>
      <c r="FT128" s="73">
        <f t="shared" si="130"/>
        <v>0</v>
      </c>
      <c r="FU128" s="73">
        <f t="shared" si="130"/>
        <v>0</v>
      </c>
      <c r="FV128" s="73">
        <f t="shared" si="130"/>
        <v>-2</v>
      </c>
      <c r="FW128" s="38"/>
    </row>
    <row r="129" spans="1:179" x14ac:dyDescent="0.25">
      <c r="A129" s="380">
        <v>40414</v>
      </c>
      <c r="B129" s="380" t="s">
        <v>133</v>
      </c>
      <c r="C129" s="380" t="s">
        <v>131</v>
      </c>
      <c r="D129" s="380" t="s">
        <v>550</v>
      </c>
      <c r="E129" s="374">
        <v>1010</v>
      </c>
      <c r="F129" s="358">
        <v>2</v>
      </c>
      <c r="G129" s="359" t="s">
        <v>321</v>
      </c>
      <c r="H129" s="376">
        <v>0</v>
      </c>
      <c r="I129" s="376">
        <v>1</v>
      </c>
      <c r="J129" s="401">
        <v>5</v>
      </c>
      <c r="K129" s="376">
        <v>6</v>
      </c>
      <c r="L129" s="376">
        <v>3</v>
      </c>
      <c r="M129" s="376">
        <v>2</v>
      </c>
      <c r="N129" s="376">
        <v>2</v>
      </c>
      <c r="O129" s="376">
        <v>1</v>
      </c>
      <c r="P129" s="376">
        <v>1</v>
      </c>
      <c r="Q129" s="376">
        <v>1</v>
      </c>
      <c r="R129" s="376">
        <v>21</v>
      </c>
      <c r="S129" s="376"/>
      <c r="T129" s="376"/>
      <c r="U129" s="376">
        <v>0</v>
      </c>
      <c r="V129" s="362">
        <v>0</v>
      </c>
      <c r="W129" s="376">
        <v>0</v>
      </c>
      <c r="X129" s="376">
        <v>0</v>
      </c>
      <c r="Y129" s="376">
        <v>0</v>
      </c>
      <c r="Z129" s="376">
        <v>0</v>
      </c>
      <c r="AA129" s="376">
        <v>0</v>
      </c>
      <c r="AB129" s="401">
        <v>3</v>
      </c>
      <c r="AC129" s="376">
        <v>0</v>
      </c>
      <c r="AD129" s="376">
        <v>0</v>
      </c>
      <c r="AE129" s="376">
        <v>0</v>
      </c>
      <c r="AF129" s="376">
        <v>1</v>
      </c>
      <c r="AG129" s="376">
        <v>3</v>
      </c>
      <c r="AH129" s="376">
        <v>0</v>
      </c>
      <c r="AI129" s="376">
        <v>0</v>
      </c>
      <c r="AJ129" s="376">
        <v>10</v>
      </c>
      <c r="AK129" s="376"/>
      <c r="AL129" s="376"/>
      <c r="AM129" s="363" t="s">
        <v>291</v>
      </c>
      <c r="AN129" s="364">
        <v>4</v>
      </c>
      <c r="AO129" s="364">
        <v>0</v>
      </c>
      <c r="AP129" s="364">
        <v>1</v>
      </c>
      <c r="AQ129" s="364">
        <v>0</v>
      </c>
      <c r="AR129" s="364">
        <v>0</v>
      </c>
      <c r="AS129" s="364">
        <v>1</v>
      </c>
      <c r="AT129" s="364">
        <v>0</v>
      </c>
      <c r="AU129" s="364">
        <v>0</v>
      </c>
      <c r="AV129" s="365">
        <v>1</v>
      </c>
      <c r="AW129" s="363" t="s">
        <v>535</v>
      </c>
      <c r="AX129" s="364">
        <v>4</v>
      </c>
      <c r="AY129" s="364">
        <v>0</v>
      </c>
      <c r="AZ129" s="364">
        <v>2</v>
      </c>
      <c r="BA129" s="364">
        <v>2</v>
      </c>
      <c r="BB129" s="364">
        <v>0</v>
      </c>
      <c r="BC129" s="364">
        <v>0</v>
      </c>
      <c r="BD129" s="364">
        <v>0</v>
      </c>
      <c r="BE129" s="364">
        <v>0</v>
      </c>
      <c r="BF129" s="365">
        <v>2</v>
      </c>
      <c r="BG129" s="363" t="s">
        <v>532</v>
      </c>
      <c r="BH129" s="364">
        <v>4</v>
      </c>
      <c r="BI129" s="364">
        <v>0</v>
      </c>
      <c r="BJ129" s="364">
        <v>1</v>
      </c>
      <c r="BK129" s="364">
        <v>0</v>
      </c>
      <c r="BL129" s="364">
        <v>0</v>
      </c>
      <c r="BM129" s="364">
        <v>2</v>
      </c>
      <c r="BN129" s="364">
        <v>0</v>
      </c>
      <c r="BO129" s="364">
        <v>0</v>
      </c>
      <c r="BP129" s="365">
        <v>1</v>
      </c>
      <c r="BQ129" s="363" t="s">
        <v>530</v>
      </c>
      <c r="BR129" s="364">
        <v>4</v>
      </c>
      <c r="BS129" s="364">
        <v>0</v>
      </c>
      <c r="BT129" s="364">
        <v>0</v>
      </c>
      <c r="BU129" s="364">
        <v>0</v>
      </c>
      <c r="BV129" s="364">
        <v>0</v>
      </c>
      <c r="BW129" s="364">
        <v>1</v>
      </c>
      <c r="BX129" s="364">
        <v>0</v>
      </c>
      <c r="BY129" s="364">
        <v>0</v>
      </c>
      <c r="BZ129" s="365">
        <v>0</v>
      </c>
      <c r="CA129" s="363" t="s">
        <v>529</v>
      </c>
      <c r="CB129" s="364">
        <v>4</v>
      </c>
      <c r="CC129" s="364">
        <v>0</v>
      </c>
      <c r="CD129" s="364">
        <v>1</v>
      </c>
      <c r="CE129" s="364">
        <v>0</v>
      </c>
      <c r="CF129" s="364">
        <v>0</v>
      </c>
      <c r="CG129" s="364">
        <v>1</v>
      </c>
      <c r="CH129" s="364">
        <v>0</v>
      </c>
      <c r="CI129" s="364">
        <v>0</v>
      </c>
      <c r="CJ129" s="365">
        <v>1</v>
      </c>
      <c r="CK129" s="363" t="s">
        <v>549</v>
      </c>
      <c r="CL129" s="364">
        <v>4</v>
      </c>
      <c r="CM129" s="364">
        <v>0</v>
      </c>
      <c r="CN129" s="364">
        <v>2</v>
      </c>
      <c r="CO129" s="364">
        <v>0</v>
      </c>
      <c r="CP129" s="364">
        <v>0</v>
      </c>
      <c r="CQ129" s="364">
        <v>1</v>
      </c>
      <c r="CR129" s="364">
        <v>0</v>
      </c>
      <c r="CS129" s="364">
        <v>0</v>
      </c>
      <c r="CT129" s="365">
        <v>2</v>
      </c>
      <c r="CU129" s="363" t="s">
        <v>425</v>
      </c>
      <c r="CV129" s="364">
        <v>4</v>
      </c>
      <c r="CW129" s="364">
        <v>0</v>
      </c>
      <c r="CX129" s="364">
        <v>0</v>
      </c>
      <c r="CY129" s="364">
        <v>0</v>
      </c>
      <c r="CZ129" s="364">
        <v>0</v>
      </c>
      <c r="DA129" s="364">
        <v>1</v>
      </c>
      <c r="DB129" s="364">
        <v>0</v>
      </c>
      <c r="DC129" s="364">
        <v>0</v>
      </c>
      <c r="DD129" s="365">
        <v>0</v>
      </c>
      <c r="DE129" s="363" t="s">
        <v>284</v>
      </c>
      <c r="DF129" s="364">
        <v>4</v>
      </c>
      <c r="DG129" s="364">
        <v>1</v>
      </c>
      <c r="DH129" s="364">
        <v>1</v>
      </c>
      <c r="DI129" s="364">
        <v>0</v>
      </c>
      <c r="DJ129" s="364">
        <v>0</v>
      </c>
      <c r="DK129" s="364">
        <v>2</v>
      </c>
      <c r="DL129" s="364">
        <v>0</v>
      </c>
      <c r="DM129" s="364">
        <v>0</v>
      </c>
      <c r="DN129" s="365">
        <v>1</v>
      </c>
      <c r="DO129" s="363" t="s">
        <v>538</v>
      </c>
      <c r="DP129" s="364">
        <v>2</v>
      </c>
      <c r="DQ129" s="364">
        <v>1</v>
      </c>
      <c r="DR129" s="364">
        <v>0</v>
      </c>
      <c r="DS129" s="364">
        <v>0</v>
      </c>
      <c r="DT129" s="364">
        <v>1</v>
      </c>
      <c r="DU129" s="364">
        <v>1</v>
      </c>
      <c r="DV129" s="364">
        <v>0</v>
      </c>
      <c r="DW129" s="364">
        <v>0</v>
      </c>
      <c r="DX129" s="365">
        <v>0</v>
      </c>
      <c r="DY129" s="402">
        <v>4</v>
      </c>
      <c r="DZ129" s="367">
        <v>0</v>
      </c>
      <c r="EA129" s="367">
        <v>0</v>
      </c>
      <c r="EB129" s="403">
        <v>5</v>
      </c>
      <c r="EC129" s="367">
        <v>0</v>
      </c>
      <c r="ED129" s="369">
        <v>0</v>
      </c>
      <c r="EE129" s="370">
        <v>0</v>
      </c>
      <c r="EF129" s="367">
        <v>0</v>
      </c>
      <c r="EG129" s="367">
        <v>1</v>
      </c>
      <c r="EH129" s="367">
        <v>0</v>
      </c>
      <c r="EI129" s="367">
        <v>0</v>
      </c>
      <c r="EJ129" s="367">
        <v>0</v>
      </c>
      <c r="EK129" s="367">
        <v>1</v>
      </c>
      <c r="EL129" s="367">
        <v>0</v>
      </c>
      <c r="EM129" s="367">
        <v>0</v>
      </c>
      <c r="EN129" s="367"/>
      <c r="EO129" s="367"/>
      <c r="EP129" s="367"/>
      <c r="EQ129" s="367"/>
      <c r="ER129" s="369">
        <f t="shared" si="124"/>
        <v>2</v>
      </c>
      <c r="ES129" s="367">
        <v>2</v>
      </c>
      <c r="ET129" s="367">
        <v>1</v>
      </c>
      <c r="EU129" s="367">
        <v>0</v>
      </c>
      <c r="EV129" s="367">
        <v>0</v>
      </c>
      <c r="EW129" s="367">
        <v>0</v>
      </c>
      <c r="EX129" s="367">
        <v>0</v>
      </c>
      <c r="EY129" s="367">
        <v>0</v>
      </c>
      <c r="EZ129" s="367">
        <v>0</v>
      </c>
      <c r="FA129" s="367"/>
      <c r="FB129" s="367"/>
      <c r="FC129" s="367"/>
      <c r="FD129" s="367"/>
      <c r="FE129" s="367"/>
      <c r="FF129" s="367">
        <f t="shared" si="125"/>
        <v>3</v>
      </c>
      <c r="FG129" s="371">
        <f t="shared" si="126"/>
        <v>0</v>
      </c>
      <c r="FH129" s="371">
        <f t="shared" si="127"/>
        <v>0</v>
      </c>
      <c r="FI129" s="371">
        <f t="shared" ref="FI129:FI142" si="131">(EE129-ES129)</f>
        <v>-2</v>
      </c>
      <c r="FJ129" s="371">
        <f t="shared" ref="FJ129:FJ142" si="132">(EF129-ET129)</f>
        <v>-1</v>
      </c>
      <c r="FK129" s="371">
        <f t="shared" ref="FK129:FK142" si="133">(EG129-EU129)</f>
        <v>1</v>
      </c>
      <c r="FL129" s="371">
        <f t="shared" ref="FL129:FL142" si="134">(EH129-EV129)</f>
        <v>0</v>
      </c>
      <c r="FM129" s="371">
        <f t="shared" ref="FM129:FM142" si="135">(EI129-EW129)</f>
        <v>0</v>
      </c>
      <c r="FN129" s="371">
        <f t="shared" ref="FN129:FN142" si="136">(EJ129-EX129)</f>
        <v>0</v>
      </c>
      <c r="FO129" s="371">
        <f t="shared" ref="FO129:FO142" si="137">(EK129-EY129)</f>
        <v>1</v>
      </c>
      <c r="FP129" s="371">
        <f t="shared" ref="FP129:FP142" si="138">(EL129-EZ129)</f>
        <v>0</v>
      </c>
      <c r="FQ129" s="371">
        <f t="shared" ref="FQ129:FQ142" si="139">(EM129-FA129)</f>
        <v>0</v>
      </c>
      <c r="FR129" s="371">
        <f t="shared" ref="FR129:FR142" si="140">(EN129-FB129)</f>
        <v>0</v>
      </c>
      <c r="FS129" s="371">
        <f t="shared" ref="FS129:FS142" si="141">(EO129-FC129)</f>
        <v>0</v>
      </c>
      <c r="FT129" s="371">
        <f t="shared" ref="FT129:FT142" si="142">(EP129-FD129)</f>
        <v>0</v>
      </c>
      <c r="FU129" s="371">
        <f t="shared" ref="FU129:FU142" si="143">(EQ129-FE129)</f>
        <v>0</v>
      </c>
      <c r="FV129" s="371">
        <f t="shared" ref="FV129:FV142" si="144">(ER129-FF129)</f>
        <v>-1</v>
      </c>
      <c r="FW129" s="372"/>
    </row>
    <row r="130" spans="1:179" x14ac:dyDescent="0.25">
      <c r="A130" s="380">
        <v>40415</v>
      </c>
      <c r="B130" s="380" t="s">
        <v>19</v>
      </c>
      <c r="C130" s="380" t="s">
        <v>131</v>
      </c>
      <c r="D130" s="380" t="s">
        <v>551</v>
      </c>
      <c r="E130" s="374">
        <v>2985</v>
      </c>
      <c r="F130" s="358">
        <v>3</v>
      </c>
      <c r="G130" s="359" t="s">
        <v>545</v>
      </c>
      <c r="H130" s="376">
        <v>0</v>
      </c>
      <c r="I130" s="376">
        <v>1</v>
      </c>
      <c r="J130" s="401">
        <v>5</v>
      </c>
      <c r="K130" s="376">
        <v>5</v>
      </c>
      <c r="L130" s="376">
        <v>2</v>
      </c>
      <c r="M130" s="376">
        <v>2</v>
      </c>
      <c r="N130" s="376">
        <v>1</v>
      </c>
      <c r="O130" s="376">
        <v>1</v>
      </c>
      <c r="P130" s="376">
        <v>2</v>
      </c>
      <c r="Q130" s="376">
        <v>0</v>
      </c>
      <c r="R130" s="376">
        <v>20</v>
      </c>
      <c r="S130" s="376"/>
      <c r="T130" s="376"/>
      <c r="U130" s="376">
        <v>0</v>
      </c>
      <c r="V130" s="362">
        <v>0</v>
      </c>
      <c r="W130" s="376">
        <v>0</v>
      </c>
      <c r="X130" s="376">
        <v>0</v>
      </c>
      <c r="Y130" s="376">
        <v>0</v>
      </c>
      <c r="Z130" s="376">
        <v>0</v>
      </c>
      <c r="AA130" s="376">
        <v>0</v>
      </c>
      <c r="AB130" s="401">
        <v>4</v>
      </c>
      <c r="AC130" s="376">
        <v>3</v>
      </c>
      <c r="AD130" s="376">
        <v>1</v>
      </c>
      <c r="AE130" s="376">
        <v>1</v>
      </c>
      <c r="AF130" s="376">
        <v>1</v>
      </c>
      <c r="AG130" s="376">
        <v>3</v>
      </c>
      <c r="AH130" s="376">
        <v>0</v>
      </c>
      <c r="AI130" s="376">
        <v>0</v>
      </c>
      <c r="AJ130" s="376">
        <v>15</v>
      </c>
      <c r="AK130" s="376"/>
      <c r="AL130" s="376"/>
      <c r="AM130" s="363" t="s">
        <v>291</v>
      </c>
      <c r="AN130" s="364">
        <v>4</v>
      </c>
      <c r="AO130" s="364">
        <v>0</v>
      </c>
      <c r="AP130" s="364">
        <v>0</v>
      </c>
      <c r="AQ130" s="364">
        <v>0</v>
      </c>
      <c r="AR130" s="364">
        <v>0</v>
      </c>
      <c r="AS130" s="364">
        <v>2</v>
      </c>
      <c r="AT130" s="364">
        <v>0</v>
      </c>
      <c r="AU130" s="364">
        <v>0</v>
      </c>
      <c r="AV130" s="365">
        <v>0</v>
      </c>
      <c r="AW130" s="363" t="s">
        <v>535</v>
      </c>
      <c r="AX130" s="364">
        <v>3</v>
      </c>
      <c r="AY130" s="364">
        <v>0</v>
      </c>
      <c r="AZ130" s="364">
        <v>0</v>
      </c>
      <c r="BA130" s="364">
        <v>0</v>
      </c>
      <c r="BB130" s="364">
        <v>1</v>
      </c>
      <c r="BC130" s="364">
        <v>0</v>
      </c>
      <c r="BD130" s="364">
        <v>0</v>
      </c>
      <c r="BE130" s="364">
        <v>0</v>
      </c>
      <c r="BF130" s="365">
        <v>0</v>
      </c>
      <c r="BG130" s="363" t="s">
        <v>539</v>
      </c>
      <c r="BH130" s="364">
        <v>4</v>
      </c>
      <c r="BI130" s="364">
        <v>0</v>
      </c>
      <c r="BJ130" s="364">
        <v>0</v>
      </c>
      <c r="BK130" s="364">
        <v>0</v>
      </c>
      <c r="BL130" s="364">
        <v>0</v>
      </c>
      <c r="BM130" s="364">
        <v>0</v>
      </c>
      <c r="BN130" s="364">
        <v>0</v>
      </c>
      <c r="BO130" s="364">
        <v>0</v>
      </c>
      <c r="BP130" s="365">
        <v>0</v>
      </c>
      <c r="BQ130" s="363" t="s">
        <v>532</v>
      </c>
      <c r="BR130" s="364">
        <v>4</v>
      </c>
      <c r="BS130" s="364">
        <v>0</v>
      </c>
      <c r="BT130" s="364">
        <v>0</v>
      </c>
      <c r="BU130" s="364">
        <v>0</v>
      </c>
      <c r="BV130" s="364">
        <v>0</v>
      </c>
      <c r="BW130" s="364">
        <v>1</v>
      </c>
      <c r="BX130" s="364">
        <v>0</v>
      </c>
      <c r="BY130" s="364">
        <v>0</v>
      </c>
      <c r="BZ130" s="365">
        <v>0</v>
      </c>
      <c r="CA130" s="363" t="s">
        <v>529</v>
      </c>
      <c r="CB130" s="364">
        <v>3</v>
      </c>
      <c r="CC130" s="364">
        <v>1</v>
      </c>
      <c r="CD130" s="364">
        <v>1</v>
      </c>
      <c r="CE130" s="364">
        <v>1</v>
      </c>
      <c r="CF130" s="364">
        <v>0</v>
      </c>
      <c r="CG130" s="364">
        <v>2</v>
      </c>
      <c r="CH130" s="364">
        <v>0</v>
      </c>
      <c r="CI130" s="364">
        <v>0</v>
      </c>
      <c r="CJ130" s="365">
        <v>4</v>
      </c>
      <c r="CK130" s="363" t="s">
        <v>549</v>
      </c>
      <c r="CL130" s="364">
        <v>3</v>
      </c>
      <c r="CM130" s="364">
        <v>0</v>
      </c>
      <c r="CN130" s="364">
        <v>1</v>
      </c>
      <c r="CO130" s="364">
        <v>0</v>
      </c>
      <c r="CP130" s="364">
        <v>0</v>
      </c>
      <c r="CQ130" s="364">
        <v>0</v>
      </c>
      <c r="CR130" s="364">
        <v>0</v>
      </c>
      <c r="CS130" s="364">
        <v>0</v>
      </c>
      <c r="CT130" s="365">
        <v>1</v>
      </c>
      <c r="CU130" s="363" t="s">
        <v>425</v>
      </c>
      <c r="CV130" s="364">
        <v>3</v>
      </c>
      <c r="CW130" s="364">
        <v>0</v>
      </c>
      <c r="CX130" s="364">
        <v>0</v>
      </c>
      <c r="CY130" s="364">
        <v>0</v>
      </c>
      <c r="CZ130" s="364">
        <v>0</v>
      </c>
      <c r="DA130" s="364">
        <v>1</v>
      </c>
      <c r="DB130" s="364">
        <v>0</v>
      </c>
      <c r="DC130" s="364">
        <v>0</v>
      </c>
      <c r="DD130" s="365">
        <v>0</v>
      </c>
      <c r="DE130" s="363" t="s">
        <v>284</v>
      </c>
      <c r="DF130" s="364">
        <v>2</v>
      </c>
      <c r="DG130" s="364">
        <v>0</v>
      </c>
      <c r="DH130" s="364">
        <v>0</v>
      </c>
      <c r="DI130" s="364">
        <v>0</v>
      </c>
      <c r="DJ130" s="364">
        <v>1</v>
      </c>
      <c r="DK130" s="364">
        <v>2</v>
      </c>
      <c r="DL130" s="364">
        <v>0</v>
      </c>
      <c r="DM130" s="364">
        <v>0</v>
      </c>
      <c r="DN130" s="365">
        <v>0</v>
      </c>
      <c r="DO130" s="363" t="s">
        <v>543</v>
      </c>
      <c r="DP130" s="364">
        <v>2</v>
      </c>
      <c r="DQ130" s="364">
        <v>0</v>
      </c>
      <c r="DR130" s="364">
        <v>0</v>
      </c>
      <c r="DS130" s="364">
        <v>0</v>
      </c>
      <c r="DT130" s="364">
        <v>1</v>
      </c>
      <c r="DU130" s="364">
        <v>0</v>
      </c>
      <c r="DV130" s="364">
        <v>0</v>
      </c>
      <c r="DW130" s="364">
        <v>0</v>
      </c>
      <c r="DX130" s="365">
        <v>0</v>
      </c>
      <c r="DY130" s="402">
        <v>0</v>
      </c>
      <c r="DZ130" s="367">
        <v>0</v>
      </c>
      <c r="EA130" s="367">
        <v>0</v>
      </c>
      <c r="EB130" s="403">
        <v>9</v>
      </c>
      <c r="EC130" s="367">
        <v>0</v>
      </c>
      <c r="ED130" s="369">
        <v>1</v>
      </c>
      <c r="EE130" s="370">
        <v>0</v>
      </c>
      <c r="EF130" s="367">
        <v>0</v>
      </c>
      <c r="EG130" s="367">
        <v>0</v>
      </c>
      <c r="EH130" s="367">
        <v>0</v>
      </c>
      <c r="EI130" s="367">
        <v>0</v>
      </c>
      <c r="EJ130" s="367">
        <v>0</v>
      </c>
      <c r="EK130" s="367">
        <v>0</v>
      </c>
      <c r="EL130" s="367">
        <v>1</v>
      </c>
      <c r="EM130" s="367">
        <v>0</v>
      </c>
      <c r="EN130" s="367"/>
      <c r="EO130" s="367"/>
      <c r="EP130" s="367"/>
      <c r="EQ130" s="367"/>
      <c r="ER130" s="369">
        <f t="shared" si="124"/>
        <v>1</v>
      </c>
      <c r="ES130" s="367">
        <v>0</v>
      </c>
      <c r="ET130" s="367">
        <v>0</v>
      </c>
      <c r="EU130" s="367">
        <v>0</v>
      </c>
      <c r="EV130" s="367">
        <v>2</v>
      </c>
      <c r="EW130" s="367">
        <v>0</v>
      </c>
      <c r="EX130" s="367">
        <v>1</v>
      </c>
      <c r="EY130" s="367">
        <v>0</v>
      </c>
      <c r="EZ130" s="367">
        <v>0</v>
      </c>
      <c r="FA130" s="367">
        <v>0</v>
      </c>
      <c r="FB130" s="367"/>
      <c r="FC130" s="367"/>
      <c r="FD130" s="367"/>
      <c r="FE130" s="367"/>
      <c r="FF130" s="367">
        <f t="shared" si="125"/>
        <v>3</v>
      </c>
      <c r="FG130" s="371">
        <f t="shared" si="126"/>
        <v>0</v>
      </c>
      <c r="FH130" s="371">
        <f t="shared" si="127"/>
        <v>0</v>
      </c>
      <c r="FI130" s="371">
        <f t="shared" si="131"/>
        <v>0</v>
      </c>
      <c r="FJ130" s="371">
        <f t="shared" si="132"/>
        <v>0</v>
      </c>
      <c r="FK130" s="371">
        <f t="shared" si="133"/>
        <v>0</v>
      </c>
      <c r="FL130" s="371">
        <f t="shared" si="134"/>
        <v>-2</v>
      </c>
      <c r="FM130" s="371">
        <f t="shared" si="135"/>
        <v>0</v>
      </c>
      <c r="FN130" s="371">
        <f t="shared" si="136"/>
        <v>-1</v>
      </c>
      <c r="FO130" s="371">
        <f t="shared" si="137"/>
        <v>0</v>
      </c>
      <c r="FP130" s="371">
        <f t="shared" si="138"/>
        <v>1</v>
      </c>
      <c r="FQ130" s="371">
        <f t="shared" si="139"/>
        <v>0</v>
      </c>
      <c r="FR130" s="371">
        <f t="shared" si="140"/>
        <v>0</v>
      </c>
      <c r="FS130" s="371">
        <f t="shared" si="141"/>
        <v>0</v>
      </c>
      <c r="FT130" s="371">
        <f t="shared" si="142"/>
        <v>0</v>
      </c>
      <c r="FU130" s="371">
        <f t="shared" si="143"/>
        <v>0</v>
      </c>
      <c r="FV130" s="371">
        <f t="shared" si="144"/>
        <v>-2</v>
      </c>
      <c r="FW130" s="372"/>
    </row>
    <row r="131" spans="1:179" x14ac:dyDescent="0.25">
      <c r="A131" s="380">
        <v>40416</v>
      </c>
      <c r="B131" s="380" t="s">
        <v>19</v>
      </c>
      <c r="C131" s="380" t="s">
        <v>131</v>
      </c>
      <c r="D131" s="380" t="s">
        <v>551</v>
      </c>
      <c r="E131" s="374">
        <v>3989</v>
      </c>
      <c r="F131" s="358">
        <v>4</v>
      </c>
      <c r="G131" s="359" t="s">
        <v>679</v>
      </c>
      <c r="H131" s="376">
        <v>0</v>
      </c>
      <c r="I131" s="376">
        <v>1</v>
      </c>
      <c r="J131" s="401">
        <v>4</v>
      </c>
      <c r="K131" s="376">
        <v>3</v>
      </c>
      <c r="L131" s="376">
        <v>1</v>
      </c>
      <c r="M131" s="376">
        <v>1</v>
      </c>
      <c r="N131" s="376">
        <v>2</v>
      </c>
      <c r="O131" s="376">
        <v>2</v>
      </c>
      <c r="P131" s="376">
        <v>0</v>
      </c>
      <c r="Q131" s="376">
        <v>0</v>
      </c>
      <c r="R131" s="376">
        <v>15</v>
      </c>
      <c r="S131" s="376"/>
      <c r="T131" s="376"/>
      <c r="U131" s="376">
        <v>0</v>
      </c>
      <c r="V131" s="362">
        <v>0</v>
      </c>
      <c r="W131" s="376">
        <v>0</v>
      </c>
      <c r="X131" s="376">
        <v>0</v>
      </c>
      <c r="Y131" s="376">
        <v>0</v>
      </c>
      <c r="Z131" s="376">
        <v>0</v>
      </c>
      <c r="AA131" s="376">
        <v>0</v>
      </c>
      <c r="AB131" s="401">
        <v>5</v>
      </c>
      <c r="AC131" s="376">
        <v>3</v>
      </c>
      <c r="AD131" s="376">
        <v>3</v>
      </c>
      <c r="AE131" s="376">
        <v>2</v>
      </c>
      <c r="AF131" s="376">
        <v>3</v>
      </c>
      <c r="AG131" s="376">
        <v>6</v>
      </c>
      <c r="AH131" s="376">
        <v>0</v>
      </c>
      <c r="AI131" s="376">
        <v>0</v>
      </c>
      <c r="AJ131" s="376">
        <v>20</v>
      </c>
      <c r="AK131" s="376"/>
      <c r="AL131" s="376"/>
      <c r="AM131" s="363" t="s">
        <v>529</v>
      </c>
      <c r="AN131" s="364">
        <v>4</v>
      </c>
      <c r="AO131" s="364">
        <v>0</v>
      </c>
      <c r="AP131" s="364">
        <v>0</v>
      </c>
      <c r="AQ131" s="364">
        <v>0</v>
      </c>
      <c r="AR131" s="364">
        <v>0</v>
      </c>
      <c r="AS131" s="364">
        <v>1</v>
      </c>
      <c r="AT131" s="364">
        <v>0</v>
      </c>
      <c r="AU131" s="364">
        <v>0</v>
      </c>
      <c r="AV131" s="365">
        <v>0</v>
      </c>
      <c r="AW131" s="363" t="s">
        <v>535</v>
      </c>
      <c r="AX131" s="364">
        <v>4</v>
      </c>
      <c r="AY131" s="364">
        <v>0</v>
      </c>
      <c r="AZ131" s="364">
        <v>1</v>
      </c>
      <c r="BA131" s="364">
        <v>0</v>
      </c>
      <c r="BB131" s="364">
        <v>0</v>
      </c>
      <c r="BC131" s="364">
        <v>2</v>
      </c>
      <c r="BD131" s="364">
        <v>0</v>
      </c>
      <c r="BE131" s="364">
        <v>0</v>
      </c>
      <c r="BF131" s="365">
        <v>1</v>
      </c>
      <c r="BG131" s="363" t="s">
        <v>532</v>
      </c>
      <c r="BH131" s="364">
        <v>4</v>
      </c>
      <c r="BI131" s="364">
        <v>0</v>
      </c>
      <c r="BJ131" s="364">
        <v>2</v>
      </c>
      <c r="BK131" s="364">
        <v>0</v>
      </c>
      <c r="BL131" s="364">
        <v>0</v>
      </c>
      <c r="BM131" s="364">
        <v>1</v>
      </c>
      <c r="BN131" s="364">
        <v>0</v>
      </c>
      <c r="BO131" s="364">
        <v>0</v>
      </c>
      <c r="BP131" s="365">
        <v>3</v>
      </c>
      <c r="BQ131" s="363" t="s">
        <v>531</v>
      </c>
      <c r="BR131" s="364">
        <v>4</v>
      </c>
      <c r="BS131" s="364">
        <v>0</v>
      </c>
      <c r="BT131" s="364">
        <v>0</v>
      </c>
      <c r="BU131" s="364">
        <v>0</v>
      </c>
      <c r="BV131" s="364">
        <v>0</v>
      </c>
      <c r="BW131" s="364">
        <v>3</v>
      </c>
      <c r="BX131" s="364">
        <v>0</v>
      </c>
      <c r="BY131" s="364">
        <v>0</v>
      </c>
      <c r="BZ131" s="365">
        <v>0</v>
      </c>
      <c r="CA131" s="363" t="s">
        <v>530</v>
      </c>
      <c r="CB131" s="364">
        <v>4</v>
      </c>
      <c r="CC131" s="364">
        <v>0</v>
      </c>
      <c r="CD131" s="364">
        <v>1</v>
      </c>
      <c r="CE131" s="364">
        <v>0</v>
      </c>
      <c r="CF131" s="364">
        <v>0</v>
      </c>
      <c r="CG131" s="364">
        <v>2</v>
      </c>
      <c r="CH131" s="364">
        <v>0</v>
      </c>
      <c r="CI131" s="364">
        <v>0</v>
      </c>
      <c r="CJ131" s="365">
        <v>2</v>
      </c>
      <c r="CK131" s="363" t="s">
        <v>539</v>
      </c>
      <c r="CL131" s="364">
        <v>4</v>
      </c>
      <c r="CM131" s="364">
        <v>0</v>
      </c>
      <c r="CN131" s="364">
        <v>1</v>
      </c>
      <c r="CO131" s="364">
        <v>0</v>
      </c>
      <c r="CP131" s="364">
        <v>0</v>
      </c>
      <c r="CQ131" s="364">
        <v>0</v>
      </c>
      <c r="CR131" s="364">
        <v>0</v>
      </c>
      <c r="CS131" s="364">
        <v>0</v>
      </c>
      <c r="CT131" s="365">
        <v>1</v>
      </c>
      <c r="CU131" s="363" t="s">
        <v>549</v>
      </c>
      <c r="CV131" s="364">
        <v>4</v>
      </c>
      <c r="CW131" s="364">
        <v>0</v>
      </c>
      <c r="CX131" s="364">
        <v>1</v>
      </c>
      <c r="CY131" s="364">
        <v>0</v>
      </c>
      <c r="CZ131" s="364">
        <v>0</v>
      </c>
      <c r="DA131" s="364">
        <v>3</v>
      </c>
      <c r="DB131" s="364">
        <v>0</v>
      </c>
      <c r="DC131" s="364">
        <v>0</v>
      </c>
      <c r="DD131" s="365">
        <v>1</v>
      </c>
      <c r="DE131" s="363" t="s">
        <v>538</v>
      </c>
      <c r="DF131" s="364">
        <v>2</v>
      </c>
      <c r="DG131" s="364">
        <v>0</v>
      </c>
      <c r="DH131" s="364">
        <v>0</v>
      </c>
      <c r="DI131" s="364">
        <v>0</v>
      </c>
      <c r="DJ131" s="364">
        <v>1</v>
      </c>
      <c r="DK131" s="364">
        <v>0</v>
      </c>
      <c r="DL131" s="364">
        <v>0</v>
      </c>
      <c r="DM131" s="364">
        <v>0</v>
      </c>
      <c r="DN131" s="365">
        <v>0</v>
      </c>
      <c r="DO131" s="363" t="s">
        <v>543</v>
      </c>
      <c r="DP131" s="364">
        <v>3</v>
      </c>
      <c r="DQ131" s="364">
        <v>0</v>
      </c>
      <c r="DR131" s="364">
        <v>0</v>
      </c>
      <c r="DS131" s="364">
        <v>0</v>
      </c>
      <c r="DT131" s="364">
        <v>0</v>
      </c>
      <c r="DU131" s="364">
        <v>3</v>
      </c>
      <c r="DV131" s="364">
        <v>0</v>
      </c>
      <c r="DW131" s="364">
        <v>0</v>
      </c>
      <c r="DX131" s="365">
        <v>0</v>
      </c>
      <c r="DY131" s="402">
        <f>4+1/3</f>
        <v>4.333333333333333</v>
      </c>
      <c r="DZ131" s="367">
        <v>0</v>
      </c>
      <c r="EA131" s="367">
        <v>0</v>
      </c>
      <c r="EB131" s="403">
        <f>4+2/3</f>
        <v>4.666666666666667</v>
      </c>
      <c r="EC131" s="367">
        <v>1</v>
      </c>
      <c r="ED131" s="369">
        <v>0</v>
      </c>
      <c r="EE131" s="370">
        <v>0</v>
      </c>
      <c r="EF131" s="367">
        <v>0</v>
      </c>
      <c r="EG131" s="367">
        <v>0</v>
      </c>
      <c r="EH131" s="367">
        <v>0</v>
      </c>
      <c r="EI131" s="367">
        <v>0</v>
      </c>
      <c r="EJ131" s="367">
        <v>0</v>
      </c>
      <c r="EK131" s="367">
        <v>0</v>
      </c>
      <c r="EL131" s="367">
        <v>0</v>
      </c>
      <c r="EM131" s="367">
        <v>0</v>
      </c>
      <c r="EN131" s="367"/>
      <c r="EO131" s="367"/>
      <c r="EP131" s="367"/>
      <c r="EQ131" s="367"/>
      <c r="ER131" s="369">
        <f t="shared" si="124"/>
        <v>0</v>
      </c>
      <c r="ES131" s="367">
        <v>1</v>
      </c>
      <c r="ET131" s="367">
        <v>0</v>
      </c>
      <c r="EU131" s="367">
        <v>0</v>
      </c>
      <c r="EV131" s="367">
        <v>0</v>
      </c>
      <c r="EW131" s="367">
        <v>1</v>
      </c>
      <c r="EX131" s="367">
        <v>0</v>
      </c>
      <c r="EY131" s="367">
        <v>0</v>
      </c>
      <c r="EZ131" s="367">
        <v>2</v>
      </c>
      <c r="FA131" s="367">
        <v>0</v>
      </c>
      <c r="FB131" s="367"/>
      <c r="FC131" s="367"/>
      <c r="FD131" s="367"/>
      <c r="FE131" s="367"/>
      <c r="FF131" s="367">
        <f t="shared" si="125"/>
        <v>4</v>
      </c>
      <c r="FG131" s="371">
        <f t="shared" si="126"/>
        <v>0</v>
      </c>
      <c r="FH131" s="371">
        <f t="shared" si="127"/>
        <v>0</v>
      </c>
      <c r="FI131" s="371">
        <f t="shared" si="131"/>
        <v>-1</v>
      </c>
      <c r="FJ131" s="371">
        <f t="shared" si="132"/>
        <v>0</v>
      </c>
      <c r="FK131" s="371">
        <f t="shared" si="133"/>
        <v>0</v>
      </c>
      <c r="FL131" s="371">
        <f t="shared" si="134"/>
        <v>0</v>
      </c>
      <c r="FM131" s="371">
        <f t="shared" si="135"/>
        <v>-1</v>
      </c>
      <c r="FN131" s="371">
        <f t="shared" si="136"/>
        <v>0</v>
      </c>
      <c r="FO131" s="371">
        <f t="shared" si="137"/>
        <v>0</v>
      </c>
      <c r="FP131" s="371">
        <f t="shared" si="138"/>
        <v>-2</v>
      </c>
      <c r="FQ131" s="371">
        <f t="shared" si="139"/>
        <v>0</v>
      </c>
      <c r="FR131" s="371">
        <f t="shared" si="140"/>
        <v>0</v>
      </c>
      <c r="FS131" s="371">
        <f t="shared" si="141"/>
        <v>0</v>
      </c>
      <c r="FT131" s="371">
        <f t="shared" si="142"/>
        <v>0</v>
      </c>
      <c r="FU131" s="371">
        <f t="shared" si="143"/>
        <v>0</v>
      </c>
      <c r="FV131" s="371">
        <f t="shared" si="144"/>
        <v>-4</v>
      </c>
      <c r="FW131" s="372"/>
    </row>
    <row r="132" spans="1:179" x14ac:dyDescent="0.25">
      <c r="A132" s="380">
        <v>40417</v>
      </c>
      <c r="B132" s="380" t="s">
        <v>19</v>
      </c>
      <c r="C132" s="380" t="s">
        <v>129</v>
      </c>
      <c r="D132" s="380" t="s">
        <v>551</v>
      </c>
      <c r="E132" s="374">
        <v>6290</v>
      </c>
      <c r="F132" s="358">
        <v>5</v>
      </c>
      <c r="G132" s="359" t="s">
        <v>540</v>
      </c>
      <c r="H132" s="376">
        <v>0</v>
      </c>
      <c r="I132" s="376">
        <v>0</v>
      </c>
      <c r="J132" s="401">
        <f>3+2/3</f>
        <v>3.6666666666666665</v>
      </c>
      <c r="K132" s="376">
        <v>4</v>
      </c>
      <c r="L132" s="376">
        <v>4</v>
      </c>
      <c r="M132" s="376">
        <v>4</v>
      </c>
      <c r="N132" s="376">
        <v>3</v>
      </c>
      <c r="O132" s="376">
        <v>7</v>
      </c>
      <c r="P132" s="376">
        <v>1</v>
      </c>
      <c r="Q132" s="376">
        <v>0</v>
      </c>
      <c r="R132" s="376">
        <v>18</v>
      </c>
      <c r="S132" s="376"/>
      <c r="T132" s="376"/>
      <c r="U132" s="376">
        <v>1</v>
      </c>
      <c r="V132" s="362">
        <v>0</v>
      </c>
      <c r="W132" s="376">
        <v>1</v>
      </c>
      <c r="X132" s="376">
        <v>0</v>
      </c>
      <c r="Y132" s="376">
        <v>0</v>
      </c>
      <c r="Z132" s="376">
        <v>0</v>
      </c>
      <c r="AA132" s="376">
        <v>0</v>
      </c>
      <c r="AB132" s="401">
        <f>5+1/3</f>
        <v>5.333333333333333</v>
      </c>
      <c r="AC132" s="376">
        <v>3</v>
      </c>
      <c r="AD132" s="376">
        <v>2</v>
      </c>
      <c r="AE132" s="376">
        <v>0</v>
      </c>
      <c r="AF132" s="376">
        <v>3</v>
      </c>
      <c r="AG132" s="376">
        <v>11</v>
      </c>
      <c r="AH132" s="376">
        <v>0</v>
      </c>
      <c r="AI132" s="376">
        <v>0</v>
      </c>
      <c r="AJ132" s="376">
        <v>23</v>
      </c>
      <c r="AK132" s="376"/>
      <c r="AL132" s="376"/>
      <c r="AM132" s="363" t="s">
        <v>291</v>
      </c>
      <c r="AN132" s="364">
        <v>1</v>
      </c>
      <c r="AO132" s="364">
        <v>3</v>
      </c>
      <c r="AP132" s="364">
        <v>0</v>
      </c>
      <c r="AQ132" s="364">
        <v>0</v>
      </c>
      <c r="AR132" s="364">
        <v>5</v>
      </c>
      <c r="AS132" s="364">
        <v>1</v>
      </c>
      <c r="AT132" s="364">
        <v>0</v>
      </c>
      <c r="AU132" s="364">
        <v>0</v>
      </c>
      <c r="AV132" s="365">
        <v>0</v>
      </c>
      <c r="AW132" s="363" t="s">
        <v>535</v>
      </c>
      <c r="AX132" s="364">
        <v>5</v>
      </c>
      <c r="AY132" s="364">
        <v>1</v>
      </c>
      <c r="AZ132" s="364">
        <v>2</v>
      </c>
      <c r="BA132" s="364">
        <v>1</v>
      </c>
      <c r="BB132" s="364">
        <v>1</v>
      </c>
      <c r="BC132" s="364">
        <v>0</v>
      </c>
      <c r="BD132" s="364">
        <v>0</v>
      </c>
      <c r="BE132" s="364">
        <v>0</v>
      </c>
      <c r="BF132" s="365">
        <v>2</v>
      </c>
      <c r="BG132" s="363" t="s">
        <v>531</v>
      </c>
      <c r="BH132" s="364">
        <v>3</v>
      </c>
      <c r="BI132" s="364">
        <v>0</v>
      </c>
      <c r="BJ132" s="364">
        <v>1</v>
      </c>
      <c r="BK132" s="364">
        <v>4</v>
      </c>
      <c r="BL132" s="364">
        <v>3</v>
      </c>
      <c r="BM132" s="364">
        <v>1</v>
      </c>
      <c r="BN132" s="364">
        <v>0</v>
      </c>
      <c r="BO132" s="364">
        <v>0</v>
      </c>
      <c r="BP132" s="365">
        <v>2</v>
      </c>
      <c r="BQ132" s="363" t="s">
        <v>532</v>
      </c>
      <c r="BR132" s="364">
        <v>4</v>
      </c>
      <c r="BS132" s="364">
        <v>1</v>
      </c>
      <c r="BT132" s="364">
        <v>1</v>
      </c>
      <c r="BU132" s="364">
        <v>1</v>
      </c>
      <c r="BV132" s="364">
        <v>1</v>
      </c>
      <c r="BW132" s="364">
        <v>0</v>
      </c>
      <c r="BX132" s="364">
        <v>0</v>
      </c>
      <c r="BY132" s="364">
        <v>0</v>
      </c>
      <c r="BZ132" s="365">
        <v>1</v>
      </c>
      <c r="CA132" s="363" t="s">
        <v>539</v>
      </c>
      <c r="CB132" s="364">
        <v>4</v>
      </c>
      <c r="CC132" s="364">
        <v>1</v>
      </c>
      <c r="CD132" s="364">
        <v>0</v>
      </c>
      <c r="CE132" s="364">
        <v>1</v>
      </c>
      <c r="CF132" s="364">
        <v>1</v>
      </c>
      <c r="CG132" s="364">
        <v>2</v>
      </c>
      <c r="CH132" s="364">
        <v>0</v>
      </c>
      <c r="CI132" s="364">
        <v>0</v>
      </c>
      <c r="CJ132" s="365">
        <v>0</v>
      </c>
      <c r="CK132" s="363" t="s">
        <v>530</v>
      </c>
      <c r="CL132" s="364">
        <v>4</v>
      </c>
      <c r="CM132" s="364">
        <v>0</v>
      </c>
      <c r="CN132" s="364">
        <v>0</v>
      </c>
      <c r="CO132" s="364">
        <v>0</v>
      </c>
      <c r="CP132" s="364">
        <v>1</v>
      </c>
      <c r="CQ132" s="364">
        <v>1</v>
      </c>
      <c r="CR132" s="364">
        <v>0</v>
      </c>
      <c r="CS132" s="364">
        <v>0</v>
      </c>
      <c r="CT132" s="365">
        <v>0</v>
      </c>
      <c r="CU132" s="363" t="s">
        <v>284</v>
      </c>
      <c r="CV132" s="364">
        <v>3</v>
      </c>
      <c r="CW132" s="364">
        <v>1</v>
      </c>
      <c r="CX132" s="364">
        <v>1</v>
      </c>
      <c r="CY132" s="364">
        <v>1</v>
      </c>
      <c r="CZ132" s="364">
        <v>1</v>
      </c>
      <c r="DA132" s="364">
        <v>1</v>
      </c>
      <c r="DB132" s="364">
        <v>0</v>
      </c>
      <c r="DC132" s="364">
        <v>1</v>
      </c>
      <c r="DD132" s="365">
        <v>1</v>
      </c>
      <c r="DE132" s="363" t="s">
        <v>538</v>
      </c>
      <c r="DF132" s="364">
        <v>4</v>
      </c>
      <c r="DG132" s="364">
        <v>2</v>
      </c>
      <c r="DH132" s="364">
        <v>2</v>
      </c>
      <c r="DI132" s="364">
        <v>2</v>
      </c>
      <c r="DJ132" s="364">
        <v>1</v>
      </c>
      <c r="DK132" s="364">
        <v>2</v>
      </c>
      <c r="DL132" s="364">
        <v>0</v>
      </c>
      <c r="DM132" s="364">
        <v>0</v>
      </c>
      <c r="DN132" s="365">
        <v>3</v>
      </c>
      <c r="DO132" s="363" t="s">
        <v>529</v>
      </c>
      <c r="DP132" s="364">
        <v>3</v>
      </c>
      <c r="DQ132" s="364">
        <v>3</v>
      </c>
      <c r="DR132" s="364">
        <v>1</v>
      </c>
      <c r="DS132" s="364">
        <v>0</v>
      </c>
      <c r="DT132" s="364">
        <v>2</v>
      </c>
      <c r="DU132" s="364">
        <v>1</v>
      </c>
      <c r="DV132" s="364">
        <v>0</v>
      </c>
      <c r="DW132" s="364">
        <v>0</v>
      </c>
      <c r="DX132" s="365">
        <v>2</v>
      </c>
      <c r="DY132" s="402">
        <f>2+1/3</f>
        <v>2.3333333333333335</v>
      </c>
      <c r="DZ132" s="367">
        <v>1</v>
      </c>
      <c r="EA132" s="367">
        <v>0</v>
      </c>
      <c r="EB132" s="403">
        <f>5+2/3</f>
        <v>5.666666666666667</v>
      </c>
      <c r="EC132" s="367">
        <v>4</v>
      </c>
      <c r="ED132" s="369">
        <v>0</v>
      </c>
      <c r="EE132" s="370">
        <v>1</v>
      </c>
      <c r="EF132" s="367">
        <v>3</v>
      </c>
      <c r="EG132" s="367">
        <v>2</v>
      </c>
      <c r="EH132" s="367">
        <v>0</v>
      </c>
      <c r="EI132" s="367">
        <v>2</v>
      </c>
      <c r="EJ132" s="367">
        <v>0</v>
      </c>
      <c r="EK132" s="367">
        <v>4</v>
      </c>
      <c r="EL132" s="367">
        <v>0</v>
      </c>
      <c r="EM132" s="367"/>
      <c r="EN132" s="367"/>
      <c r="EO132" s="367"/>
      <c r="EP132" s="367"/>
      <c r="EQ132" s="367"/>
      <c r="ER132" s="369">
        <f t="shared" si="124"/>
        <v>12</v>
      </c>
      <c r="ES132" s="367">
        <v>4</v>
      </c>
      <c r="ET132" s="367">
        <v>0</v>
      </c>
      <c r="EU132" s="367">
        <v>0</v>
      </c>
      <c r="EV132" s="367">
        <v>0</v>
      </c>
      <c r="EW132" s="367">
        <v>0</v>
      </c>
      <c r="EX132" s="367">
        <v>0</v>
      </c>
      <c r="EY132" s="367">
        <v>0</v>
      </c>
      <c r="EZ132" s="367">
        <v>0</v>
      </c>
      <c r="FA132" s="367">
        <v>2</v>
      </c>
      <c r="FB132" s="367"/>
      <c r="FC132" s="367"/>
      <c r="FD132" s="367"/>
      <c r="FE132" s="367"/>
      <c r="FF132" s="367">
        <f t="shared" si="125"/>
        <v>6</v>
      </c>
      <c r="FG132" s="371">
        <f t="shared" si="126"/>
        <v>0</v>
      </c>
      <c r="FH132" s="371">
        <f t="shared" si="127"/>
        <v>0</v>
      </c>
      <c r="FI132" s="371">
        <f t="shared" si="131"/>
        <v>-3</v>
      </c>
      <c r="FJ132" s="371">
        <f t="shared" si="132"/>
        <v>3</v>
      </c>
      <c r="FK132" s="371">
        <f t="shared" si="133"/>
        <v>2</v>
      </c>
      <c r="FL132" s="371">
        <f t="shared" si="134"/>
        <v>0</v>
      </c>
      <c r="FM132" s="371">
        <f t="shared" si="135"/>
        <v>2</v>
      </c>
      <c r="FN132" s="371">
        <f t="shared" si="136"/>
        <v>0</v>
      </c>
      <c r="FO132" s="371">
        <f t="shared" si="137"/>
        <v>4</v>
      </c>
      <c r="FP132" s="371">
        <f t="shared" si="138"/>
        <v>0</v>
      </c>
      <c r="FQ132" s="371">
        <f t="shared" si="139"/>
        <v>-2</v>
      </c>
      <c r="FR132" s="371">
        <f t="shared" si="140"/>
        <v>0</v>
      </c>
      <c r="FS132" s="371">
        <f t="shared" si="141"/>
        <v>0</v>
      </c>
      <c r="FT132" s="371">
        <f t="shared" si="142"/>
        <v>0</v>
      </c>
      <c r="FU132" s="371">
        <f t="shared" si="143"/>
        <v>0</v>
      </c>
      <c r="FV132" s="371">
        <f t="shared" si="144"/>
        <v>6</v>
      </c>
      <c r="FW132" s="372"/>
    </row>
    <row r="133" spans="1:179" x14ac:dyDescent="0.25">
      <c r="A133" s="380">
        <v>40418</v>
      </c>
      <c r="B133" s="380" t="s">
        <v>19</v>
      </c>
      <c r="C133" s="380" t="s">
        <v>131</v>
      </c>
      <c r="D133" s="380" t="s">
        <v>537</v>
      </c>
      <c r="E133" s="374">
        <v>4296</v>
      </c>
      <c r="F133" s="358">
        <v>1</v>
      </c>
      <c r="G133" s="359" t="s">
        <v>546</v>
      </c>
      <c r="H133" s="376">
        <v>0</v>
      </c>
      <c r="I133" s="376">
        <v>1</v>
      </c>
      <c r="J133" s="401">
        <v>4</v>
      </c>
      <c r="K133" s="376">
        <v>5</v>
      </c>
      <c r="L133" s="376">
        <v>3</v>
      </c>
      <c r="M133" s="376">
        <v>3</v>
      </c>
      <c r="N133" s="376">
        <v>5</v>
      </c>
      <c r="O133" s="376">
        <v>5</v>
      </c>
      <c r="P133" s="376">
        <v>0</v>
      </c>
      <c r="Q133" s="376">
        <v>0</v>
      </c>
      <c r="R133" s="376">
        <v>23</v>
      </c>
      <c r="S133" s="376"/>
      <c r="T133" s="376"/>
      <c r="U133" s="376">
        <v>0</v>
      </c>
      <c r="V133" s="362">
        <v>0</v>
      </c>
      <c r="W133" s="376">
        <v>0</v>
      </c>
      <c r="X133" s="376">
        <v>0</v>
      </c>
      <c r="Y133" s="376">
        <v>0</v>
      </c>
      <c r="Z133" s="376">
        <v>0</v>
      </c>
      <c r="AA133" s="376">
        <v>0</v>
      </c>
      <c r="AB133" s="401">
        <v>5</v>
      </c>
      <c r="AC133" s="376">
        <v>2</v>
      </c>
      <c r="AD133" s="376">
        <v>0</v>
      </c>
      <c r="AE133" s="376">
        <v>0</v>
      </c>
      <c r="AF133" s="376">
        <v>2</v>
      </c>
      <c r="AG133" s="376">
        <v>4</v>
      </c>
      <c r="AH133" s="376">
        <v>0</v>
      </c>
      <c r="AI133" s="376">
        <v>0</v>
      </c>
      <c r="AJ133" s="376">
        <v>19</v>
      </c>
      <c r="AK133" s="376"/>
      <c r="AL133" s="376"/>
      <c r="AM133" s="363" t="s">
        <v>291</v>
      </c>
      <c r="AN133" s="364">
        <v>3</v>
      </c>
      <c r="AO133" s="364">
        <v>0</v>
      </c>
      <c r="AP133" s="364">
        <v>0</v>
      </c>
      <c r="AQ133" s="364">
        <v>0</v>
      </c>
      <c r="AR133" s="364">
        <v>2</v>
      </c>
      <c r="AS133" s="364">
        <v>1</v>
      </c>
      <c r="AT133" s="364">
        <v>0</v>
      </c>
      <c r="AU133" s="364">
        <v>0</v>
      </c>
      <c r="AV133" s="365">
        <v>0</v>
      </c>
      <c r="AW133" s="363" t="s">
        <v>535</v>
      </c>
      <c r="AX133" s="364">
        <v>4</v>
      </c>
      <c r="AY133" s="364">
        <v>0</v>
      </c>
      <c r="AZ133" s="364">
        <v>1</v>
      </c>
      <c r="BA133" s="364">
        <v>0</v>
      </c>
      <c r="BB133" s="364">
        <v>1</v>
      </c>
      <c r="BC133" s="364">
        <v>2</v>
      </c>
      <c r="BD133" s="364">
        <v>0</v>
      </c>
      <c r="BE133" s="364">
        <v>0</v>
      </c>
      <c r="BF133" s="365">
        <v>1</v>
      </c>
      <c r="BG133" s="363" t="s">
        <v>531</v>
      </c>
      <c r="BH133" s="364">
        <v>4</v>
      </c>
      <c r="BI133" s="364">
        <v>0</v>
      </c>
      <c r="BJ133" s="364">
        <v>0</v>
      </c>
      <c r="BK133" s="364">
        <v>0</v>
      </c>
      <c r="BL133" s="364">
        <v>1</v>
      </c>
      <c r="BM133" s="364">
        <v>2</v>
      </c>
      <c r="BN133" s="364">
        <v>0</v>
      </c>
      <c r="BO133" s="364">
        <v>0</v>
      </c>
      <c r="BP133" s="365">
        <v>0</v>
      </c>
      <c r="BQ133" s="363" t="s">
        <v>532</v>
      </c>
      <c r="BR133" s="364">
        <v>4</v>
      </c>
      <c r="BS133" s="364">
        <v>0</v>
      </c>
      <c r="BT133" s="364">
        <v>1</v>
      </c>
      <c r="BU133" s="364">
        <v>0</v>
      </c>
      <c r="BV133" s="364">
        <v>0</v>
      </c>
      <c r="BW133" s="364">
        <v>0</v>
      </c>
      <c r="BX133" s="364">
        <v>0</v>
      </c>
      <c r="BY133" s="364">
        <v>0</v>
      </c>
      <c r="BZ133" s="365">
        <v>1</v>
      </c>
      <c r="CA133" s="363" t="s">
        <v>539</v>
      </c>
      <c r="CB133" s="364">
        <v>4</v>
      </c>
      <c r="CC133" s="364">
        <v>0</v>
      </c>
      <c r="CD133" s="364">
        <v>1</v>
      </c>
      <c r="CE133" s="364">
        <v>0</v>
      </c>
      <c r="CF133" s="364">
        <v>0</v>
      </c>
      <c r="CG133" s="364">
        <v>1</v>
      </c>
      <c r="CH133" s="364">
        <v>0</v>
      </c>
      <c r="CI133" s="364">
        <v>0</v>
      </c>
      <c r="CJ133" s="365">
        <v>1</v>
      </c>
      <c r="CK133" s="363" t="s">
        <v>529</v>
      </c>
      <c r="CL133" s="364">
        <v>4</v>
      </c>
      <c r="CM133" s="364">
        <v>1</v>
      </c>
      <c r="CN133" s="364">
        <v>1</v>
      </c>
      <c r="CO133" s="364">
        <v>0</v>
      </c>
      <c r="CP133" s="364">
        <v>0</v>
      </c>
      <c r="CQ133" s="364">
        <v>0</v>
      </c>
      <c r="CR133" s="364">
        <v>0</v>
      </c>
      <c r="CS133" s="364">
        <v>0</v>
      </c>
      <c r="CT133" s="365">
        <v>1</v>
      </c>
      <c r="CU133" s="363" t="s">
        <v>549</v>
      </c>
      <c r="CV133" s="364">
        <v>4</v>
      </c>
      <c r="CW133" s="364">
        <v>1</v>
      </c>
      <c r="CX133" s="364">
        <v>1</v>
      </c>
      <c r="CY133" s="364">
        <v>0</v>
      </c>
      <c r="CZ133" s="364">
        <v>0</v>
      </c>
      <c r="DA133" s="364">
        <v>0</v>
      </c>
      <c r="DB133" s="364">
        <v>0</v>
      </c>
      <c r="DC133" s="364">
        <v>0</v>
      </c>
      <c r="DD133" s="365">
        <v>2</v>
      </c>
      <c r="DE133" s="363" t="s">
        <v>425</v>
      </c>
      <c r="DF133" s="364">
        <v>4</v>
      </c>
      <c r="DG133" s="364">
        <v>0</v>
      </c>
      <c r="DH133" s="364">
        <v>1</v>
      </c>
      <c r="DI133" s="364">
        <v>1</v>
      </c>
      <c r="DJ133" s="364">
        <v>0</v>
      </c>
      <c r="DK133" s="364">
        <v>1</v>
      </c>
      <c r="DL133" s="364">
        <v>0</v>
      </c>
      <c r="DM133" s="364">
        <v>0</v>
      </c>
      <c r="DN133" s="365">
        <v>1</v>
      </c>
      <c r="DO133" s="363" t="s">
        <v>538</v>
      </c>
      <c r="DP133" s="364">
        <v>4</v>
      </c>
      <c r="DQ133" s="364">
        <v>0</v>
      </c>
      <c r="DR133" s="364">
        <v>1</v>
      </c>
      <c r="DS133" s="364">
        <v>0</v>
      </c>
      <c r="DT133" s="364">
        <v>0</v>
      </c>
      <c r="DU133" s="364">
        <v>0</v>
      </c>
      <c r="DV133" s="364">
        <v>0</v>
      </c>
      <c r="DW133" s="364">
        <v>0</v>
      </c>
      <c r="DX133" s="365">
        <v>1</v>
      </c>
      <c r="DY133" s="402">
        <v>1</v>
      </c>
      <c r="DZ133" s="367">
        <v>0</v>
      </c>
      <c r="EA133" s="367">
        <v>0</v>
      </c>
      <c r="EB133" s="403">
        <v>8</v>
      </c>
      <c r="EC133" s="367">
        <v>3</v>
      </c>
      <c r="ED133" s="369">
        <v>0</v>
      </c>
      <c r="EE133" s="370">
        <v>0</v>
      </c>
      <c r="EF133" s="367">
        <v>0</v>
      </c>
      <c r="EG133" s="367">
        <v>0</v>
      </c>
      <c r="EH133" s="367">
        <v>0</v>
      </c>
      <c r="EI133" s="367">
        <v>0</v>
      </c>
      <c r="EJ133" s="367">
        <v>0</v>
      </c>
      <c r="EK133" s="367">
        <v>2</v>
      </c>
      <c r="EL133" s="367">
        <v>0</v>
      </c>
      <c r="EM133" s="367">
        <v>0</v>
      </c>
      <c r="EN133" s="367"/>
      <c r="EO133" s="367"/>
      <c r="EP133" s="367"/>
      <c r="EQ133" s="367"/>
      <c r="ER133" s="369">
        <f t="shared" si="124"/>
        <v>2</v>
      </c>
      <c r="ES133" s="367">
        <v>2</v>
      </c>
      <c r="ET133" s="367">
        <v>0</v>
      </c>
      <c r="EU133" s="367">
        <v>0</v>
      </c>
      <c r="EV133" s="367">
        <v>1</v>
      </c>
      <c r="EW133" s="367">
        <v>0</v>
      </c>
      <c r="EX133" s="367">
        <v>0</v>
      </c>
      <c r="EY133" s="367">
        <v>0</v>
      </c>
      <c r="EZ133" s="367">
        <v>0</v>
      </c>
      <c r="FA133" s="367">
        <v>0</v>
      </c>
      <c r="FB133" s="367"/>
      <c r="FC133" s="367"/>
      <c r="FD133" s="367"/>
      <c r="FE133" s="367"/>
      <c r="FF133" s="367">
        <f t="shared" si="125"/>
        <v>3</v>
      </c>
      <c r="FG133" s="371">
        <f t="shared" si="126"/>
        <v>0</v>
      </c>
      <c r="FH133" s="371">
        <f t="shared" si="127"/>
        <v>0</v>
      </c>
      <c r="FI133" s="371">
        <f t="shared" si="131"/>
        <v>-2</v>
      </c>
      <c r="FJ133" s="371">
        <f t="shared" si="132"/>
        <v>0</v>
      </c>
      <c r="FK133" s="371">
        <f t="shared" si="133"/>
        <v>0</v>
      </c>
      <c r="FL133" s="371">
        <f t="shared" si="134"/>
        <v>-1</v>
      </c>
      <c r="FM133" s="371">
        <f t="shared" si="135"/>
        <v>0</v>
      </c>
      <c r="FN133" s="371">
        <f t="shared" si="136"/>
        <v>0</v>
      </c>
      <c r="FO133" s="371">
        <f t="shared" si="137"/>
        <v>2</v>
      </c>
      <c r="FP133" s="371">
        <f t="shared" si="138"/>
        <v>0</v>
      </c>
      <c r="FQ133" s="371">
        <f t="shared" si="139"/>
        <v>0</v>
      </c>
      <c r="FR133" s="371">
        <f t="shared" si="140"/>
        <v>0</v>
      </c>
      <c r="FS133" s="371">
        <f t="shared" si="141"/>
        <v>0</v>
      </c>
      <c r="FT133" s="371">
        <f t="shared" si="142"/>
        <v>0</v>
      </c>
      <c r="FU133" s="371">
        <f t="shared" si="143"/>
        <v>0</v>
      </c>
      <c r="FV133" s="371">
        <f t="shared" si="144"/>
        <v>-1</v>
      </c>
      <c r="FW133" s="372"/>
    </row>
    <row r="134" spans="1:179" x14ac:dyDescent="0.25">
      <c r="A134" s="380">
        <v>40419</v>
      </c>
      <c r="B134" s="380" t="s">
        <v>19</v>
      </c>
      <c r="C134" s="380" t="s">
        <v>129</v>
      </c>
      <c r="D134" s="380" t="s">
        <v>537</v>
      </c>
      <c r="E134" s="374">
        <v>4451</v>
      </c>
      <c r="F134" s="358">
        <v>2</v>
      </c>
      <c r="G134" s="359" t="s">
        <v>321</v>
      </c>
      <c r="H134" s="376">
        <v>1</v>
      </c>
      <c r="I134" s="376">
        <v>0</v>
      </c>
      <c r="J134" s="401">
        <v>5</v>
      </c>
      <c r="K134" s="376">
        <v>3</v>
      </c>
      <c r="L134" s="376">
        <v>1</v>
      </c>
      <c r="M134" s="376">
        <v>1</v>
      </c>
      <c r="N134" s="376">
        <v>1</v>
      </c>
      <c r="O134" s="376">
        <v>5</v>
      </c>
      <c r="P134" s="376">
        <v>0</v>
      </c>
      <c r="Q134" s="376">
        <v>0</v>
      </c>
      <c r="R134" s="376">
        <v>19</v>
      </c>
      <c r="S134" s="376"/>
      <c r="T134" s="376"/>
      <c r="U134" s="376">
        <v>0</v>
      </c>
      <c r="V134" s="362">
        <v>0</v>
      </c>
      <c r="W134" s="376">
        <v>0</v>
      </c>
      <c r="X134" s="376">
        <v>0</v>
      </c>
      <c r="Y134" s="376">
        <v>0</v>
      </c>
      <c r="Z134" s="376">
        <v>1</v>
      </c>
      <c r="AA134" s="376">
        <v>0</v>
      </c>
      <c r="AB134" s="401">
        <v>4</v>
      </c>
      <c r="AC134" s="376">
        <v>5</v>
      </c>
      <c r="AD134" s="376">
        <v>4</v>
      </c>
      <c r="AE134" s="376">
        <v>4</v>
      </c>
      <c r="AF134" s="376">
        <v>2</v>
      </c>
      <c r="AG134" s="376">
        <v>2</v>
      </c>
      <c r="AH134" s="376">
        <v>2</v>
      </c>
      <c r="AI134" s="376">
        <v>0</v>
      </c>
      <c r="AJ134" s="376">
        <v>17</v>
      </c>
      <c r="AK134" s="376"/>
      <c r="AL134" s="376"/>
      <c r="AM134" s="363" t="s">
        <v>291</v>
      </c>
      <c r="AN134" s="364">
        <v>3</v>
      </c>
      <c r="AO134" s="364">
        <v>1</v>
      </c>
      <c r="AP134" s="364">
        <v>0</v>
      </c>
      <c r="AQ134" s="364">
        <v>0</v>
      </c>
      <c r="AR134" s="364">
        <v>1</v>
      </c>
      <c r="AS134" s="364">
        <v>0</v>
      </c>
      <c r="AT134" s="364">
        <v>0</v>
      </c>
      <c r="AU134" s="364">
        <v>0</v>
      </c>
      <c r="AV134" s="365">
        <v>0</v>
      </c>
      <c r="AW134" s="363" t="s">
        <v>535</v>
      </c>
      <c r="AX134" s="364">
        <v>4</v>
      </c>
      <c r="AY134" s="364">
        <v>2</v>
      </c>
      <c r="AZ134" s="364">
        <v>2</v>
      </c>
      <c r="BA134" s="364">
        <v>1</v>
      </c>
      <c r="BB134" s="364">
        <v>0</v>
      </c>
      <c r="BC134" s="364">
        <v>0</v>
      </c>
      <c r="BD134" s="364">
        <v>0</v>
      </c>
      <c r="BE134" s="364">
        <v>0</v>
      </c>
      <c r="BF134" s="365">
        <v>3</v>
      </c>
      <c r="BG134" s="363" t="s">
        <v>531</v>
      </c>
      <c r="BH134" s="364">
        <v>4</v>
      </c>
      <c r="BI134" s="364">
        <v>1</v>
      </c>
      <c r="BJ134" s="364">
        <v>1</v>
      </c>
      <c r="BK134" s="364">
        <v>2</v>
      </c>
      <c r="BL134" s="364">
        <v>0</v>
      </c>
      <c r="BM134" s="364">
        <v>1</v>
      </c>
      <c r="BN134" s="364">
        <v>0</v>
      </c>
      <c r="BO134" s="364">
        <v>0</v>
      </c>
      <c r="BP134" s="365">
        <v>2</v>
      </c>
      <c r="BQ134" s="363" t="s">
        <v>532</v>
      </c>
      <c r="BR134" s="364">
        <v>4</v>
      </c>
      <c r="BS134" s="364">
        <v>0</v>
      </c>
      <c r="BT134" s="364">
        <v>1</v>
      </c>
      <c r="BU134" s="364">
        <v>1</v>
      </c>
      <c r="BV134" s="364">
        <v>0</v>
      </c>
      <c r="BW134" s="364">
        <v>2</v>
      </c>
      <c r="BX134" s="364">
        <v>0</v>
      </c>
      <c r="BY134" s="364">
        <v>0</v>
      </c>
      <c r="BZ134" s="365">
        <v>1</v>
      </c>
      <c r="CA134" s="363" t="s">
        <v>530</v>
      </c>
      <c r="CB134" s="364">
        <v>4</v>
      </c>
      <c r="CC134" s="364">
        <v>1</v>
      </c>
      <c r="CD134" s="364">
        <v>1</v>
      </c>
      <c r="CE134" s="364">
        <v>0</v>
      </c>
      <c r="CF134" s="364">
        <v>0</v>
      </c>
      <c r="CG134" s="364">
        <v>1</v>
      </c>
      <c r="CH134" s="364">
        <v>0</v>
      </c>
      <c r="CI134" s="364">
        <v>0</v>
      </c>
      <c r="CJ134" s="365">
        <v>2</v>
      </c>
      <c r="CK134" s="363" t="s">
        <v>529</v>
      </c>
      <c r="CL134" s="364">
        <v>4</v>
      </c>
      <c r="CM134" s="364">
        <v>0</v>
      </c>
      <c r="CN134" s="364">
        <v>0</v>
      </c>
      <c r="CO134" s="364">
        <v>0</v>
      </c>
      <c r="CP134" s="364">
        <v>0</v>
      </c>
      <c r="CQ134" s="364">
        <v>2</v>
      </c>
      <c r="CR134" s="364">
        <v>0</v>
      </c>
      <c r="CS134" s="364">
        <v>0</v>
      </c>
      <c r="CT134" s="365">
        <v>0</v>
      </c>
      <c r="CU134" s="363" t="s">
        <v>549</v>
      </c>
      <c r="CV134" s="364">
        <v>4</v>
      </c>
      <c r="CW134" s="364">
        <v>1</v>
      </c>
      <c r="CX134" s="364">
        <v>2</v>
      </c>
      <c r="CY134" s="364">
        <v>1</v>
      </c>
      <c r="CZ134" s="364">
        <v>0</v>
      </c>
      <c r="DA134" s="364">
        <v>1</v>
      </c>
      <c r="DB134" s="364">
        <v>0</v>
      </c>
      <c r="DC134" s="364">
        <v>0</v>
      </c>
      <c r="DD134" s="365">
        <v>3</v>
      </c>
      <c r="DE134" s="363" t="s">
        <v>284</v>
      </c>
      <c r="DF134" s="364">
        <v>3</v>
      </c>
      <c r="DG134" s="364">
        <v>0</v>
      </c>
      <c r="DH134" s="364">
        <v>1</v>
      </c>
      <c r="DI134" s="364">
        <v>0</v>
      </c>
      <c r="DJ134" s="364">
        <v>1</v>
      </c>
      <c r="DK134" s="364">
        <v>2</v>
      </c>
      <c r="DL134" s="364">
        <v>0</v>
      </c>
      <c r="DM134" s="364">
        <v>0</v>
      </c>
      <c r="DN134" s="365">
        <v>1</v>
      </c>
      <c r="DO134" s="363" t="s">
        <v>543</v>
      </c>
      <c r="DP134" s="364">
        <v>4</v>
      </c>
      <c r="DQ134" s="364">
        <v>1</v>
      </c>
      <c r="DR134" s="364">
        <v>1</v>
      </c>
      <c r="DS134" s="364">
        <v>1</v>
      </c>
      <c r="DT134" s="364">
        <v>0</v>
      </c>
      <c r="DU134" s="364">
        <v>0</v>
      </c>
      <c r="DV134" s="364">
        <v>0</v>
      </c>
      <c r="DW134" s="364">
        <v>0</v>
      </c>
      <c r="DX134" s="365">
        <v>2</v>
      </c>
      <c r="DY134" s="402">
        <f>4+1/3</f>
        <v>4.333333333333333</v>
      </c>
      <c r="DZ134" s="367">
        <v>2</v>
      </c>
      <c r="EA134" s="367">
        <v>0</v>
      </c>
      <c r="EB134" s="403">
        <f>3+2/3</f>
        <v>3.6666666666666665</v>
      </c>
      <c r="EC134" s="367">
        <v>1</v>
      </c>
      <c r="ED134" s="369">
        <v>0</v>
      </c>
      <c r="EE134" s="370">
        <v>0</v>
      </c>
      <c r="EF134" s="367">
        <v>0</v>
      </c>
      <c r="EG134" s="367">
        <v>0</v>
      </c>
      <c r="EH134" s="367">
        <v>1</v>
      </c>
      <c r="EI134" s="367">
        <v>5</v>
      </c>
      <c r="EJ134" s="367">
        <v>0</v>
      </c>
      <c r="EK134" s="367">
        <v>0</v>
      </c>
      <c r="EL134" s="367">
        <v>1</v>
      </c>
      <c r="EM134" s="367"/>
      <c r="EN134" s="367"/>
      <c r="EO134" s="367"/>
      <c r="EP134" s="367"/>
      <c r="EQ134" s="367"/>
      <c r="ER134" s="369">
        <f t="shared" si="124"/>
        <v>7</v>
      </c>
      <c r="ES134" s="367">
        <v>1</v>
      </c>
      <c r="ET134" s="367">
        <v>0</v>
      </c>
      <c r="EU134" s="367">
        <v>0</v>
      </c>
      <c r="EV134" s="367">
        <v>0</v>
      </c>
      <c r="EW134" s="367">
        <v>0</v>
      </c>
      <c r="EX134" s="367">
        <v>2</v>
      </c>
      <c r="EY134" s="367">
        <v>0</v>
      </c>
      <c r="EZ134" s="367">
        <v>0</v>
      </c>
      <c r="FA134" s="367">
        <v>2</v>
      </c>
      <c r="FB134" s="367"/>
      <c r="FC134" s="367"/>
      <c r="FD134" s="367"/>
      <c r="FE134" s="367"/>
      <c r="FF134" s="367">
        <f t="shared" si="125"/>
        <v>5</v>
      </c>
      <c r="FG134" s="371">
        <f t="shared" si="126"/>
        <v>0</v>
      </c>
      <c r="FH134" s="371">
        <f t="shared" si="127"/>
        <v>0</v>
      </c>
      <c r="FI134" s="371">
        <f t="shared" si="131"/>
        <v>-1</v>
      </c>
      <c r="FJ134" s="371">
        <f t="shared" si="132"/>
        <v>0</v>
      </c>
      <c r="FK134" s="371">
        <f t="shared" si="133"/>
        <v>0</v>
      </c>
      <c r="FL134" s="371">
        <f t="shared" si="134"/>
        <v>1</v>
      </c>
      <c r="FM134" s="371">
        <f t="shared" si="135"/>
        <v>5</v>
      </c>
      <c r="FN134" s="371">
        <f t="shared" si="136"/>
        <v>-2</v>
      </c>
      <c r="FO134" s="371">
        <f t="shared" si="137"/>
        <v>0</v>
      </c>
      <c r="FP134" s="371">
        <f t="shared" si="138"/>
        <v>1</v>
      </c>
      <c r="FQ134" s="371">
        <f t="shared" si="139"/>
        <v>-2</v>
      </c>
      <c r="FR134" s="371">
        <f t="shared" si="140"/>
        <v>0</v>
      </c>
      <c r="FS134" s="371">
        <f t="shared" si="141"/>
        <v>0</v>
      </c>
      <c r="FT134" s="371">
        <f t="shared" si="142"/>
        <v>0</v>
      </c>
      <c r="FU134" s="371">
        <f t="shared" si="143"/>
        <v>0</v>
      </c>
      <c r="FV134" s="371">
        <f t="shared" si="144"/>
        <v>2</v>
      </c>
      <c r="FW134" s="372"/>
    </row>
    <row r="135" spans="1:179" x14ac:dyDescent="0.25">
      <c r="A135" s="380">
        <v>40420</v>
      </c>
      <c r="B135" s="380" t="s">
        <v>19</v>
      </c>
      <c r="C135" s="380" t="s">
        <v>129</v>
      </c>
      <c r="D135" s="380" t="s">
        <v>537</v>
      </c>
      <c r="E135" s="374">
        <v>3161</v>
      </c>
      <c r="F135" s="358">
        <v>3</v>
      </c>
      <c r="G135" s="359" t="s">
        <v>680</v>
      </c>
      <c r="H135" s="376">
        <v>0</v>
      </c>
      <c r="I135" s="376">
        <v>0</v>
      </c>
      <c r="J135" s="401">
        <v>4</v>
      </c>
      <c r="K135" s="376">
        <v>2</v>
      </c>
      <c r="L135" s="376">
        <v>1</v>
      </c>
      <c r="M135" s="376">
        <v>1</v>
      </c>
      <c r="N135" s="376">
        <v>3</v>
      </c>
      <c r="O135" s="376">
        <v>2</v>
      </c>
      <c r="P135" s="376">
        <v>0</v>
      </c>
      <c r="Q135" s="376">
        <v>0</v>
      </c>
      <c r="R135" s="376">
        <v>15</v>
      </c>
      <c r="S135" s="376"/>
      <c r="T135" s="376"/>
      <c r="U135" s="376">
        <v>0</v>
      </c>
      <c r="V135" s="362">
        <v>0</v>
      </c>
      <c r="W135" s="376">
        <v>1</v>
      </c>
      <c r="X135" s="376">
        <v>0</v>
      </c>
      <c r="Y135" s="376">
        <v>0</v>
      </c>
      <c r="Z135" s="376">
        <v>1</v>
      </c>
      <c r="AA135" s="376">
        <v>0</v>
      </c>
      <c r="AB135" s="401">
        <v>5</v>
      </c>
      <c r="AC135" s="376">
        <v>1</v>
      </c>
      <c r="AD135" s="376">
        <v>0</v>
      </c>
      <c r="AE135" s="376">
        <v>0</v>
      </c>
      <c r="AF135" s="376">
        <v>4</v>
      </c>
      <c r="AG135" s="376">
        <v>5</v>
      </c>
      <c r="AH135" s="376">
        <v>0</v>
      </c>
      <c r="AI135" s="376">
        <v>0</v>
      </c>
      <c r="AJ135" s="376">
        <v>19</v>
      </c>
      <c r="AK135" s="376"/>
      <c r="AL135" s="376"/>
      <c r="AM135" s="363" t="s">
        <v>538</v>
      </c>
      <c r="AN135" s="364">
        <v>4</v>
      </c>
      <c r="AO135" s="364">
        <v>0</v>
      </c>
      <c r="AP135" s="364">
        <v>1</v>
      </c>
      <c r="AQ135" s="364">
        <v>0</v>
      </c>
      <c r="AR135" s="364">
        <v>0</v>
      </c>
      <c r="AS135" s="364">
        <v>0</v>
      </c>
      <c r="AT135" s="364">
        <v>0</v>
      </c>
      <c r="AU135" s="364">
        <v>0</v>
      </c>
      <c r="AV135" s="365">
        <v>1</v>
      </c>
      <c r="AW135" s="363" t="s">
        <v>535</v>
      </c>
      <c r="AX135" s="364">
        <v>4</v>
      </c>
      <c r="AY135" s="364">
        <v>1</v>
      </c>
      <c r="AZ135" s="364">
        <v>1</v>
      </c>
      <c r="BA135" s="364">
        <v>0</v>
      </c>
      <c r="BB135" s="364">
        <v>0</v>
      </c>
      <c r="BC135" s="364">
        <v>1</v>
      </c>
      <c r="BD135" s="364">
        <v>0</v>
      </c>
      <c r="BE135" s="364">
        <v>0</v>
      </c>
      <c r="BF135" s="365">
        <v>1</v>
      </c>
      <c r="BG135" s="363" t="s">
        <v>531</v>
      </c>
      <c r="BH135" s="364">
        <v>3</v>
      </c>
      <c r="BI135" s="364">
        <v>2</v>
      </c>
      <c r="BJ135" s="364">
        <v>1</v>
      </c>
      <c r="BK135" s="364">
        <v>0</v>
      </c>
      <c r="BL135" s="364">
        <v>1</v>
      </c>
      <c r="BM135" s="364">
        <v>0</v>
      </c>
      <c r="BN135" s="364">
        <v>0</v>
      </c>
      <c r="BO135" s="364">
        <v>0</v>
      </c>
      <c r="BP135" s="365">
        <v>1</v>
      </c>
      <c r="BQ135" s="363" t="s">
        <v>530</v>
      </c>
      <c r="BR135" s="364">
        <v>4</v>
      </c>
      <c r="BS135" s="364">
        <v>0</v>
      </c>
      <c r="BT135" s="364">
        <v>2</v>
      </c>
      <c r="BU135" s="364">
        <v>2</v>
      </c>
      <c r="BV135" s="364">
        <v>0</v>
      </c>
      <c r="BW135" s="364">
        <v>2</v>
      </c>
      <c r="BX135" s="364">
        <v>0</v>
      </c>
      <c r="BY135" s="364">
        <v>0</v>
      </c>
      <c r="BZ135" s="365">
        <v>3</v>
      </c>
      <c r="CA135" s="363" t="s">
        <v>532</v>
      </c>
      <c r="CB135" s="364">
        <v>4</v>
      </c>
      <c r="CC135" s="364">
        <v>1</v>
      </c>
      <c r="CD135" s="364">
        <v>2</v>
      </c>
      <c r="CE135" s="364">
        <v>1</v>
      </c>
      <c r="CF135" s="364">
        <v>0</v>
      </c>
      <c r="CG135" s="364">
        <v>0</v>
      </c>
      <c r="CH135" s="364">
        <v>0</v>
      </c>
      <c r="CI135" s="364">
        <v>0</v>
      </c>
      <c r="CJ135" s="365">
        <v>3</v>
      </c>
      <c r="CK135" s="363" t="s">
        <v>549</v>
      </c>
      <c r="CL135" s="364">
        <v>2</v>
      </c>
      <c r="CM135" s="364">
        <v>0</v>
      </c>
      <c r="CN135" s="364">
        <v>0</v>
      </c>
      <c r="CO135" s="364">
        <v>0</v>
      </c>
      <c r="CP135" s="364">
        <v>0</v>
      </c>
      <c r="CQ135" s="364">
        <v>1</v>
      </c>
      <c r="CR135" s="364">
        <v>2</v>
      </c>
      <c r="CS135" s="364">
        <v>0</v>
      </c>
      <c r="CT135" s="365">
        <v>0</v>
      </c>
      <c r="CU135" s="363" t="s">
        <v>284</v>
      </c>
      <c r="CV135" s="364">
        <v>3</v>
      </c>
      <c r="CW135" s="364">
        <v>0</v>
      </c>
      <c r="CX135" s="364">
        <v>0</v>
      </c>
      <c r="CY135" s="364">
        <v>1</v>
      </c>
      <c r="CZ135" s="364">
        <v>0</v>
      </c>
      <c r="DA135" s="364">
        <v>1</v>
      </c>
      <c r="DB135" s="364">
        <v>0</v>
      </c>
      <c r="DC135" s="364">
        <v>1</v>
      </c>
      <c r="DD135" s="365">
        <v>0</v>
      </c>
      <c r="DE135" s="363" t="s">
        <v>543</v>
      </c>
      <c r="DF135" s="364">
        <v>3</v>
      </c>
      <c r="DG135" s="364">
        <v>0</v>
      </c>
      <c r="DH135" s="364">
        <v>0</v>
      </c>
      <c r="DI135" s="364">
        <v>0</v>
      </c>
      <c r="DJ135" s="364">
        <v>1</v>
      </c>
      <c r="DK135" s="364">
        <v>0</v>
      </c>
      <c r="DL135" s="364">
        <v>0</v>
      </c>
      <c r="DM135" s="364">
        <v>0</v>
      </c>
      <c r="DN135" s="365">
        <v>0</v>
      </c>
      <c r="DO135" s="363" t="s">
        <v>529</v>
      </c>
      <c r="DP135" s="364">
        <v>4</v>
      </c>
      <c r="DQ135" s="364">
        <v>0</v>
      </c>
      <c r="DR135" s="364">
        <v>0</v>
      </c>
      <c r="DS135" s="364">
        <v>0</v>
      </c>
      <c r="DT135" s="364">
        <v>0</v>
      </c>
      <c r="DU135" s="364">
        <v>1</v>
      </c>
      <c r="DV135" s="364">
        <v>0</v>
      </c>
      <c r="DW135" s="364">
        <v>0</v>
      </c>
      <c r="DX135" s="365">
        <v>0</v>
      </c>
      <c r="DY135" s="402">
        <v>7</v>
      </c>
      <c r="DZ135" s="367">
        <v>1</v>
      </c>
      <c r="EA135" s="367">
        <v>1</v>
      </c>
      <c r="EB135" s="403">
        <v>1</v>
      </c>
      <c r="EC135" s="367">
        <v>0</v>
      </c>
      <c r="ED135" s="369">
        <v>0</v>
      </c>
      <c r="EE135" s="370">
        <v>2</v>
      </c>
      <c r="EF135" s="367">
        <v>0</v>
      </c>
      <c r="EG135" s="367">
        <v>1</v>
      </c>
      <c r="EH135" s="367">
        <v>0</v>
      </c>
      <c r="EI135" s="367">
        <v>0</v>
      </c>
      <c r="EJ135" s="367">
        <v>0</v>
      </c>
      <c r="EK135" s="367">
        <v>0</v>
      </c>
      <c r="EL135" s="367">
        <v>1</v>
      </c>
      <c r="EM135" s="367"/>
      <c r="EN135" s="367"/>
      <c r="EO135" s="367"/>
      <c r="EP135" s="367"/>
      <c r="EQ135" s="367"/>
      <c r="ER135" s="369">
        <f t="shared" si="124"/>
        <v>4</v>
      </c>
      <c r="ES135" s="367">
        <v>0</v>
      </c>
      <c r="ET135" s="367">
        <v>0</v>
      </c>
      <c r="EU135" s="367">
        <v>1</v>
      </c>
      <c r="EV135" s="367">
        <v>0</v>
      </c>
      <c r="EW135" s="367">
        <v>0</v>
      </c>
      <c r="EX135" s="367">
        <v>0</v>
      </c>
      <c r="EY135" s="367">
        <v>0</v>
      </c>
      <c r="EZ135" s="367">
        <v>0</v>
      </c>
      <c r="FA135" s="367">
        <v>0</v>
      </c>
      <c r="FB135" s="367"/>
      <c r="FC135" s="367"/>
      <c r="FD135" s="367"/>
      <c r="FE135" s="367"/>
      <c r="FF135" s="367">
        <f t="shared" si="125"/>
        <v>1</v>
      </c>
      <c r="FG135" s="371">
        <f t="shared" si="126"/>
        <v>0</v>
      </c>
      <c r="FH135" s="371">
        <f t="shared" si="127"/>
        <v>0</v>
      </c>
      <c r="FI135" s="371">
        <f t="shared" si="131"/>
        <v>2</v>
      </c>
      <c r="FJ135" s="371">
        <f t="shared" si="132"/>
        <v>0</v>
      </c>
      <c r="FK135" s="371">
        <f t="shared" si="133"/>
        <v>0</v>
      </c>
      <c r="FL135" s="371">
        <f t="shared" si="134"/>
        <v>0</v>
      </c>
      <c r="FM135" s="371">
        <f t="shared" si="135"/>
        <v>0</v>
      </c>
      <c r="FN135" s="371">
        <f t="shared" si="136"/>
        <v>0</v>
      </c>
      <c r="FO135" s="371">
        <f t="shared" si="137"/>
        <v>0</v>
      </c>
      <c r="FP135" s="371">
        <f t="shared" si="138"/>
        <v>1</v>
      </c>
      <c r="FQ135" s="371">
        <f t="shared" si="139"/>
        <v>0</v>
      </c>
      <c r="FR135" s="371">
        <f t="shared" si="140"/>
        <v>0</v>
      </c>
      <c r="FS135" s="371">
        <f t="shared" si="141"/>
        <v>0</v>
      </c>
      <c r="FT135" s="371">
        <f t="shared" si="142"/>
        <v>0</v>
      </c>
      <c r="FU135" s="371">
        <f t="shared" si="143"/>
        <v>0</v>
      </c>
      <c r="FV135" s="371">
        <f t="shared" si="144"/>
        <v>3</v>
      </c>
      <c r="FW135" s="372"/>
    </row>
    <row r="136" spans="1:179" x14ac:dyDescent="0.25">
      <c r="A136" s="380">
        <v>40421</v>
      </c>
      <c r="B136" s="380" t="s">
        <v>19</v>
      </c>
      <c r="C136" s="380" t="s">
        <v>131</v>
      </c>
      <c r="D136" s="380" t="s">
        <v>537</v>
      </c>
      <c r="E136" s="374">
        <v>5197</v>
      </c>
      <c r="F136" s="358">
        <v>4</v>
      </c>
      <c r="G136" s="359" t="s">
        <v>679</v>
      </c>
      <c r="H136" s="376">
        <v>0</v>
      </c>
      <c r="I136" s="376">
        <v>1</v>
      </c>
      <c r="J136" s="401">
        <f>2+2/3</f>
        <v>2.6666666666666665</v>
      </c>
      <c r="K136" s="376">
        <v>3</v>
      </c>
      <c r="L136" s="376">
        <v>7</v>
      </c>
      <c r="M136" s="376">
        <v>5</v>
      </c>
      <c r="N136" s="376">
        <v>5</v>
      </c>
      <c r="O136" s="376">
        <v>2</v>
      </c>
      <c r="P136" s="376">
        <v>0</v>
      </c>
      <c r="Q136" s="376">
        <v>0</v>
      </c>
      <c r="R136" s="376">
        <v>17</v>
      </c>
      <c r="S136" s="376"/>
      <c r="T136" s="376"/>
      <c r="U136" s="376">
        <v>3</v>
      </c>
      <c r="V136" s="362">
        <v>3</v>
      </c>
      <c r="W136" s="376">
        <v>0</v>
      </c>
      <c r="X136" s="376">
        <v>0</v>
      </c>
      <c r="Y136" s="376">
        <v>0</v>
      </c>
      <c r="Z136" s="376">
        <v>0</v>
      </c>
      <c r="AA136" s="376">
        <v>0</v>
      </c>
      <c r="AB136" s="401">
        <f>6+1/3</f>
        <v>6.333333333333333</v>
      </c>
      <c r="AC136" s="376">
        <v>7</v>
      </c>
      <c r="AD136" s="376">
        <v>6</v>
      </c>
      <c r="AE136" s="376">
        <v>1</v>
      </c>
      <c r="AF136" s="376">
        <v>6</v>
      </c>
      <c r="AG136" s="376">
        <v>5</v>
      </c>
      <c r="AH136" s="376">
        <v>0</v>
      </c>
      <c r="AI136" s="376">
        <v>1</v>
      </c>
      <c r="AJ136" s="376">
        <v>37</v>
      </c>
      <c r="AK136" s="376"/>
      <c r="AL136" s="376"/>
      <c r="AM136" s="363" t="s">
        <v>538</v>
      </c>
      <c r="AN136" s="364">
        <v>4</v>
      </c>
      <c r="AO136" s="364">
        <v>3</v>
      </c>
      <c r="AP136" s="364">
        <v>1</v>
      </c>
      <c r="AQ136" s="364">
        <v>0</v>
      </c>
      <c r="AR136" s="364">
        <v>1</v>
      </c>
      <c r="AS136" s="364">
        <v>1</v>
      </c>
      <c r="AT136" s="364">
        <v>0</v>
      </c>
      <c r="AU136" s="364">
        <v>0</v>
      </c>
      <c r="AV136" s="365">
        <v>1</v>
      </c>
      <c r="AW136" s="363" t="s">
        <v>535</v>
      </c>
      <c r="AX136" s="364">
        <v>3</v>
      </c>
      <c r="AY136" s="364">
        <v>2</v>
      </c>
      <c r="AZ136" s="364">
        <v>2</v>
      </c>
      <c r="BA136" s="364">
        <v>1</v>
      </c>
      <c r="BB136" s="364">
        <v>2</v>
      </c>
      <c r="BC136" s="364">
        <v>0</v>
      </c>
      <c r="BD136" s="364">
        <v>0</v>
      </c>
      <c r="BE136" s="364">
        <v>0</v>
      </c>
      <c r="BF136" s="365">
        <v>4</v>
      </c>
      <c r="BG136" s="363" t="s">
        <v>531</v>
      </c>
      <c r="BH136" s="364">
        <v>4</v>
      </c>
      <c r="BI136" s="364">
        <v>1</v>
      </c>
      <c r="BJ136" s="364">
        <v>1</v>
      </c>
      <c r="BK136" s="364">
        <v>4</v>
      </c>
      <c r="BL136" s="364">
        <v>0</v>
      </c>
      <c r="BM136" s="364">
        <v>0</v>
      </c>
      <c r="BN136" s="364">
        <v>1</v>
      </c>
      <c r="BO136" s="364">
        <v>0</v>
      </c>
      <c r="BP136" s="365">
        <v>4</v>
      </c>
      <c r="BQ136" s="363" t="s">
        <v>530</v>
      </c>
      <c r="BR136" s="364">
        <v>5</v>
      </c>
      <c r="BS136" s="364">
        <v>0</v>
      </c>
      <c r="BT136" s="364">
        <v>0</v>
      </c>
      <c r="BU136" s="364">
        <v>0</v>
      </c>
      <c r="BV136" s="364">
        <v>0</v>
      </c>
      <c r="BW136" s="364">
        <v>1</v>
      </c>
      <c r="BX136" s="364">
        <v>0</v>
      </c>
      <c r="BY136" s="364">
        <v>0</v>
      </c>
      <c r="BZ136" s="365">
        <v>0</v>
      </c>
      <c r="CA136" s="363" t="s">
        <v>532</v>
      </c>
      <c r="CB136" s="364">
        <v>4</v>
      </c>
      <c r="CC136" s="364">
        <v>1</v>
      </c>
      <c r="CD136" s="364">
        <v>3</v>
      </c>
      <c r="CE136" s="364">
        <v>1</v>
      </c>
      <c r="CF136" s="364">
        <v>1</v>
      </c>
      <c r="CG136" s="364">
        <v>1</v>
      </c>
      <c r="CH136" s="364">
        <v>0</v>
      </c>
      <c r="CI136" s="364">
        <v>0</v>
      </c>
      <c r="CJ136" s="365">
        <v>3</v>
      </c>
      <c r="CK136" s="363" t="s">
        <v>539</v>
      </c>
      <c r="CL136" s="364">
        <v>4</v>
      </c>
      <c r="CM136" s="364">
        <v>1</v>
      </c>
      <c r="CN136" s="364">
        <v>1</v>
      </c>
      <c r="CO136" s="364">
        <v>0</v>
      </c>
      <c r="CP136" s="364">
        <v>1</v>
      </c>
      <c r="CQ136" s="364">
        <v>1</v>
      </c>
      <c r="CR136" s="364">
        <v>0</v>
      </c>
      <c r="CS136" s="364">
        <v>0</v>
      </c>
      <c r="CT136" s="365">
        <v>2</v>
      </c>
      <c r="CU136" s="363" t="s">
        <v>549</v>
      </c>
      <c r="CV136" s="364">
        <v>4</v>
      </c>
      <c r="CW136" s="364">
        <v>0</v>
      </c>
      <c r="CX136" s="364">
        <v>0</v>
      </c>
      <c r="CY136" s="364">
        <v>1</v>
      </c>
      <c r="CZ136" s="364">
        <v>0</v>
      </c>
      <c r="DA136" s="364">
        <v>1</v>
      </c>
      <c r="DB136" s="364">
        <v>0</v>
      </c>
      <c r="DC136" s="364">
        <v>1</v>
      </c>
      <c r="DD136" s="365">
        <v>0</v>
      </c>
      <c r="DE136" s="363" t="s">
        <v>291</v>
      </c>
      <c r="DF136" s="364">
        <v>3</v>
      </c>
      <c r="DG136" s="364">
        <v>1</v>
      </c>
      <c r="DH136" s="364">
        <v>0</v>
      </c>
      <c r="DI136" s="364">
        <v>0</v>
      </c>
      <c r="DJ136" s="364">
        <v>2</v>
      </c>
      <c r="DK136" s="364">
        <v>2</v>
      </c>
      <c r="DL136" s="364">
        <v>0</v>
      </c>
      <c r="DM136" s="364">
        <v>0</v>
      </c>
      <c r="DN136" s="365">
        <v>0</v>
      </c>
      <c r="DO136" s="363" t="s">
        <v>529</v>
      </c>
      <c r="DP136" s="364">
        <v>4</v>
      </c>
      <c r="DQ136" s="364">
        <v>0</v>
      </c>
      <c r="DR136" s="364">
        <v>0</v>
      </c>
      <c r="DS136" s="364">
        <v>0</v>
      </c>
      <c r="DT136" s="364">
        <v>1</v>
      </c>
      <c r="DU136" s="364">
        <v>2</v>
      </c>
      <c r="DV136" s="364">
        <v>0</v>
      </c>
      <c r="DW136" s="364">
        <v>0</v>
      </c>
      <c r="DX136" s="365">
        <v>0</v>
      </c>
      <c r="DY136" s="402">
        <v>5</v>
      </c>
      <c r="DZ136" s="367">
        <v>1</v>
      </c>
      <c r="EA136" s="367">
        <v>0</v>
      </c>
      <c r="EB136" s="403">
        <v>4</v>
      </c>
      <c r="EC136" s="367">
        <v>0</v>
      </c>
      <c r="ED136" s="369">
        <v>0</v>
      </c>
      <c r="EE136" s="370">
        <v>0</v>
      </c>
      <c r="EF136" s="367">
        <v>0</v>
      </c>
      <c r="EG136" s="367">
        <v>0</v>
      </c>
      <c r="EH136" s="367">
        <v>0</v>
      </c>
      <c r="EI136" s="367">
        <v>1</v>
      </c>
      <c r="EJ136" s="367">
        <v>2</v>
      </c>
      <c r="EK136" s="367">
        <v>2</v>
      </c>
      <c r="EL136" s="367">
        <v>4</v>
      </c>
      <c r="EM136" s="367">
        <v>0</v>
      </c>
      <c r="EN136" s="367"/>
      <c r="EO136" s="367"/>
      <c r="EP136" s="367"/>
      <c r="EQ136" s="367"/>
      <c r="ER136" s="369">
        <f t="shared" si="124"/>
        <v>9</v>
      </c>
      <c r="ES136" s="367">
        <v>0</v>
      </c>
      <c r="ET136" s="367">
        <v>3</v>
      </c>
      <c r="EU136" s="367">
        <v>4</v>
      </c>
      <c r="EV136" s="367">
        <v>0</v>
      </c>
      <c r="EW136" s="367">
        <v>1</v>
      </c>
      <c r="EX136" s="367">
        <v>0</v>
      </c>
      <c r="EY136" s="367">
        <v>0</v>
      </c>
      <c r="EZ136" s="367">
        <v>5</v>
      </c>
      <c r="FA136" s="367">
        <v>0</v>
      </c>
      <c r="FB136" s="367"/>
      <c r="FC136" s="367"/>
      <c r="FD136" s="367"/>
      <c r="FE136" s="367"/>
      <c r="FF136" s="367">
        <f t="shared" si="125"/>
        <v>13</v>
      </c>
      <c r="FG136" s="371">
        <f t="shared" si="126"/>
        <v>0</v>
      </c>
      <c r="FH136" s="371">
        <f t="shared" si="127"/>
        <v>0</v>
      </c>
      <c r="FI136" s="371">
        <f t="shared" si="131"/>
        <v>0</v>
      </c>
      <c r="FJ136" s="371">
        <f t="shared" si="132"/>
        <v>-3</v>
      </c>
      <c r="FK136" s="371">
        <f t="shared" si="133"/>
        <v>-4</v>
      </c>
      <c r="FL136" s="371">
        <f t="shared" si="134"/>
        <v>0</v>
      </c>
      <c r="FM136" s="371">
        <f t="shared" si="135"/>
        <v>0</v>
      </c>
      <c r="FN136" s="371">
        <f t="shared" si="136"/>
        <v>2</v>
      </c>
      <c r="FO136" s="371">
        <f t="shared" si="137"/>
        <v>2</v>
      </c>
      <c r="FP136" s="371">
        <f t="shared" si="138"/>
        <v>-1</v>
      </c>
      <c r="FQ136" s="371">
        <f t="shared" si="139"/>
        <v>0</v>
      </c>
      <c r="FR136" s="371">
        <f t="shared" si="140"/>
        <v>0</v>
      </c>
      <c r="FS136" s="371">
        <f t="shared" si="141"/>
        <v>0</v>
      </c>
      <c r="FT136" s="371">
        <f t="shared" si="142"/>
        <v>0</v>
      </c>
      <c r="FU136" s="371">
        <f t="shared" si="143"/>
        <v>0</v>
      </c>
      <c r="FV136" s="371">
        <f t="shared" si="144"/>
        <v>-4</v>
      </c>
      <c r="FW136" s="372"/>
    </row>
    <row r="137" spans="1:179" x14ac:dyDescent="0.25">
      <c r="A137" s="380">
        <v>40422</v>
      </c>
      <c r="B137" s="380" t="s">
        <v>133</v>
      </c>
      <c r="C137" s="380" t="s">
        <v>129</v>
      </c>
      <c r="D137" s="380" t="s">
        <v>544</v>
      </c>
      <c r="E137" s="374">
        <v>8008</v>
      </c>
      <c r="F137" s="358">
        <v>5</v>
      </c>
      <c r="G137" s="359" t="s">
        <v>681</v>
      </c>
      <c r="H137" s="376">
        <v>0</v>
      </c>
      <c r="I137" s="376">
        <v>0</v>
      </c>
      <c r="J137" s="401">
        <v>4</v>
      </c>
      <c r="K137" s="376">
        <v>1</v>
      </c>
      <c r="L137" s="376">
        <v>0</v>
      </c>
      <c r="M137" s="376">
        <v>0</v>
      </c>
      <c r="N137" s="376">
        <v>1</v>
      </c>
      <c r="O137" s="376">
        <v>3</v>
      </c>
      <c r="P137" s="376">
        <v>0</v>
      </c>
      <c r="Q137" s="376">
        <v>0</v>
      </c>
      <c r="R137" s="376">
        <v>15</v>
      </c>
      <c r="S137" s="376"/>
      <c r="T137" s="376"/>
      <c r="U137" s="376">
        <v>0</v>
      </c>
      <c r="V137" s="362">
        <v>0</v>
      </c>
      <c r="W137" s="376">
        <v>1</v>
      </c>
      <c r="X137" s="376">
        <v>0</v>
      </c>
      <c r="Y137" s="376">
        <v>0</v>
      </c>
      <c r="Z137" s="376">
        <v>1</v>
      </c>
      <c r="AA137" s="376">
        <v>0</v>
      </c>
      <c r="AB137" s="401">
        <v>5</v>
      </c>
      <c r="AC137" s="376">
        <v>7</v>
      </c>
      <c r="AD137" s="376">
        <v>3</v>
      </c>
      <c r="AE137" s="376">
        <v>1</v>
      </c>
      <c r="AF137" s="376">
        <v>0</v>
      </c>
      <c r="AG137" s="376">
        <v>6</v>
      </c>
      <c r="AH137" s="376">
        <v>1</v>
      </c>
      <c r="AI137" s="376">
        <v>0</v>
      </c>
      <c r="AJ137" s="376">
        <v>23</v>
      </c>
      <c r="AK137" s="376"/>
      <c r="AL137" s="376"/>
      <c r="AM137" s="363" t="s">
        <v>538</v>
      </c>
      <c r="AN137" s="364">
        <v>5</v>
      </c>
      <c r="AO137" s="364">
        <v>0</v>
      </c>
      <c r="AP137" s="364">
        <v>0</v>
      </c>
      <c r="AQ137" s="364">
        <v>0</v>
      </c>
      <c r="AR137" s="364">
        <v>0</v>
      </c>
      <c r="AS137" s="364">
        <v>2</v>
      </c>
      <c r="AT137" s="364">
        <v>0</v>
      </c>
      <c r="AU137" s="364">
        <v>0</v>
      </c>
      <c r="AV137" s="365">
        <v>0</v>
      </c>
      <c r="AW137" s="363" t="s">
        <v>535</v>
      </c>
      <c r="AX137" s="364">
        <v>2</v>
      </c>
      <c r="AY137" s="364">
        <v>1</v>
      </c>
      <c r="AZ137" s="364">
        <v>1</v>
      </c>
      <c r="BA137" s="364">
        <v>0</v>
      </c>
      <c r="BB137" s="364">
        <v>2</v>
      </c>
      <c r="BC137" s="364">
        <v>0</v>
      </c>
      <c r="BD137" s="364">
        <v>0</v>
      </c>
      <c r="BE137" s="364">
        <v>0</v>
      </c>
      <c r="BF137" s="365">
        <v>1</v>
      </c>
      <c r="BG137" s="363" t="s">
        <v>539</v>
      </c>
      <c r="BH137" s="364">
        <v>4</v>
      </c>
      <c r="BI137" s="364">
        <v>1</v>
      </c>
      <c r="BJ137" s="364">
        <v>1</v>
      </c>
      <c r="BK137" s="364">
        <v>1</v>
      </c>
      <c r="BL137" s="364">
        <v>0</v>
      </c>
      <c r="BM137" s="364">
        <v>1</v>
      </c>
      <c r="BN137" s="364">
        <v>0</v>
      </c>
      <c r="BO137" s="364">
        <v>0</v>
      </c>
      <c r="BP137" s="365">
        <v>1</v>
      </c>
      <c r="BQ137" s="363" t="s">
        <v>532</v>
      </c>
      <c r="BR137" s="364">
        <v>4</v>
      </c>
      <c r="BS137" s="364">
        <v>1</v>
      </c>
      <c r="BT137" s="364">
        <v>1</v>
      </c>
      <c r="BU137" s="364">
        <v>0</v>
      </c>
      <c r="BV137" s="364">
        <v>0</v>
      </c>
      <c r="BW137" s="364">
        <v>1</v>
      </c>
      <c r="BX137" s="364">
        <v>0</v>
      </c>
      <c r="BY137" s="364">
        <v>0</v>
      </c>
      <c r="BZ137" s="365">
        <v>1</v>
      </c>
      <c r="CA137" s="363" t="s">
        <v>530</v>
      </c>
      <c r="CB137" s="364">
        <v>4</v>
      </c>
      <c r="CC137" s="364">
        <v>0</v>
      </c>
      <c r="CD137" s="364">
        <v>2</v>
      </c>
      <c r="CE137" s="364">
        <v>2</v>
      </c>
      <c r="CF137" s="364">
        <v>0</v>
      </c>
      <c r="CG137" s="364">
        <v>0</v>
      </c>
      <c r="CH137" s="364">
        <v>0</v>
      </c>
      <c r="CI137" s="364">
        <v>0</v>
      </c>
      <c r="CJ137" s="365">
        <v>2</v>
      </c>
      <c r="CK137" s="363" t="s">
        <v>284</v>
      </c>
      <c r="CL137" s="364">
        <v>4</v>
      </c>
      <c r="CM137" s="364">
        <v>0</v>
      </c>
      <c r="CN137" s="364">
        <v>0</v>
      </c>
      <c r="CO137" s="364">
        <v>0</v>
      </c>
      <c r="CP137" s="364">
        <v>0</v>
      </c>
      <c r="CQ137" s="364">
        <v>0</v>
      </c>
      <c r="CR137" s="364">
        <v>0</v>
      </c>
      <c r="CS137" s="364">
        <v>0</v>
      </c>
      <c r="CT137" s="365">
        <v>0</v>
      </c>
      <c r="CU137" s="363" t="s">
        <v>425</v>
      </c>
      <c r="CV137" s="364">
        <v>4</v>
      </c>
      <c r="CW137" s="364">
        <v>0</v>
      </c>
      <c r="CX137" s="364">
        <v>1</v>
      </c>
      <c r="CY137" s="364">
        <v>0</v>
      </c>
      <c r="CZ137" s="364">
        <v>0</v>
      </c>
      <c r="DA137" s="364">
        <v>3</v>
      </c>
      <c r="DB137" s="364">
        <v>0</v>
      </c>
      <c r="DC137" s="364">
        <v>0</v>
      </c>
      <c r="DD137" s="365">
        <v>1</v>
      </c>
      <c r="DE137" s="363" t="s">
        <v>291</v>
      </c>
      <c r="DF137" s="364">
        <v>4</v>
      </c>
      <c r="DG137" s="364">
        <v>0</v>
      </c>
      <c r="DH137" s="364">
        <v>0</v>
      </c>
      <c r="DI137" s="364">
        <v>0</v>
      </c>
      <c r="DJ137" s="364">
        <v>0</v>
      </c>
      <c r="DK137" s="364">
        <v>3</v>
      </c>
      <c r="DL137" s="364">
        <v>0</v>
      </c>
      <c r="DM137" s="364">
        <v>0</v>
      </c>
      <c r="DN137" s="365">
        <v>0</v>
      </c>
      <c r="DO137" s="363" t="s">
        <v>529</v>
      </c>
      <c r="DP137" s="364">
        <v>3</v>
      </c>
      <c r="DQ137" s="364">
        <v>2</v>
      </c>
      <c r="DR137" s="364">
        <v>2</v>
      </c>
      <c r="DS137" s="364">
        <v>1</v>
      </c>
      <c r="DT137" s="364">
        <v>0</v>
      </c>
      <c r="DU137" s="364">
        <v>0</v>
      </c>
      <c r="DV137" s="364">
        <v>1</v>
      </c>
      <c r="DW137" s="364">
        <v>0</v>
      </c>
      <c r="DX137" s="365">
        <v>5</v>
      </c>
      <c r="DY137" s="402">
        <v>0</v>
      </c>
      <c r="DZ137" s="367">
        <v>0</v>
      </c>
      <c r="EA137" s="367">
        <v>0</v>
      </c>
      <c r="EB137" s="403">
        <v>9</v>
      </c>
      <c r="EC137" s="367">
        <v>4</v>
      </c>
      <c r="ED137" s="369">
        <v>0</v>
      </c>
      <c r="EE137" s="370">
        <v>0</v>
      </c>
      <c r="EF137" s="367">
        <v>0</v>
      </c>
      <c r="EG137" s="367">
        <v>0</v>
      </c>
      <c r="EH137" s="367">
        <v>0</v>
      </c>
      <c r="EI137" s="367">
        <v>0</v>
      </c>
      <c r="EJ137" s="367">
        <v>0</v>
      </c>
      <c r="EK137" s="367">
        <v>1</v>
      </c>
      <c r="EL137" s="367">
        <v>3</v>
      </c>
      <c r="EM137" s="367">
        <v>1</v>
      </c>
      <c r="EN137" s="367"/>
      <c r="EO137" s="367"/>
      <c r="EP137" s="367"/>
      <c r="EQ137" s="367"/>
      <c r="ER137" s="369">
        <f t="shared" si="124"/>
        <v>5</v>
      </c>
      <c r="ES137" s="367">
        <v>0</v>
      </c>
      <c r="ET137" s="367">
        <v>0</v>
      </c>
      <c r="EU137" s="367">
        <v>0</v>
      </c>
      <c r="EV137" s="367">
        <v>0</v>
      </c>
      <c r="EW137" s="367">
        <v>0</v>
      </c>
      <c r="EX137" s="367">
        <v>0</v>
      </c>
      <c r="EY137" s="367">
        <v>1</v>
      </c>
      <c r="EZ137" s="367">
        <v>2</v>
      </c>
      <c r="FA137" s="367">
        <v>0</v>
      </c>
      <c r="FB137" s="367"/>
      <c r="FC137" s="367"/>
      <c r="FD137" s="367"/>
      <c r="FE137" s="367"/>
      <c r="FF137" s="367">
        <f t="shared" si="125"/>
        <v>3</v>
      </c>
      <c r="FG137" s="371">
        <f t="shared" si="126"/>
        <v>0</v>
      </c>
      <c r="FH137" s="371">
        <f t="shared" si="127"/>
        <v>0</v>
      </c>
      <c r="FI137" s="371">
        <f t="shared" si="131"/>
        <v>0</v>
      </c>
      <c r="FJ137" s="371">
        <f t="shared" si="132"/>
        <v>0</v>
      </c>
      <c r="FK137" s="371">
        <f t="shared" si="133"/>
        <v>0</v>
      </c>
      <c r="FL137" s="371">
        <f t="shared" si="134"/>
        <v>0</v>
      </c>
      <c r="FM137" s="371">
        <f t="shared" si="135"/>
        <v>0</v>
      </c>
      <c r="FN137" s="371">
        <f t="shared" si="136"/>
        <v>0</v>
      </c>
      <c r="FO137" s="371">
        <f t="shared" si="137"/>
        <v>0</v>
      </c>
      <c r="FP137" s="371">
        <f t="shared" si="138"/>
        <v>1</v>
      </c>
      <c r="FQ137" s="371">
        <f t="shared" si="139"/>
        <v>1</v>
      </c>
      <c r="FR137" s="371">
        <f t="shared" si="140"/>
        <v>0</v>
      </c>
      <c r="FS137" s="371">
        <f t="shared" si="141"/>
        <v>0</v>
      </c>
      <c r="FT137" s="371">
        <f t="shared" si="142"/>
        <v>0</v>
      </c>
      <c r="FU137" s="371">
        <f t="shared" si="143"/>
        <v>0</v>
      </c>
      <c r="FV137" s="371">
        <f t="shared" si="144"/>
        <v>2</v>
      </c>
      <c r="FW137" s="372"/>
    </row>
    <row r="138" spans="1:179" x14ac:dyDescent="0.25">
      <c r="A138" s="380">
        <v>40423</v>
      </c>
      <c r="B138" s="380" t="s">
        <v>133</v>
      </c>
      <c r="C138" s="380" t="s">
        <v>129</v>
      </c>
      <c r="D138" s="380" t="s">
        <v>544</v>
      </c>
      <c r="E138" s="374">
        <v>8671</v>
      </c>
      <c r="F138" s="358">
        <v>1</v>
      </c>
      <c r="G138" s="359" t="s">
        <v>546</v>
      </c>
      <c r="H138" s="376">
        <v>1</v>
      </c>
      <c r="I138" s="376">
        <v>0</v>
      </c>
      <c r="J138" s="401">
        <v>6</v>
      </c>
      <c r="K138" s="376">
        <v>2</v>
      </c>
      <c r="L138" s="376">
        <v>0</v>
      </c>
      <c r="M138" s="376">
        <v>0</v>
      </c>
      <c r="N138" s="376">
        <v>3</v>
      </c>
      <c r="O138" s="376">
        <v>7</v>
      </c>
      <c r="P138" s="376">
        <v>0</v>
      </c>
      <c r="Q138" s="376">
        <v>0</v>
      </c>
      <c r="R138" s="376">
        <v>22</v>
      </c>
      <c r="S138" s="376"/>
      <c r="T138" s="376"/>
      <c r="U138" s="376">
        <v>0</v>
      </c>
      <c r="V138" s="362">
        <v>0</v>
      </c>
      <c r="W138" s="376">
        <v>0</v>
      </c>
      <c r="X138" s="376">
        <v>0</v>
      </c>
      <c r="Y138" s="376">
        <v>0</v>
      </c>
      <c r="Z138" s="376">
        <v>0</v>
      </c>
      <c r="AA138" s="376">
        <v>0</v>
      </c>
      <c r="AB138" s="401">
        <v>3</v>
      </c>
      <c r="AC138" s="376">
        <v>2</v>
      </c>
      <c r="AD138" s="376">
        <v>1</v>
      </c>
      <c r="AE138" s="376">
        <v>1</v>
      </c>
      <c r="AF138" s="376">
        <v>0</v>
      </c>
      <c r="AG138" s="376">
        <v>5</v>
      </c>
      <c r="AH138" s="376">
        <v>1</v>
      </c>
      <c r="AI138" s="376">
        <v>0</v>
      </c>
      <c r="AJ138" s="376">
        <v>11</v>
      </c>
      <c r="AK138" s="376"/>
      <c r="AL138" s="376"/>
      <c r="AM138" s="363" t="s">
        <v>529</v>
      </c>
      <c r="AN138" s="364">
        <v>5</v>
      </c>
      <c r="AO138" s="364">
        <v>0</v>
      </c>
      <c r="AP138" s="364">
        <v>1</v>
      </c>
      <c r="AQ138" s="364">
        <v>0</v>
      </c>
      <c r="AR138" s="364">
        <v>0</v>
      </c>
      <c r="AS138" s="364">
        <v>1</v>
      </c>
      <c r="AT138" s="364">
        <v>0</v>
      </c>
      <c r="AU138" s="364">
        <v>0</v>
      </c>
      <c r="AV138" s="365">
        <v>1</v>
      </c>
      <c r="AW138" s="363" t="s">
        <v>535</v>
      </c>
      <c r="AX138" s="364">
        <v>3</v>
      </c>
      <c r="AY138" s="364">
        <v>2</v>
      </c>
      <c r="AZ138" s="364">
        <v>0</v>
      </c>
      <c r="BA138" s="364">
        <v>0</v>
      </c>
      <c r="BB138" s="364">
        <v>1</v>
      </c>
      <c r="BC138" s="364">
        <v>1</v>
      </c>
      <c r="BD138" s="364">
        <v>1</v>
      </c>
      <c r="BE138" s="364">
        <v>0</v>
      </c>
      <c r="BF138" s="365">
        <v>0</v>
      </c>
      <c r="BG138" s="363" t="s">
        <v>532</v>
      </c>
      <c r="BH138" s="364">
        <v>5</v>
      </c>
      <c r="BI138" s="364">
        <v>1</v>
      </c>
      <c r="BJ138" s="364">
        <v>4</v>
      </c>
      <c r="BK138" s="364">
        <v>0</v>
      </c>
      <c r="BL138" s="364">
        <v>0</v>
      </c>
      <c r="BM138" s="364">
        <v>0</v>
      </c>
      <c r="BN138" s="364">
        <v>0</v>
      </c>
      <c r="BO138" s="364">
        <v>0</v>
      </c>
      <c r="BP138" s="365">
        <v>5</v>
      </c>
      <c r="BQ138" s="363" t="s">
        <v>531</v>
      </c>
      <c r="BR138" s="364">
        <v>5</v>
      </c>
      <c r="BS138" s="364">
        <v>1</v>
      </c>
      <c r="BT138" s="364">
        <v>0</v>
      </c>
      <c r="BU138" s="364">
        <v>2</v>
      </c>
      <c r="BV138" s="364">
        <v>0</v>
      </c>
      <c r="BW138" s="364">
        <v>1</v>
      </c>
      <c r="BX138" s="364">
        <v>0</v>
      </c>
      <c r="BY138" s="364">
        <v>0</v>
      </c>
      <c r="BZ138" s="365">
        <v>0</v>
      </c>
      <c r="CA138" s="363" t="s">
        <v>530</v>
      </c>
      <c r="CB138" s="364">
        <v>4</v>
      </c>
      <c r="CC138" s="364">
        <v>1</v>
      </c>
      <c r="CD138" s="364">
        <v>2</v>
      </c>
      <c r="CE138" s="364">
        <v>1</v>
      </c>
      <c r="CF138" s="364">
        <v>0</v>
      </c>
      <c r="CG138" s="364">
        <v>0</v>
      </c>
      <c r="CH138" s="364">
        <v>0</v>
      </c>
      <c r="CI138" s="364">
        <v>0</v>
      </c>
      <c r="CJ138" s="365">
        <v>3</v>
      </c>
      <c r="CK138" s="363" t="s">
        <v>539</v>
      </c>
      <c r="CL138" s="364">
        <v>3</v>
      </c>
      <c r="CM138" s="364">
        <v>0</v>
      </c>
      <c r="CN138" s="364">
        <v>0</v>
      </c>
      <c r="CO138" s="364">
        <v>0</v>
      </c>
      <c r="CP138" s="364">
        <v>1</v>
      </c>
      <c r="CQ138" s="364">
        <v>1</v>
      </c>
      <c r="CR138" s="364">
        <v>0</v>
      </c>
      <c r="CS138" s="364">
        <v>0</v>
      </c>
      <c r="CT138" s="365">
        <v>0</v>
      </c>
      <c r="CU138" s="363" t="s">
        <v>549</v>
      </c>
      <c r="CV138" s="364">
        <v>3</v>
      </c>
      <c r="CW138" s="364">
        <v>0</v>
      </c>
      <c r="CX138" s="364">
        <v>0</v>
      </c>
      <c r="CY138" s="364">
        <v>0</v>
      </c>
      <c r="CZ138" s="364">
        <v>1</v>
      </c>
      <c r="DA138" s="364">
        <v>1</v>
      </c>
      <c r="DB138" s="364">
        <v>0</v>
      </c>
      <c r="DC138" s="364">
        <v>0</v>
      </c>
      <c r="DD138" s="365">
        <v>0</v>
      </c>
      <c r="DE138" s="363" t="s">
        <v>543</v>
      </c>
      <c r="DF138" s="364">
        <v>3</v>
      </c>
      <c r="DG138" s="364">
        <v>0</v>
      </c>
      <c r="DH138" s="364">
        <v>0</v>
      </c>
      <c r="DI138" s="364">
        <v>1</v>
      </c>
      <c r="DJ138" s="364">
        <v>0</v>
      </c>
      <c r="DK138" s="364">
        <v>0</v>
      </c>
      <c r="DL138" s="364">
        <v>0</v>
      </c>
      <c r="DM138" s="364">
        <v>1</v>
      </c>
      <c r="DN138" s="365">
        <v>0</v>
      </c>
      <c r="DO138" s="363" t="s">
        <v>538</v>
      </c>
      <c r="DP138" s="364">
        <v>2</v>
      </c>
      <c r="DQ138" s="364">
        <v>0</v>
      </c>
      <c r="DR138" s="364">
        <v>0</v>
      </c>
      <c r="DS138" s="364">
        <v>0</v>
      </c>
      <c r="DT138" s="364">
        <v>2</v>
      </c>
      <c r="DU138" s="364">
        <v>0</v>
      </c>
      <c r="DV138" s="364">
        <v>0</v>
      </c>
      <c r="DW138" s="364">
        <v>0</v>
      </c>
      <c r="DX138" s="365">
        <v>0</v>
      </c>
      <c r="DY138" s="402">
        <f>2+1/3</f>
        <v>2.3333333333333335</v>
      </c>
      <c r="DZ138" s="367">
        <v>0</v>
      </c>
      <c r="EA138" s="367">
        <v>0</v>
      </c>
      <c r="EB138" s="403">
        <f>6+2/3</f>
        <v>6.666666666666667</v>
      </c>
      <c r="EC138" s="367">
        <v>1</v>
      </c>
      <c r="ED138" s="369">
        <v>1</v>
      </c>
      <c r="EE138" s="370">
        <v>0</v>
      </c>
      <c r="EF138" s="367">
        <v>0</v>
      </c>
      <c r="EG138" s="367">
        <v>0</v>
      </c>
      <c r="EH138" s="367">
        <v>1</v>
      </c>
      <c r="EI138" s="367">
        <v>0</v>
      </c>
      <c r="EJ138" s="367">
        <v>4</v>
      </c>
      <c r="EK138" s="367">
        <v>0</v>
      </c>
      <c r="EL138" s="367">
        <v>0</v>
      </c>
      <c r="EM138" s="367">
        <v>0</v>
      </c>
      <c r="EN138" s="367"/>
      <c r="EO138" s="367"/>
      <c r="EP138" s="367"/>
      <c r="EQ138" s="367"/>
      <c r="ER138" s="369">
        <f t="shared" si="124"/>
        <v>5</v>
      </c>
      <c r="ES138" s="367">
        <v>0</v>
      </c>
      <c r="ET138" s="367">
        <v>0</v>
      </c>
      <c r="EU138" s="367">
        <v>0</v>
      </c>
      <c r="EV138" s="367">
        <v>0</v>
      </c>
      <c r="EW138" s="367">
        <v>0</v>
      </c>
      <c r="EX138" s="367">
        <v>0</v>
      </c>
      <c r="EY138" s="367">
        <v>0</v>
      </c>
      <c r="EZ138" s="367">
        <v>0</v>
      </c>
      <c r="FA138" s="367">
        <v>1</v>
      </c>
      <c r="FB138" s="367"/>
      <c r="FC138" s="367"/>
      <c r="FD138" s="367"/>
      <c r="FE138" s="367"/>
      <c r="FF138" s="367">
        <f t="shared" si="125"/>
        <v>1</v>
      </c>
      <c r="FG138" s="371">
        <f t="shared" si="126"/>
        <v>0</v>
      </c>
      <c r="FH138" s="371">
        <f t="shared" si="127"/>
        <v>0</v>
      </c>
      <c r="FI138" s="371">
        <f t="shared" si="131"/>
        <v>0</v>
      </c>
      <c r="FJ138" s="371">
        <f t="shared" si="132"/>
        <v>0</v>
      </c>
      <c r="FK138" s="371">
        <f t="shared" si="133"/>
        <v>0</v>
      </c>
      <c r="FL138" s="371">
        <f t="shared" si="134"/>
        <v>1</v>
      </c>
      <c r="FM138" s="371">
        <f t="shared" si="135"/>
        <v>0</v>
      </c>
      <c r="FN138" s="371">
        <f t="shared" si="136"/>
        <v>4</v>
      </c>
      <c r="FO138" s="371">
        <f t="shared" si="137"/>
        <v>0</v>
      </c>
      <c r="FP138" s="371">
        <f t="shared" si="138"/>
        <v>0</v>
      </c>
      <c r="FQ138" s="371">
        <f t="shared" si="139"/>
        <v>-1</v>
      </c>
      <c r="FR138" s="371">
        <f t="shared" si="140"/>
        <v>0</v>
      </c>
      <c r="FS138" s="371">
        <f t="shared" si="141"/>
        <v>0</v>
      </c>
      <c r="FT138" s="371">
        <f t="shared" si="142"/>
        <v>0</v>
      </c>
      <c r="FU138" s="371">
        <f t="shared" si="143"/>
        <v>0</v>
      </c>
      <c r="FV138" s="371">
        <f t="shared" si="144"/>
        <v>4</v>
      </c>
      <c r="FW138" s="372"/>
    </row>
    <row r="139" spans="1:179" x14ac:dyDescent="0.25">
      <c r="A139" s="380">
        <v>40424</v>
      </c>
      <c r="B139" s="380" t="s">
        <v>133</v>
      </c>
      <c r="C139" s="380" t="s">
        <v>129</v>
      </c>
      <c r="D139" s="380" t="s">
        <v>544</v>
      </c>
      <c r="E139" s="374">
        <v>8520</v>
      </c>
      <c r="F139" s="358">
        <v>2</v>
      </c>
      <c r="G139" s="359" t="s">
        <v>321</v>
      </c>
      <c r="H139" s="376">
        <v>1</v>
      </c>
      <c r="I139" s="376">
        <v>0</v>
      </c>
      <c r="J139" s="401">
        <v>5</v>
      </c>
      <c r="K139" s="376">
        <v>1</v>
      </c>
      <c r="L139" s="376">
        <v>0</v>
      </c>
      <c r="M139" s="376">
        <v>0</v>
      </c>
      <c r="N139" s="376">
        <v>2</v>
      </c>
      <c r="O139" s="376">
        <v>4</v>
      </c>
      <c r="P139" s="376">
        <v>0</v>
      </c>
      <c r="Q139" s="376">
        <v>0</v>
      </c>
      <c r="R139" s="376">
        <v>17</v>
      </c>
      <c r="S139" s="376"/>
      <c r="T139" s="376"/>
      <c r="U139" s="376">
        <v>0</v>
      </c>
      <c r="V139" s="362">
        <v>0</v>
      </c>
      <c r="W139" s="376">
        <v>0</v>
      </c>
      <c r="X139" s="376">
        <v>0</v>
      </c>
      <c r="Y139" s="376">
        <v>0</v>
      </c>
      <c r="Z139" s="376">
        <v>1</v>
      </c>
      <c r="AA139" s="376">
        <v>0</v>
      </c>
      <c r="AB139" s="401">
        <v>4</v>
      </c>
      <c r="AC139" s="376">
        <v>2</v>
      </c>
      <c r="AD139" s="376">
        <v>1</v>
      </c>
      <c r="AE139" s="376">
        <v>1</v>
      </c>
      <c r="AF139" s="376">
        <v>2</v>
      </c>
      <c r="AG139" s="376">
        <v>3</v>
      </c>
      <c r="AH139" s="376">
        <v>0</v>
      </c>
      <c r="AI139" s="376">
        <v>0</v>
      </c>
      <c r="AJ139" s="376">
        <v>16</v>
      </c>
      <c r="AK139" s="376"/>
      <c r="AL139" s="376"/>
      <c r="AM139" s="363" t="s">
        <v>538</v>
      </c>
      <c r="AN139" s="364">
        <v>5</v>
      </c>
      <c r="AO139" s="364">
        <v>0</v>
      </c>
      <c r="AP139" s="364">
        <v>1</v>
      </c>
      <c r="AQ139" s="364">
        <v>1</v>
      </c>
      <c r="AR139" s="364">
        <v>0</v>
      </c>
      <c r="AS139" s="364">
        <v>0</v>
      </c>
      <c r="AT139" s="364">
        <v>0</v>
      </c>
      <c r="AU139" s="364">
        <v>0</v>
      </c>
      <c r="AV139" s="365">
        <v>1</v>
      </c>
      <c r="AW139" s="363" t="s">
        <v>535</v>
      </c>
      <c r="AX139" s="364">
        <v>5</v>
      </c>
      <c r="AY139" s="364">
        <v>1</v>
      </c>
      <c r="AZ139" s="364">
        <v>2</v>
      </c>
      <c r="BA139" s="364">
        <v>0</v>
      </c>
      <c r="BB139" s="364">
        <v>0</v>
      </c>
      <c r="BC139" s="364">
        <v>1</v>
      </c>
      <c r="BD139" s="364">
        <v>0</v>
      </c>
      <c r="BE139" s="364">
        <v>0</v>
      </c>
      <c r="BF139" s="365">
        <v>3</v>
      </c>
      <c r="BG139" s="363" t="s">
        <v>531</v>
      </c>
      <c r="BH139" s="364">
        <v>2</v>
      </c>
      <c r="BI139" s="364">
        <v>1</v>
      </c>
      <c r="BJ139" s="364">
        <v>0</v>
      </c>
      <c r="BK139" s="364">
        <v>0</v>
      </c>
      <c r="BL139" s="364">
        <v>2</v>
      </c>
      <c r="BM139" s="364">
        <v>1</v>
      </c>
      <c r="BN139" s="364">
        <v>1</v>
      </c>
      <c r="BO139" s="364">
        <v>0</v>
      </c>
      <c r="BP139" s="365">
        <v>0</v>
      </c>
      <c r="BQ139" s="363" t="s">
        <v>532</v>
      </c>
      <c r="BR139" s="364">
        <v>5</v>
      </c>
      <c r="BS139" s="364">
        <v>1</v>
      </c>
      <c r="BT139" s="364">
        <v>1</v>
      </c>
      <c r="BU139" s="364">
        <v>0</v>
      </c>
      <c r="BV139" s="364">
        <v>0</v>
      </c>
      <c r="BW139" s="364">
        <v>2</v>
      </c>
      <c r="BX139" s="364">
        <v>0</v>
      </c>
      <c r="BY139" s="364">
        <v>0</v>
      </c>
      <c r="BZ139" s="365">
        <v>1</v>
      </c>
      <c r="CA139" s="363" t="s">
        <v>530</v>
      </c>
      <c r="CB139" s="364">
        <v>3</v>
      </c>
      <c r="CC139" s="364">
        <v>0</v>
      </c>
      <c r="CD139" s="364">
        <v>0</v>
      </c>
      <c r="CE139" s="364">
        <v>0</v>
      </c>
      <c r="CF139" s="364">
        <v>1</v>
      </c>
      <c r="CG139" s="364">
        <v>1</v>
      </c>
      <c r="CH139" s="364">
        <v>0</v>
      </c>
      <c r="CI139" s="364">
        <v>0</v>
      </c>
      <c r="CJ139" s="365">
        <v>0</v>
      </c>
      <c r="CK139" s="363" t="s">
        <v>425</v>
      </c>
      <c r="CL139" s="364">
        <v>3</v>
      </c>
      <c r="CM139" s="364">
        <v>1</v>
      </c>
      <c r="CN139" s="364">
        <v>2</v>
      </c>
      <c r="CO139" s="364">
        <v>2</v>
      </c>
      <c r="CP139" s="364">
        <v>1</v>
      </c>
      <c r="CQ139" s="364">
        <v>0</v>
      </c>
      <c r="CR139" s="364">
        <v>0</v>
      </c>
      <c r="CS139" s="364">
        <v>0</v>
      </c>
      <c r="CT139" s="365">
        <v>2</v>
      </c>
      <c r="CU139" s="363" t="s">
        <v>549</v>
      </c>
      <c r="CV139" s="364">
        <v>3</v>
      </c>
      <c r="CW139" s="364">
        <v>1</v>
      </c>
      <c r="CX139" s="364">
        <v>1</v>
      </c>
      <c r="CY139" s="364">
        <v>1</v>
      </c>
      <c r="CZ139" s="364">
        <v>1</v>
      </c>
      <c r="DA139" s="364">
        <v>0</v>
      </c>
      <c r="DB139" s="364">
        <v>0</v>
      </c>
      <c r="DC139" s="364">
        <v>0</v>
      </c>
      <c r="DD139" s="365">
        <v>1</v>
      </c>
      <c r="DE139" s="363" t="s">
        <v>284</v>
      </c>
      <c r="DF139" s="364">
        <v>4</v>
      </c>
      <c r="DG139" s="364">
        <v>1</v>
      </c>
      <c r="DH139" s="364">
        <v>2</v>
      </c>
      <c r="DI139" s="364">
        <v>0</v>
      </c>
      <c r="DJ139" s="364">
        <v>0</v>
      </c>
      <c r="DK139" s="364">
        <v>2</v>
      </c>
      <c r="DL139" s="364">
        <v>0</v>
      </c>
      <c r="DM139" s="364">
        <v>0</v>
      </c>
      <c r="DN139" s="365">
        <v>2</v>
      </c>
      <c r="DO139" s="363" t="s">
        <v>543</v>
      </c>
      <c r="DP139" s="364">
        <v>4</v>
      </c>
      <c r="DQ139" s="364">
        <v>1</v>
      </c>
      <c r="DR139" s="364">
        <v>1</v>
      </c>
      <c r="DS139" s="364">
        <v>3</v>
      </c>
      <c r="DT139" s="364">
        <v>0</v>
      </c>
      <c r="DU139" s="364">
        <v>2</v>
      </c>
      <c r="DV139" s="364">
        <v>0</v>
      </c>
      <c r="DW139" s="364">
        <v>0</v>
      </c>
      <c r="DX139" s="365">
        <v>4</v>
      </c>
      <c r="DY139" s="402">
        <v>1</v>
      </c>
      <c r="DZ139" s="367">
        <v>0</v>
      </c>
      <c r="EA139" s="367">
        <v>0</v>
      </c>
      <c r="EB139" s="403">
        <v>8</v>
      </c>
      <c r="EC139" s="367">
        <v>2</v>
      </c>
      <c r="ED139" s="369">
        <v>1</v>
      </c>
      <c r="EE139" s="370">
        <v>2</v>
      </c>
      <c r="EF139" s="367">
        <v>0</v>
      </c>
      <c r="EG139" s="367">
        <v>0</v>
      </c>
      <c r="EH139" s="367">
        <v>0</v>
      </c>
      <c r="EI139" s="367">
        <v>0</v>
      </c>
      <c r="EJ139" s="367">
        <v>0</v>
      </c>
      <c r="EK139" s="367">
        <v>1</v>
      </c>
      <c r="EL139" s="367">
        <v>4</v>
      </c>
      <c r="EM139" s="367">
        <v>0</v>
      </c>
      <c r="EN139" s="367"/>
      <c r="EO139" s="367"/>
      <c r="EP139" s="367"/>
      <c r="EQ139" s="367"/>
      <c r="ER139" s="369">
        <f t="shared" si="124"/>
        <v>7</v>
      </c>
      <c r="ES139" s="367">
        <v>0</v>
      </c>
      <c r="ET139" s="367">
        <v>0</v>
      </c>
      <c r="EU139" s="367">
        <v>0</v>
      </c>
      <c r="EV139" s="367">
        <v>0</v>
      </c>
      <c r="EW139" s="367">
        <v>0</v>
      </c>
      <c r="EX139" s="367">
        <v>0</v>
      </c>
      <c r="EY139" s="367">
        <v>1</v>
      </c>
      <c r="EZ139" s="367">
        <v>0</v>
      </c>
      <c r="FA139" s="367">
        <v>0</v>
      </c>
      <c r="FB139" s="367"/>
      <c r="FC139" s="367"/>
      <c r="FD139" s="367"/>
      <c r="FE139" s="367"/>
      <c r="FF139" s="367">
        <f t="shared" si="125"/>
        <v>1</v>
      </c>
      <c r="FG139" s="371">
        <f t="shared" si="126"/>
        <v>0</v>
      </c>
      <c r="FH139" s="371">
        <f t="shared" si="127"/>
        <v>0</v>
      </c>
      <c r="FI139" s="371">
        <f t="shared" si="131"/>
        <v>2</v>
      </c>
      <c r="FJ139" s="371">
        <f t="shared" si="132"/>
        <v>0</v>
      </c>
      <c r="FK139" s="371">
        <f t="shared" si="133"/>
        <v>0</v>
      </c>
      <c r="FL139" s="371">
        <f t="shared" si="134"/>
        <v>0</v>
      </c>
      <c r="FM139" s="371">
        <f t="shared" si="135"/>
        <v>0</v>
      </c>
      <c r="FN139" s="371">
        <f t="shared" si="136"/>
        <v>0</v>
      </c>
      <c r="FO139" s="371">
        <f t="shared" si="137"/>
        <v>0</v>
      </c>
      <c r="FP139" s="371">
        <f t="shared" si="138"/>
        <v>4</v>
      </c>
      <c r="FQ139" s="371">
        <f t="shared" si="139"/>
        <v>0</v>
      </c>
      <c r="FR139" s="371">
        <f t="shared" si="140"/>
        <v>0</v>
      </c>
      <c r="FS139" s="371">
        <f t="shared" si="141"/>
        <v>0</v>
      </c>
      <c r="FT139" s="371">
        <f t="shared" si="142"/>
        <v>0</v>
      </c>
      <c r="FU139" s="371">
        <f t="shared" si="143"/>
        <v>0</v>
      </c>
      <c r="FV139" s="371">
        <f t="shared" si="144"/>
        <v>6</v>
      </c>
      <c r="FW139" s="372"/>
    </row>
    <row r="140" spans="1:179" x14ac:dyDescent="0.25">
      <c r="A140" s="380">
        <v>40425</v>
      </c>
      <c r="B140" s="380" t="s">
        <v>133</v>
      </c>
      <c r="C140" s="380" t="s">
        <v>131</v>
      </c>
      <c r="D140" s="380" t="s">
        <v>558</v>
      </c>
      <c r="E140" s="374">
        <v>5084</v>
      </c>
      <c r="F140" s="358">
        <v>3</v>
      </c>
      <c r="G140" s="359" t="s">
        <v>680</v>
      </c>
      <c r="H140" s="376">
        <v>0</v>
      </c>
      <c r="I140" s="376">
        <v>1</v>
      </c>
      <c r="J140" s="401">
        <f>3+2/3</f>
        <v>3.6666666666666665</v>
      </c>
      <c r="K140" s="376">
        <v>5</v>
      </c>
      <c r="L140" s="376">
        <v>6</v>
      </c>
      <c r="M140" s="376">
        <v>6</v>
      </c>
      <c r="N140" s="376">
        <v>2</v>
      </c>
      <c r="O140" s="376">
        <v>3</v>
      </c>
      <c r="P140" s="376">
        <v>0</v>
      </c>
      <c r="Q140" s="376">
        <v>0</v>
      </c>
      <c r="R140" s="376">
        <v>19</v>
      </c>
      <c r="S140" s="376"/>
      <c r="T140" s="376"/>
      <c r="U140" s="376">
        <v>1</v>
      </c>
      <c r="V140" s="362">
        <v>0</v>
      </c>
      <c r="W140" s="376">
        <v>0</v>
      </c>
      <c r="X140" s="376">
        <v>0</v>
      </c>
      <c r="Y140" s="376">
        <v>0</v>
      </c>
      <c r="Z140" s="376">
        <v>0</v>
      </c>
      <c r="AA140" s="376">
        <v>0</v>
      </c>
      <c r="AB140" s="401">
        <f>4+1/3</f>
        <v>4.333333333333333</v>
      </c>
      <c r="AC140" s="376">
        <v>3</v>
      </c>
      <c r="AD140" s="376">
        <v>1</v>
      </c>
      <c r="AE140" s="376">
        <v>1</v>
      </c>
      <c r="AF140" s="376">
        <v>0</v>
      </c>
      <c r="AG140" s="376">
        <v>5</v>
      </c>
      <c r="AH140" s="376">
        <v>0</v>
      </c>
      <c r="AI140" s="376">
        <v>0</v>
      </c>
      <c r="AJ140" s="376">
        <v>17</v>
      </c>
      <c r="AK140" s="376"/>
      <c r="AL140" s="376"/>
      <c r="AM140" s="363" t="s">
        <v>538</v>
      </c>
      <c r="AN140" s="364">
        <v>1</v>
      </c>
      <c r="AO140" s="364">
        <v>0</v>
      </c>
      <c r="AP140" s="364">
        <v>0</v>
      </c>
      <c r="AQ140" s="364">
        <v>0</v>
      </c>
      <c r="AR140" s="364">
        <v>4</v>
      </c>
      <c r="AS140" s="364">
        <v>1</v>
      </c>
      <c r="AT140" s="364">
        <v>0</v>
      </c>
      <c r="AU140" s="364">
        <v>0</v>
      </c>
      <c r="AV140" s="365">
        <v>0</v>
      </c>
      <c r="AW140" s="363" t="s">
        <v>535</v>
      </c>
      <c r="AX140" s="364">
        <v>5</v>
      </c>
      <c r="AY140" s="364">
        <v>0</v>
      </c>
      <c r="AZ140" s="364">
        <v>1</v>
      </c>
      <c r="BA140" s="364">
        <v>0</v>
      </c>
      <c r="BB140" s="364">
        <v>0</v>
      </c>
      <c r="BC140" s="364">
        <v>4</v>
      </c>
      <c r="BD140" s="364">
        <v>0</v>
      </c>
      <c r="BE140" s="364">
        <v>0</v>
      </c>
      <c r="BF140" s="365">
        <v>1</v>
      </c>
      <c r="BG140" s="363" t="s">
        <v>532</v>
      </c>
      <c r="BH140" s="364">
        <v>3</v>
      </c>
      <c r="BI140" s="364">
        <v>0</v>
      </c>
      <c r="BJ140" s="364">
        <v>0</v>
      </c>
      <c r="BK140" s="364">
        <v>1</v>
      </c>
      <c r="BL140" s="364">
        <v>2</v>
      </c>
      <c r="BM140" s="364">
        <v>1</v>
      </c>
      <c r="BN140" s="364">
        <v>0</v>
      </c>
      <c r="BO140" s="364">
        <v>0</v>
      </c>
      <c r="BP140" s="365">
        <v>0</v>
      </c>
      <c r="BQ140" s="363" t="s">
        <v>531</v>
      </c>
      <c r="BR140" s="364">
        <v>4</v>
      </c>
      <c r="BS140" s="364">
        <v>1</v>
      </c>
      <c r="BT140" s="364">
        <v>0</v>
      </c>
      <c r="BU140" s="364">
        <v>0</v>
      </c>
      <c r="BV140" s="364">
        <v>1</v>
      </c>
      <c r="BW140" s="364">
        <v>0</v>
      </c>
      <c r="BX140" s="364">
        <v>0</v>
      </c>
      <c r="BY140" s="364">
        <v>0</v>
      </c>
      <c r="BZ140" s="365">
        <v>0</v>
      </c>
      <c r="CA140" s="363" t="s">
        <v>539</v>
      </c>
      <c r="CB140" s="364">
        <v>4</v>
      </c>
      <c r="CC140" s="364">
        <v>0</v>
      </c>
      <c r="CD140" s="364">
        <v>0</v>
      </c>
      <c r="CE140" s="364">
        <v>0</v>
      </c>
      <c r="CF140" s="364">
        <v>0</v>
      </c>
      <c r="CG140" s="364">
        <v>3</v>
      </c>
      <c r="CH140" s="364">
        <v>0</v>
      </c>
      <c r="CI140" s="364">
        <v>0</v>
      </c>
      <c r="CJ140" s="365">
        <v>0</v>
      </c>
      <c r="CK140" s="363" t="s">
        <v>549</v>
      </c>
      <c r="CL140" s="364">
        <v>4</v>
      </c>
      <c r="CM140" s="364">
        <v>1</v>
      </c>
      <c r="CN140" s="364">
        <v>1</v>
      </c>
      <c r="CO140" s="364">
        <v>1</v>
      </c>
      <c r="CP140" s="364">
        <v>0</v>
      </c>
      <c r="CQ140" s="364">
        <v>1</v>
      </c>
      <c r="CR140" s="364">
        <v>0</v>
      </c>
      <c r="CS140" s="364">
        <v>0</v>
      </c>
      <c r="CT140" s="365">
        <v>1</v>
      </c>
      <c r="CU140" s="363" t="s">
        <v>529</v>
      </c>
      <c r="CV140" s="364">
        <v>3</v>
      </c>
      <c r="CW140" s="364">
        <v>2</v>
      </c>
      <c r="CX140" s="364">
        <v>1</v>
      </c>
      <c r="CY140" s="364">
        <v>2</v>
      </c>
      <c r="CZ140" s="364">
        <v>1</v>
      </c>
      <c r="DA140" s="364">
        <v>0</v>
      </c>
      <c r="DB140" s="364">
        <v>0</v>
      </c>
      <c r="DC140" s="364">
        <v>0</v>
      </c>
      <c r="DD140" s="365">
        <v>4</v>
      </c>
      <c r="DE140" s="363" t="s">
        <v>284</v>
      </c>
      <c r="DF140" s="364">
        <v>3</v>
      </c>
      <c r="DG140" s="364">
        <v>0</v>
      </c>
      <c r="DH140" s="364">
        <v>0</v>
      </c>
      <c r="DI140" s="364">
        <v>0</v>
      </c>
      <c r="DJ140" s="364">
        <v>1</v>
      </c>
      <c r="DK140" s="364">
        <v>2</v>
      </c>
      <c r="DL140" s="364">
        <v>0</v>
      </c>
      <c r="DM140" s="364">
        <v>0</v>
      </c>
      <c r="DN140" s="365">
        <v>0</v>
      </c>
      <c r="DO140" s="363" t="s">
        <v>543</v>
      </c>
      <c r="DP140" s="364">
        <v>3</v>
      </c>
      <c r="DQ140" s="364">
        <v>1</v>
      </c>
      <c r="DR140" s="364">
        <v>1</v>
      </c>
      <c r="DS140" s="364">
        <v>1</v>
      </c>
      <c r="DT140" s="364">
        <v>1</v>
      </c>
      <c r="DU140" s="364">
        <v>2</v>
      </c>
      <c r="DV140" s="364">
        <v>0</v>
      </c>
      <c r="DW140" s="364">
        <v>0</v>
      </c>
      <c r="DX140" s="365">
        <v>4</v>
      </c>
      <c r="DY140" s="402">
        <v>1</v>
      </c>
      <c r="DZ140" s="367">
        <v>0</v>
      </c>
      <c r="EA140" s="367">
        <v>0</v>
      </c>
      <c r="EB140" s="403">
        <v>8</v>
      </c>
      <c r="EC140" s="367">
        <v>4</v>
      </c>
      <c r="ED140" s="369">
        <v>0</v>
      </c>
      <c r="EE140" s="370">
        <v>0</v>
      </c>
      <c r="EF140" s="367">
        <v>0</v>
      </c>
      <c r="EG140" s="367">
        <v>0</v>
      </c>
      <c r="EH140" s="367">
        <v>0</v>
      </c>
      <c r="EI140" s="367">
        <v>1</v>
      </c>
      <c r="EJ140" s="367">
        <v>3</v>
      </c>
      <c r="EK140" s="367">
        <v>0</v>
      </c>
      <c r="EL140" s="367">
        <v>0</v>
      </c>
      <c r="EM140" s="367">
        <v>1</v>
      </c>
      <c r="EN140" s="367"/>
      <c r="EO140" s="367"/>
      <c r="EP140" s="367"/>
      <c r="EQ140" s="367"/>
      <c r="ER140" s="369">
        <f t="shared" si="124"/>
        <v>5</v>
      </c>
      <c r="ES140" s="367">
        <v>6</v>
      </c>
      <c r="ET140" s="367">
        <v>0</v>
      </c>
      <c r="EU140" s="367">
        <v>0</v>
      </c>
      <c r="EV140" s="367">
        <v>0</v>
      </c>
      <c r="EW140" s="367">
        <v>0</v>
      </c>
      <c r="EX140" s="367">
        <v>0</v>
      </c>
      <c r="EY140" s="367">
        <v>0</v>
      </c>
      <c r="EZ140" s="367">
        <v>1</v>
      </c>
      <c r="FA140" s="367"/>
      <c r="FB140" s="367"/>
      <c r="FC140" s="367"/>
      <c r="FD140" s="367"/>
      <c r="FE140" s="367"/>
      <c r="FF140" s="367">
        <f t="shared" si="125"/>
        <v>7</v>
      </c>
      <c r="FG140" s="371">
        <f t="shared" si="126"/>
        <v>0</v>
      </c>
      <c r="FH140" s="371">
        <f t="shared" si="127"/>
        <v>0</v>
      </c>
      <c r="FI140" s="371">
        <f t="shared" si="131"/>
        <v>-6</v>
      </c>
      <c r="FJ140" s="371">
        <f t="shared" si="132"/>
        <v>0</v>
      </c>
      <c r="FK140" s="371">
        <f t="shared" si="133"/>
        <v>0</v>
      </c>
      <c r="FL140" s="371">
        <f t="shared" si="134"/>
        <v>0</v>
      </c>
      <c r="FM140" s="371">
        <f t="shared" si="135"/>
        <v>1</v>
      </c>
      <c r="FN140" s="371">
        <f t="shared" si="136"/>
        <v>3</v>
      </c>
      <c r="FO140" s="371">
        <f t="shared" si="137"/>
        <v>0</v>
      </c>
      <c r="FP140" s="371">
        <f t="shared" si="138"/>
        <v>-1</v>
      </c>
      <c r="FQ140" s="371">
        <f t="shared" si="139"/>
        <v>1</v>
      </c>
      <c r="FR140" s="371">
        <f t="shared" si="140"/>
        <v>0</v>
      </c>
      <c r="FS140" s="371">
        <f t="shared" si="141"/>
        <v>0</v>
      </c>
      <c r="FT140" s="371">
        <f t="shared" si="142"/>
        <v>0</v>
      </c>
      <c r="FU140" s="371">
        <f t="shared" si="143"/>
        <v>0</v>
      </c>
      <c r="FV140" s="371">
        <f t="shared" si="144"/>
        <v>-2</v>
      </c>
      <c r="FW140" s="372"/>
    </row>
    <row r="141" spans="1:179" x14ac:dyDescent="0.25">
      <c r="A141" s="380">
        <v>40426</v>
      </c>
      <c r="B141" s="380" t="s">
        <v>133</v>
      </c>
      <c r="C141" s="380" t="s">
        <v>131</v>
      </c>
      <c r="D141" s="380" t="s">
        <v>558</v>
      </c>
      <c r="E141" s="374">
        <v>4596</v>
      </c>
      <c r="F141" s="358">
        <v>4</v>
      </c>
      <c r="G141" s="359" t="s">
        <v>679</v>
      </c>
      <c r="H141" s="376">
        <v>0</v>
      </c>
      <c r="I141" s="376">
        <v>1</v>
      </c>
      <c r="J141" s="401">
        <v>4</v>
      </c>
      <c r="K141" s="376">
        <v>6</v>
      </c>
      <c r="L141" s="376">
        <v>3</v>
      </c>
      <c r="M141" s="376">
        <v>3</v>
      </c>
      <c r="N141" s="376">
        <v>2</v>
      </c>
      <c r="O141" s="376">
        <v>1</v>
      </c>
      <c r="P141" s="376">
        <v>1</v>
      </c>
      <c r="Q141" s="376">
        <v>0</v>
      </c>
      <c r="R141" s="376">
        <v>19</v>
      </c>
      <c r="S141" s="376"/>
      <c r="T141" s="376"/>
      <c r="U141" s="376">
        <v>0</v>
      </c>
      <c r="V141" s="362">
        <v>0</v>
      </c>
      <c r="W141" s="376">
        <v>0</v>
      </c>
      <c r="X141" s="376">
        <v>0</v>
      </c>
      <c r="Y141" s="376">
        <v>0</v>
      </c>
      <c r="Z141" s="376">
        <v>0</v>
      </c>
      <c r="AA141" s="376">
        <v>0</v>
      </c>
      <c r="AB141" s="401">
        <v>4</v>
      </c>
      <c r="AC141" s="376">
        <v>5</v>
      </c>
      <c r="AD141" s="376">
        <v>2</v>
      </c>
      <c r="AE141" s="376">
        <v>2</v>
      </c>
      <c r="AF141" s="376">
        <v>2</v>
      </c>
      <c r="AG141" s="376">
        <v>5</v>
      </c>
      <c r="AH141" s="376">
        <v>0</v>
      </c>
      <c r="AI141" s="376">
        <v>0</v>
      </c>
      <c r="AJ141" s="376">
        <v>20</v>
      </c>
      <c r="AK141" s="376"/>
      <c r="AL141" s="376"/>
      <c r="AM141" s="363" t="s">
        <v>538</v>
      </c>
      <c r="AN141" s="364">
        <v>4</v>
      </c>
      <c r="AO141" s="364">
        <v>0</v>
      </c>
      <c r="AP141" s="364">
        <v>1</v>
      </c>
      <c r="AQ141" s="364">
        <v>0</v>
      </c>
      <c r="AR141" s="364">
        <v>0</v>
      </c>
      <c r="AS141" s="364">
        <v>1</v>
      </c>
      <c r="AT141" s="364">
        <v>0</v>
      </c>
      <c r="AU141" s="364">
        <v>0</v>
      </c>
      <c r="AV141" s="365">
        <v>1</v>
      </c>
      <c r="AW141" s="363" t="s">
        <v>535</v>
      </c>
      <c r="AX141" s="364">
        <v>3</v>
      </c>
      <c r="AY141" s="364">
        <v>0</v>
      </c>
      <c r="AZ141" s="364">
        <v>1</v>
      </c>
      <c r="BA141" s="364">
        <v>0</v>
      </c>
      <c r="BB141" s="364">
        <v>0</v>
      </c>
      <c r="BC141" s="364">
        <v>2</v>
      </c>
      <c r="BD141" s="364">
        <v>0</v>
      </c>
      <c r="BE141" s="364">
        <v>0</v>
      </c>
      <c r="BF141" s="365">
        <v>1</v>
      </c>
      <c r="BG141" s="363" t="s">
        <v>532</v>
      </c>
      <c r="BH141" s="364">
        <v>4</v>
      </c>
      <c r="BI141" s="364">
        <v>0</v>
      </c>
      <c r="BJ141" s="364">
        <v>0</v>
      </c>
      <c r="BK141" s="364">
        <v>0</v>
      </c>
      <c r="BL141" s="364">
        <v>0</v>
      </c>
      <c r="BM141" s="364">
        <v>1</v>
      </c>
      <c r="BN141" s="364">
        <v>0</v>
      </c>
      <c r="BO141" s="364">
        <v>0</v>
      </c>
      <c r="BP141" s="365">
        <v>0</v>
      </c>
      <c r="BQ141" s="363" t="s">
        <v>531</v>
      </c>
      <c r="BR141" s="364">
        <v>2</v>
      </c>
      <c r="BS141" s="364">
        <v>0</v>
      </c>
      <c r="BT141" s="364">
        <v>0</v>
      </c>
      <c r="BU141" s="364">
        <v>0</v>
      </c>
      <c r="BV141" s="364">
        <v>1</v>
      </c>
      <c r="BW141" s="364">
        <v>0</v>
      </c>
      <c r="BX141" s="364">
        <v>1</v>
      </c>
      <c r="BY141" s="364">
        <v>0</v>
      </c>
      <c r="BZ141" s="365">
        <v>0</v>
      </c>
      <c r="CA141" s="363" t="s">
        <v>549</v>
      </c>
      <c r="CB141" s="364">
        <v>4</v>
      </c>
      <c r="CC141" s="364">
        <v>1</v>
      </c>
      <c r="CD141" s="364">
        <v>1</v>
      </c>
      <c r="CE141" s="364">
        <v>0</v>
      </c>
      <c r="CF141" s="364">
        <v>0</v>
      </c>
      <c r="CG141" s="364">
        <v>0</v>
      </c>
      <c r="CH141" s="364">
        <v>0</v>
      </c>
      <c r="CI141" s="364">
        <v>0</v>
      </c>
      <c r="CJ141" s="365">
        <v>1</v>
      </c>
      <c r="CK141" s="363" t="s">
        <v>529</v>
      </c>
      <c r="CL141" s="364">
        <v>4</v>
      </c>
      <c r="CM141" s="364">
        <v>1</v>
      </c>
      <c r="CN141" s="364">
        <v>1</v>
      </c>
      <c r="CO141" s="364">
        <v>0</v>
      </c>
      <c r="CP141" s="364">
        <v>0</v>
      </c>
      <c r="CQ141" s="364">
        <v>0</v>
      </c>
      <c r="CR141" s="364">
        <v>0</v>
      </c>
      <c r="CS141" s="364">
        <v>0</v>
      </c>
      <c r="CT141" s="365">
        <v>2</v>
      </c>
      <c r="CU141" s="363" t="s">
        <v>425</v>
      </c>
      <c r="CV141" s="364">
        <v>3</v>
      </c>
      <c r="CW141" s="364">
        <v>0</v>
      </c>
      <c r="CX141" s="364">
        <v>0</v>
      </c>
      <c r="CY141" s="364">
        <v>1</v>
      </c>
      <c r="CZ141" s="364">
        <v>0</v>
      </c>
      <c r="DA141" s="364">
        <v>0</v>
      </c>
      <c r="DB141" s="364">
        <v>0</v>
      </c>
      <c r="DC141" s="364">
        <v>1</v>
      </c>
      <c r="DD141" s="365">
        <v>0</v>
      </c>
      <c r="DE141" s="363" t="s">
        <v>284</v>
      </c>
      <c r="DF141" s="364">
        <v>4</v>
      </c>
      <c r="DG141" s="364">
        <v>0</v>
      </c>
      <c r="DH141" s="364">
        <v>0</v>
      </c>
      <c r="DI141" s="364">
        <v>0</v>
      </c>
      <c r="DJ141" s="364">
        <v>0</v>
      </c>
      <c r="DK141" s="364">
        <v>2</v>
      </c>
      <c r="DL141" s="364">
        <v>0</v>
      </c>
      <c r="DM141" s="364">
        <v>0</v>
      </c>
      <c r="DN141" s="365">
        <v>0</v>
      </c>
      <c r="DO141" s="363" t="s">
        <v>543</v>
      </c>
      <c r="DP141" s="364">
        <v>2</v>
      </c>
      <c r="DQ141" s="364">
        <v>0</v>
      </c>
      <c r="DR141" s="364">
        <v>1</v>
      </c>
      <c r="DS141" s="364">
        <v>1</v>
      </c>
      <c r="DT141" s="364">
        <v>1</v>
      </c>
      <c r="DU141" s="364">
        <v>1</v>
      </c>
      <c r="DV141" s="364">
        <v>0</v>
      </c>
      <c r="DW141" s="364">
        <v>0</v>
      </c>
      <c r="DX141" s="365">
        <v>1</v>
      </c>
      <c r="DY141" s="402">
        <f>6+2/3</f>
        <v>6.666666666666667</v>
      </c>
      <c r="DZ141" s="367">
        <v>3</v>
      </c>
      <c r="EA141" s="367">
        <v>0</v>
      </c>
      <c r="EB141" s="403">
        <f>2+1/3</f>
        <v>2.3333333333333335</v>
      </c>
      <c r="EC141" s="367">
        <v>0</v>
      </c>
      <c r="ED141" s="369">
        <v>0</v>
      </c>
      <c r="EE141" s="370">
        <v>0</v>
      </c>
      <c r="EF141" s="367">
        <v>0</v>
      </c>
      <c r="EG141" s="367">
        <v>0</v>
      </c>
      <c r="EH141" s="367">
        <v>0</v>
      </c>
      <c r="EI141" s="367">
        <v>0</v>
      </c>
      <c r="EJ141" s="367">
        <v>0</v>
      </c>
      <c r="EK141" s="367">
        <v>2</v>
      </c>
      <c r="EL141" s="367">
        <v>0</v>
      </c>
      <c r="EM141" s="367">
        <v>0</v>
      </c>
      <c r="EN141" s="367"/>
      <c r="EO141" s="367"/>
      <c r="EP141" s="367"/>
      <c r="EQ141" s="367"/>
      <c r="ER141" s="369">
        <f t="shared" si="124"/>
        <v>2</v>
      </c>
      <c r="ES141" s="367">
        <v>2</v>
      </c>
      <c r="ET141" s="367">
        <v>0</v>
      </c>
      <c r="EU141" s="367">
        <v>1</v>
      </c>
      <c r="EV141" s="367">
        <v>0</v>
      </c>
      <c r="EW141" s="367">
        <v>2</v>
      </c>
      <c r="EX141" s="367">
        <v>0</v>
      </c>
      <c r="EY141" s="367">
        <v>0</v>
      </c>
      <c r="EZ141" s="367">
        <v>0</v>
      </c>
      <c r="FA141" s="367"/>
      <c r="FB141" s="367"/>
      <c r="FC141" s="367"/>
      <c r="FD141" s="367"/>
      <c r="FE141" s="367"/>
      <c r="FF141" s="367">
        <f t="shared" si="125"/>
        <v>5</v>
      </c>
      <c r="FG141" s="371">
        <f t="shared" si="126"/>
        <v>0</v>
      </c>
      <c r="FH141" s="371">
        <f t="shared" si="127"/>
        <v>0</v>
      </c>
      <c r="FI141" s="371">
        <f t="shared" si="131"/>
        <v>-2</v>
      </c>
      <c r="FJ141" s="371">
        <f t="shared" si="132"/>
        <v>0</v>
      </c>
      <c r="FK141" s="371">
        <f t="shared" si="133"/>
        <v>-1</v>
      </c>
      <c r="FL141" s="371">
        <f t="shared" si="134"/>
        <v>0</v>
      </c>
      <c r="FM141" s="371">
        <f t="shared" si="135"/>
        <v>-2</v>
      </c>
      <c r="FN141" s="371">
        <f t="shared" si="136"/>
        <v>0</v>
      </c>
      <c r="FO141" s="371">
        <f t="shared" si="137"/>
        <v>2</v>
      </c>
      <c r="FP141" s="371">
        <f t="shared" si="138"/>
        <v>0</v>
      </c>
      <c r="FQ141" s="371">
        <f t="shared" si="139"/>
        <v>0</v>
      </c>
      <c r="FR141" s="371">
        <f t="shared" si="140"/>
        <v>0</v>
      </c>
      <c r="FS141" s="371">
        <f t="shared" si="141"/>
        <v>0</v>
      </c>
      <c r="FT141" s="371">
        <f t="shared" si="142"/>
        <v>0</v>
      </c>
      <c r="FU141" s="371">
        <f t="shared" si="143"/>
        <v>0</v>
      </c>
      <c r="FV141" s="371">
        <f t="shared" si="144"/>
        <v>-3</v>
      </c>
      <c r="FW141" s="372"/>
    </row>
    <row r="142" spans="1:179" x14ac:dyDescent="0.25">
      <c r="A142" s="380">
        <v>40427</v>
      </c>
      <c r="B142" s="380" t="s">
        <v>133</v>
      </c>
      <c r="C142" s="380" t="s">
        <v>129</v>
      </c>
      <c r="D142" s="380" t="s">
        <v>558</v>
      </c>
      <c r="E142" s="374">
        <v>3943</v>
      </c>
      <c r="F142" s="358">
        <v>5</v>
      </c>
      <c r="G142" s="359" t="s">
        <v>681</v>
      </c>
      <c r="H142" s="376">
        <v>1</v>
      </c>
      <c r="I142" s="376">
        <v>0</v>
      </c>
      <c r="J142" s="401">
        <v>5</v>
      </c>
      <c r="K142" s="376">
        <v>6</v>
      </c>
      <c r="L142" s="376">
        <v>1</v>
      </c>
      <c r="M142" s="376">
        <v>1</v>
      </c>
      <c r="N142" s="376">
        <v>0</v>
      </c>
      <c r="O142" s="376">
        <v>1</v>
      </c>
      <c r="P142" s="376">
        <v>0</v>
      </c>
      <c r="Q142" s="376">
        <v>0</v>
      </c>
      <c r="R142" s="376">
        <v>21</v>
      </c>
      <c r="S142" s="376"/>
      <c r="T142" s="376"/>
      <c r="U142" s="376">
        <v>0</v>
      </c>
      <c r="V142" s="362">
        <v>0</v>
      </c>
      <c r="W142" s="376">
        <v>0</v>
      </c>
      <c r="X142" s="376">
        <v>0</v>
      </c>
      <c r="Y142" s="376">
        <v>0</v>
      </c>
      <c r="Z142" s="376">
        <v>0</v>
      </c>
      <c r="AA142" s="376">
        <v>0</v>
      </c>
      <c r="AB142" s="401">
        <v>4</v>
      </c>
      <c r="AC142" s="376">
        <v>3</v>
      </c>
      <c r="AD142" s="376">
        <v>0</v>
      </c>
      <c r="AE142" s="376">
        <v>0</v>
      </c>
      <c r="AF142" s="376">
        <v>1</v>
      </c>
      <c r="AG142" s="376">
        <v>4</v>
      </c>
      <c r="AH142" s="376">
        <v>0</v>
      </c>
      <c r="AI142" s="376">
        <v>0</v>
      </c>
      <c r="AJ142" s="376">
        <v>16</v>
      </c>
      <c r="AK142" s="376"/>
      <c r="AL142" s="376"/>
      <c r="AM142" s="363" t="s">
        <v>538</v>
      </c>
      <c r="AN142" s="364">
        <v>3</v>
      </c>
      <c r="AO142" s="364">
        <v>0</v>
      </c>
      <c r="AP142" s="364">
        <v>1</v>
      </c>
      <c r="AQ142" s="364">
        <v>1</v>
      </c>
      <c r="AR142" s="364">
        <v>1</v>
      </c>
      <c r="AS142" s="364">
        <v>0</v>
      </c>
      <c r="AT142" s="364">
        <v>0</v>
      </c>
      <c r="AU142" s="364">
        <v>0</v>
      </c>
      <c r="AV142" s="365">
        <v>2</v>
      </c>
      <c r="AW142" s="363" t="s">
        <v>535</v>
      </c>
      <c r="AX142" s="364">
        <v>5</v>
      </c>
      <c r="AY142" s="364">
        <v>0</v>
      </c>
      <c r="AZ142" s="364">
        <v>0</v>
      </c>
      <c r="BA142" s="364">
        <v>0</v>
      </c>
      <c r="BB142" s="364">
        <v>0</v>
      </c>
      <c r="BC142" s="364">
        <v>2</v>
      </c>
      <c r="BD142" s="364">
        <v>0</v>
      </c>
      <c r="BE142" s="364">
        <v>0</v>
      </c>
      <c r="BF142" s="365">
        <v>0</v>
      </c>
      <c r="BG142" s="363" t="s">
        <v>531</v>
      </c>
      <c r="BH142" s="364">
        <v>2</v>
      </c>
      <c r="BI142" s="364">
        <v>1</v>
      </c>
      <c r="BJ142" s="364">
        <v>0</v>
      </c>
      <c r="BK142" s="364">
        <v>0</v>
      </c>
      <c r="BL142" s="364">
        <v>3</v>
      </c>
      <c r="BM142" s="364">
        <v>0</v>
      </c>
      <c r="BN142" s="364">
        <v>0</v>
      </c>
      <c r="BO142" s="364">
        <v>0</v>
      </c>
      <c r="BP142" s="365">
        <v>0</v>
      </c>
      <c r="BQ142" s="363" t="s">
        <v>532</v>
      </c>
      <c r="BR142" s="364">
        <v>4</v>
      </c>
      <c r="BS142" s="364">
        <v>1</v>
      </c>
      <c r="BT142" s="364">
        <v>3</v>
      </c>
      <c r="BU142" s="364">
        <v>1</v>
      </c>
      <c r="BV142" s="364">
        <v>1</v>
      </c>
      <c r="BW142" s="364">
        <v>1</v>
      </c>
      <c r="BX142" s="364">
        <v>0</v>
      </c>
      <c r="BY142" s="364">
        <v>0</v>
      </c>
      <c r="BZ142" s="365">
        <v>4</v>
      </c>
      <c r="CA142" s="363" t="s">
        <v>539</v>
      </c>
      <c r="CB142" s="364">
        <v>4</v>
      </c>
      <c r="CC142" s="364">
        <v>1</v>
      </c>
      <c r="CD142" s="364">
        <v>0</v>
      </c>
      <c r="CE142" s="364">
        <v>1</v>
      </c>
      <c r="CF142" s="364">
        <v>1</v>
      </c>
      <c r="CG142" s="364">
        <v>1</v>
      </c>
      <c r="CH142" s="364">
        <v>0</v>
      </c>
      <c r="CI142" s="364">
        <v>0</v>
      </c>
      <c r="CJ142" s="365">
        <v>0</v>
      </c>
      <c r="CK142" s="363" t="s">
        <v>529</v>
      </c>
      <c r="CL142" s="364">
        <v>5</v>
      </c>
      <c r="CM142" s="364">
        <v>2</v>
      </c>
      <c r="CN142" s="364">
        <v>4</v>
      </c>
      <c r="CO142" s="364">
        <v>1</v>
      </c>
      <c r="CP142" s="364">
        <v>0</v>
      </c>
      <c r="CQ142" s="364">
        <v>0</v>
      </c>
      <c r="CR142" s="364">
        <v>0</v>
      </c>
      <c r="CS142" s="364">
        <v>0</v>
      </c>
      <c r="CT142" s="365">
        <v>8</v>
      </c>
      <c r="CU142" s="363" t="s">
        <v>549</v>
      </c>
      <c r="CV142" s="364">
        <v>5</v>
      </c>
      <c r="CW142" s="364">
        <v>0</v>
      </c>
      <c r="CX142" s="364">
        <v>2</v>
      </c>
      <c r="CY142" s="364">
        <v>2</v>
      </c>
      <c r="CZ142" s="364">
        <v>0</v>
      </c>
      <c r="DA142" s="364">
        <v>2</v>
      </c>
      <c r="DB142" s="364">
        <v>0</v>
      </c>
      <c r="DC142" s="364">
        <v>0</v>
      </c>
      <c r="DD142" s="365">
        <v>2</v>
      </c>
      <c r="DE142" s="363" t="s">
        <v>425</v>
      </c>
      <c r="DF142" s="364">
        <v>4</v>
      </c>
      <c r="DG142" s="364">
        <v>1</v>
      </c>
      <c r="DH142" s="364">
        <v>0</v>
      </c>
      <c r="DI142" s="364">
        <v>1</v>
      </c>
      <c r="DJ142" s="364">
        <v>0</v>
      </c>
      <c r="DK142" s="364">
        <v>1</v>
      </c>
      <c r="DL142" s="364">
        <v>1</v>
      </c>
      <c r="DM142" s="364">
        <v>0</v>
      </c>
      <c r="DN142" s="365">
        <v>0</v>
      </c>
      <c r="DO142" s="363" t="s">
        <v>543</v>
      </c>
      <c r="DP142" s="364">
        <v>4</v>
      </c>
      <c r="DQ142" s="364">
        <v>1</v>
      </c>
      <c r="DR142" s="364">
        <v>2</v>
      </c>
      <c r="DS142" s="364">
        <v>0</v>
      </c>
      <c r="DT142" s="364">
        <v>0</v>
      </c>
      <c r="DU142" s="364">
        <v>1</v>
      </c>
      <c r="DV142" s="364">
        <v>0</v>
      </c>
      <c r="DW142" s="364">
        <v>0</v>
      </c>
      <c r="DX142" s="365">
        <v>2</v>
      </c>
      <c r="DY142" s="402">
        <v>2</v>
      </c>
      <c r="DZ142" s="367">
        <v>0</v>
      </c>
      <c r="EA142" s="367">
        <v>1</v>
      </c>
      <c r="EB142" s="403">
        <v>7</v>
      </c>
      <c r="EC142" s="367">
        <v>0</v>
      </c>
      <c r="ED142" s="369">
        <v>0</v>
      </c>
      <c r="EE142" s="370">
        <v>0</v>
      </c>
      <c r="EF142" s="367">
        <v>1</v>
      </c>
      <c r="EG142" s="367">
        <v>1</v>
      </c>
      <c r="EH142" s="367">
        <v>1</v>
      </c>
      <c r="EI142" s="367">
        <v>0</v>
      </c>
      <c r="EJ142" s="367">
        <v>2</v>
      </c>
      <c r="EK142" s="367">
        <v>1</v>
      </c>
      <c r="EL142" s="367">
        <v>1</v>
      </c>
      <c r="EM142" s="367">
        <v>0</v>
      </c>
      <c r="EN142" s="367"/>
      <c r="EO142" s="367"/>
      <c r="EP142" s="367"/>
      <c r="EQ142" s="367"/>
      <c r="ER142" s="369">
        <f t="shared" si="124"/>
        <v>7</v>
      </c>
      <c r="ES142" s="367">
        <v>0</v>
      </c>
      <c r="ET142" s="367">
        <v>1</v>
      </c>
      <c r="EU142" s="367">
        <v>0</v>
      </c>
      <c r="EV142" s="367">
        <v>0</v>
      </c>
      <c r="EW142" s="367">
        <v>0</v>
      </c>
      <c r="EX142" s="367">
        <v>0</v>
      </c>
      <c r="EY142" s="367">
        <v>0</v>
      </c>
      <c r="EZ142" s="367">
        <v>0</v>
      </c>
      <c r="FA142" s="367">
        <v>0</v>
      </c>
      <c r="FB142" s="367"/>
      <c r="FC142" s="367"/>
      <c r="FD142" s="367"/>
      <c r="FE142" s="367"/>
      <c r="FF142" s="367">
        <f t="shared" si="125"/>
        <v>1</v>
      </c>
      <c r="FG142" s="371">
        <f t="shared" si="126"/>
        <v>0</v>
      </c>
      <c r="FH142" s="371">
        <f t="shared" si="127"/>
        <v>0</v>
      </c>
      <c r="FI142" s="371">
        <f t="shared" si="131"/>
        <v>0</v>
      </c>
      <c r="FJ142" s="371">
        <f t="shared" si="132"/>
        <v>0</v>
      </c>
      <c r="FK142" s="371">
        <f t="shared" si="133"/>
        <v>1</v>
      </c>
      <c r="FL142" s="371">
        <f t="shared" si="134"/>
        <v>1</v>
      </c>
      <c r="FM142" s="371">
        <f t="shared" si="135"/>
        <v>0</v>
      </c>
      <c r="FN142" s="371">
        <f t="shared" si="136"/>
        <v>2</v>
      </c>
      <c r="FO142" s="371">
        <f t="shared" si="137"/>
        <v>1</v>
      </c>
      <c r="FP142" s="371">
        <f t="shared" si="138"/>
        <v>1</v>
      </c>
      <c r="FQ142" s="371">
        <f t="shared" si="139"/>
        <v>0</v>
      </c>
      <c r="FR142" s="371">
        <f t="shared" si="140"/>
        <v>0</v>
      </c>
      <c r="FS142" s="371">
        <f t="shared" si="141"/>
        <v>0</v>
      </c>
      <c r="FT142" s="371">
        <f t="shared" si="142"/>
        <v>0</v>
      </c>
      <c r="FU142" s="371">
        <f t="shared" si="143"/>
        <v>0</v>
      </c>
      <c r="FV142" s="371">
        <f t="shared" si="144"/>
        <v>6</v>
      </c>
      <c r="FW142" s="372" t="s">
        <v>678</v>
      </c>
    </row>
    <row r="143" spans="1:179" x14ac:dyDescent="0.25">
      <c r="A143" s="373">
        <f>SUBTOTAL(103,Table137[Date])</f>
        <v>139</v>
      </c>
      <c r="B143" s="373"/>
      <c r="C143" s="373"/>
      <c r="D143" s="373"/>
      <c r="E143" s="374">
        <f>SUBTOTAL(109,Table137[Att])</f>
        <v>554649</v>
      </c>
      <c r="F143" s="374"/>
      <c r="G143" s="375" t="s">
        <v>34</v>
      </c>
      <c r="H143" s="376">
        <f>SUBTOTAL(109,Table137[S-W])</f>
        <v>32</v>
      </c>
      <c r="I143" s="376">
        <f>SUBTOTAL(109,Table137[S-L])</f>
        <v>53</v>
      </c>
      <c r="J143" s="401">
        <f>SUBTOTAL(109,Table137[S-IP])</f>
        <v>688.66666666666663</v>
      </c>
      <c r="K143" s="376">
        <f>SUBTOTAL(109,Table137[S-H])</f>
        <v>679</v>
      </c>
      <c r="L143" s="376">
        <f>SUBTOTAL(109,Table137[S-R])</f>
        <v>395</v>
      </c>
      <c r="M143" s="376">
        <f>SUBTOTAL(109,Table137[S-ER])</f>
        <v>330</v>
      </c>
      <c r="N143" s="376">
        <f>SUBTOTAL(109,Table137[S-BB])</f>
        <v>256</v>
      </c>
      <c r="O143" s="376">
        <f>SUBTOTAL(109,Table137[S-SO])</f>
        <v>589</v>
      </c>
      <c r="P143" s="376">
        <f>SUBTOTAL(109,Table137[S-HR])</f>
        <v>75</v>
      </c>
      <c r="Q143" s="376">
        <f>SUBTOTAL(109,Table137[S-HBP])</f>
        <v>34</v>
      </c>
      <c r="R143" s="376">
        <f>SUBTOTAL(109,Table137[S-BF])</f>
        <v>2952</v>
      </c>
      <c r="S143" s="376"/>
      <c r="T143" s="376"/>
      <c r="U143" s="376">
        <f>SUBTOTAL(109,Table137[IRL])</f>
        <v>46</v>
      </c>
      <c r="V143" s="376">
        <f>SUBTOTAL(109,Table137[IRS])</f>
        <v>19</v>
      </c>
      <c r="W143" s="376">
        <f>SUBTOTAL(109,Table137[B-W])</f>
        <v>29</v>
      </c>
      <c r="X143" s="376">
        <f>SUBTOTAL(109,Table137[B-L])</f>
        <v>25</v>
      </c>
      <c r="Y143" s="376">
        <f>SUBTOTAL(109,Table137[Hld])</f>
        <v>27</v>
      </c>
      <c r="Z143" s="376">
        <f>SUBTOTAL(109,Table137[Sv])</f>
        <v>33</v>
      </c>
      <c r="AA143" s="376">
        <f>SUBTOTAL(109,Table137[BS])</f>
        <v>15</v>
      </c>
      <c r="AB143" s="401">
        <f>SUBTOTAL(109,Table137[B-IP])</f>
        <v>525.33333333333337</v>
      </c>
      <c r="AC143" s="376">
        <f>SUBTOTAL(109,Table137[B-H])</f>
        <v>460</v>
      </c>
      <c r="AD143" s="376">
        <f>SUBTOTAL(109,Table137[B-R])</f>
        <v>297</v>
      </c>
      <c r="AE143" s="376">
        <f>SUBTOTAL(109,Table137[B-ER])</f>
        <v>237</v>
      </c>
      <c r="AF143" s="376">
        <f>SUBTOTAL(109,Table137[B-BB])</f>
        <v>256</v>
      </c>
      <c r="AG143" s="376">
        <f>SUBTOTAL(109,Table137[B-SO])</f>
        <v>544</v>
      </c>
      <c r="AH143" s="376">
        <f>SUBTOTAL(109,Table137[B-HR])</f>
        <v>41</v>
      </c>
      <c r="AI143" s="376">
        <f>SUBTOTAL(109,Table137[B-HBP])</f>
        <v>44</v>
      </c>
      <c r="AJ143" s="376">
        <f>SUBTOTAL(109,Table137[B-BF])</f>
        <v>2299</v>
      </c>
      <c r="AK143" s="376"/>
      <c r="AL143" s="376"/>
      <c r="AM143" s="375" t="str">
        <f>INDEX(Table137[Starter1],MODE(MATCH(Table137[Starter1],Table137[Starter1],0)))</f>
        <v>Murrill, C</v>
      </c>
      <c r="AN143" s="374">
        <f>SUBTOTAL(109,Table137[AB1])</f>
        <v>571</v>
      </c>
      <c r="AO143" s="374">
        <f>SUBTOTAL(109,Table137[R1])</f>
        <v>91</v>
      </c>
      <c r="AP143" s="374">
        <f>SUBTOTAL(109,Table137[H1])</f>
        <v>147</v>
      </c>
      <c r="AQ143" s="374">
        <f>SUBTOTAL(109,Table137[RBI1])</f>
        <v>64</v>
      </c>
      <c r="AR143" s="374">
        <f>SUBTOTAL(109,Table137[BB1])</f>
        <v>56</v>
      </c>
      <c r="AS143" s="374">
        <f>SUBTOTAL(109,Table137[SO1])</f>
        <v>134</v>
      </c>
      <c r="AT143" s="374">
        <f>SUBTOTAL(109,Table137[HBP1])</f>
        <v>11</v>
      </c>
      <c r="AU143" s="374">
        <f>SUBTOTAL(109,Table137[SF1])</f>
        <v>5</v>
      </c>
      <c r="AV143" s="374">
        <f>SUBTOTAL(109,Table137[TB1])</f>
        <v>210</v>
      </c>
      <c r="AW143" s="375" t="str">
        <f>INDEX(Table137[Starter2],MODE(MATCH(Table137[Starter2],Table137[Starter2],0)))</f>
        <v>Bortnick, T</v>
      </c>
      <c r="AX143" s="374">
        <f>SUBTOTAL(109,Table137[AB2])</f>
        <v>527</v>
      </c>
      <c r="AY143" s="374">
        <f>SUBTOTAL(109,Table137[R2])</f>
        <v>83</v>
      </c>
      <c r="AZ143" s="374">
        <f>SUBTOTAL(109,Table137[H2])</f>
        <v>136</v>
      </c>
      <c r="BA143" s="374">
        <f>SUBTOTAL(109,Table137[RBI2])</f>
        <v>52</v>
      </c>
      <c r="BB143" s="374">
        <f>SUBTOTAL(109,Table137[BB2])</f>
        <v>81</v>
      </c>
      <c r="BC143" s="374">
        <f>SUBTOTAL(109,Table137[SO2])</f>
        <v>113</v>
      </c>
      <c r="BD143" s="374">
        <f>SUBTOTAL(109,Table137[HBP2])</f>
        <v>12</v>
      </c>
      <c r="BE143" s="374">
        <f>SUBTOTAL(109,Table137[SF2])</f>
        <v>5</v>
      </c>
      <c r="BF143" s="374">
        <f>SUBTOTAL(109,Table137[TB2])</f>
        <v>184</v>
      </c>
      <c r="BG143" s="375" t="str">
        <f>INDEX(Table137[Starter3],MODE(MATCH(Table137[Starter3],Table137[Starter3],0)))</f>
        <v>Nommensen, B</v>
      </c>
      <c r="BH143" s="374">
        <f>SUBTOTAL(109,Table137[AB3])</f>
        <v>517</v>
      </c>
      <c r="BI143" s="374">
        <f>SUBTOTAL(109,Table137[R3])</f>
        <v>82</v>
      </c>
      <c r="BJ143" s="374">
        <f>SUBTOTAL(109,Table137[H3])</f>
        <v>147</v>
      </c>
      <c r="BK143" s="374">
        <f>SUBTOTAL(109,Table137[RBI3])</f>
        <v>79</v>
      </c>
      <c r="BL143" s="374">
        <f>SUBTOTAL(109,Table137[BB3])</f>
        <v>81</v>
      </c>
      <c r="BM143" s="374">
        <f>SUBTOTAL(109,Table137[SO3])</f>
        <v>84</v>
      </c>
      <c r="BN143" s="374">
        <f>SUBTOTAL(109,Table137[HBP3])</f>
        <v>10</v>
      </c>
      <c r="BO143" s="374">
        <f>SUBTOTAL(109,Table137[SF3])</f>
        <v>4</v>
      </c>
      <c r="BP143" s="374">
        <f>SUBTOTAL(109,Table137[TB3])</f>
        <v>228</v>
      </c>
      <c r="BQ143" s="375" t="str">
        <f>INDEX(Table137[Starter4],MODE(MATCH(Table137[Starter4],Table137[Starter4],0)))</f>
        <v>Wiegand, R</v>
      </c>
      <c r="BR143" s="374">
        <f>SUBTOTAL(109,Table137[AB4])</f>
        <v>521</v>
      </c>
      <c r="BS143" s="374">
        <f>SUBTOTAL(109,Table137[R4])</f>
        <v>59</v>
      </c>
      <c r="BT143" s="374">
        <f>SUBTOTAL(109,Table137[H4])</f>
        <v>122</v>
      </c>
      <c r="BU143" s="374">
        <f>SUBTOTAL(109,Table137[RBI4])</f>
        <v>80</v>
      </c>
      <c r="BV143" s="374">
        <f>SUBTOTAL(109,Table137[BB4])</f>
        <v>60</v>
      </c>
      <c r="BW143" s="374">
        <f>SUBTOTAL(109,Table137[SO4])</f>
        <v>109</v>
      </c>
      <c r="BX143" s="374">
        <f>SUBTOTAL(109,Table137[HBP4])</f>
        <v>7</v>
      </c>
      <c r="BY143" s="374">
        <f>SUBTOTAL(109,Table137[SF4])</f>
        <v>7</v>
      </c>
      <c r="BZ143" s="374">
        <f>SUBTOTAL(109,Table137[TB4])</f>
        <v>170</v>
      </c>
      <c r="CA143" s="375" t="str">
        <f>INDEX(Table137[Starter5],MODE(MATCH(Table137[Starter5],Table137[Starter5],0)))</f>
        <v>Thomas, M</v>
      </c>
      <c r="CB143" s="374">
        <f>SUBTOTAL(109,Table137[AB5])</f>
        <v>526</v>
      </c>
      <c r="CC143" s="374">
        <f>SUBTOTAL(109,Table137[R5])</f>
        <v>65</v>
      </c>
      <c r="CD143" s="374">
        <f>SUBTOTAL(109,Table137[H5])</f>
        <v>137</v>
      </c>
      <c r="CE143" s="374">
        <f>SUBTOTAL(109,Table137[RBI5])</f>
        <v>68</v>
      </c>
      <c r="CF143" s="374">
        <f>SUBTOTAL(109,Table137[BB5])</f>
        <v>45</v>
      </c>
      <c r="CG143" s="374">
        <f>SUBTOTAL(109,Table137[SO5])</f>
        <v>118</v>
      </c>
      <c r="CH143" s="374">
        <f>SUBTOTAL(109,Table137[HBP5])</f>
        <v>2</v>
      </c>
      <c r="CI143" s="374">
        <f>SUBTOTAL(109,Table137[SF5])</f>
        <v>3</v>
      </c>
      <c r="CJ143" s="374">
        <f>SUBTOTAL(109,Table137[TB5])</f>
        <v>207</v>
      </c>
      <c r="CK143" s="375" t="str">
        <f>INDEX(Table137[Starter6],MODE(MATCH(Table137[Starter6],Table137[Starter6],0)))</f>
        <v>Cohen, G</v>
      </c>
      <c r="CL143" s="374">
        <f>SUBTOTAL(109,Table137[AB6])</f>
        <v>512</v>
      </c>
      <c r="CM143" s="374">
        <f>SUBTOTAL(109,Table137[R6])</f>
        <v>53</v>
      </c>
      <c r="CN143" s="374">
        <f>SUBTOTAL(109,Table137[H6])</f>
        <v>135</v>
      </c>
      <c r="CO143" s="374">
        <f>SUBTOTAL(109,Table137[RBI6])</f>
        <v>51</v>
      </c>
      <c r="CP143" s="374">
        <f>SUBTOTAL(109,Table137[BB6])</f>
        <v>42</v>
      </c>
      <c r="CQ143" s="374">
        <f>SUBTOTAL(109,Table137[SO6])</f>
        <v>113</v>
      </c>
      <c r="CR143" s="374">
        <f>SUBTOTAL(109,Table137[HBP6])</f>
        <v>5</v>
      </c>
      <c r="CS143" s="374">
        <f>SUBTOTAL(109,Table137[SF6])</f>
        <v>2</v>
      </c>
      <c r="CT143" s="374">
        <f>SUBTOTAL(109,Table137[TB6])</f>
        <v>177</v>
      </c>
      <c r="CU143" s="375" t="str">
        <f>INDEX(Table137[Starter7],MODE(MATCH(Table137[Starter7],Table137[Starter7],0)))</f>
        <v>Cedeno, J</v>
      </c>
      <c r="CV143" s="374">
        <f>SUBTOTAL(109,Table137[AB7])</f>
        <v>501</v>
      </c>
      <c r="CW143" s="374">
        <f>SUBTOTAL(109,Table137[R7])</f>
        <v>55</v>
      </c>
      <c r="CX143" s="374">
        <f>SUBTOTAL(109,Table137[H7])</f>
        <v>129</v>
      </c>
      <c r="CY143" s="374">
        <f>SUBTOTAL(109,Table137[RBI7])</f>
        <v>60</v>
      </c>
      <c r="CZ143" s="374">
        <f>SUBTOTAL(109,Table137[BB7])</f>
        <v>38</v>
      </c>
      <c r="DA143" s="374">
        <f>SUBTOTAL(109,Table137[SO7])</f>
        <v>95</v>
      </c>
      <c r="DB143" s="374">
        <f>SUBTOTAL(109,Table137[HBP7])</f>
        <v>5</v>
      </c>
      <c r="DC143" s="374">
        <f>SUBTOTAL(109,Table137[SF7])</f>
        <v>7</v>
      </c>
      <c r="DD143" s="374">
        <f>SUBTOTAL(109,Table137[TB7])</f>
        <v>169</v>
      </c>
      <c r="DE143" s="375" t="str">
        <f>INDEX(Table137[Starter8],MODE(MATCH(Table137[Starter8],Table137[Starter8],0)))</f>
        <v>Estrada, R</v>
      </c>
      <c r="DF143" s="374">
        <f>SUBTOTAL(109,Table137[AB8])</f>
        <v>474</v>
      </c>
      <c r="DG143" s="374">
        <f>SUBTOTAL(109,Table137[R8])</f>
        <v>58</v>
      </c>
      <c r="DH143" s="374">
        <f>SUBTOTAL(109,Table137[H8])</f>
        <v>111</v>
      </c>
      <c r="DI143" s="374">
        <f>SUBTOTAL(109,Table137[RBI8])</f>
        <v>39</v>
      </c>
      <c r="DJ143" s="374">
        <f>SUBTOTAL(109,Table137[BB8])</f>
        <v>46</v>
      </c>
      <c r="DK143" s="374">
        <f>SUBTOTAL(109,Table137[SO8])</f>
        <v>127</v>
      </c>
      <c r="DL143" s="374">
        <f>SUBTOTAL(109,Table137[HBP8])</f>
        <v>9</v>
      </c>
      <c r="DM143" s="374">
        <f>SUBTOTAL(109,Table137[SF8])</f>
        <v>3</v>
      </c>
      <c r="DN143" s="374">
        <f>SUBTOTAL(109,Table137[TB8])</f>
        <v>139</v>
      </c>
      <c r="DO143" s="375" t="str">
        <f>INDEX(Table137[Starter9],MODE(MATCH(Table137[Starter9],Table137[Starter9],0)))</f>
        <v>Morrison, T</v>
      </c>
      <c r="DP143" s="374">
        <f>SUBTOTAL(109,Table137[AB9])</f>
        <v>457</v>
      </c>
      <c r="DQ143" s="374">
        <f>SUBTOTAL(109,Table137[R9])</f>
        <v>61</v>
      </c>
      <c r="DR143" s="374">
        <f>SUBTOTAL(109,Table137[H9])</f>
        <v>106</v>
      </c>
      <c r="DS143" s="374">
        <f>SUBTOTAL(109,Table137[RBI9])</f>
        <v>52</v>
      </c>
      <c r="DT143" s="374">
        <f>SUBTOTAL(109,Table137[BB9])</f>
        <v>51</v>
      </c>
      <c r="DU143" s="374">
        <f>SUBTOTAL(109,Table137[SO9])</f>
        <v>135</v>
      </c>
      <c r="DV143" s="374">
        <f>SUBTOTAL(109,Table137[HBP9])</f>
        <v>8</v>
      </c>
      <c r="DW143" s="374">
        <f>SUBTOTAL(109,Table137[SF9])</f>
        <v>0</v>
      </c>
      <c r="DX143" s="374">
        <f>SUBTOTAL(109,Table137[TB9])</f>
        <v>171</v>
      </c>
      <c r="DY143" s="401">
        <f>SUBTOTAL(109,Table137[IVL])</f>
        <v>325.33333333333326</v>
      </c>
      <c r="DZ143" s="376">
        <f>SUBTOTAL(109,Table137[SVL])</f>
        <v>70</v>
      </c>
      <c r="EA143" s="376">
        <f>SUBTOTAL(109,Table137[CVL])</f>
        <v>20</v>
      </c>
      <c r="EB143" s="401">
        <f>SUBTOTAL(109,Table137[IVR])</f>
        <v>899.33333333333314</v>
      </c>
      <c r="EC143" s="376">
        <f>SUBTOTAL(109,Table137[SVR])</f>
        <v>180</v>
      </c>
      <c r="ED143" s="376">
        <f>SUBTOTAL(109,Table137[CVR])</f>
        <v>57</v>
      </c>
      <c r="EE143" s="376">
        <f>SUBTOTAL(109,Table137[RI1])</f>
        <v>69</v>
      </c>
      <c r="EF143" s="376">
        <f>SUBTOTAL(109,Table137[RI2])</f>
        <v>59</v>
      </c>
      <c r="EG143" s="376">
        <f>SUBTOTAL(109,Table137[RI3])</f>
        <v>64</v>
      </c>
      <c r="EH143" s="376">
        <f>SUBTOTAL(109,Table137[RI4])</f>
        <v>70</v>
      </c>
      <c r="EI143" s="376">
        <f>SUBTOTAL(109,Table137[RI5])</f>
        <v>75</v>
      </c>
      <c r="EJ143" s="376">
        <f>SUBTOTAL(109,Table137[RI6])</f>
        <v>79</v>
      </c>
      <c r="EK143" s="376">
        <f>SUBTOTAL(109,Table137[RI7])</f>
        <v>72</v>
      </c>
      <c r="EL143" s="376">
        <f>SUBTOTAL(109,Table137[RI8])</f>
        <v>62</v>
      </c>
      <c r="EM143" s="376">
        <f>SUBTOTAL(109,Table137[RI9])</f>
        <v>50</v>
      </c>
      <c r="EN143" s="376">
        <f>SUBTOTAL(109,Table137[RI10])</f>
        <v>2</v>
      </c>
      <c r="EO143" s="376">
        <f>SUBTOTAL(109,Table137[RI11])</f>
        <v>5</v>
      </c>
      <c r="EP143" s="376">
        <f>SUBTOTAL(109,Table137[RI12])</f>
        <v>0</v>
      </c>
      <c r="EQ143" s="376">
        <f>SUBTOTAL(109,Table137[RI13])</f>
        <v>0</v>
      </c>
      <c r="ER143" s="376">
        <f>SUBTOTAL(109,Table137[RT])</f>
        <v>607</v>
      </c>
      <c r="ES143" s="376">
        <f>SUBTOTAL(109,Table137[OI1])</f>
        <v>90</v>
      </c>
      <c r="ET143" s="376">
        <f>SUBTOTAL(109,Table137[OI2])</f>
        <v>89</v>
      </c>
      <c r="EU143" s="376">
        <f>SUBTOTAL(109,Table137[OI3])</f>
        <v>69</v>
      </c>
      <c r="EV143" s="376">
        <f>SUBTOTAL(109,Table137[OI4])</f>
        <v>78</v>
      </c>
      <c r="EW143" s="376">
        <f>SUBTOTAL(109,Table137[OI5])</f>
        <v>82</v>
      </c>
      <c r="EX143" s="376">
        <f>SUBTOTAL(109,Table137[OI6])</f>
        <v>87</v>
      </c>
      <c r="EY143" s="376">
        <f>SUBTOTAL(109,Table137[OI7])</f>
        <v>61</v>
      </c>
      <c r="EZ143" s="376">
        <f>SUBTOTAL(109,Table137[OI8])</f>
        <v>64</v>
      </c>
      <c r="FA143" s="376">
        <f>SUBTOTAL(109,Table137[OI9])</f>
        <v>60</v>
      </c>
      <c r="FB143" s="376">
        <f>SUBTOTAL(109,Table137[OI10])</f>
        <v>1</v>
      </c>
      <c r="FC143" s="376">
        <f>SUBTOTAL(109,Table137[OI11])</f>
        <v>10</v>
      </c>
      <c r="FD143" s="376">
        <f>SUBTOTAL(109,Table137[OI12])</f>
        <v>0</v>
      </c>
      <c r="FE143" s="376">
        <f>SUBTOTAL(109,Table137[OI13])</f>
        <v>1</v>
      </c>
      <c r="FF143" s="376">
        <f>SUBTOTAL(109,Table137[OT])</f>
        <v>692</v>
      </c>
      <c r="FG143" s="378"/>
      <c r="FH143" s="378"/>
      <c r="FI143" s="378">
        <f>SUBTOTAL(109,Table137[RD1])</f>
        <v>-21</v>
      </c>
      <c r="FJ143" s="378">
        <f>SUBTOTAL(109,Table137[RD2])</f>
        <v>-30</v>
      </c>
      <c r="FK143" s="378">
        <f>SUBTOTAL(109,Table137[RD3])</f>
        <v>-5</v>
      </c>
      <c r="FL143" s="378">
        <f>SUBTOTAL(109,Table137[RD4])</f>
        <v>-8</v>
      </c>
      <c r="FM143" s="378">
        <f>SUBTOTAL(109,Table137[RD5])</f>
        <v>-7</v>
      </c>
      <c r="FN143" s="378">
        <f>SUBTOTAL(109,Table137[RD6])</f>
        <v>-8</v>
      </c>
      <c r="FO143" s="378">
        <f>SUBTOTAL(109,Table137[RD7])</f>
        <v>11</v>
      </c>
      <c r="FP143" s="378">
        <f>SUBTOTAL(109,Table137[RD8])</f>
        <v>-2</v>
      </c>
      <c r="FQ143" s="378">
        <f>SUBTOTAL(109,Table137[RD9])</f>
        <v>-10</v>
      </c>
      <c r="FR143" s="378">
        <f>SUBTOTAL(109,Table137[RD10])</f>
        <v>1</v>
      </c>
      <c r="FS143" s="378">
        <f>SUBTOTAL(109,Table137[RD11])</f>
        <v>-5</v>
      </c>
      <c r="FT143" s="378">
        <f>SUBTOTAL(109,Table137[RD12])</f>
        <v>0</v>
      </c>
      <c r="FU143" s="378">
        <f>SUBTOTAL(109,Table137[RD13])</f>
        <v>-1</v>
      </c>
      <c r="FV143" s="378">
        <f>SUBTOTAL(109,Table137[RDT])</f>
        <v>-85</v>
      </c>
      <c r="FW143" s="379"/>
    </row>
    <row r="144" spans="1:179" x14ac:dyDescent="0.25">
      <c r="A144" s="180" t="s">
        <v>227</v>
      </c>
      <c r="B144" s="136"/>
      <c r="C144" s="136"/>
      <c r="D144" s="136"/>
      <c r="E144" s="251">
        <f>MAX(Table137[Att])</f>
        <v>9297</v>
      </c>
      <c r="F144" s="136"/>
      <c r="G144" s="136"/>
      <c r="H144" s="136"/>
      <c r="I144" s="136"/>
      <c r="J144" s="178">
        <f>MAX(Table137[S-IP])</f>
        <v>8</v>
      </c>
      <c r="K144" s="179">
        <f>MAX(Table137[S-H])</f>
        <v>10</v>
      </c>
      <c r="L144" s="179">
        <f>MAX(Table137[S-R])</f>
        <v>8</v>
      </c>
      <c r="M144" s="179">
        <f>MAX(Table137[S-ER])</f>
        <v>8</v>
      </c>
      <c r="N144" s="179">
        <f>MAX(Table137[S-BB])</f>
        <v>6</v>
      </c>
      <c r="O144" s="179">
        <f>MAX(Table137[S-SO])</f>
        <v>9</v>
      </c>
      <c r="P144" s="179">
        <f>MAX(Table137[S-HR])</f>
        <v>4</v>
      </c>
      <c r="Q144" s="179">
        <f>MAX(Table137[S-HBP])</f>
        <v>2</v>
      </c>
      <c r="R144" s="179">
        <f>MAX(Table137[S-BF])</f>
        <v>29</v>
      </c>
      <c r="S144" s="179"/>
      <c r="T144" s="179"/>
      <c r="U144" s="179">
        <f>MAX(Table137[IRL])</f>
        <v>3</v>
      </c>
      <c r="V144" s="179">
        <f>MAX(Table137[IRS])</f>
        <v>3</v>
      </c>
      <c r="W144" s="136"/>
      <c r="X144" s="136"/>
      <c r="Y144" s="136"/>
      <c r="Z144" s="136"/>
      <c r="AA144" s="136"/>
      <c r="AB144" s="178">
        <f>MAX(Table137[B-IP])</f>
        <v>8</v>
      </c>
      <c r="AC144" s="179">
        <f>MAX(Table137[B-H])</f>
        <v>9</v>
      </c>
      <c r="AD144" s="179">
        <f>MAX(Table137[B-R])</f>
        <v>10</v>
      </c>
      <c r="AE144" s="179">
        <f>MAX(Table137[B-ER])</f>
        <v>9</v>
      </c>
      <c r="AF144" s="179">
        <f>MAX(Table137[B-BB])</f>
        <v>8</v>
      </c>
      <c r="AG144" s="179">
        <f>MAX(Table137[B-SO])</f>
        <v>11</v>
      </c>
      <c r="AH144" s="179">
        <f>MAX(Table137[B-HR])</f>
        <v>2</v>
      </c>
      <c r="AI144" s="179">
        <f>MAX(Table137[B-HBP])</f>
        <v>3</v>
      </c>
      <c r="AJ144" s="179">
        <f>MAX(Table137[B-BF])</f>
        <v>37</v>
      </c>
      <c r="AK144" s="179"/>
      <c r="AL144" s="179"/>
      <c r="AM144" s="136"/>
      <c r="AN144" s="179">
        <f>MAX(Table137[AB1])</f>
        <v>6</v>
      </c>
      <c r="AO144" s="179">
        <f>MAX(Table137[R1])</f>
        <v>4</v>
      </c>
      <c r="AP144" s="179">
        <f>MAX(Table137[H1])</f>
        <v>4</v>
      </c>
      <c r="AQ144" s="179">
        <f>MAX(Table137[RBI1])</f>
        <v>4</v>
      </c>
      <c r="AR144" s="179">
        <f>MAX(Table137[BB1])</f>
        <v>5</v>
      </c>
      <c r="AS144" s="179">
        <f>MAX(Table137[SO1])</f>
        <v>3</v>
      </c>
      <c r="AT144" s="179">
        <f>MAX(Table137[HBP1])</f>
        <v>2</v>
      </c>
      <c r="AU144" s="179">
        <f>MAX(Table137[SF1])</f>
        <v>1</v>
      </c>
      <c r="AV144" s="179">
        <f>MAX(Table137[TB1])</f>
        <v>11</v>
      </c>
      <c r="AW144" s="136"/>
      <c r="AX144" s="179">
        <f>MAX(Table137[AB2])</f>
        <v>6</v>
      </c>
      <c r="AY144" s="179">
        <f>MAX(Table137[R2])</f>
        <v>3</v>
      </c>
      <c r="AZ144" s="179">
        <f>MAX(Table137[H2])</f>
        <v>3</v>
      </c>
      <c r="BA144" s="179">
        <f>MAX(Table137[RBI2])</f>
        <v>3</v>
      </c>
      <c r="BB144" s="179">
        <f>MAX(Table137[BB2])</f>
        <v>3</v>
      </c>
      <c r="BC144" s="179">
        <f>MAX(Table137[SO2])</f>
        <v>4</v>
      </c>
      <c r="BD144" s="179">
        <f>MAX(Table137[HBP2])</f>
        <v>1</v>
      </c>
      <c r="BE144" s="179">
        <f>MAX(Table137[SF2])</f>
        <v>1</v>
      </c>
      <c r="BF144" s="179">
        <f>MAX(Table137[TB2])</f>
        <v>6</v>
      </c>
      <c r="BG144" s="136"/>
      <c r="BH144" s="179">
        <f>MAX(Table137[AB3])</f>
        <v>6</v>
      </c>
      <c r="BI144" s="179">
        <f>MAX(Table137[R3])</f>
        <v>3</v>
      </c>
      <c r="BJ144" s="179">
        <f>MAX(Table137[H3])</f>
        <v>4</v>
      </c>
      <c r="BK144" s="179">
        <f>MAX(Table137[RBI3])</f>
        <v>5</v>
      </c>
      <c r="BL144" s="179">
        <f>MAX(Table137[BB3])</f>
        <v>3</v>
      </c>
      <c r="BM144" s="179">
        <f>MAX(Table137[SO3])</f>
        <v>4</v>
      </c>
      <c r="BN144" s="179">
        <f>MAX(Table137[HBP3])</f>
        <v>1</v>
      </c>
      <c r="BO144" s="179">
        <f>MAX(Table137[SF3])</f>
        <v>1</v>
      </c>
      <c r="BP144" s="179">
        <f>MAX(Table137[TB3])</f>
        <v>8</v>
      </c>
      <c r="BQ144" s="136"/>
      <c r="BR144" s="179">
        <f>MAX(Table137[AB4])</f>
        <v>6</v>
      </c>
      <c r="BS144" s="179">
        <f>MAX(Table137[R4])</f>
        <v>3</v>
      </c>
      <c r="BT144" s="179">
        <f>MAX(Table137[H4])</f>
        <v>3</v>
      </c>
      <c r="BU144" s="179">
        <f>MAX(Table137[RBI4])</f>
        <v>5</v>
      </c>
      <c r="BV144" s="179">
        <f>MAX(Table137[BB4])</f>
        <v>3</v>
      </c>
      <c r="BW144" s="179">
        <f>MAX(Table137[SO4])</f>
        <v>3</v>
      </c>
      <c r="BX144" s="179">
        <f>MAX(Table137[HBP4])</f>
        <v>1</v>
      </c>
      <c r="BY144" s="179">
        <f>MAX(Table137[SF4])</f>
        <v>1</v>
      </c>
      <c r="BZ144" s="179">
        <f>MAX(Table137[TB4])</f>
        <v>7</v>
      </c>
      <c r="CA144" s="136"/>
      <c r="CB144" s="179">
        <f>MAX(Table137[AB5])</f>
        <v>6</v>
      </c>
      <c r="CC144" s="179">
        <f>MAX(Table137[R5])</f>
        <v>2</v>
      </c>
      <c r="CD144" s="179">
        <f>MAX(Table137[H5])</f>
        <v>4</v>
      </c>
      <c r="CE144" s="179">
        <f>MAX(Table137[RBI5])</f>
        <v>6</v>
      </c>
      <c r="CF144" s="179">
        <f>MAX(Table137[BB5])</f>
        <v>3</v>
      </c>
      <c r="CG144" s="179">
        <f>MAX(Table137[SO5])</f>
        <v>4</v>
      </c>
      <c r="CH144" s="179">
        <f>MAX(Table137[HBP5])</f>
        <v>1</v>
      </c>
      <c r="CI144" s="179">
        <f>MAX(Table137[SF5])</f>
        <v>1</v>
      </c>
      <c r="CJ144" s="179">
        <f>MAX(Table137[TB5])</f>
        <v>7</v>
      </c>
      <c r="CK144" s="136"/>
      <c r="CL144" s="179">
        <f>MAX(Table137[AB6])</f>
        <v>6</v>
      </c>
      <c r="CM144" s="179">
        <f>MAX(Table137[R6])</f>
        <v>2</v>
      </c>
      <c r="CN144" s="179">
        <f>MAX(Table137[H6])</f>
        <v>4</v>
      </c>
      <c r="CO144" s="179">
        <f>MAX(Table137[RBI6])</f>
        <v>3</v>
      </c>
      <c r="CP144" s="179">
        <f>MAX(Table137[BB6])</f>
        <v>2</v>
      </c>
      <c r="CQ144" s="179">
        <f>MAX(Table137[SO6])</f>
        <v>4</v>
      </c>
      <c r="CR144" s="179">
        <f>MAX(Table137[HBP6])</f>
        <v>2</v>
      </c>
      <c r="CS144" s="179">
        <f>MAX(Table137[SF6])</f>
        <v>1</v>
      </c>
      <c r="CT144" s="179">
        <f>MAX(Table137[TB6])</f>
        <v>8</v>
      </c>
      <c r="CU144" s="136"/>
      <c r="CV144" s="179">
        <f>MAX(Table137[AB7])</f>
        <v>6</v>
      </c>
      <c r="CW144" s="179">
        <f>MAX(Table137[R7])</f>
        <v>3</v>
      </c>
      <c r="CX144" s="179">
        <f>MAX(Table137[H7])</f>
        <v>3</v>
      </c>
      <c r="CY144" s="179">
        <f>MAX(Table137[RBI7])</f>
        <v>2</v>
      </c>
      <c r="CZ144" s="179">
        <f>MAX(Table137[BB7])</f>
        <v>2</v>
      </c>
      <c r="DA144" s="179">
        <f>MAX(Table137[SO7])</f>
        <v>4</v>
      </c>
      <c r="DB144" s="179">
        <f>MAX(Table137[HBP7])</f>
        <v>1</v>
      </c>
      <c r="DC144" s="179">
        <f>MAX(Table137[SF7])</f>
        <v>1</v>
      </c>
      <c r="DD144" s="179">
        <f>MAX(Table137[TB7])</f>
        <v>6</v>
      </c>
      <c r="DE144" s="136"/>
      <c r="DF144" s="179">
        <f>MAX(Table137[AB8])</f>
        <v>6</v>
      </c>
      <c r="DG144" s="179">
        <f>MAX(Table137[R8])</f>
        <v>3</v>
      </c>
      <c r="DH144" s="179">
        <f>MAX(Table137[H8])</f>
        <v>4</v>
      </c>
      <c r="DI144" s="179">
        <f>MAX(Table137[RBI8])</f>
        <v>3</v>
      </c>
      <c r="DJ144" s="179">
        <f>MAX(Table137[BB8])</f>
        <v>2</v>
      </c>
      <c r="DK144" s="179">
        <f>MAX(Table137[SO8])</f>
        <v>3</v>
      </c>
      <c r="DL144" s="179">
        <f>MAX(Table137[HBP8])</f>
        <v>2</v>
      </c>
      <c r="DM144" s="179">
        <f>MAX(Table137[SF8])</f>
        <v>1</v>
      </c>
      <c r="DN144" s="179">
        <f>MAX(Table137[TB8])</f>
        <v>5</v>
      </c>
      <c r="DO144" s="136"/>
      <c r="DP144" s="179">
        <f>MAX(Table137[AB9])</f>
        <v>6</v>
      </c>
      <c r="DQ144" s="179">
        <f>MAX(Table137[R9])</f>
        <v>3</v>
      </c>
      <c r="DR144" s="179">
        <f>MAX(Table137[H9])</f>
        <v>4</v>
      </c>
      <c r="DS144" s="179">
        <f>MAX(Table137[RBI9])</f>
        <v>3</v>
      </c>
      <c r="DT144" s="179">
        <f>MAX(Table137[BB9])</f>
        <v>2</v>
      </c>
      <c r="DU144" s="179">
        <f>MAX(Table137[SO9])</f>
        <v>3</v>
      </c>
      <c r="DV144" s="179">
        <f>MAX(Table137[HBP9])</f>
        <v>1</v>
      </c>
      <c r="DW144" s="179">
        <f>MAX(Table137[SF9])</f>
        <v>0</v>
      </c>
      <c r="DX144" s="179">
        <f>MAX(Table137[TB9])</f>
        <v>9</v>
      </c>
      <c r="DY144" s="178">
        <f>MAX(Table137[IVL])</f>
        <v>8</v>
      </c>
      <c r="DZ144" s="179">
        <f>MAX(Table137[SVL])</f>
        <v>5</v>
      </c>
      <c r="EA144" s="179">
        <f>MAX(Table137[CVL])</f>
        <v>1</v>
      </c>
      <c r="EB144" s="178">
        <f>MAX(Table137[IVR])</f>
        <v>12</v>
      </c>
      <c r="EC144" s="179">
        <f>MAX(Table137[SVR])</f>
        <v>6</v>
      </c>
      <c r="ED144" s="179">
        <f>MAX(Table137[CVR])</f>
        <v>3</v>
      </c>
      <c r="EE144" s="179">
        <f>MAX(Table137[RI1])</f>
        <v>5</v>
      </c>
      <c r="EF144" s="179">
        <f>MAX(Table137[RI2])</f>
        <v>8</v>
      </c>
      <c r="EG144" s="179">
        <f>MAX(Table137[RI3])</f>
        <v>7</v>
      </c>
      <c r="EH144" s="179">
        <f>MAX(Table137[RI4])</f>
        <v>6</v>
      </c>
      <c r="EI144" s="179">
        <f>MAX(Table137[RI5])</f>
        <v>6</v>
      </c>
      <c r="EJ144" s="179">
        <f>MAX(Table137[RI6])</f>
        <v>6</v>
      </c>
      <c r="EK144" s="179">
        <f>MAX(Table137[RI7])</f>
        <v>7</v>
      </c>
      <c r="EL144" s="179">
        <f>MAX(Table137[RI8])</f>
        <v>6</v>
      </c>
      <c r="EM144" s="179">
        <f>MAX(Table137[RI9])</f>
        <v>5</v>
      </c>
      <c r="EN144" s="179">
        <f>MAX(Table137[RI10])</f>
        <v>1</v>
      </c>
      <c r="EO144" s="179">
        <f>MAX(Table137[RI11])</f>
        <v>4</v>
      </c>
      <c r="EP144" s="179">
        <f>MAX(Table137[RI12])</f>
        <v>0</v>
      </c>
      <c r="EQ144" s="179">
        <f>MAX(Table137[RI13])</f>
        <v>0</v>
      </c>
      <c r="ER144" s="179">
        <f>MAX(Table137[RT])</f>
        <v>17</v>
      </c>
      <c r="ES144" s="179">
        <f>MAX(Table137[OI1])</f>
        <v>6</v>
      </c>
      <c r="ET144" s="179">
        <f>MAX(Table137[OI2])</f>
        <v>6</v>
      </c>
      <c r="EU144" s="179">
        <f>MAX(Table137[OI3])</f>
        <v>4</v>
      </c>
      <c r="EV144" s="179">
        <f>MAX(Table137[OI4])</f>
        <v>8</v>
      </c>
      <c r="EW144" s="179">
        <f>MAX(Table137[OI5])</f>
        <v>5</v>
      </c>
      <c r="EX144" s="179">
        <f>MAX(Table137[OI6])</f>
        <v>6</v>
      </c>
      <c r="EY144" s="179">
        <f>MAX(Table137[OI7])</f>
        <v>6</v>
      </c>
      <c r="EZ144" s="179">
        <f>MAX(Table137[OI8])</f>
        <v>5</v>
      </c>
      <c r="FA144" s="179">
        <f>MAX(Table137[OI9])</f>
        <v>5</v>
      </c>
      <c r="FB144" s="179">
        <f>MAX(Table137[OI10])</f>
        <v>1</v>
      </c>
      <c r="FC144" s="179">
        <f>MAX(Table137[OI11])</f>
        <v>5</v>
      </c>
      <c r="FD144" s="179">
        <f>MAX(Table137[OI12])</f>
        <v>0</v>
      </c>
      <c r="FE144" s="179">
        <f>MAX(Table137[OI13])</f>
        <v>1</v>
      </c>
      <c r="FF144" s="179">
        <f>MAX(Table137[OT])</f>
        <v>15</v>
      </c>
      <c r="FG144" s="168"/>
      <c r="FH144" s="168"/>
      <c r="FI144" s="179">
        <f>MAX(Table137[RD1])</f>
        <v>4</v>
      </c>
      <c r="FJ144" s="179">
        <f>MAX(Table137[RD2])</f>
        <v>8</v>
      </c>
      <c r="FK144" s="179">
        <f>MAX(Table137[RD3])</f>
        <v>5</v>
      </c>
      <c r="FL144" s="179">
        <f>MAX(Table137[RD4])</f>
        <v>6</v>
      </c>
      <c r="FM144" s="179">
        <f>MAX(Table137[RD5])</f>
        <v>6</v>
      </c>
      <c r="FN144" s="179">
        <f>MAX(Table137[RD6])</f>
        <v>6</v>
      </c>
      <c r="FO144" s="179">
        <f>MAX(Table137[RD7])</f>
        <v>7</v>
      </c>
      <c r="FP144" s="179">
        <f>MAX(Table137[RD8])</f>
        <v>6</v>
      </c>
      <c r="FQ144" s="179">
        <f>MAX(Table137[RD9])</f>
        <v>3</v>
      </c>
      <c r="FR144" s="179"/>
      <c r="FS144" s="179"/>
      <c r="FT144" s="179"/>
      <c r="FU144" s="179"/>
      <c r="FV144" s="179">
        <f>MAX(Table137[RDT])</f>
        <v>12</v>
      </c>
      <c r="FW144" s="165" t="s">
        <v>227</v>
      </c>
    </row>
    <row r="145" spans="1:179" x14ac:dyDescent="0.25">
      <c r="A145" s="180" t="s">
        <v>228</v>
      </c>
      <c r="B145" s="136"/>
      <c r="C145" s="136"/>
      <c r="D145" s="136"/>
      <c r="E145" s="251">
        <f>QUARTILE(Table137[Att],3)</f>
        <v>5045</v>
      </c>
      <c r="F145" s="136"/>
      <c r="G145" s="136"/>
      <c r="H145" s="136"/>
      <c r="I145" s="136"/>
      <c r="J145" s="178">
        <f>QUARTILE(Table137[S-IP],3)</f>
        <v>6</v>
      </c>
      <c r="K145" s="179">
        <f>QUARTILE(Table137[S-H],3)</f>
        <v>7</v>
      </c>
      <c r="L145" s="179">
        <f>QUARTILE(Table137[S-R],3)</f>
        <v>4</v>
      </c>
      <c r="M145" s="179">
        <f>QUARTILE(Table137[S-ER],3)</f>
        <v>4</v>
      </c>
      <c r="N145" s="179">
        <f>QUARTILE(Table137[S-BB],3)</f>
        <v>3</v>
      </c>
      <c r="O145" s="179">
        <f>QUARTILE(Table137[S-SO],3)</f>
        <v>6</v>
      </c>
      <c r="P145" s="179">
        <f>QUARTILE(Table137[S-HR],3)</f>
        <v>1</v>
      </c>
      <c r="Q145" s="179">
        <f>QUARTILE(Table137[S-HBP],3)</f>
        <v>0</v>
      </c>
      <c r="R145" s="179">
        <f>QUARTILE(Table137[S-BF],3)</f>
        <v>24</v>
      </c>
      <c r="S145" s="179"/>
      <c r="T145" s="179"/>
      <c r="U145" s="179">
        <f>QUARTILE(Table137[IRL],3)</f>
        <v>0</v>
      </c>
      <c r="V145" s="179">
        <f>QUARTILE(Table137[IRS],3)</f>
        <v>0</v>
      </c>
      <c r="W145" s="136"/>
      <c r="X145" s="136"/>
      <c r="Y145" s="136"/>
      <c r="Z145" s="136"/>
      <c r="AA145" s="136"/>
      <c r="AB145" s="178">
        <f>QUARTILE(Table137[B-IP],3)</f>
        <v>4.8333333333333339</v>
      </c>
      <c r="AC145" s="179">
        <f>QUARTILE(Table137[B-H],3)</f>
        <v>5</v>
      </c>
      <c r="AD145" s="179">
        <f>QUARTILE(Table137[B-R],3)</f>
        <v>3</v>
      </c>
      <c r="AE145" s="179">
        <f>QUARTILE(Table137[B-ER],3)</f>
        <v>3</v>
      </c>
      <c r="AF145" s="179">
        <f>QUARTILE(Table137[B-BB],3)</f>
        <v>3</v>
      </c>
      <c r="AG145" s="179">
        <f>QUARTILE(Table137[B-SO],3)</f>
        <v>5</v>
      </c>
      <c r="AH145" s="179">
        <f>QUARTILE(Table137[B-HR],3)</f>
        <v>0.5</v>
      </c>
      <c r="AI145" s="179">
        <f>QUARTILE(Table137[B-HBP],3)</f>
        <v>0</v>
      </c>
      <c r="AJ145" s="179">
        <f>QUARTILE(Table137[B-BF],3)</f>
        <v>20.5</v>
      </c>
      <c r="AK145" s="179"/>
      <c r="AL145" s="179"/>
      <c r="AM145" s="136"/>
      <c r="AN145" s="179">
        <f>QUARTILE(Table137[AB1],3)</f>
        <v>5</v>
      </c>
      <c r="AO145" s="179">
        <f>QUARTILE(Table137[R1],3)</f>
        <v>1</v>
      </c>
      <c r="AP145" s="179">
        <f>QUARTILE(Table137[H1],3)</f>
        <v>2</v>
      </c>
      <c r="AQ145" s="179">
        <f>QUARTILE(Table137[RBI1],3)</f>
        <v>1</v>
      </c>
      <c r="AR145" s="179">
        <f>QUARTILE(Table137[BB1],3)</f>
        <v>1</v>
      </c>
      <c r="AS145" s="179">
        <f>QUARTILE(Table137[SO1],3)</f>
        <v>2</v>
      </c>
      <c r="AT145" s="179">
        <f>QUARTILE(Table137[HBP1],3)</f>
        <v>0</v>
      </c>
      <c r="AU145" s="179">
        <f>QUARTILE(Table137[SF1],3)</f>
        <v>0</v>
      </c>
      <c r="AV145" s="179">
        <f>QUARTILE(Table137[TB1],3)</f>
        <v>2</v>
      </c>
      <c r="AW145" s="136"/>
      <c r="AX145" s="179">
        <f>QUARTILE(Table137[AB2],3)</f>
        <v>4</v>
      </c>
      <c r="AY145" s="179">
        <f>QUARTILE(Table137[R2],3)</f>
        <v>1</v>
      </c>
      <c r="AZ145" s="179">
        <f>QUARTILE(Table137[H2],3)</f>
        <v>2</v>
      </c>
      <c r="BA145" s="179">
        <f>QUARTILE(Table137[RBI2],3)</f>
        <v>1</v>
      </c>
      <c r="BB145" s="179">
        <f>QUARTILE(Table137[BB2],3)</f>
        <v>1</v>
      </c>
      <c r="BC145" s="179">
        <f>QUARTILE(Table137[SO2],3)</f>
        <v>1</v>
      </c>
      <c r="BD145" s="179">
        <f>QUARTILE(Table137[HBP2],3)</f>
        <v>0</v>
      </c>
      <c r="BE145" s="179">
        <f>QUARTILE(Table137[SF2],3)</f>
        <v>0</v>
      </c>
      <c r="BF145" s="179">
        <f>QUARTILE(Table137[TB2],3)</f>
        <v>2</v>
      </c>
      <c r="BG145" s="136"/>
      <c r="BH145" s="179">
        <f>QUARTILE(Table137[AB3],3)</f>
        <v>4</v>
      </c>
      <c r="BI145" s="179">
        <f>QUARTILE(Table137[R3],3)</f>
        <v>1</v>
      </c>
      <c r="BJ145" s="179">
        <f>QUARTILE(Table137[H3],3)</f>
        <v>2</v>
      </c>
      <c r="BK145" s="179">
        <f>QUARTILE(Table137[RBI3],3)</f>
        <v>1</v>
      </c>
      <c r="BL145" s="179">
        <f>QUARTILE(Table137[BB3],3)</f>
        <v>1</v>
      </c>
      <c r="BM145" s="179">
        <f>QUARTILE(Table137[SO3],3)</f>
        <v>1</v>
      </c>
      <c r="BN145" s="179">
        <f>QUARTILE(Table137[HBP3],3)</f>
        <v>0</v>
      </c>
      <c r="BO145" s="179">
        <f>QUARTILE(Table137[SF3],3)</f>
        <v>0</v>
      </c>
      <c r="BP145" s="179">
        <f>QUARTILE(Table137[TB3],3)</f>
        <v>2</v>
      </c>
      <c r="BQ145" s="136"/>
      <c r="BR145" s="179">
        <f>QUARTILE(Table137[AB4],3)</f>
        <v>4</v>
      </c>
      <c r="BS145" s="179">
        <f>QUARTILE(Table137[R4],3)</f>
        <v>1</v>
      </c>
      <c r="BT145" s="179">
        <f>QUARTILE(Table137[H4],3)</f>
        <v>1</v>
      </c>
      <c r="BU145" s="179">
        <f>QUARTILE(Table137[RBI4],3)</f>
        <v>1</v>
      </c>
      <c r="BV145" s="179">
        <f>QUARTILE(Table137[BB4],3)</f>
        <v>1</v>
      </c>
      <c r="BW145" s="179">
        <f>QUARTILE(Table137[SO4],3)</f>
        <v>1</v>
      </c>
      <c r="BX145" s="179">
        <f>QUARTILE(Table137[HBP4],3)</f>
        <v>0</v>
      </c>
      <c r="BY145" s="179">
        <f>QUARTILE(Table137[SF4],3)</f>
        <v>0</v>
      </c>
      <c r="BZ145" s="179">
        <f>QUARTILE(Table137[TB4],3)</f>
        <v>2</v>
      </c>
      <c r="CA145" s="136"/>
      <c r="CB145" s="179">
        <f>QUARTILE(Table137[AB5],3)</f>
        <v>4</v>
      </c>
      <c r="CC145" s="179">
        <f>QUARTILE(Table137[R5],3)</f>
        <v>1</v>
      </c>
      <c r="CD145" s="179">
        <f>QUARTILE(Table137[H5],3)</f>
        <v>1</v>
      </c>
      <c r="CE145" s="179">
        <f>QUARTILE(Table137[RBI5],3)</f>
        <v>1</v>
      </c>
      <c r="CF145" s="179">
        <f>QUARTILE(Table137[BB5],3)</f>
        <v>1</v>
      </c>
      <c r="CG145" s="179">
        <f>QUARTILE(Table137[SO5],3)</f>
        <v>1</v>
      </c>
      <c r="CH145" s="179">
        <f>QUARTILE(Table137[HBP5],3)</f>
        <v>0</v>
      </c>
      <c r="CI145" s="179">
        <f>QUARTILE(Table137[SF5],3)</f>
        <v>0</v>
      </c>
      <c r="CJ145" s="179">
        <f>QUARTILE(Table137[TB5],3)</f>
        <v>2</v>
      </c>
      <c r="CK145" s="136"/>
      <c r="CL145" s="179">
        <f>QUARTILE(Table137[AB6],3)</f>
        <v>4</v>
      </c>
      <c r="CM145" s="179">
        <f>QUARTILE(Table137[R6],3)</f>
        <v>1</v>
      </c>
      <c r="CN145" s="179">
        <f>QUARTILE(Table137[H6],3)</f>
        <v>2</v>
      </c>
      <c r="CO145" s="179">
        <f>QUARTILE(Table137[RBI6],3)</f>
        <v>1</v>
      </c>
      <c r="CP145" s="179">
        <f>QUARTILE(Table137[BB6],3)</f>
        <v>1</v>
      </c>
      <c r="CQ145" s="179">
        <f>QUARTILE(Table137[SO6],3)</f>
        <v>1</v>
      </c>
      <c r="CR145" s="179">
        <f>QUARTILE(Table137[HBP6],3)</f>
        <v>0</v>
      </c>
      <c r="CS145" s="179">
        <f>QUARTILE(Table137[SF6],3)</f>
        <v>0</v>
      </c>
      <c r="CT145" s="179">
        <f>QUARTILE(Table137[TB6],3)</f>
        <v>2</v>
      </c>
      <c r="CU145" s="136"/>
      <c r="CV145" s="179">
        <f>QUARTILE(Table137[AB7],3)</f>
        <v>4</v>
      </c>
      <c r="CW145" s="179">
        <f>QUARTILE(Table137[R7],3)</f>
        <v>1</v>
      </c>
      <c r="CX145" s="179">
        <f>QUARTILE(Table137[H7],3)</f>
        <v>1.5</v>
      </c>
      <c r="CY145" s="179">
        <f>QUARTILE(Table137[RBI7],3)</f>
        <v>1</v>
      </c>
      <c r="CZ145" s="179">
        <f>QUARTILE(Table137[BB7],3)</f>
        <v>0</v>
      </c>
      <c r="DA145" s="179">
        <f>QUARTILE(Table137[SO7],3)</f>
        <v>1</v>
      </c>
      <c r="DB145" s="179">
        <f>QUARTILE(Table137[HBP7],3)</f>
        <v>0</v>
      </c>
      <c r="DC145" s="179">
        <f>QUARTILE(Table137[SF7],3)</f>
        <v>0</v>
      </c>
      <c r="DD145" s="179">
        <f>QUARTILE(Table137[TB7],3)</f>
        <v>2</v>
      </c>
      <c r="DE145" s="136"/>
      <c r="DF145" s="179">
        <f>QUARTILE(Table137[AB8],3)</f>
        <v>4</v>
      </c>
      <c r="DG145" s="179">
        <f>QUARTILE(Table137[R8],3)</f>
        <v>1</v>
      </c>
      <c r="DH145" s="179">
        <f>QUARTILE(Table137[H8],3)</f>
        <v>1</v>
      </c>
      <c r="DI145" s="179">
        <f>QUARTILE(Table137[RBI8],3)</f>
        <v>0</v>
      </c>
      <c r="DJ145" s="179">
        <f>QUARTILE(Table137[BB8],3)</f>
        <v>1</v>
      </c>
      <c r="DK145" s="179">
        <f>QUARTILE(Table137[SO8],3)</f>
        <v>2</v>
      </c>
      <c r="DL145" s="179">
        <f>QUARTILE(Table137[HBP8],3)</f>
        <v>0</v>
      </c>
      <c r="DM145" s="179">
        <f>QUARTILE(Table137[SF8],3)</f>
        <v>0</v>
      </c>
      <c r="DN145" s="179">
        <f>QUARTILE(Table137[TB8],3)</f>
        <v>2</v>
      </c>
      <c r="DO145" s="136"/>
      <c r="DP145" s="179">
        <f>QUARTILE(Table137[AB9],3)</f>
        <v>4</v>
      </c>
      <c r="DQ145" s="179">
        <f>QUARTILE(Table137[R9],3)</f>
        <v>1</v>
      </c>
      <c r="DR145" s="179">
        <f>QUARTILE(Table137[H9],3)</f>
        <v>1</v>
      </c>
      <c r="DS145" s="179">
        <f>QUARTILE(Table137[RBI9],3)</f>
        <v>1</v>
      </c>
      <c r="DT145" s="179">
        <f>QUARTILE(Table137[BB9],3)</f>
        <v>1</v>
      </c>
      <c r="DU145" s="179">
        <f>QUARTILE(Table137[SO9],3)</f>
        <v>1</v>
      </c>
      <c r="DV145" s="179">
        <f>QUARTILE(Table137[HBP9],3)</f>
        <v>0</v>
      </c>
      <c r="DW145" s="179">
        <f>QUARTILE(Table137[SF9],3)</f>
        <v>0</v>
      </c>
      <c r="DX145" s="179">
        <f>QUARTILE(Table137[TB9],3)</f>
        <v>2</v>
      </c>
      <c r="DY145" s="178">
        <f>QUARTILE(Table137[IVL],3)</f>
        <v>4.1666666666666661</v>
      </c>
      <c r="DZ145" s="179">
        <f>QUARTILE(Table137[SVL],3)</f>
        <v>1</v>
      </c>
      <c r="EA145" s="179">
        <f>QUARTILE(Table137[CVL],3)</f>
        <v>0</v>
      </c>
      <c r="EB145" s="178">
        <f>QUARTILE(Table137[IVR],3)</f>
        <v>9</v>
      </c>
      <c r="EC145" s="179">
        <f>QUARTILE(Table137[SVR],3)</f>
        <v>2</v>
      </c>
      <c r="ED145" s="179">
        <f>QUARTILE(Table137[CVR],3)</f>
        <v>1</v>
      </c>
      <c r="EE145" s="179">
        <f>QUARTILE(Table137[RI1],3)</f>
        <v>1</v>
      </c>
      <c r="EF145" s="179">
        <f>QUARTILE(Table137[RI2],3)</f>
        <v>0</v>
      </c>
      <c r="EG145" s="179">
        <f>QUARTILE(Table137[RI3],3)</f>
        <v>1</v>
      </c>
      <c r="EH145" s="179">
        <f>QUARTILE(Table137[RI4],3)</f>
        <v>1</v>
      </c>
      <c r="EI145" s="179">
        <f>QUARTILE(Table137[RI5],3)</f>
        <v>1</v>
      </c>
      <c r="EJ145" s="179">
        <f>QUARTILE(Table137[RI6],3)</f>
        <v>1</v>
      </c>
      <c r="EK145" s="179">
        <f>QUARTILE(Table137[RI7],3)</f>
        <v>1</v>
      </c>
      <c r="EL145" s="179">
        <f>QUARTILE(Table137[RI8],3)</f>
        <v>0</v>
      </c>
      <c r="EM145" s="179">
        <f>QUARTILE(Table137[RI9],3)</f>
        <v>1</v>
      </c>
      <c r="EN145" s="179">
        <f>QUARTILE(Table137[RI10],3)</f>
        <v>0.25</v>
      </c>
      <c r="EO145" s="179">
        <f>QUARTILE(Table137[RI11],3)</f>
        <v>1</v>
      </c>
      <c r="EP145" s="179">
        <f>QUARTILE(Table137[RI12],3)</f>
        <v>0</v>
      </c>
      <c r="EQ145" s="179">
        <f>QUARTILE(Table137[RI13],3)</f>
        <v>0</v>
      </c>
      <c r="ER145" s="179">
        <f>QUARTILE(Table137[RT],3)</f>
        <v>6</v>
      </c>
      <c r="ES145" s="179">
        <f>QUARTILE(Table137[OI1],3)</f>
        <v>1</v>
      </c>
      <c r="ET145" s="179">
        <f>QUARTILE(Table137[OI2],3)</f>
        <v>1</v>
      </c>
      <c r="EU145" s="179">
        <f>QUARTILE(Table137[OI3],3)</f>
        <v>1</v>
      </c>
      <c r="EV145" s="179">
        <f>QUARTILE(Table137[OI4],3)</f>
        <v>1</v>
      </c>
      <c r="EW145" s="179">
        <f>QUARTILE(Table137[OI5],3)</f>
        <v>1</v>
      </c>
      <c r="EX145" s="179">
        <f>QUARTILE(Table137[OI6],3)</f>
        <v>1</v>
      </c>
      <c r="EY145" s="179">
        <f>QUARTILE(Table137[OI7],3)</f>
        <v>1</v>
      </c>
      <c r="EZ145" s="179">
        <f>QUARTILE(Table137[OI8],3)</f>
        <v>1</v>
      </c>
      <c r="FA145" s="179">
        <f>QUARTILE(Table137[OI9],3)</f>
        <v>1</v>
      </c>
      <c r="FB145" s="179">
        <f>QUARTILE(Table137[OI10],3)</f>
        <v>0</v>
      </c>
      <c r="FC145" s="179">
        <f>QUARTILE(Table137[OI11],3)</f>
        <v>5</v>
      </c>
      <c r="FD145" s="179">
        <f>QUARTILE(Table137[OI12],3)</f>
        <v>0</v>
      </c>
      <c r="FE145" s="179">
        <f>QUARTILE(Table137[OI13],3)</f>
        <v>1</v>
      </c>
      <c r="FF145" s="179">
        <f>QUARTILE(Table137[OT],3)</f>
        <v>7</v>
      </c>
      <c r="FG145" s="168"/>
      <c r="FH145" s="168"/>
      <c r="FI145" s="179">
        <f>QUARTILE(Table137[RD1],3)</f>
        <v>0</v>
      </c>
      <c r="FJ145" s="179">
        <f>QUARTILE(Table137[RD2],3)</f>
        <v>0</v>
      </c>
      <c r="FK145" s="179">
        <f>QUARTILE(Table137[RD3],3)</f>
        <v>0</v>
      </c>
      <c r="FL145" s="179">
        <f>QUARTILE(Table137[RD4],3)</f>
        <v>0</v>
      </c>
      <c r="FM145" s="179">
        <f>QUARTILE(Table137[RD5],3)</f>
        <v>0</v>
      </c>
      <c r="FN145" s="179">
        <f>QUARTILE(Table137[RD6],3)</f>
        <v>1</v>
      </c>
      <c r="FO145" s="179">
        <f>QUARTILE(Table137[RD7],3)</f>
        <v>0</v>
      </c>
      <c r="FP145" s="179">
        <f>QUARTILE(Table137[RD8],3)</f>
        <v>0</v>
      </c>
      <c r="FQ145" s="179">
        <f>QUARTILE(Table137[RD9],3)</f>
        <v>0</v>
      </c>
      <c r="FR145" s="179"/>
      <c r="FS145" s="179"/>
      <c r="FT145" s="179"/>
      <c r="FU145" s="179"/>
      <c r="FV145" s="179">
        <f>QUARTILE(Table137[RDT],3)</f>
        <v>2</v>
      </c>
      <c r="FW145" s="165" t="s">
        <v>228</v>
      </c>
    </row>
    <row r="146" spans="1:179" x14ac:dyDescent="0.25">
      <c r="A146" s="180" t="s">
        <v>229</v>
      </c>
      <c r="B146" s="136"/>
      <c r="C146" s="136"/>
      <c r="D146" s="136"/>
      <c r="E146" s="251">
        <f>MEDIAN(Table137[Att])</f>
        <v>3587</v>
      </c>
      <c r="F146" s="136"/>
      <c r="G146" s="136"/>
      <c r="H146" s="136"/>
      <c r="I146" s="136"/>
      <c r="J146" s="178">
        <f>MEDIAN(Table137[S-IP])</f>
        <v>5</v>
      </c>
      <c r="K146" s="179">
        <f>MEDIAN(Table137[S-H])</f>
        <v>5</v>
      </c>
      <c r="L146" s="179">
        <f>MEDIAN(Table137[S-R])</f>
        <v>3</v>
      </c>
      <c r="M146" s="179">
        <f>MEDIAN(Table137[S-ER])</f>
        <v>2</v>
      </c>
      <c r="N146" s="179">
        <f>MEDIAN(Table137[S-BB])</f>
        <v>2</v>
      </c>
      <c r="O146" s="179">
        <f>MEDIAN(Table137[S-SO])</f>
        <v>4</v>
      </c>
      <c r="P146" s="179">
        <f>MEDIAN(Table137[S-HR])</f>
        <v>0</v>
      </c>
      <c r="Q146" s="179">
        <f>MEDIAN(Table137[S-HBP])</f>
        <v>0</v>
      </c>
      <c r="R146" s="179">
        <f>MEDIAN(Table137[S-BF])</f>
        <v>22</v>
      </c>
      <c r="S146" s="179"/>
      <c r="T146" s="179"/>
      <c r="U146" s="179">
        <f>MEDIAN(Table137[IRL])</f>
        <v>0</v>
      </c>
      <c r="V146" s="179">
        <f>MEDIAN(Table137[IRS])</f>
        <v>0</v>
      </c>
      <c r="W146" s="136"/>
      <c r="X146" s="136"/>
      <c r="Y146" s="136"/>
      <c r="Z146" s="136"/>
      <c r="AA146" s="136"/>
      <c r="AB146" s="178">
        <f>MEDIAN(Table137[B-IP])</f>
        <v>4</v>
      </c>
      <c r="AC146" s="179">
        <f>MEDIAN(Table137[B-H])</f>
        <v>3</v>
      </c>
      <c r="AD146" s="179">
        <f>MEDIAN(Table137[B-R])</f>
        <v>1</v>
      </c>
      <c r="AE146" s="179">
        <f>MEDIAN(Table137[B-ER])</f>
        <v>1</v>
      </c>
      <c r="AF146" s="179">
        <f>MEDIAN(Table137[B-BB])</f>
        <v>2</v>
      </c>
      <c r="AG146" s="179">
        <f>MEDIAN(Table137[B-SO])</f>
        <v>4</v>
      </c>
      <c r="AH146" s="179">
        <f>MEDIAN(Table137[B-HR])</f>
        <v>0</v>
      </c>
      <c r="AI146" s="179">
        <f>MEDIAN(Table137[B-HBP])</f>
        <v>0</v>
      </c>
      <c r="AJ146" s="179">
        <f>MEDIAN(Table137[B-BF])</f>
        <v>16</v>
      </c>
      <c r="AK146" s="179"/>
      <c r="AL146" s="179"/>
      <c r="AM146" s="136"/>
      <c r="AN146" s="179">
        <f>MEDIAN(Table137[AB1])</f>
        <v>4</v>
      </c>
      <c r="AO146" s="179">
        <f>MEDIAN(Table137[R1])</f>
        <v>0</v>
      </c>
      <c r="AP146" s="179">
        <f>MEDIAN(Table137[H1])</f>
        <v>1</v>
      </c>
      <c r="AQ146" s="179">
        <f>MEDIAN(Table137[RBI1])</f>
        <v>0</v>
      </c>
      <c r="AR146" s="179">
        <f>MEDIAN(Table137[BB1])</f>
        <v>0</v>
      </c>
      <c r="AS146" s="179">
        <f>MEDIAN(Table137[SO1])</f>
        <v>1</v>
      </c>
      <c r="AT146" s="179">
        <f>MEDIAN(Table137[HBP1])</f>
        <v>0</v>
      </c>
      <c r="AU146" s="179">
        <f>MEDIAN(Table137[SF1])</f>
        <v>0</v>
      </c>
      <c r="AV146" s="179">
        <f>MEDIAN(Table137[TB1])</f>
        <v>1</v>
      </c>
      <c r="AW146" s="136"/>
      <c r="AX146" s="179">
        <f>MEDIAN(Table137[AB2])</f>
        <v>4</v>
      </c>
      <c r="AY146" s="179">
        <f>MEDIAN(Table137[R2])</f>
        <v>0</v>
      </c>
      <c r="AZ146" s="179">
        <f>MEDIAN(Table137[H2])</f>
        <v>1</v>
      </c>
      <c r="BA146" s="179">
        <f>MEDIAN(Table137[RBI2])</f>
        <v>0</v>
      </c>
      <c r="BB146" s="179">
        <f>MEDIAN(Table137[BB2])</f>
        <v>0</v>
      </c>
      <c r="BC146" s="179">
        <f>MEDIAN(Table137[SO2])</f>
        <v>1</v>
      </c>
      <c r="BD146" s="179">
        <f>MEDIAN(Table137[HBP2])</f>
        <v>0</v>
      </c>
      <c r="BE146" s="179">
        <f>MEDIAN(Table137[SF2])</f>
        <v>0</v>
      </c>
      <c r="BF146" s="179">
        <f>MEDIAN(Table137[TB2])</f>
        <v>1</v>
      </c>
      <c r="BG146" s="136"/>
      <c r="BH146" s="179">
        <f>MEDIAN(Table137[AB3])</f>
        <v>4</v>
      </c>
      <c r="BI146" s="179">
        <f>MEDIAN(Table137[R3])</f>
        <v>0</v>
      </c>
      <c r="BJ146" s="179">
        <f>MEDIAN(Table137[H3])</f>
        <v>1</v>
      </c>
      <c r="BK146" s="179">
        <f>MEDIAN(Table137[RBI3])</f>
        <v>0</v>
      </c>
      <c r="BL146" s="179">
        <f>MEDIAN(Table137[BB3])</f>
        <v>0</v>
      </c>
      <c r="BM146" s="179">
        <f>MEDIAN(Table137[SO3])</f>
        <v>0</v>
      </c>
      <c r="BN146" s="179">
        <f>MEDIAN(Table137[HBP3])</f>
        <v>0</v>
      </c>
      <c r="BO146" s="179">
        <f>MEDIAN(Table137[SF3])</f>
        <v>0</v>
      </c>
      <c r="BP146" s="179">
        <f>MEDIAN(Table137[TB3])</f>
        <v>1</v>
      </c>
      <c r="BQ146" s="136"/>
      <c r="BR146" s="179">
        <f>MEDIAN(Table137[AB4])</f>
        <v>4</v>
      </c>
      <c r="BS146" s="179">
        <f>MEDIAN(Table137[R4])</f>
        <v>0</v>
      </c>
      <c r="BT146" s="179">
        <f>MEDIAN(Table137[H4])</f>
        <v>1</v>
      </c>
      <c r="BU146" s="179">
        <f>MEDIAN(Table137[RBI4])</f>
        <v>0</v>
      </c>
      <c r="BV146" s="179">
        <f>MEDIAN(Table137[BB4])</f>
        <v>0</v>
      </c>
      <c r="BW146" s="179">
        <f>MEDIAN(Table137[SO4])</f>
        <v>1</v>
      </c>
      <c r="BX146" s="179">
        <f>MEDIAN(Table137[HBP4])</f>
        <v>0</v>
      </c>
      <c r="BY146" s="179">
        <f>MEDIAN(Table137[SF4])</f>
        <v>0</v>
      </c>
      <c r="BZ146" s="179">
        <f>MEDIAN(Table137[TB4])</f>
        <v>1</v>
      </c>
      <c r="CA146" s="136"/>
      <c r="CB146" s="179">
        <f>MEDIAN(Table137[AB5])</f>
        <v>4</v>
      </c>
      <c r="CC146" s="179">
        <f>MEDIAN(Table137[R5])</f>
        <v>0</v>
      </c>
      <c r="CD146" s="179">
        <f>MEDIAN(Table137[H5])</f>
        <v>1</v>
      </c>
      <c r="CE146" s="179">
        <f>MEDIAN(Table137[RBI5])</f>
        <v>0</v>
      </c>
      <c r="CF146" s="179">
        <f>MEDIAN(Table137[BB5])</f>
        <v>0</v>
      </c>
      <c r="CG146" s="179">
        <f>MEDIAN(Table137[SO5])</f>
        <v>1</v>
      </c>
      <c r="CH146" s="179">
        <f>MEDIAN(Table137[HBP5])</f>
        <v>0</v>
      </c>
      <c r="CI146" s="179">
        <f>MEDIAN(Table137[SF5])</f>
        <v>0</v>
      </c>
      <c r="CJ146" s="179">
        <f>MEDIAN(Table137[TB5])</f>
        <v>1</v>
      </c>
      <c r="CK146" s="136"/>
      <c r="CL146" s="179">
        <f>MEDIAN(Table137[AB6])</f>
        <v>4</v>
      </c>
      <c r="CM146" s="179">
        <f>MEDIAN(Table137[R6])</f>
        <v>0</v>
      </c>
      <c r="CN146" s="179">
        <f>MEDIAN(Table137[H6])</f>
        <v>1</v>
      </c>
      <c r="CO146" s="179">
        <f>MEDIAN(Table137[RBI6])</f>
        <v>0</v>
      </c>
      <c r="CP146" s="179">
        <f>MEDIAN(Table137[BB6])</f>
        <v>0</v>
      </c>
      <c r="CQ146" s="179">
        <f>MEDIAN(Table137[SO6])</f>
        <v>1</v>
      </c>
      <c r="CR146" s="179">
        <f>MEDIAN(Table137[HBP6])</f>
        <v>0</v>
      </c>
      <c r="CS146" s="179">
        <f>MEDIAN(Table137[SF6])</f>
        <v>0</v>
      </c>
      <c r="CT146" s="179">
        <f>MEDIAN(Table137[TB6])</f>
        <v>1</v>
      </c>
      <c r="CU146" s="136"/>
      <c r="CV146" s="179">
        <f>MEDIAN(Table137[AB7])</f>
        <v>4</v>
      </c>
      <c r="CW146" s="179">
        <f>MEDIAN(Table137[R7])</f>
        <v>0</v>
      </c>
      <c r="CX146" s="179">
        <f>MEDIAN(Table137[H7])</f>
        <v>1</v>
      </c>
      <c r="CY146" s="179">
        <f>MEDIAN(Table137[RBI7])</f>
        <v>0</v>
      </c>
      <c r="CZ146" s="179">
        <f>MEDIAN(Table137[BB7])</f>
        <v>0</v>
      </c>
      <c r="DA146" s="179">
        <f>MEDIAN(Table137[SO7])</f>
        <v>1</v>
      </c>
      <c r="DB146" s="179">
        <f>MEDIAN(Table137[HBP7])</f>
        <v>0</v>
      </c>
      <c r="DC146" s="179">
        <f>MEDIAN(Table137[SF7])</f>
        <v>0</v>
      </c>
      <c r="DD146" s="179">
        <f>MEDIAN(Table137[TB7])</f>
        <v>1</v>
      </c>
      <c r="DE146" s="136"/>
      <c r="DF146" s="179">
        <f>MEDIAN(Table137[AB8])</f>
        <v>3</v>
      </c>
      <c r="DG146" s="179">
        <f>MEDIAN(Table137[R8])</f>
        <v>0</v>
      </c>
      <c r="DH146" s="179">
        <f>MEDIAN(Table137[H8])</f>
        <v>1</v>
      </c>
      <c r="DI146" s="179">
        <f>MEDIAN(Table137[RBI8])</f>
        <v>0</v>
      </c>
      <c r="DJ146" s="179">
        <f>MEDIAN(Table137[BB8])</f>
        <v>0</v>
      </c>
      <c r="DK146" s="179">
        <f>MEDIAN(Table137[SO8])</f>
        <v>1</v>
      </c>
      <c r="DL146" s="179">
        <f>MEDIAN(Table137[HBP8])</f>
        <v>0</v>
      </c>
      <c r="DM146" s="179">
        <f>MEDIAN(Table137[SF8])</f>
        <v>0</v>
      </c>
      <c r="DN146" s="179">
        <f>MEDIAN(Table137[TB8])</f>
        <v>1</v>
      </c>
      <c r="DO146" s="136"/>
      <c r="DP146" s="179">
        <f>MEDIAN(Table137[AB9])</f>
        <v>3</v>
      </c>
      <c r="DQ146" s="179">
        <f>MEDIAN(Table137[R9])</f>
        <v>0</v>
      </c>
      <c r="DR146" s="179">
        <f>MEDIAN(Table137[H9])</f>
        <v>1</v>
      </c>
      <c r="DS146" s="179">
        <f>MEDIAN(Table137[RBI9])</f>
        <v>0</v>
      </c>
      <c r="DT146" s="179">
        <f>MEDIAN(Table137[BB9])</f>
        <v>0</v>
      </c>
      <c r="DU146" s="179">
        <f>MEDIAN(Table137[SO9])</f>
        <v>1</v>
      </c>
      <c r="DV146" s="179">
        <f>MEDIAN(Table137[HBP9])</f>
        <v>0</v>
      </c>
      <c r="DW146" s="179">
        <f>MEDIAN(Table137[SF9])</f>
        <v>0</v>
      </c>
      <c r="DX146" s="179">
        <f>MEDIAN(Table137[TB9])</f>
        <v>1</v>
      </c>
      <c r="DY146" s="178">
        <f>MEDIAN(Table137[IVL])</f>
        <v>2</v>
      </c>
      <c r="DZ146" s="179">
        <f>MEDIAN(Table137[SVL])</f>
        <v>0</v>
      </c>
      <c r="EA146" s="179">
        <f>MEDIAN(Table137[CVL])</f>
        <v>0</v>
      </c>
      <c r="EB146" s="178">
        <f>MEDIAN(Table137[IVR])</f>
        <v>7</v>
      </c>
      <c r="EC146" s="179">
        <f>MEDIAN(Table137[SVR])</f>
        <v>1</v>
      </c>
      <c r="ED146" s="179">
        <f>MEDIAN(Table137[CVR])</f>
        <v>0</v>
      </c>
      <c r="EE146" s="179">
        <f>MEDIAN(Table137[RI1])</f>
        <v>0</v>
      </c>
      <c r="EF146" s="179">
        <f>MEDIAN(Table137[RI2])</f>
        <v>0</v>
      </c>
      <c r="EG146" s="179">
        <f>MEDIAN(Table137[RI3])</f>
        <v>0</v>
      </c>
      <c r="EH146" s="179">
        <f>MEDIAN(Table137[RI4])</f>
        <v>0</v>
      </c>
      <c r="EI146" s="179">
        <f>MEDIAN(Table137[RI5])</f>
        <v>0</v>
      </c>
      <c r="EJ146" s="179">
        <f>MEDIAN(Table137[RI6])</f>
        <v>0</v>
      </c>
      <c r="EK146" s="179">
        <f>MEDIAN(Table137[RI7])</f>
        <v>0</v>
      </c>
      <c r="EL146" s="179">
        <f>MEDIAN(Table137[RI8])</f>
        <v>0</v>
      </c>
      <c r="EM146" s="179">
        <f>MEDIAN(Table137[RI9])</f>
        <v>0</v>
      </c>
      <c r="EN146" s="179">
        <f>MEDIAN(Table137[RI10])</f>
        <v>0</v>
      </c>
      <c r="EO146" s="179">
        <f>MEDIAN(Table137[RI11])</f>
        <v>0</v>
      </c>
      <c r="EP146" s="179">
        <f>MEDIAN(Table137[RI12])</f>
        <v>0</v>
      </c>
      <c r="EQ146" s="179">
        <f>MEDIAN(Table137[RI13])</f>
        <v>0</v>
      </c>
      <c r="ER146" s="179">
        <f>MEDIAN(Table137[RT])</f>
        <v>4</v>
      </c>
      <c r="ES146" s="179">
        <f>MEDIAN(Table137[OI1])</f>
        <v>0</v>
      </c>
      <c r="ET146" s="179">
        <f>MEDIAN(Table137[OI2])</f>
        <v>0</v>
      </c>
      <c r="EU146" s="179">
        <f>MEDIAN(Table137[OI3])</f>
        <v>0</v>
      </c>
      <c r="EV146" s="179">
        <f>MEDIAN(Table137[OI4])</f>
        <v>0</v>
      </c>
      <c r="EW146" s="179">
        <f>MEDIAN(Table137[OI5])</f>
        <v>0</v>
      </c>
      <c r="EX146" s="179">
        <f>MEDIAN(Table137[OI6])</f>
        <v>0</v>
      </c>
      <c r="EY146" s="179">
        <f>MEDIAN(Table137[OI7])</f>
        <v>0</v>
      </c>
      <c r="EZ146" s="179">
        <f>MEDIAN(Table137[OI8])</f>
        <v>0</v>
      </c>
      <c r="FA146" s="179">
        <f>MEDIAN(Table137[OI9])</f>
        <v>0</v>
      </c>
      <c r="FB146" s="179">
        <f>MEDIAN(Table137[OI10])</f>
        <v>0</v>
      </c>
      <c r="FC146" s="179">
        <f>MEDIAN(Table137[OI11])</f>
        <v>0</v>
      </c>
      <c r="FD146" s="179">
        <f>MEDIAN(Table137[OI12])</f>
        <v>0</v>
      </c>
      <c r="FE146" s="179">
        <f>MEDIAN(Table137[OI13])</f>
        <v>1</v>
      </c>
      <c r="FF146" s="179">
        <f>MEDIAN(Table137[OT])</f>
        <v>5</v>
      </c>
      <c r="FG146" s="168"/>
      <c r="FH146" s="168"/>
      <c r="FI146" s="179">
        <f>MEDIAN(Table137[RD1])</f>
        <v>0</v>
      </c>
      <c r="FJ146" s="179">
        <f>MEDIAN(Table137[RD2])</f>
        <v>0</v>
      </c>
      <c r="FK146" s="179">
        <f>MEDIAN(Table137[RD3])</f>
        <v>0</v>
      </c>
      <c r="FL146" s="179">
        <f>MEDIAN(Table137[RD4])</f>
        <v>0</v>
      </c>
      <c r="FM146" s="179">
        <f>MEDIAN(Table137[RD5])</f>
        <v>0</v>
      </c>
      <c r="FN146" s="179">
        <f>MEDIAN(Table137[RD6])</f>
        <v>0</v>
      </c>
      <c r="FO146" s="179">
        <f>MEDIAN(Table137[RD7])</f>
        <v>0</v>
      </c>
      <c r="FP146" s="179">
        <f>MEDIAN(Table137[RD8])</f>
        <v>0</v>
      </c>
      <c r="FQ146" s="179">
        <f>MEDIAN(Table137[RD9])</f>
        <v>0</v>
      </c>
      <c r="FR146" s="179"/>
      <c r="FS146" s="179"/>
      <c r="FT146" s="179"/>
      <c r="FU146" s="179"/>
      <c r="FV146" s="179">
        <f>MEDIAN(Table137[RDT])</f>
        <v>-1</v>
      </c>
      <c r="FW146" s="165" t="s">
        <v>229</v>
      </c>
    </row>
    <row r="147" spans="1:179" x14ac:dyDescent="0.25">
      <c r="A147" s="180" t="s">
        <v>230</v>
      </c>
      <c r="B147" s="136"/>
      <c r="C147" s="136"/>
      <c r="D147" s="136"/>
      <c r="E147" s="251">
        <f>QUARTILE(Table137[Att],1)</f>
        <v>2764.5</v>
      </c>
      <c r="F147" s="136"/>
      <c r="G147" s="136"/>
      <c r="H147" s="136"/>
      <c r="I147" s="136"/>
      <c r="J147" s="178">
        <f>QUARTILE(Table137[S-IP],1)</f>
        <v>4</v>
      </c>
      <c r="K147" s="179">
        <f>QUARTILE(Table137[S-H],1)</f>
        <v>3</v>
      </c>
      <c r="L147" s="179">
        <f>QUARTILE(Table137[S-R],1)</f>
        <v>1</v>
      </c>
      <c r="M147" s="179">
        <f>QUARTILE(Table137[S-ER],1)</f>
        <v>1</v>
      </c>
      <c r="N147" s="179">
        <f>QUARTILE(Table137[S-BB],1)</f>
        <v>1</v>
      </c>
      <c r="O147" s="179">
        <f>QUARTILE(Table137[S-SO],1)</f>
        <v>2</v>
      </c>
      <c r="P147" s="179">
        <f>QUARTILE(Table137[S-HR],1)</f>
        <v>0</v>
      </c>
      <c r="Q147" s="179">
        <f>QUARTILE(Table137[S-HBP],1)</f>
        <v>0</v>
      </c>
      <c r="R147" s="179">
        <f>QUARTILE(Table137[S-BF],1)</f>
        <v>19</v>
      </c>
      <c r="S147" s="179"/>
      <c r="T147" s="179"/>
      <c r="U147" s="179">
        <f>QUARTILE(Table137[IRL],1)</f>
        <v>0</v>
      </c>
      <c r="V147" s="179">
        <f>QUARTILE(Table137[IRS],1)</f>
        <v>0</v>
      </c>
      <c r="W147" s="136"/>
      <c r="X147" s="136"/>
      <c r="Y147" s="136"/>
      <c r="Z147" s="136"/>
      <c r="AA147" s="136"/>
      <c r="AB147" s="178">
        <f>QUARTILE(Table137[B-IP],1)</f>
        <v>3</v>
      </c>
      <c r="AC147" s="179">
        <f>QUARTILE(Table137[B-H],1)</f>
        <v>1</v>
      </c>
      <c r="AD147" s="179">
        <f>QUARTILE(Table137[B-R],1)</f>
        <v>0</v>
      </c>
      <c r="AE147" s="179">
        <f>QUARTILE(Table137[B-ER],1)</f>
        <v>0</v>
      </c>
      <c r="AF147" s="179">
        <f>QUARTILE(Table137[B-BB],1)</f>
        <v>1</v>
      </c>
      <c r="AG147" s="179">
        <f>QUARTILE(Table137[B-SO],1)</f>
        <v>2</v>
      </c>
      <c r="AH147" s="179">
        <f>QUARTILE(Table137[B-HR],1)</f>
        <v>0</v>
      </c>
      <c r="AI147" s="179">
        <f>QUARTILE(Table137[B-HBP],1)</f>
        <v>0</v>
      </c>
      <c r="AJ147" s="179">
        <f>QUARTILE(Table137[B-BF],1)</f>
        <v>12</v>
      </c>
      <c r="AK147" s="179"/>
      <c r="AL147" s="179"/>
      <c r="AM147" s="136"/>
      <c r="AN147" s="179">
        <f>QUARTILE(Table137[AB1],1)</f>
        <v>4</v>
      </c>
      <c r="AO147" s="179">
        <f>QUARTILE(Table137[R1],1)</f>
        <v>0</v>
      </c>
      <c r="AP147" s="179">
        <f>QUARTILE(Table137[H1],1)</f>
        <v>0</v>
      </c>
      <c r="AQ147" s="179">
        <f>QUARTILE(Table137[RBI1],1)</f>
        <v>0</v>
      </c>
      <c r="AR147" s="179">
        <f>QUARTILE(Table137[BB1],1)</f>
        <v>0</v>
      </c>
      <c r="AS147" s="179">
        <f>QUARTILE(Table137[SO1],1)</f>
        <v>0</v>
      </c>
      <c r="AT147" s="179">
        <f>QUARTILE(Table137[HBP1],1)</f>
        <v>0</v>
      </c>
      <c r="AU147" s="179">
        <f>QUARTILE(Table137[SF1],1)</f>
        <v>0</v>
      </c>
      <c r="AV147" s="179">
        <f>QUARTILE(Table137[TB1],1)</f>
        <v>0</v>
      </c>
      <c r="AW147" s="136"/>
      <c r="AX147" s="179">
        <f>QUARTILE(Table137[AB2],1)</f>
        <v>3</v>
      </c>
      <c r="AY147" s="179">
        <f>QUARTILE(Table137[R2],1)</f>
        <v>0</v>
      </c>
      <c r="AZ147" s="179">
        <f>QUARTILE(Table137[H2],1)</f>
        <v>0</v>
      </c>
      <c r="BA147" s="179">
        <f>QUARTILE(Table137[RBI2],1)</f>
        <v>0</v>
      </c>
      <c r="BB147" s="179">
        <f>QUARTILE(Table137[BB2],1)</f>
        <v>0</v>
      </c>
      <c r="BC147" s="179">
        <f>QUARTILE(Table137[SO2],1)</f>
        <v>0</v>
      </c>
      <c r="BD147" s="179">
        <f>QUARTILE(Table137[HBP2],1)</f>
        <v>0</v>
      </c>
      <c r="BE147" s="179">
        <f>QUARTILE(Table137[SF2],1)</f>
        <v>0</v>
      </c>
      <c r="BF147" s="179">
        <f>QUARTILE(Table137[TB2],1)</f>
        <v>0</v>
      </c>
      <c r="BG147" s="136"/>
      <c r="BH147" s="179">
        <f>QUARTILE(Table137[AB3],1)</f>
        <v>3</v>
      </c>
      <c r="BI147" s="179">
        <f>QUARTILE(Table137[R3],1)</f>
        <v>0</v>
      </c>
      <c r="BJ147" s="179">
        <f>QUARTILE(Table137[H3],1)</f>
        <v>0</v>
      </c>
      <c r="BK147" s="179">
        <f>QUARTILE(Table137[RBI3],1)</f>
        <v>0</v>
      </c>
      <c r="BL147" s="179">
        <f>QUARTILE(Table137[BB3],1)</f>
        <v>0</v>
      </c>
      <c r="BM147" s="179">
        <f>QUARTILE(Table137[SO3],1)</f>
        <v>0</v>
      </c>
      <c r="BN147" s="179">
        <f>QUARTILE(Table137[HBP3],1)</f>
        <v>0</v>
      </c>
      <c r="BO147" s="179">
        <f>QUARTILE(Table137[SF3],1)</f>
        <v>0</v>
      </c>
      <c r="BP147" s="179">
        <f>QUARTILE(Table137[TB3],1)</f>
        <v>0</v>
      </c>
      <c r="BQ147" s="136"/>
      <c r="BR147" s="179">
        <f>QUARTILE(Table137[AB4],1)</f>
        <v>3</v>
      </c>
      <c r="BS147" s="179">
        <f>QUARTILE(Table137[R4],1)</f>
        <v>0</v>
      </c>
      <c r="BT147" s="179">
        <f>QUARTILE(Table137[H4],1)</f>
        <v>0</v>
      </c>
      <c r="BU147" s="179">
        <f>QUARTILE(Table137[RBI4],1)</f>
        <v>0</v>
      </c>
      <c r="BV147" s="179">
        <f>QUARTILE(Table137[BB4],1)</f>
        <v>0</v>
      </c>
      <c r="BW147" s="179">
        <f>QUARTILE(Table137[SO4],1)</f>
        <v>0</v>
      </c>
      <c r="BX147" s="179">
        <f>QUARTILE(Table137[HBP4],1)</f>
        <v>0</v>
      </c>
      <c r="BY147" s="179">
        <f>QUARTILE(Table137[SF4],1)</f>
        <v>0</v>
      </c>
      <c r="BZ147" s="179">
        <f>QUARTILE(Table137[TB4],1)</f>
        <v>0</v>
      </c>
      <c r="CA147" s="136"/>
      <c r="CB147" s="179">
        <f>QUARTILE(Table137[AB5],1)</f>
        <v>3</v>
      </c>
      <c r="CC147" s="179">
        <f>QUARTILE(Table137[R5],1)</f>
        <v>0</v>
      </c>
      <c r="CD147" s="179">
        <f>QUARTILE(Table137[H5],1)</f>
        <v>0</v>
      </c>
      <c r="CE147" s="179">
        <f>QUARTILE(Table137[RBI5],1)</f>
        <v>0</v>
      </c>
      <c r="CF147" s="179">
        <f>QUARTILE(Table137[BB5],1)</f>
        <v>0</v>
      </c>
      <c r="CG147" s="179">
        <f>QUARTILE(Table137[SO5],1)</f>
        <v>0</v>
      </c>
      <c r="CH147" s="179">
        <f>QUARTILE(Table137[HBP5],1)</f>
        <v>0</v>
      </c>
      <c r="CI147" s="179">
        <f>QUARTILE(Table137[SF5],1)</f>
        <v>0</v>
      </c>
      <c r="CJ147" s="179">
        <f>QUARTILE(Table137[TB5],1)</f>
        <v>0</v>
      </c>
      <c r="CK147" s="136"/>
      <c r="CL147" s="179">
        <f>QUARTILE(Table137[AB6],1)</f>
        <v>3</v>
      </c>
      <c r="CM147" s="179">
        <f>QUARTILE(Table137[R6],1)</f>
        <v>0</v>
      </c>
      <c r="CN147" s="179">
        <f>QUARTILE(Table137[H6],1)</f>
        <v>0</v>
      </c>
      <c r="CO147" s="179">
        <f>QUARTILE(Table137[RBI6],1)</f>
        <v>0</v>
      </c>
      <c r="CP147" s="179">
        <f>QUARTILE(Table137[BB6],1)</f>
        <v>0</v>
      </c>
      <c r="CQ147" s="179">
        <f>QUARTILE(Table137[SO6],1)</f>
        <v>0</v>
      </c>
      <c r="CR147" s="179">
        <f>QUARTILE(Table137[HBP6],1)</f>
        <v>0</v>
      </c>
      <c r="CS147" s="179">
        <f>QUARTILE(Table137[SF6],1)</f>
        <v>0</v>
      </c>
      <c r="CT147" s="179">
        <f>QUARTILE(Table137[TB6],1)</f>
        <v>0</v>
      </c>
      <c r="CU147" s="136"/>
      <c r="CV147" s="179">
        <f>QUARTILE(Table137[AB7],1)</f>
        <v>3</v>
      </c>
      <c r="CW147" s="179">
        <f>QUARTILE(Table137[R7],1)</f>
        <v>0</v>
      </c>
      <c r="CX147" s="179">
        <f>QUARTILE(Table137[H7],1)</f>
        <v>0</v>
      </c>
      <c r="CY147" s="179">
        <f>QUARTILE(Table137[RBI7],1)</f>
        <v>0</v>
      </c>
      <c r="CZ147" s="179">
        <f>QUARTILE(Table137[BB7],1)</f>
        <v>0</v>
      </c>
      <c r="DA147" s="179">
        <f>QUARTILE(Table137[SO7],1)</f>
        <v>0</v>
      </c>
      <c r="DB147" s="179">
        <f>QUARTILE(Table137[HBP7],1)</f>
        <v>0</v>
      </c>
      <c r="DC147" s="179">
        <f>QUARTILE(Table137[SF7],1)</f>
        <v>0</v>
      </c>
      <c r="DD147" s="179">
        <f>QUARTILE(Table137[TB7],1)</f>
        <v>0</v>
      </c>
      <c r="DE147" s="136"/>
      <c r="DF147" s="179">
        <f>QUARTILE(Table137[AB8],1)</f>
        <v>3</v>
      </c>
      <c r="DG147" s="179">
        <f>QUARTILE(Table137[R8],1)</f>
        <v>0</v>
      </c>
      <c r="DH147" s="179">
        <f>QUARTILE(Table137[H8],1)</f>
        <v>0</v>
      </c>
      <c r="DI147" s="179">
        <f>QUARTILE(Table137[RBI8],1)</f>
        <v>0</v>
      </c>
      <c r="DJ147" s="179">
        <f>QUARTILE(Table137[BB8],1)</f>
        <v>0</v>
      </c>
      <c r="DK147" s="179">
        <f>QUARTILE(Table137[SO8],1)</f>
        <v>0</v>
      </c>
      <c r="DL147" s="179">
        <f>QUARTILE(Table137[HBP8],1)</f>
        <v>0</v>
      </c>
      <c r="DM147" s="179">
        <f>QUARTILE(Table137[SF8],1)</f>
        <v>0</v>
      </c>
      <c r="DN147" s="179">
        <f>QUARTILE(Table137[TB8],1)</f>
        <v>0</v>
      </c>
      <c r="DO147" s="136"/>
      <c r="DP147" s="179">
        <f>QUARTILE(Table137[AB9],1)</f>
        <v>3</v>
      </c>
      <c r="DQ147" s="179">
        <f>QUARTILE(Table137[R9],1)</f>
        <v>0</v>
      </c>
      <c r="DR147" s="179">
        <f>QUARTILE(Table137[H9],1)</f>
        <v>0</v>
      </c>
      <c r="DS147" s="179">
        <f>QUARTILE(Table137[RBI9],1)</f>
        <v>0</v>
      </c>
      <c r="DT147" s="179">
        <f>QUARTILE(Table137[BB9],1)</f>
        <v>0</v>
      </c>
      <c r="DU147" s="179">
        <f>QUARTILE(Table137[SO9],1)</f>
        <v>0</v>
      </c>
      <c r="DV147" s="179">
        <f>QUARTILE(Table137[HBP9],1)</f>
        <v>0</v>
      </c>
      <c r="DW147" s="179">
        <f>QUARTILE(Table137[SF9],1)</f>
        <v>0</v>
      </c>
      <c r="DX147" s="179">
        <f>QUARTILE(Table137[TB9],1)</f>
        <v>0</v>
      </c>
      <c r="DY147" s="178">
        <f>QUARTILE(Table137[IVL],1)</f>
        <v>0</v>
      </c>
      <c r="DZ147" s="179">
        <f>QUARTILE(Table137[SVL],1)</f>
        <v>0</v>
      </c>
      <c r="EA147" s="179">
        <f>QUARTILE(Table137[CVL],1)</f>
        <v>0</v>
      </c>
      <c r="EB147" s="178">
        <f>QUARTILE(Table137[IVR],1)</f>
        <v>4.8333333333333339</v>
      </c>
      <c r="EC147" s="179">
        <f>QUARTILE(Table137[SVR],1)</f>
        <v>0</v>
      </c>
      <c r="ED147" s="179">
        <f>QUARTILE(Table137[CVR],1)</f>
        <v>0</v>
      </c>
      <c r="EE147" s="179">
        <f>QUARTILE(Table137[RI1],1)</f>
        <v>0</v>
      </c>
      <c r="EF147" s="179">
        <f>QUARTILE(Table137[RI2],1)</f>
        <v>0</v>
      </c>
      <c r="EG147" s="179">
        <f>QUARTILE(Table137[RI3],1)</f>
        <v>0</v>
      </c>
      <c r="EH147" s="179">
        <f>QUARTILE(Table137[RI4],1)</f>
        <v>0</v>
      </c>
      <c r="EI147" s="179">
        <f>QUARTILE(Table137[RI5],1)</f>
        <v>0</v>
      </c>
      <c r="EJ147" s="179">
        <f>QUARTILE(Table137[RI6],1)</f>
        <v>0</v>
      </c>
      <c r="EK147" s="179">
        <f>QUARTILE(Table137[RI7],1)</f>
        <v>0</v>
      </c>
      <c r="EL147" s="179">
        <f>QUARTILE(Table137[RI8],1)</f>
        <v>0</v>
      </c>
      <c r="EM147" s="179">
        <f>QUARTILE(Table137[RI9],1)</f>
        <v>0</v>
      </c>
      <c r="EN147" s="179">
        <f>QUARTILE(Table137[RI10],1)</f>
        <v>0</v>
      </c>
      <c r="EO147" s="179">
        <f>QUARTILE(Table137[RI11],1)</f>
        <v>0</v>
      </c>
      <c r="EP147" s="179">
        <f>QUARTILE(Table137[RI12],1)</f>
        <v>0</v>
      </c>
      <c r="EQ147" s="179">
        <f>QUARTILE(Table137[RI13],1)</f>
        <v>0</v>
      </c>
      <c r="ER147" s="179">
        <f>QUARTILE(Table137[RT],1)</f>
        <v>2</v>
      </c>
      <c r="ES147" s="179">
        <f>QUARTILE(Table137[OI1],1)</f>
        <v>0</v>
      </c>
      <c r="ET147" s="179">
        <f>QUARTILE(Table137[OI2],1)</f>
        <v>0</v>
      </c>
      <c r="EU147" s="179">
        <f>QUARTILE(Table137[OI3],1)</f>
        <v>0</v>
      </c>
      <c r="EV147" s="179">
        <f>QUARTILE(Table137[OI4],1)</f>
        <v>0</v>
      </c>
      <c r="EW147" s="179">
        <f>QUARTILE(Table137[OI5],1)</f>
        <v>0</v>
      </c>
      <c r="EX147" s="179">
        <f>QUARTILE(Table137[OI6],1)</f>
        <v>0</v>
      </c>
      <c r="EY147" s="179">
        <f>QUARTILE(Table137[OI7],1)</f>
        <v>0</v>
      </c>
      <c r="EZ147" s="179">
        <f>QUARTILE(Table137[OI8],1)</f>
        <v>0</v>
      </c>
      <c r="FA147" s="179">
        <f>QUARTILE(Table137[OI9],1)</f>
        <v>0</v>
      </c>
      <c r="FB147" s="179">
        <f>QUARTILE(Table137[OI10],1)</f>
        <v>0</v>
      </c>
      <c r="FC147" s="179">
        <f>QUARTILE(Table137[OI11],1)</f>
        <v>0</v>
      </c>
      <c r="FD147" s="179">
        <f>QUARTILE(Table137[OI12],1)</f>
        <v>0</v>
      </c>
      <c r="FE147" s="179">
        <f>QUARTILE(Table137[OI13],1)</f>
        <v>1</v>
      </c>
      <c r="FF147" s="179">
        <f>QUARTILE(Table137[OT],1)</f>
        <v>2</v>
      </c>
      <c r="FG147" s="168"/>
      <c r="FH147" s="168"/>
      <c r="FI147" s="179">
        <f>QUARTILE(Table137[RD1],1)</f>
        <v>-1</v>
      </c>
      <c r="FJ147" s="179">
        <f>QUARTILE(Table137[RD2],1)</f>
        <v>-1</v>
      </c>
      <c r="FK147" s="179">
        <f>QUARTILE(Table137[RD3],1)</f>
        <v>0</v>
      </c>
      <c r="FL147" s="179">
        <f>QUARTILE(Table137[RD4],1)</f>
        <v>0</v>
      </c>
      <c r="FM147" s="179">
        <f>QUARTILE(Table137[RD5],1)</f>
        <v>-1</v>
      </c>
      <c r="FN147" s="179">
        <f>QUARTILE(Table137[RD6],1)</f>
        <v>-1</v>
      </c>
      <c r="FO147" s="179">
        <f>QUARTILE(Table137[RD7],1)</f>
        <v>0</v>
      </c>
      <c r="FP147" s="179">
        <f>QUARTILE(Table137[RD8],1)</f>
        <v>0</v>
      </c>
      <c r="FQ147" s="179">
        <f>QUARTILE(Table137[RD9],1)</f>
        <v>0</v>
      </c>
      <c r="FR147" s="179"/>
      <c r="FS147" s="179"/>
      <c r="FT147" s="179"/>
      <c r="FU147" s="179"/>
      <c r="FV147" s="179">
        <f>QUARTILE(Table137[RDT],1)</f>
        <v>-3</v>
      </c>
      <c r="FW147" s="165" t="s">
        <v>230</v>
      </c>
    </row>
    <row r="148" spans="1:179" x14ac:dyDescent="0.25">
      <c r="A148" s="180" t="s">
        <v>231</v>
      </c>
      <c r="B148" s="136"/>
      <c r="C148" s="136"/>
      <c r="D148" s="136"/>
      <c r="E148" s="251">
        <f>MIN(Table137[Att])</f>
        <v>587</v>
      </c>
      <c r="F148" s="136"/>
      <c r="G148" s="136"/>
      <c r="H148" s="136"/>
      <c r="I148" s="136"/>
      <c r="J148" s="178">
        <f>MIN(Table137[S-IP])</f>
        <v>0.66666666666666663</v>
      </c>
      <c r="K148" s="179">
        <f>MIN(Table137[S-H])</f>
        <v>0</v>
      </c>
      <c r="L148" s="179">
        <f>MIN(Table137[S-R])</f>
        <v>0</v>
      </c>
      <c r="M148" s="179">
        <f>MIN(Table137[S-ER])</f>
        <v>0</v>
      </c>
      <c r="N148" s="179">
        <f>MIN(Table137[S-BB])</f>
        <v>0</v>
      </c>
      <c r="O148" s="179">
        <f>MIN(Table137[S-SO])</f>
        <v>0</v>
      </c>
      <c r="P148" s="179">
        <f>MIN(Table137[S-HR])</f>
        <v>0</v>
      </c>
      <c r="Q148" s="179">
        <f>MIN(Table137[S-HBP])</f>
        <v>0</v>
      </c>
      <c r="R148" s="179">
        <f>MIN(Table137[S-BF])</f>
        <v>8</v>
      </c>
      <c r="S148" s="179"/>
      <c r="T148" s="179"/>
      <c r="U148" s="179">
        <f>MIN(Table137[IRL])</f>
        <v>0</v>
      </c>
      <c r="V148" s="179">
        <f>MIN(Table137[IRS])</f>
        <v>0</v>
      </c>
      <c r="W148" s="136"/>
      <c r="X148" s="136"/>
      <c r="Y148" s="136"/>
      <c r="Z148" s="136"/>
      <c r="AA148" s="136"/>
      <c r="AB148" s="178">
        <f>MIN(Table137[B-IP])</f>
        <v>0</v>
      </c>
      <c r="AC148" s="179">
        <f>MIN(Table137[B-H])</f>
        <v>0</v>
      </c>
      <c r="AD148" s="179">
        <f>MIN(Table137[B-R])</f>
        <v>0</v>
      </c>
      <c r="AE148" s="179">
        <f>MIN(Table137[B-ER])</f>
        <v>0</v>
      </c>
      <c r="AF148" s="179">
        <f>MIN(Table137[B-BB])</f>
        <v>0</v>
      </c>
      <c r="AG148" s="179">
        <f>MIN(Table137[B-SO])</f>
        <v>0</v>
      </c>
      <c r="AH148" s="179">
        <f>MIN(Table137[B-HR])</f>
        <v>0</v>
      </c>
      <c r="AI148" s="179">
        <f>MIN(Table137[B-HBP])</f>
        <v>0</v>
      </c>
      <c r="AJ148" s="179">
        <f>MIN(Table137[B-BF])</f>
        <v>0</v>
      </c>
      <c r="AK148" s="179"/>
      <c r="AL148" s="179"/>
      <c r="AM148" s="136"/>
      <c r="AN148" s="179">
        <f>MIN(Table137[AB1])</f>
        <v>1</v>
      </c>
      <c r="AO148" s="179">
        <f>MIN(Table137[R1])</f>
        <v>0</v>
      </c>
      <c r="AP148" s="179">
        <f>MIN(Table137[H1])</f>
        <v>0</v>
      </c>
      <c r="AQ148" s="179">
        <f>MIN(Table137[RBI1])</f>
        <v>0</v>
      </c>
      <c r="AR148" s="179">
        <f>MIN(Table137[BB1])</f>
        <v>0</v>
      </c>
      <c r="AS148" s="179">
        <f>MIN(Table137[SO1])</f>
        <v>0</v>
      </c>
      <c r="AT148" s="179">
        <f>MIN(Table137[HBP1])</f>
        <v>0</v>
      </c>
      <c r="AU148" s="179">
        <f>MIN(Table137[SF1])</f>
        <v>0</v>
      </c>
      <c r="AV148" s="179">
        <f>MIN(Table137[TB1])</f>
        <v>0</v>
      </c>
      <c r="AW148" s="136"/>
      <c r="AX148" s="179">
        <f>MIN(Table137[AB2])</f>
        <v>1</v>
      </c>
      <c r="AY148" s="179">
        <f>MIN(Table137[R2])</f>
        <v>0</v>
      </c>
      <c r="AZ148" s="179">
        <f>MIN(Table137[H2])</f>
        <v>0</v>
      </c>
      <c r="BA148" s="179">
        <f>MIN(Table137[RBI2])</f>
        <v>0</v>
      </c>
      <c r="BB148" s="179">
        <f>MIN(Table137[BB2])</f>
        <v>0</v>
      </c>
      <c r="BC148" s="179">
        <f>MIN(Table137[SO2])</f>
        <v>0</v>
      </c>
      <c r="BD148" s="179">
        <f>MIN(Table137[HBP2])</f>
        <v>0</v>
      </c>
      <c r="BE148" s="179">
        <f>MIN(Table137[SF2])</f>
        <v>0</v>
      </c>
      <c r="BF148" s="179">
        <f>MIN(Table137[TB2])</f>
        <v>0</v>
      </c>
      <c r="BG148" s="136"/>
      <c r="BH148" s="179">
        <f>MIN(Table137[AB3])</f>
        <v>2</v>
      </c>
      <c r="BI148" s="179">
        <f>MIN(Table137[R3])</f>
        <v>0</v>
      </c>
      <c r="BJ148" s="179">
        <f>MIN(Table137[H3])</f>
        <v>0</v>
      </c>
      <c r="BK148" s="179">
        <f>MIN(Table137[RBI3])</f>
        <v>0</v>
      </c>
      <c r="BL148" s="179">
        <f>MIN(Table137[BB3])</f>
        <v>0</v>
      </c>
      <c r="BM148" s="179">
        <f>MIN(Table137[SO3])</f>
        <v>0</v>
      </c>
      <c r="BN148" s="179">
        <f>MIN(Table137[HBP3])</f>
        <v>0</v>
      </c>
      <c r="BO148" s="179">
        <f>MIN(Table137[SF3])</f>
        <v>0</v>
      </c>
      <c r="BP148" s="179">
        <f>MIN(Table137[TB3])</f>
        <v>0</v>
      </c>
      <c r="BQ148" s="136"/>
      <c r="BR148" s="179">
        <f>MIN(Table137[AB4])</f>
        <v>1</v>
      </c>
      <c r="BS148" s="179">
        <f>MIN(Table137[R4])</f>
        <v>0</v>
      </c>
      <c r="BT148" s="179">
        <f>MIN(Table137[H4])</f>
        <v>0</v>
      </c>
      <c r="BU148" s="179">
        <f>MIN(Table137[RBI4])</f>
        <v>0</v>
      </c>
      <c r="BV148" s="179">
        <f>MIN(Table137[BB4])</f>
        <v>0</v>
      </c>
      <c r="BW148" s="179">
        <f>MIN(Table137[SO4])</f>
        <v>0</v>
      </c>
      <c r="BX148" s="179">
        <f>MIN(Table137[HBP4])</f>
        <v>0</v>
      </c>
      <c r="BY148" s="179">
        <f>MIN(Table137[SF4])</f>
        <v>0</v>
      </c>
      <c r="BZ148" s="179">
        <f>MIN(Table137[TB4])</f>
        <v>0</v>
      </c>
      <c r="CA148" s="136"/>
      <c r="CB148" s="179">
        <f>MIN(Table137[AB5])</f>
        <v>2</v>
      </c>
      <c r="CC148" s="179">
        <f>MIN(Table137[R5])</f>
        <v>0</v>
      </c>
      <c r="CD148" s="179">
        <f>MIN(Table137[H5])</f>
        <v>0</v>
      </c>
      <c r="CE148" s="179">
        <f>MIN(Table137[RBI5])</f>
        <v>0</v>
      </c>
      <c r="CF148" s="179">
        <f>MIN(Table137[BB5])</f>
        <v>0</v>
      </c>
      <c r="CG148" s="179">
        <f>MIN(Table137[SO5])</f>
        <v>0</v>
      </c>
      <c r="CH148" s="179">
        <f>MIN(Table137[HBP5])</f>
        <v>0</v>
      </c>
      <c r="CI148" s="179">
        <f>MIN(Table137[SF5])</f>
        <v>0</v>
      </c>
      <c r="CJ148" s="179">
        <f>MIN(Table137[TB5])</f>
        <v>0</v>
      </c>
      <c r="CK148" s="136"/>
      <c r="CL148" s="179">
        <f>MIN(Table137[AB6])</f>
        <v>2</v>
      </c>
      <c r="CM148" s="179">
        <f>MIN(Table137[R6])</f>
        <v>0</v>
      </c>
      <c r="CN148" s="179">
        <f>MIN(Table137[H6])</f>
        <v>0</v>
      </c>
      <c r="CO148" s="179">
        <f>MIN(Table137[RBI6])</f>
        <v>0</v>
      </c>
      <c r="CP148" s="179">
        <f>MIN(Table137[BB6])</f>
        <v>0</v>
      </c>
      <c r="CQ148" s="179">
        <f>MIN(Table137[SO6])</f>
        <v>0</v>
      </c>
      <c r="CR148" s="179">
        <f>MIN(Table137[HBP6])</f>
        <v>0</v>
      </c>
      <c r="CS148" s="179">
        <f>MIN(Table137[SF6])</f>
        <v>0</v>
      </c>
      <c r="CT148" s="179">
        <f>MIN(Table137[TB6])</f>
        <v>0</v>
      </c>
      <c r="CU148" s="136"/>
      <c r="CV148" s="179">
        <f>MIN(Table137[AB7])</f>
        <v>1</v>
      </c>
      <c r="CW148" s="179">
        <f>MIN(Table137[R7])</f>
        <v>0</v>
      </c>
      <c r="CX148" s="179">
        <f>MIN(Table137[H7])</f>
        <v>0</v>
      </c>
      <c r="CY148" s="179">
        <f>MIN(Table137[RBI7])</f>
        <v>0</v>
      </c>
      <c r="CZ148" s="179">
        <f>MIN(Table137[BB7])</f>
        <v>0</v>
      </c>
      <c r="DA148" s="179">
        <f>MIN(Table137[SO7])</f>
        <v>0</v>
      </c>
      <c r="DB148" s="179">
        <f>MIN(Table137[HBP7])</f>
        <v>0</v>
      </c>
      <c r="DC148" s="179">
        <f>MIN(Table137[SF7])</f>
        <v>0</v>
      </c>
      <c r="DD148" s="179">
        <f>MIN(Table137[TB7])</f>
        <v>0</v>
      </c>
      <c r="DE148" s="136"/>
      <c r="DF148" s="179">
        <f>MIN(Table137[AB8])</f>
        <v>2</v>
      </c>
      <c r="DG148" s="179">
        <f>MIN(Table137[R8])</f>
        <v>0</v>
      </c>
      <c r="DH148" s="179">
        <f>MIN(Table137[H8])</f>
        <v>0</v>
      </c>
      <c r="DI148" s="179">
        <f>MIN(Table137[RBI8])</f>
        <v>0</v>
      </c>
      <c r="DJ148" s="179">
        <f>MIN(Table137[BB8])</f>
        <v>0</v>
      </c>
      <c r="DK148" s="179">
        <f>MIN(Table137[SO8])</f>
        <v>0</v>
      </c>
      <c r="DL148" s="179">
        <f>MIN(Table137[HBP8])</f>
        <v>0</v>
      </c>
      <c r="DM148" s="179">
        <f>MIN(Table137[SF8])</f>
        <v>0</v>
      </c>
      <c r="DN148" s="179">
        <f>MIN(Table137[TB8])</f>
        <v>0</v>
      </c>
      <c r="DO148" s="136"/>
      <c r="DP148" s="179">
        <f>MIN(Table137[AB9])</f>
        <v>1</v>
      </c>
      <c r="DQ148" s="179">
        <f>MIN(Table137[R9])</f>
        <v>0</v>
      </c>
      <c r="DR148" s="179">
        <f>MIN(Table137[H9])</f>
        <v>0</v>
      </c>
      <c r="DS148" s="179">
        <f>MIN(Table137[RBI9])</f>
        <v>0</v>
      </c>
      <c r="DT148" s="179">
        <f>MIN(Table137[BB9])</f>
        <v>0</v>
      </c>
      <c r="DU148" s="179">
        <f>MIN(Table137[SO9])</f>
        <v>0</v>
      </c>
      <c r="DV148" s="179">
        <f>MIN(Table137[HBP9])</f>
        <v>0</v>
      </c>
      <c r="DW148" s="179">
        <f>MIN(Table137[SF9])</f>
        <v>0</v>
      </c>
      <c r="DX148" s="179">
        <f>MIN(Table137[TB9])</f>
        <v>0</v>
      </c>
      <c r="DY148" s="178">
        <f>MIN(Table137[IVL])</f>
        <v>0</v>
      </c>
      <c r="DZ148" s="179">
        <f>MIN(Table137[SVL])</f>
        <v>0</v>
      </c>
      <c r="EA148" s="179">
        <f>MIN(Table137[CVL])</f>
        <v>0</v>
      </c>
      <c r="EB148" s="178">
        <f>MIN(Table137[IVR])</f>
        <v>1</v>
      </c>
      <c r="EC148" s="179">
        <f>MIN(Table137[SVR])</f>
        <v>0</v>
      </c>
      <c r="ED148" s="179">
        <f>MIN(Table137[CVR])</f>
        <v>0</v>
      </c>
      <c r="EE148" s="179">
        <f>MIN(Table137[RI1])</f>
        <v>0</v>
      </c>
      <c r="EF148" s="179">
        <f>MIN(Table137[RI2])</f>
        <v>0</v>
      </c>
      <c r="EG148" s="179">
        <f>MIN(Table137[RI3])</f>
        <v>0</v>
      </c>
      <c r="EH148" s="179">
        <f>MIN(Table137[RI4])</f>
        <v>0</v>
      </c>
      <c r="EI148" s="179">
        <f>MIN(Table137[RI5])</f>
        <v>0</v>
      </c>
      <c r="EJ148" s="179">
        <f>MIN(Table137[RI6])</f>
        <v>0</v>
      </c>
      <c r="EK148" s="179">
        <f>MIN(Table137[RI7])</f>
        <v>0</v>
      </c>
      <c r="EL148" s="179">
        <f>MIN(Table137[RI8])</f>
        <v>0</v>
      </c>
      <c r="EM148" s="179">
        <f>MIN(Table137[RI9])</f>
        <v>0</v>
      </c>
      <c r="EN148" s="179">
        <f>MIN(Table137[RI10])</f>
        <v>0</v>
      </c>
      <c r="EO148" s="179">
        <f>MIN(Table137[RI11])</f>
        <v>0</v>
      </c>
      <c r="EP148" s="179">
        <f>MIN(Table137[RI12])</f>
        <v>0</v>
      </c>
      <c r="EQ148" s="179">
        <f>MIN(Table137[RI13])</f>
        <v>0</v>
      </c>
      <c r="ER148" s="179">
        <f>MIN(Table137[RT])</f>
        <v>0</v>
      </c>
      <c r="ES148" s="179">
        <f>MIN(Table137[OI1])</f>
        <v>0</v>
      </c>
      <c r="ET148" s="179">
        <f>MIN(Table137[OI2])</f>
        <v>0</v>
      </c>
      <c r="EU148" s="179">
        <f>MIN(Table137[OI3])</f>
        <v>0</v>
      </c>
      <c r="EV148" s="179">
        <f>MIN(Table137[OI4])</f>
        <v>0</v>
      </c>
      <c r="EW148" s="179">
        <f>MIN(Table137[OI5])</f>
        <v>0</v>
      </c>
      <c r="EX148" s="179">
        <f>MIN(Table137[OI6])</f>
        <v>0</v>
      </c>
      <c r="EY148" s="179">
        <f>MIN(Table137[OI7])</f>
        <v>0</v>
      </c>
      <c r="EZ148" s="179">
        <f>MIN(Table137[OI8])</f>
        <v>0</v>
      </c>
      <c r="FA148" s="179">
        <f>MIN(Table137[OI9])</f>
        <v>0</v>
      </c>
      <c r="FB148" s="179">
        <f>MIN(Table137[OI10])</f>
        <v>0</v>
      </c>
      <c r="FC148" s="179">
        <f>MIN(Table137[OI11])</f>
        <v>0</v>
      </c>
      <c r="FD148" s="179">
        <f>MIN(Table137[OI12])</f>
        <v>0</v>
      </c>
      <c r="FE148" s="179">
        <f>MIN(Table137[OI13])</f>
        <v>1</v>
      </c>
      <c r="FF148" s="179">
        <f>MIN(Table137[OT])</f>
        <v>0</v>
      </c>
      <c r="FG148" s="168"/>
      <c r="FH148" s="168"/>
      <c r="FI148" s="179">
        <f>MIN(Table137[RD1])</f>
        <v>-6</v>
      </c>
      <c r="FJ148" s="179">
        <f>MIN(Table137[RD2])</f>
        <v>-6</v>
      </c>
      <c r="FK148" s="179">
        <f>MIN(Table137[RD3])</f>
        <v>-4</v>
      </c>
      <c r="FL148" s="179">
        <f>MIN(Table137[RD4])</f>
        <v>-8</v>
      </c>
      <c r="FM148" s="179">
        <f>MIN(Table137[RD5])</f>
        <v>-5</v>
      </c>
      <c r="FN148" s="179">
        <f>MIN(Table137[RD6])</f>
        <v>-6</v>
      </c>
      <c r="FO148" s="179">
        <f>MIN(Table137[RD7])</f>
        <v>-6</v>
      </c>
      <c r="FP148" s="179">
        <f>MIN(Table137[RD8])</f>
        <v>-4</v>
      </c>
      <c r="FQ148" s="179">
        <f>MIN(Table137[RD9])</f>
        <v>-5</v>
      </c>
      <c r="FR148" s="179"/>
      <c r="FS148" s="179"/>
      <c r="FT148" s="179"/>
      <c r="FU148" s="179"/>
      <c r="FV148" s="179">
        <f>MIN(Table137[RDT])</f>
        <v>-13</v>
      </c>
      <c r="FW148" s="165" t="s">
        <v>231</v>
      </c>
    </row>
    <row r="149" spans="1:179" x14ac:dyDescent="0.25">
      <c r="A149" s="177" t="s">
        <v>232</v>
      </c>
      <c r="B149" s="83"/>
      <c r="C149" s="83"/>
      <c r="D149" s="83"/>
      <c r="E149" s="39">
        <f>STDEV(Table137[Att])</f>
        <v>2253.4430567356803</v>
      </c>
      <c r="F149" s="83"/>
      <c r="G149" s="83"/>
      <c r="H149" s="83"/>
      <c r="I149" s="83"/>
      <c r="J149" s="178">
        <f>STDEV(Table137[S-IP])</f>
        <v>1.2954779760969375</v>
      </c>
      <c r="K149" s="42">
        <f>STDEV(Table137[S-H])</f>
        <v>2.3439071081739806</v>
      </c>
      <c r="L149" s="42">
        <f>STDEV(Table137[S-R])</f>
        <v>2.137515125146098</v>
      </c>
      <c r="M149" s="42">
        <f>STDEV(Table137[S-ER])</f>
        <v>1.9196670200956616</v>
      </c>
      <c r="N149" s="42">
        <f>STDEV(Table137[S-BB])</f>
        <v>1.3844843795380506</v>
      </c>
      <c r="O149" s="42">
        <f>STDEV(Table137[S-SO])</f>
        <v>2.0975580481610194</v>
      </c>
      <c r="P149" s="42">
        <f>STDEV(Table137[S-HR])</f>
        <v>0.79186248120216429</v>
      </c>
      <c r="Q149" s="42">
        <f>STDEV(Table137[S-HBP])</f>
        <v>0.52255956762876599</v>
      </c>
      <c r="R149" s="42">
        <f>STDEV(Table137[S-BF])</f>
        <v>4.2674751280240182</v>
      </c>
      <c r="S149" s="42"/>
      <c r="T149" s="42"/>
      <c r="U149" s="42">
        <f>STDEV(Table137[IRL])</f>
        <v>0.68512655351257257</v>
      </c>
      <c r="V149" s="42">
        <f>STDEV(Table137[IRS])</f>
        <v>0.45367163712556074</v>
      </c>
      <c r="W149" s="83"/>
      <c r="X149" s="83"/>
      <c r="Y149" s="83"/>
      <c r="Z149" s="83"/>
      <c r="AA149" s="83"/>
      <c r="AB149" s="178">
        <f>STDEV(Table137[B-IP])</f>
        <v>1.4621108187933014</v>
      </c>
      <c r="AC149" s="42">
        <f>STDEV(Table137[B-H])</f>
        <v>2.370864579239278</v>
      </c>
      <c r="AD149" s="42">
        <f>STDEV(Table137[B-R])</f>
        <v>2.3131678474689359</v>
      </c>
      <c r="AE149" s="42">
        <f>STDEV(Table137[B-ER])</f>
        <v>2.0052584401368749</v>
      </c>
      <c r="AF149" s="42">
        <f>STDEV(Table137[B-BB])</f>
        <v>1.5846134846503059</v>
      </c>
      <c r="AG149" s="42">
        <f>STDEV(Table137[B-SO])</f>
        <v>2.2761587728569084</v>
      </c>
      <c r="AH149" s="42">
        <f>STDEV(Table137[B-HR])</f>
        <v>0.54444809723310883</v>
      </c>
      <c r="AI149" s="42">
        <f>STDEV(Table137[B-HBP])</f>
        <v>0.62595979894787457</v>
      </c>
      <c r="AJ149" s="42">
        <f>STDEV(Table137[B-BF])</f>
        <v>6.9722703214600354</v>
      </c>
      <c r="AK149" s="42"/>
      <c r="AL149" s="42"/>
      <c r="AM149" s="83"/>
      <c r="AN149" s="42">
        <f>STDEV(Table137[AB1])</f>
        <v>0.91438303807488064</v>
      </c>
      <c r="AO149" s="42">
        <f>STDEV(Table137[R1])</f>
        <v>0.84880333680847875</v>
      </c>
      <c r="AP149" s="42">
        <f>STDEV(Table137[H1])</f>
        <v>0.98370627297372326</v>
      </c>
      <c r="AQ149" s="42">
        <f>STDEV(Table137[RBI1])</f>
        <v>0.81885557334930148</v>
      </c>
      <c r="AR149" s="42">
        <f>STDEV(Table137[BB1])</f>
        <v>0.77757915353117324</v>
      </c>
      <c r="AS149" s="42">
        <f>STDEV(Table137[SO1])</f>
        <v>0.85474016682795073</v>
      </c>
      <c r="AT149" s="42">
        <f>STDEV(Table137[HBP1])</f>
        <v>0.31998071050192484</v>
      </c>
      <c r="AU149" s="42">
        <f>STDEV(Table137[SF1])</f>
        <v>0.1868918908782016</v>
      </c>
      <c r="AV149" s="42">
        <f>STDEV(Table137[TB1])</f>
        <v>1.7040740036101725</v>
      </c>
      <c r="AW149" s="83"/>
      <c r="AX149" s="42">
        <f>STDEV(Table137[AB2])</f>
        <v>0.95154199907220716</v>
      </c>
      <c r="AY149" s="42">
        <f>STDEV(Table137[R2])</f>
        <v>0.71949483546939053</v>
      </c>
      <c r="AZ149" s="42">
        <f>STDEV(Table137[H2])</f>
        <v>0.87200938948608375</v>
      </c>
      <c r="BA149" s="42">
        <f>STDEV(Table137[RBI2])</f>
        <v>0.66237803137540274</v>
      </c>
      <c r="BB149" s="42">
        <f>STDEV(Table137[BB2])</f>
        <v>0.7884977514193221</v>
      </c>
      <c r="BC149" s="42">
        <f>STDEV(Table137[SO2])</f>
        <v>0.80369026880394634</v>
      </c>
      <c r="BD149" s="42">
        <f>STDEV(Table137[HBP2])</f>
        <v>0.28186784827494593</v>
      </c>
      <c r="BE149" s="42">
        <f>STDEV(Table137[SF2])</f>
        <v>0.1868918908782016</v>
      </c>
      <c r="BF149" s="42">
        <f>STDEV(Table137[TB2])</f>
        <v>1.3578319640447367</v>
      </c>
      <c r="BG149" s="83"/>
      <c r="BH149" s="42">
        <f>STDEV(Table137[AB3])</f>
        <v>0.90912266178990375</v>
      </c>
      <c r="BI149" s="42">
        <f>STDEV(Table137[R3])</f>
        <v>0.77845024079608005</v>
      </c>
      <c r="BJ149" s="42">
        <f>STDEV(Table137[H3])</f>
        <v>0.96886145771285404</v>
      </c>
      <c r="BK149" s="42">
        <f>STDEV(Table137[RBI3])</f>
        <v>0.94830405226360204</v>
      </c>
      <c r="BL149" s="42">
        <f>STDEV(Table137[BB3])</f>
        <v>0.79763491499339179</v>
      </c>
      <c r="BM149" s="42">
        <f>STDEV(Table137[SO3])</f>
        <v>0.78591500292695138</v>
      </c>
      <c r="BN149" s="42">
        <f>STDEV(Table137[HBP3])</f>
        <v>0.25932710500095513</v>
      </c>
      <c r="BO149" s="42">
        <f>STDEV(Table137[SF3])</f>
        <v>0.16778376539443354</v>
      </c>
      <c r="BP149" s="42">
        <f>STDEV(Table137[TB3])</f>
        <v>1.7896934975406242</v>
      </c>
      <c r="BQ149" s="83"/>
      <c r="BR149" s="42">
        <f>STDEV(Table137[AB4])</f>
        <v>0.92543389885898109</v>
      </c>
      <c r="BS149" s="42">
        <f>STDEV(Table137[R4])</f>
        <v>0.61359498120440381</v>
      </c>
      <c r="BT149" s="42">
        <f>STDEV(Table137[H4])</f>
        <v>0.83804838550323779</v>
      </c>
      <c r="BU149" s="42">
        <f>STDEV(Table137[RBI4])</f>
        <v>0.86793455695814481</v>
      </c>
      <c r="BV149" s="42">
        <f>STDEV(Table137[BB4])</f>
        <v>0.68154087686940412</v>
      </c>
      <c r="BW149" s="42">
        <f>STDEV(Table137[SO4])</f>
        <v>0.72992544713665497</v>
      </c>
      <c r="BX149" s="42">
        <f>STDEV(Table137[HBP4])</f>
        <v>0.21947701365872982</v>
      </c>
      <c r="BY149" s="42">
        <f>STDEV(Table137[SF4])</f>
        <v>0.21947701365872982</v>
      </c>
      <c r="BZ149" s="42">
        <f>STDEV(Table137[TB4])</f>
        <v>1.3989808167440205</v>
      </c>
      <c r="CA149" s="83"/>
      <c r="CB149" s="42">
        <f>STDEV(Table137[AB5])</f>
        <v>0.80543974781677663</v>
      </c>
      <c r="CC149" s="42">
        <f>STDEV(Table137[R5])</f>
        <v>0.62903374570638904</v>
      </c>
      <c r="CD149" s="42">
        <f>STDEV(Table137[H5])</f>
        <v>0.8845338697998304</v>
      </c>
      <c r="CE149" s="42">
        <f>STDEV(Table137[RBI5])</f>
        <v>0.89577839581990548</v>
      </c>
      <c r="CF149" s="42">
        <f>STDEV(Table137[BB5])</f>
        <v>0.60452193758073791</v>
      </c>
      <c r="CG149" s="42">
        <f>STDEV(Table137[SO5])</f>
        <v>0.78862997205434537</v>
      </c>
      <c r="CH149" s="42">
        <f>STDEV(Table137[HBP5])</f>
        <v>0.11951662978045265</v>
      </c>
      <c r="CI149" s="42">
        <f>STDEV(Table137[SF5])</f>
        <v>0.14584217692177975</v>
      </c>
      <c r="CJ149" s="42">
        <f>STDEV(Table137[TB5])</f>
        <v>1.5759372940277601</v>
      </c>
      <c r="CK149" s="83"/>
      <c r="CL149" s="42">
        <f>STDEV(Table137[AB6])</f>
        <v>0.9091800034066494</v>
      </c>
      <c r="CM149" s="42">
        <f>STDEV(Table137[R6])</f>
        <v>0.56971494847044968</v>
      </c>
      <c r="CN149" s="42">
        <f>STDEV(Table137[H6])</f>
        <v>0.93205745642361648</v>
      </c>
      <c r="CO149" s="42">
        <f>STDEV(Table137[RBI6])</f>
        <v>0.69307009591838808</v>
      </c>
      <c r="CP149" s="42">
        <f>STDEV(Table137[BB6])</f>
        <v>0.54712259520906426</v>
      </c>
      <c r="CQ149" s="42">
        <f>STDEV(Table137[SO6])</f>
        <v>0.8126566321598242</v>
      </c>
      <c r="CR149" s="42">
        <f>STDEV(Table137[HBP6])</f>
        <v>0.22230909225494583</v>
      </c>
      <c r="CS149" s="42">
        <f>STDEV(Table137[SF6])</f>
        <v>0.11951662978045265</v>
      </c>
      <c r="CT149" s="42">
        <f>STDEV(Table137[TB6])</f>
        <v>1.3977505499685703</v>
      </c>
      <c r="CU149" s="83"/>
      <c r="CV149" s="42">
        <f>STDEV(Table137[AB7])</f>
        <v>0.82196922467840783</v>
      </c>
      <c r="CW149" s="42">
        <f>STDEV(Table137[R7])</f>
        <v>0.6326698092036982</v>
      </c>
      <c r="CX149" s="42">
        <f>STDEV(Table137[H7])</f>
        <v>0.88170033170256223</v>
      </c>
      <c r="CY149" s="42">
        <f>STDEV(Table137[RBI7])</f>
        <v>0.67082427894399277</v>
      </c>
      <c r="CZ149" s="42">
        <f>STDEV(Table137[BB7])</f>
        <v>0.56216140077130117</v>
      </c>
      <c r="DA149" s="42">
        <f>STDEV(Table137[SO7])</f>
        <v>0.81681576180889359</v>
      </c>
      <c r="DB149" s="42">
        <f>STDEV(Table137[HBP7])</f>
        <v>0.1868918908782016</v>
      </c>
      <c r="DC149" s="42">
        <f>STDEV(Table137[SF7])</f>
        <v>0.21947701365872982</v>
      </c>
      <c r="DD149" s="42">
        <f>STDEV(Table137[TB7])</f>
        <v>1.3338545535296751</v>
      </c>
      <c r="DE149" s="83"/>
      <c r="DF149" s="42">
        <f>STDEV(Table137[AB8])</f>
        <v>0.80589269649565665</v>
      </c>
      <c r="DG149" s="42">
        <f>STDEV(Table137[R8])</f>
        <v>0.64717088413238233</v>
      </c>
      <c r="DH149" s="42">
        <f>STDEV(Table137[H8])</f>
        <v>0.8442461358514558</v>
      </c>
      <c r="DI149" s="42">
        <f>STDEV(Table137[RBI8])</f>
        <v>0.60227559990251256</v>
      </c>
      <c r="DJ149" s="42">
        <f>STDEV(Table137[BB8])</f>
        <v>0.54358564260818643</v>
      </c>
      <c r="DK149" s="42">
        <f>STDEV(Table137[SO8])</f>
        <v>0.87212894928502571</v>
      </c>
      <c r="DL149" s="42">
        <f>STDEV(Table137[HBP8])</f>
        <v>0.27474977004184387</v>
      </c>
      <c r="DM149" s="42">
        <f>STDEV(Table137[SF8])</f>
        <v>0.14584217692177975</v>
      </c>
      <c r="DN149" s="42">
        <f>STDEV(Table137[TB8])</f>
        <v>1.1484078455453641</v>
      </c>
      <c r="DO149" s="83"/>
      <c r="DP149" s="42">
        <f>STDEV(Table137[AB9])</f>
        <v>0.87015411192539793</v>
      </c>
      <c r="DQ149" s="42">
        <f>STDEV(Table137[R9])</f>
        <v>0.64958300909533395</v>
      </c>
      <c r="DR149" s="42">
        <f>STDEV(Table137[H9])</f>
        <v>0.89752262748876843</v>
      </c>
      <c r="DS149" s="42">
        <f>STDEV(Table137[RBI9])</f>
        <v>0.71498840869254376</v>
      </c>
      <c r="DT149" s="42">
        <f>STDEV(Table137[BB9])</f>
        <v>0.59153307198129501</v>
      </c>
      <c r="DU149" s="42">
        <f>STDEV(Table137[SO9])</f>
        <v>0.85076645787370908</v>
      </c>
      <c r="DV149" s="42">
        <f>STDEV(Table137[HBP9])</f>
        <v>0.23374035429720652</v>
      </c>
      <c r="DW149" s="42">
        <f>STDEV(Table137[SF9])</f>
        <v>0</v>
      </c>
      <c r="DX149" s="42">
        <f>STDEV(Table137[TB9])</f>
        <v>1.6165652744056909</v>
      </c>
      <c r="DY149" s="178">
        <f>STDEV(Table137[IVL])</f>
        <v>2.3846893631951396</v>
      </c>
      <c r="DZ149" s="42">
        <f>STDEV(Table137[SVL])</f>
        <v>1.0099081657161035</v>
      </c>
      <c r="EA149" s="42">
        <f>STDEV(Table137[CVL])</f>
        <v>0.35224232187632082</v>
      </c>
      <c r="EB149" s="178">
        <f>STDEV(Table137[IVR])</f>
        <v>2.3648026100044581</v>
      </c>
      <c r="EC149" s="42">
        <f>STDEV(Table137[SVR])</f>
        <v>1.2594756063713664</v>
      </c>
      <c r="ED149" s="42">
        <f>STDEV(Table137[CVR])</f>
        <v>0.66825480734552334</v>
      </c>
      <c r="EE149" s="42">
        <f>STDEV(Table137[RI1])</f>
        <v>0.9431223253488219</v>
      </c>
      <c r="EF149" s="42">
        <f>STDEV(Table137[RI2])</f>
        <v>1.0424220491218825</v>
      </c>
      <c r="EG149" s="42">
        <f>STDEV(Table137[RI3])</f>
        <v>0.96508756868100032</v>
      </c>
      <c r="EH149" s="42">
        <f>STDEV(Table137[RI4])</f>
        <v>1.0657657022843114</v>
      </c>
      <c r="EI149" s="42">
        <f>STDEV(Table137[RI5])</f>
        <v>1.0650317206295981</v>
      </c>
      <c r="EJ149" s="42">
        <f>STDEV(Table137[RI6])</f>
        <v>1.1674967629426634</v>
      </c>
      <c r="EK149" s="42">
        <f>STDEV(Table137[RI7])</f>
        <v>1.075387496308543</v>
      </c>
      <c r="EL149" s="42">
        <f>STDEV(Table137[RI8])</f>
        <v>1.0401793061021825</v>
      </c>
      <c r="EM149" s="42">
        <f>STDEV(Table137[RI9])</f>
        <v>0.90499494282497639</v>
      </c>
      <c r="EN149" s="42">
        <f>STDEV(Table137[RI10])</f>
        <v>0.46291004988627571</v>
      </c>
      <c r="EO149" s="42">
        <f>STDEV(Table137[RI11])</f>
        <v>1.7320508075688772</v>
      </c>
      <c r="EP149" s="42" t="e">
        <f>STDEV(Table137[RI12])</f>
        <v>#DIV/0!</v>
      </c>
      <c r="EQ149" s="42" t="e">
        <f>STDEV(Table137[RI13])</f>
        <v>#DIV/0!</v>
      </c>
      <c r="ER149" s="42">
        <f>STDEV(Table137[RT])</f>
        <v>3.0458902815320985</v>
      </c>
      <c r="ES149" s="42">
        <f>STDEV(Table137[OI1])</f>
        <v>1.1969969025937792</v>
      </c>
      <c r="ET149" s="42">
        <f>STDEV(Table137[OI2])</f>
        <v>1.2158803946029284</v>
      </c>
      <c r="EU149" s="42">
        <f>STDEV(Table137[OI3])</f>
        <v>0.89583659159036289</v>
      </c>
      <c r="EV149" s="42">
        <f>STDEV(Table137[OI4])</f>
        <v>1.1616773724186105</v>
      </c>
      <c r="EW149" s="42">
        <f>STDEV(Table137[OI5])</f>
        <v>1.0342885928683077</v>
      </c>
      <c r="EX149" s="42">
        <f>STDEV(Table137[OI6])</f>
        <v>1.1626642398859712</v>
      </c>
      <c r="EY149" s="42">
        <f>STDEV(Table137[OI7])</f>
        <v>0.9413926086245763</v>
      </c>
      <c r="EZ149" s="42">
        <f>STDEV(Table137[OI8])</f>
        <v>0.96369810317212179</v>
      </c>
      <c r="FA149" s="42">
        <f>STDEV(Table137[OI9])</f>
        <v>1.1677175841939023</v>
      </c>
      <c r="FB149" s="42">
        <f>STDEV(Table137[OI10])</f>
        <v>0.35355339059327379</v>
      </c>
      <c r="FC149" s="42">
        <f>STDEV(Table137[OI11])</f>
        <v>2.7386127875258306</v>
      </c>
      <c r="FD149" s="42" t="e">
        <f>STDEV(Table137[OI12])</f>
        <v>#DIV/0!</v>
      </c>
      <c r="FE149" s="42" t="e">
        <f>STDEV(Table137[OI13])</f>
        <v>#DIV/0!</v>
      </c>
      <c r="FF149" s="42">
        <f>STDEV(Table137[OT])</f>
        <v>3.3329006079252368</v>
      </c>
      <c r="FG149" s="174"/>
      <c r="FH149" s="174"/>
      <c r="FI149" s="42">
        <f>STDEV(Table137[RD1])</f>
        <v>1.6147583346121019</v>
      </c>
      <c r="FJ149" s="42">
        <f>STDEV(Table137[RD2])</f>
        <v>1.6714247585802471</v>
      </c>
      <c r="FK149" s="42">
        <f>STDEV(Table137[RD3])</f>
        <v>1.3044520863346021</v>
      </c>
      <c r="FL149" s="42">
        <f>STDEV(Table137[RD4])</f>
        <v>1.6496366933036044</v>
      </c>
      <c r="FM149" s="42">
        <f>STDEV(Table137[RD5])</f>
        <v>1.4562396532303661</v>
      </c>
      <c r="FN149" s="42">
        <f>STDEV(Table137[RD6])</f>
        <v>1.7015329157474184</v>
      </c>
      <c r="FO149" s="42">
        <f>STDEV(Table137[RD7])</f>
        <v>1.4648774405945644</v>
      </c>
      <c r="FP149" s="42">
        <f>STDEV(Table137[RD8])</f>
        <v>1.2965149021360087</v>
      </c>
      <c r="FQ149" s="42">
        <f>STDEV(Table137[RD9])</f>
        <v>1.3222745432314846</v>
      </c>
      <c r="FR149" s="42"/>
      <c r="FS149" s="42"/>
      <c r="FT149" s="42"/>
      <c r="FU149" s="42"/>
      <c r="FV149" s="42">
        <f>STDEV(Table137[RDT])</f>
        <v>3.9954880193242803</v>
      </c>
      <c r="FW149" s="175" t="s">
        <v>232</v>
      </c>
    </row>
    <row r="150" spans="1:179" x14ac:dyDescent="0.25">
      <c r="A150" s="177" t="s">
        <v>265</v>
      </c>
      <c r="B150" s="83"/>
      <c r="C150" s="83"/>
      <c r="D150" s="83"/>
      <c r="E150" s="84">
        <f>(E153+(3*E149))</f>
        <v>10868.840281318153</v>
      </c>
      <c r="F150" s="83"/>
      <c r="G150" s="83"/>
      <c r="H150" s="83"/>
      <c r="I150" s="83"/>
      <c r="J150" s="176">
        <f t="shared" ref="J150:R150" si="145">(J153+(3*J149))</f>
        <v>8.8408703791301413</v>
      </c>
      <c r="K150" s="83">
        <f t="shared" si="145"/>
        <v>11.916613410852877</v>
      </c>
      <c r="L150" s="83">
        <f t="shared" si="145"/>
        <v>9.2542719941433305</v>
      </c>
      <c r="M150" s="83">
        <f t="shared" si="145"/>
        <v>8.1331017797114455</v>
      </c>
      <c r="N150" s="83">
        <f t="shared" si="145"/>
        <v>5.9951797573191881</v>
      </c>
      <c r="O150" s="83">
        <f t="shared" si="145"/>
        <v>10.530084216425504</v>
      </c>
      <c r="P150" s="83">
        <f t="shared" si="145"/>
        <v>2.9151557889302335</v>
      </c>
      <c r="Q150" s="83">
        <f t="shared" si="145"/>
        <v>1.8122830194330606</v>
      </c>
      <c r="R150" s="83">
        <f t="shared" si="145"/>
        <v>34.039835456014501</v>
      </c>
      <c r="S150" s="83"/>
      <c r="T150" s="83"/>
      <c r="U150" s="83">
        <f>(U153+(3*U149))</f>
        <v>2.386314912336279</v>
      </c>
      <c r="V150" s="83">
        <f>(V153+(3*V149))</f>
        <v>1.4977055588586967</v>
      </c>
      <c r="W150" s="83"/>
      <c r="X150" s="83"/>
      <c r="Y150" s="83"/>
      <c r="Z150" s="83"/>
      <c r="AA150" s="83"/>
      <c r="AB150" s="176">
        <f t="shared" ref="AB150:AJ150" si="146">(AB153+(3*AB149))</f>
        <v>8.1657089551808646</v>
      </c>
      <c r="AC150" s="83">
        <f t="shared" si="146"/>
        <v>10.421946255703446</v>
      </c>
      <c r="AD150" s="83">
        <f t="shared" si="146"/>
        <v>9.0761941898888221</v>
      </c>
      <c r="AE150" s="83">
        <f t="shared" si="146"/>
        <v>7.7208112916336464</v>
      </c>
      <c r="AF150" s="83">
        <f t="shared" si="146"/>
        <v>6.5955670726559541</v>
      </c>
      <c r="AG150" s="83">
        <f t="shared" si="146"/>
        <v>10.742145383318928</v>
      </c>
      <c r="AH150" s="83">
        <f t="shared" si="146"/>
        <v>1.928308320476305</v>
      </c>
      <c r="AI150" s="83">
        <f t="shared" si="146"/>
        <v>2.1944261594335517</v>
      </c>
      <c r="AJ150" s="83">
        <f t="shared" si="146"/>
        <v>37.456379309703848</v>
      </c>
      <c r="AK150" s="83"/>
      <c r="AL150" s="83"/>
      <c r="AM150" s="83"/>
      <c r="AN150" s="83">
        <f t="shared" ref="AN150:AV150" si="147">(AN153+(3*AN149))</f>
        <v>6.8510627832893904</v>
      </c>
      <c r="AO150" s="83">
        <f t="shared" si="147"/>
        <v>3.201086269418242</v>
      </c>
      <c r="AP150" s="83">
        <f t="shared" si="147"/>
        <v>4.0086727757557021</v>
      </c>
      <c r="AQ150" s="83">
        <f t="shared" si="147"/>
        <v>2.9169983747241632</v>
      </c>
      <c r="AR150" s="83">
        <f t="shared" si="147"/>
        <v>2.7356151584352464</v>
      </c>
      <c r="AS150" s="83">
        <f t="shared" si="147"/>
        <v>3.5282492774622698</v>
      </c>
      <c r="AT150" s="83">
        <f t="shared" si="147"/>
        <v>1.0390788221532565</v>
      </c>
      <c r="AU150" s="83">
        <f t="shared" si="147"/>
        <v>0.59664689565618756</v>
      </c>
      <c r="AV150" s="83">
        <f t="shared" si="147"/>
        <v>6.6230133777369922</v>
      </c>
      <c r="AW150" s="83"/>
      <c r="AX150" s="83">
        <f t="shared" ref="AX150:BF150" si="148">(AX153+(3*AX149))</f>
        <v>6.6459929036914414</v>
      </c>
      <c r="AY150" s="83">
        <f t="shared" si="148"/>
        <v>2.7556068085664447</v>
      </c>
      <c r="AZ150" s="83">
        <f t="shared" si="148"/>
        <v>3.5944454346453019</v>
      </c>
      <c r="BA150" s="83">
        <f t="shared" si="148"/>
        <v>2.3612348135506687</v>
      </c>
      <c r="BB150" s="83">
        <f t="shared" si="148"/>
        <v>2.9482270672076067</v>
      </c>
      <c r="BC150" s="83">
        <f t="shared" si="148"/>
        <v>3.2240204466996092</v>
      </c>
      <c r="BD150" s="83">
        <f t="shared" si="148"/>
        <v>0.93193448007663637</v>
      </c>
      <c r="BE150" s="83">
        <f t="shared" si="148"/>
        <v>0.59664689565618756</v>
      </c>
      <c r="BF150" s="83">
        <f t="shared" si="148"/>
        <v>5.3972368993284547</v>
      </c>
      <c r="BG150" s="83"/>
      <c r="BH150" s="83">
        <f t="shared" ref="BH150:BP150" si="149">(BH153+(3*BH149))</f>
        <v>6.4467924458013659</v>
      </c>
      <c r="BI150" s="83">
        <f t="shared" si="149"/>
        <v>2.9252787799421966</v>
      </c>
      <c r="BJ150" s="83">
        <f t="shared" si="149"/>
        <v>3.9641383299730948</v>
      </c>
      <c r="BK150" s="83">
        <f t="shared" si="149"/>
        <v>3.4132574805318132</v>
      </c>
      <c r="BL150" s="83">
        <f t="shared" si="149"/>
        <v>2.9756385579298157</v>
      </c>
      <c r="BM150" s="83">
        <f t="shared" si="149"/>
        <v>2.9620615555434444</v>
      </c>
      <c r="BN150" s="83">
        <f t="shared" si="149"/>
        <v>0.84992376104603085</v>
      </c>
      <c r="BO150" s="83">
        <f t="shared" si="149"/>
        <v>0.53212827460056689</v>
      </c>
      <c r="BP150" s="83">
        <f t="shared" si="149"/>
        <v>7.0093682624060456</v>
      </c>
      <c r="BQ150" s="83"/>
      <c r="BR150" s="83">
        <f t="shared" ref="BR150:BZ150" si="150">(BR153+(3*BR149))</f>
        <v>6.5245031354258636</v>
      </c>
      <c r="BS150" s="83">
        <f t="shared" si="150"/>
        <v>2.2652453752678876</v>
      </c>
      <c r="BT150" s="83">
        <f t="shared" si="150"/>
        <v>3.3918429982363318</v>
      </c>
      <c r="BU150" s="83">
        <f t="shared" si="150"/>
        <v>3.179343239219758</v>
      </c>
      <c r="BV150" s="83">
        <f t="shared" si="150"/>
        <v>2.476277306867205</v>
      </c>
      <c r="BW150" s="83">
        <f t="shared" si="150"/>
        <v>2.9739490032804685</v>
      </c>
      <c r="BX150" s="83">
        <f t="shared" si="150"/>
        <v>0.70879075320640528</v>
      </c>
      <c r="BY150" s="83">
        <f t="shared" si="150"/>
        <v>0.70879075320640528</v>
      </c>
      <c r="BZ150" s="83">
        <f t="shared" si="150"/>
        <v>5.4199640329658738</v>
      </c>
      <c r="CA150" s="83"/>
      <c r="CB150" s="83">
        <f t="shared" ref="CB150:CJ150" si="151">(CB153+(3*CB149))</f>
        <v>6.2004919053208329</v>
      </c>
      <c r="CC150" s="83">
        <f t="shared" si="151"/>
        <v>2.3547271363997426</v>
      </c>
      <c r="CD150" s="83">
        <f t="shared" si="151"/>
        <v>3.639213120190858</v>
      </c>
      <c r="CE150" s="83">
        <f t="shared" si="151"/>
        <v>3.1765438205532415</v>
      </c>
      <c r="CF150" s="83">
        <f t="shared" si="151"/>
        <v>2.137306819936458</v>
      </c>
      <c r="CG150" s="83">
        <f t="shared" si="151"/>
        <v>3.2148107794723888</v>
      </c>
      <c r="CH150" s="83">
        <f t="shared" si="151"/>
        <v>0.37293837854999107</v>
      </c>
      <c r="CI150" s="83">
        <f t="shared" si="151"/>
        <v>0.45910926457828888</v>
      </c>
      <c r="CJ150" s="83">
        <f t="shared" si="151"/>
        <v>6.2170205151768059</v>
      </c>
      <c r="CK150" s="83"/>
      <c r="CL150" s="83">
        <f t="shared" ref="CL150:CT150" si="152">(CL153+(3*CL149))</f>
        <v>6.4109932476300209</v>
      </c>
      <c r="CM150" s="83">
        <f t="shared" si="152"/>
        <v>2.090439809440126</v>
      </c>
      <c r="CN150" s="83">
        <f t="shared" si="152"/>
        <v>3.7673953908535829</v>
      </c>
      <c r="CO150" s="83">
        <f t="shared" si="152"/>
        <v>2.4461167625753082</v>
      </c>
      <c r="CP150" s="83">
        <f t="shared" si="152"/>
        <v>1.9435260590084877</v>
      </c>
      <c r="CQ150" s="83">
        <f t="shared" si="152"/>
        <v>3.2509195367672428</v>
      </c>
      <c r="CR150" s="83">
        <f t="shared" si="152"/>
        <v>0.70289849978642027</v>
      </c>
      <c r="CS150" s="83">
        <f t="shared" si="152"/>
        <v>0.37293837854999107</v>
      </c>
      <c r="CT150" s="83">
        <f t="shared" si="152"/>
        <v>5.4666329448697395</v>
      </c>
      <c r="CU150" s="83"/>
      <c r="CV150" s="83">
        <f t="shared" ref="CV150:DD150" si="153">(CV153+(3*CV149))</f>
        <v>6.0702242207978134</v>
      </c>
      <c r="CW150" s="83">
        <f t="shared" si="153"/>
        <v>2.2936928808485044</v>
      </c>
      <c r="CX150" s="83">
        <f t="shared" si="153"/>
        <v>3.5731585490645212</v>
      </c>
      <c r="CY150" s="83">
        <f t="shared" si="153"/>
        <v>2.444127513090971</v>
      </c>
      <c r="CZ150" s="83">
        <f t="shared" si="153"/>
        <v>1.9598654972779324</v>
      </c>
      <c r="DA150" s="83">
        <f t="shared" si="153"/>
        <v>3.1339005228367531</v>
      </c>
      <c r="DB150" s="83">
        <f t="shared" si="153"/>
        <v>0.59664689565618756</v>
      </c>
      <c r="DC150" s="83">
        <f t="shared" si="153"/>
        <v>0.70879075320640528</v>
      </c>
      <c r="DD150" s="83">
        <f t="shared" si="153"/>
        <v>5.2173909987185212</v>
      </c>
      <c r="DE150" s="83"/>
      <c r="DF150" s="83">
        <f t="shared" ref="DF150:DN150" si="154">(DF153+(3*DF149))</f>
        <v>5.8277500319330127</v>
      </c>
      <c r="DG150" s="83">
        <f t="shared" si="154"/>
        <v>2.3587788394475067</v>
      </c>
      <c r="DH150" s="83">
        <f t="shared" si="154"/>
        <v>3.3312995586335039</v>
      </c>
      <c r="DI150" s="83">
        <f t="shared" si="154"/>
        <v>2.0874023392758829</v>
      </c>
      <c r="DJ150" s="83">
        <f t="shared" si="154"/>
        <v>1.9616921796231204</v>
      </c>
      <c r="DK150" s="83">
        <f t="shared" si="154"/>
        <v>3.5300559126032787</v>
      </c>
      <c r="DL150" s="83">
        <f t="shared" si="154"/>
        <v>0.88899751156438056</v>
      </c>
      <c r="DM150" s="83">
        <f t="shared" si="154"/>
        <v>0.45910926457828888</v>
      </c>
      <c r="DN150" s="83">
        <f t="shared" si="154"/>
        <v>4.4452235366360924</v>
      </c>
      <c r="DO150" s="83"/>
      <c r="DP150" s="83">
        <f t="shared" ref="DP150:FF150" si="155">(DP153+(3*DP149))</f>
        <v>5.8982321199488554</v>
      </c>
      <c r="DQ150" s="83">
        <f t="shared" si="155"/>
        <v>2.387597948149311</v>
      </c>
      <c r="DR150" s="83">
        <f t="shared" si="155"/>
        <v>3.4551578105238594</v>
      </c>
      <c r="DS150" s="83">
        <f t="shared" si="155"/>
        <v>2.5190659455020916</v>
      </c>
      <c r="DT150" s="83">
        <f t="shared" si="155"/>
        <v>2.1415056907640291</v>
      </c>
      <c r="DU150" s="83">
        <f t="shared" si="155"/>
        <v>3.5235223952038615</v>
      </c>
      <c r="DV150" s="83">
        <f t="shared" si="155"/>
        <v>0.75877501972615191</v>
      </c>
      <c r="DW150" s="83">
        <f t="shared" si="155"/>
        <v>0</v>
      </c>
      <c r="DX150" s="83">
        <f t="shared" si="155"/>
        <v>6.0799116505552018</v>
      </c>
      <c r="DY150" s="176">
        <f t="shared" si="155"/>
        <v>9.4945956675230683</v>
      </c>
      <c r="DZ150" s="83">
        <f t="shared" si="155"/>
        <v>3.5333216194504691</v>
      </c>
      <c r="EA150" s="83">
        <f t="shared" si="155"/>
        <v>1.2006118577152933</v>
      </c>
      <c r="EB150" s="176">
        <f t="shared" si="155"/>
        <v>13.564431810828721</v>
      </c>
      <c r="EC150" s="83">
        <f t="shared" si="155"/>
        <v>5.0733908478910772</v>
      </c>
      <c r="ED150" s="83">
        <f t="shared" si="155"/>
        <v>2.4148363644826132</v>
      </c>
      <c r="EE150" s="83">
        <f t="shared" si="155"/>
        <v>3.3257698537443074</v>
      </c>
      <c r="EF150" s="83">
        <f t="shared" si="155"/>
        <v>3.5517265790203236</v>
      </c>
      <c r="EG150" s="83">
        <f t="shared" si="155"/>
        <v>3.3556943607192595</v>
      </c>
      <c r="EH150" s="83">
        <f t="shared" si="155"/>
        <v>3.7008942291550926</v>
      </c>
      <c r="EI150" s="83">
        <f t="shared" si="155"/>
        <v>3.7346635072125354</v>
      </c>
      <c r="EJ150" s="83">
        <f t="shared" si="155"/>
        <v>4.0708356125689971</v>
      </c>
      <c r="EK150" s="83">
        <f t="shared" si="155"/>
        <v>3.747901619360412</v>
      </c>
      <c r="EL150" s="83">
        <f t="shared" si="155"/>
        <v>3.5938203610546391</v>
      </c>
      <c r="EM150" s="83">
        <f t="shared" si="155"/>
        <v>3.1695302830203835</v>
      </c>
      <c r="EN150" s="83">
        <f t="shared" si="155"/>
        <v>1.6387301496588271</v>
      </c>
      <c r="EO150" s="83">
        <f t="shared" si="155"/>
        <v>6.196152422706632</v>
      </c>
      <c r="EP150" s="83" t="e">
        <f t="shared" si="155"/>
        <v>#DIV/0!</v>
      </c>
      <c r="EQ150" s="83" t="e">
        <f t="shared" ref="EQ150" si="156">(EQ153+(3*EQ149))</f>
        <v>#DIV/0!</v>
      </c>
      <c r="ER150" s="83">
        <f t="shared" si="155"/>
        <v>13.504577319416439</v>
      </c>
      <c r="ES150" s="83">
        <f t="shared" si="155"/>
        <v>4.2384727221698268</v>
      </c>
      <c r="ET150" s="83">
        <f t="shared" si="155"/>
        <v>4.2879289535929583</v>
      </c>
      <c r="EU150" s="83">
        <f t="shared" si="155"/>
        <v>3.1839126524689303</v>
      </c>
      <c r="EV150" s="83">
        <f t="shared" si="155"/>
        <v>4.0461831963925219</v>
      </c>
      <c r="EW150" s="83">
        <f t="shared" si="155"/>
        <v>3.6927938361588799</v>
      </c>
      <c r="EX150" s="83">
        <f t="shared" si="155"/>
        <v>4.1138920002334531</v>
      </c>
      <c r="EY150" s="83">
        <f t="shared" si="155"/>
        <v>3.2727072376384352</v>
      </c>
      <c r="EZ150" s="83">
        <f t="shared" si="155"/>
        <v>3.3796439278369759</v>
      </c>
      <c r="FA150" s="83">
        <f t="shared" si="155"/>
        <v>4.0972121585223009</v>
      </c>
      <c r="FB150" s="83">
        <f t="shared" si="155"/>
        <v>1.1856601717798214</v>
      </c>
      <c r="FC150" s="83">
        <f t="shared" si="155"/>
        <v>10.215838362577491</v>
      </c>
      <c r="FD150" s="83" t="e">
        <f t="shared" si="155"/>
        <v>#DIV/0!</v>
      </c>
      <c r="FE150" s="83" t="e">
        <f t="shared" ref="FE150" si="157">(FE153+(3*FE149))</f>
        <v>#DIV/0!</v>
      </c>
      <c r="FF150" s="83">
        <f t="shared" si="155"/>
        <v>14.977119089962763</v>
      </c>
      <c r="FG150" s="174"/>
      <c r="FH150" s="174"/>
      <c r="FI150" s="83">
        <f t="shared" ref="FI150:FQ150" si="158">(FI153+(3*FI149))</f>
        <v>4.6931958671456586</v>
      </c>
      <c r="FJ150" s="83">
        <f t="shared" si="158"/>
        <v>4.798446937611244</v>
      </c>
      <c r="FK150" s="83">
        <f t="shared" si="158"/>
        <v>3.8773850359822237</v>
      </c>
      <c r="FL150" s="83">
        <f t="shared" si="158"/>
        <v>4.8913561230762816</v>
      </c>
      <c r="FM150" s="83">
        <f t="shared" si="158"/>
        <v>4.318359247460883</v>
      </c>
      <c r="FN150" s="83">
        <f t="shared" si="158"/>
        <v>5.0470447904077229</v>
      </c>
      <c r="FO150" s="83">
        <f t="shared" si="158"/>
        <v>4.4737690124311751</v>
      </c>
      <c r="FP150" s="83">
        <f t="shared" si="158"/>
        <v>3.8751562171993932</v>
      </c>
      <c r="FQ150" s="83">
        <f t="shared" si="158"/>
        <v>3.8948811836512882</v>
      </c>
      <c r="FR150" s="83"/>
      <c r="FS150" s="83"/>
      <c r="FT150" s="83"/>
      <c r="FU150" s="83"/>
      <c r="FV150" s="83">
        <f>(FV153+(3*FV149))</f>
        <v>11.374953266605933</v>
      </c>
      <c r="FW150" s="175" t="s">
        <v>265</v>
      </c>
    </row>
    <row r="151" spans="1:179" x14ac:dyDescent="0.25">
      <c r="A151" s="177" t="s">
        <v>266</v>
      </c>
      <c r="B151" s="83"/>
      <c r="C151" s="83"/>
      <c r="D151" s="83"/>
      <c r="E151" s="84">
        <f>(E153+(2*E149))</f>
        <v>8615.3972245824716</v>
      </c>
      <c r="F151" s="83"/>
      <c r="G151" s="83"/>
      <c r="H151" s="83"/>
      <c r="I151" s="83"/>
      <c r="J151" s="176">
        <f t="shared" ref="J151:R151" si="159">(J153+(2*J149))</f>
        <v>7.5453924030332029</v>
      </c>
      <c r="K151" s="83">
        <f t="shared" si="159"/>
        <v>9.5727063026788954</v>
      </c>
      <c r="L151" s="83">
        <f t="shared" si="159"/>
        <v>7.116756868997232</v>
      </c>
      <c r="M151" s="83">
        <f t="shared" si="159"/>
        <v>6.2134347596157831</v>
      </c>
      <c r="N151" s="83">
        <f t="shared" si="159"/>
        <v>4.6106953777811377</v>
      </c>
      <c r="O151" s="83">
        <f t="shared" si="159"/>
        <v>8.4325261682644843</v>
      </c>
      <c r="P151" s="83">
        <f t="shared" si="159"/>
        <v>2.1232933077280696</v>
      </c>
      <c r="Q151" s="83">
        <f t="shared" si="159"/>
        <v>1.2897234518042946</v>
      </c>
      <c r="R151" s="83">
        <f t="shared" si="159"/>
        <v>29.772360327990484</v>
      </c>
      <c r="S151" s="83"/>
      <c r="T151" s="83"/>
      <c r="U151" s="83">
        <f>(U153+(2*U149))</f>
        <v>1.7011883588237062</v>
      </c>
      <c r="V151" s="83">
        <f>(V153+(2*V149))</f>
        <v>1.0440339217331358</v>
      </c>
      <c r="W151" s="83"/>
      <c r="X151" s="83"/>
      <c r="Y151" s="83"/>
      <c r="Z151" s="83"/>
      <c r="AA151" s="83"/>
      <c r="AB151" s="176">
        <f t="shared" ref="AB151:AJ151" si="160">(AB153+(2*AB149))</f>
        <v>6.7035981363875621</v>
      </c>
      <c r="AC151" s="83">
        <f t="shared" si="160"/>
        <v>8.0510816764641682</v>
      </c>
      <c r="AD151" s="83">
        <f t="shared" si="160"/>
        <v>6.7630263424198862</v>
      </c>
      <c r="AE151" s="83">
        <f t="shared" si="160"/>
        <v>5.7155528514967715</v>
      </c>
      <c r="AF151" s="83">
        <f t="shared" si="160"/>
        <v>5.0109535880056484</v>
      </c>
      <c r="AG151" s="83">
        <f t="shared" si="160"/>
        <v>8.4659866104620178</v>
      </c>
      <c r="AH151" s="83">
        <f t="shared" si="160"/>
        <v>1.383860223243196</v>
      </c>
      <c r="AI151" s="83">
        <f t="shared" si="160"/>
        <v>1.5684663604856772</v>
      </c>
      <c r="AJ151" s="83">
        <f t="shared" si="160"/>
        <v>30.484108988243811</v>
      </c>
      <c r="AK151" s="83"/>
      <c r="AL151" s="83"/>
      <c r="AM151" s="83"/>
      <c r="AN151" s="83">
        <f t="shared" ref="AN151:AV151" si="161">(AN153+(2*AN149))</f>
        <v>5.9366797452145095</v>
      </c>
      <c r="AO151" s="83">
        <f t="shared" si="161"/>
        <v>2.3522829326097634</v>
      </c>
      <c r="AP151" s="83">
        <f t="shared" si="161"/>
        <v>3.0249665027819788</v>
      </c>
      <c r="AQ151" s="83">
        <f t="shared" si="161"/>
        <v>2.0981428013748618</v>
      </c>
      <c r="AR151" s="83">
        <f t="shared" si="161"/>
        <v>1.958036004904073</v>
      </c>
      <c r="AS151" s="83">
        <f t="shared" si="161"/>
        <v>2.6735091106343187</v>
      </c>
      <c r="AT151" s="83">
        <f t="shared" si="161"/>
        <v>0.71909811165133164</v>
      </c>
      <c r="AU151" s="83">
        <f t="shared" si="161"/>
        <v>0.40975500477798593</v>
      </c>
      <c r="AV151" s="83">
        <f t="shared" si="161"/>
        <v>4.9189393741268201</v>
      </c>
      <c r="AW151" s="83"/>
      <c r="AX151" s="83">
        <f t="shared" ref="AX151:BF151" si="162">(AX153+(2*AX149))</f>
        <v>5.6944509046192344</v>
      </c>
      <c r="AY151" s="83">
        <f t="shared" si="162"/>
        <v>2.0361119730970545</v>
      </c>
      <c r="AZ151" s="83">
        <f t="shared" si="162"/>
        <v>2.7224360451592178</v>
      </c>
      <c r="BA151" s="83">
        <f t="shared" si="162"/>
        <v>1.698856782175266</v>
      </c>
      <c r="BB151" s="83">
        <f t="shared" si="162"/>
        <v>2.1597293157882844</v>
      </c>
      <c r="BC151" s="83">
        <f t="shared" si="162"/>
        <v>2.4203301778956625</v>
      </c>
      <c r="BD151" s="83">
        <f t="shared" si="162"/>
        <v>0.65006663180169044</v>
      </c>
      <c r="BE151" s="83">
        <f t="shared" si="162"/>
        <v>0.40975500477798593</v>
      </c>
      <c r="BF151" s="83">
        <f t="shared" si="162"/>
        <v>4.0394049352837182</v>
      </c>
      <c r="BG151" s="83"/>
      <c r="BH151" s="83">
        <f t="shared" ref="BH151:BP151" si="163">(BH153+(2*BH149))</f>
        <v>5.5376697840114621</v>
      </c>
      <c r="BI151" s="83">
        <f t="shared" si="163"/>
        <v>2.1468285391461168</v>
      </c>
      <c r="BJ151" s="83">
        <f t="shared" si="163"/>
        <v>2.9952768722602405</v>
      </c>
      <c r="BK151" s="83">
        <f t="shared" si="163"/>
        <v>2.4649534282682115</v>
      </c>
      <c r="BL151" s="83">
        <f t="shared" si="163"/>
        <v>2.178003642936424</v>
      </c>
      <c r="BM151" s="83">
        <f t="shared" si="163"/>
        <v>2.1761465526164927</v>
      </c>
      <c r="BN151" s="83">
        <f t="shared" si="163"/>
        <v>0.59059665604507572</v>
      </c>
      <c r="BO151" s="83">
        <f t="shared" si="163"/>
        <v>0.36434450920613326</v>
      </c>
      <c r="BP151" s="83">
        <f t="shared" si="163"/>
        <v>5.2196747648654211</v>
      </c>
      <c r="BQ151" s="83"/>
      <c r="BR151" s="83">
        <f t="shared" ref="BR151:BZ151" si="164">(BR153+(2*BR149))</f>
        <v>5.5990692365668826</v>
      </c>
      <c r="BS151" s="83">
        <f t="shared" si="164"/>
        <v>1.6516503940634839</v>
      </c>
      <c r="BT151" s="83">
        <f t="shared" si="164"/>
        <v>2.5537946127330944</v>
      </c>
      <c r="BU151" s="83">
        <f t="shared" si="164"/>
        <v>2.3114086822616136</v>
      </c>
      <c r="BV151" s="83">
        <f t="shared" si="164"/>
        <v>1.794736429997801</v>
      </c>
      <c r="BW151" s="83">
        <f t="shared" si="164"/>
        <v>2.2440235561438135</v>
      </c>
      <c r="BX151" s="83">
        <f t="shared" si="164"/>
        <v>0.48931373954767549</v>
      </c>
      <c r="BY151" s="83">
        <f t="shared" si="164"/>
        <v>0.48931373954767549</v>
      </c>
      <c r="BZ151" s="83">
        <f t="shared" si="164"/>
        <v>4.020983216221854</v>
      </c>
      <c r="CA151" s="83"/>
      <c r="CB151" s="83">
        <f t="shared" ref="CB151:CJ151" si="165">(CB153+(2*CB149))</f>
        <v>5.3950521575040566</v>
      </c>
      <c r="CC151" s="83">
        <f t="shared" si="165"/>
        <v>1.7256933906933536</v>
      </c>
      <c r="CD151" s="83">
        <f t="shared" si="165"/>
        <v>2.7546792503910278</v>
      </c>
      <c r="CE151" s="83">
        <f t="shared" si="165"/>
        <v>2.2807654247333362</v>
      </c>
      <c r="CF151" s="83">
        <f t="shared" si="165"/>
        <v>1.5327848823557204</v>
      </c>
      <c r="CG151" s="83">
        <f t="shared" si="165"/>
        <v>2.4261808074180431</v>
      </c>
      <c r="CH151" s="83">
        <f t="shared" si="165"/>
        <v>0.25342174876953838</v>
      </c>
      <c r="CI151" s="83">
        <f t="shared" si="165"/>
        <v>0.31326708765650912</v>
      </c>
      <c r="CJ151" s="83">
        <f t="shared" si="165"/>
        <v>4.6410832211490458</v>
      </c>
      <c r="CK151" s="83"/>
      <c r="CL151" s="83">
        <f t="shared" ref="CL151:CT151" si="166">(CL153+(2*CL149))</f>
        <v>5.5018132442233707</v>
      </c>
      <c r="CM151" s="83">
        <f t="shared" si="166"/>
        <v>1.5207248609696764</v>
      </c>
      <c r="CN151" s="83">
        <f t="shared" si="166"/>
        <v>2.8353379344299667</v>
      </c>
      <c r="CO151" s="83">
        <f t="shared" si="166"/>
        <v>1.75304666665692</v>
      </c>
      <c r="CP151" s="83">
        <f t="shared" si="166"/>
        <v>1.3964034637994236</v>
      </c>
      <c r="CQ151" s="83">
        <f t="shared" si="166"/>
        <v>2.4382629046074182</v>
      </c>
      <c r="CR151" s="83">
        <f t="shared" si="166"/>
        <v>0.48058940753147439</v>
      </c>
      <c r="CS151" s="83">
        <f t="shared" si="166"/>
        <v>0.25342174876953838</v>
      </c>
      <c r="CT151" s="83">
        <f t="shared" si="166"/>
        <v>4.0688823949011699</v>
      </c>
      <c r="CU151" s="83"/>
      <c r="CV151" s="83">
        <f t="shared" ref="CV151:DD151" si="167">(CV153+(2*CV149))</f>
        <v>5.2482549961194049</v>
      </c>
      <c r="CW151" s="83">
        <f t="shared" si="167"/>
        <v>1.6610230716448064</v>
      </c>
      <c r="CX151" s="83">
        <f t="shared" si="167"/>
        <v>2.691458217361959</v>
      </c>
      <c r="CY151" s="83">
        <f t="shared" si="167"/>
        <v>1.7733032341469783</v>
      </c>
      <c r="CZ151" s="83">
        <f t="shared" si="167"/>
        <v>1.3977040965066312</v>
      </c>
      <c r="DA151" s="83">
        <f t="shared" si="167"/>
        <v>2.3170847610278589</v>
      </c>
      <c r="DB151" s="83">
        <f t="shared" si="167"/>
        <v>0.40975500477798593</v>
      </c>
      <c r="DC151" s="83">
        <f t="shared" si="167"/>
        <v>0.48931373954767549</v>
      </c>
      <c r="DD151" s="83">
        <f t="shared" si="167"/>
        <v>3.8835364451888466</v>
      </c>
      <c r="DE151" s="83"/>
      <c r="DF151" s="83">
        <f t="shared" ref="DF151:DN151" si="168">(DF153+(2*DF149))</f>
        <v>5.0218573354373568</v>
      </c>
      <c r="DG151" s="83">
        <f t="shared" si="168"/>
        <v>1.7116079553151244</v>
      </c>
      <c r="DH151" s="83">
        <f t="shared" si="168"/>
        <v>2.4870534227820484</v>
      </c>
      <c r="DI151" s="83">
        <f t="shared" si="168"/>
        <v>1.4851267393733705</v>
      </c>
      <c r="DJ151" s="83">
        <f t="shared" si="168"/>
        <v>1.4181065370149339</v>
      </c>
      <c r="DK151" s="83">
        <f t="shared" si="168"/>
        <v>2.657926963318253</v>
      </c>
      <c r="DL151" s="83">
        <f t="shared" si="168"/>
        <v>0.61424774152253669</v>
      </c>
      <c r="DM151" s="83">
        <f t="shared" si="168"/>
        <v>0.31326708765650912</v>
      </c>
      <c r="DN151" s="83">
        <f t="shared" si="168"/>
        <v>3.2968156910907283</v>
      </c>
      <c r="DO151" s="83"/>
      <c r="DP151" s="83">
        <f t="shared" ref="DP151:FF151" si="169">(DP153+(2*DP149))</f>
        <v>5.0280780080234582</v>
      </c>
      <c r="DQ151" s="83">
        <f t="shared" si="169"/>
        <v>1.7380149390539772</v>
      </c>
      <c r="DR151" s="83">
        <f t="shared" si="169"/>
        <v>2.557635183035091</v>
      </c>
      <c r="DS151" s="83">
        <f t="shared" si="169"/>
        <v>1.8040775368095479</v>
      </c>
      <c r="DT151" s="83">
        <f t="shared" si="169"/>
        <v>1.5499726187827338</v>
      </c>
      <c r="DU151" s="83">
        <f t="shared" si="169"/>
        <v>2.6727559373301517</v>
      </c>
      <c r="DV151" s="83">
        <f t="shared" si="169"/>
        <v>0.52503466542894539</v>
      </c>
      <c r="DW151" s="83">
        <f t="shared" si="169"/>
        <v>0</v>
      </c>
      <c r="DX151" s="83">
        <f t="shared" si="169"/>
        <v>4.4633463761495111</v>
      </c>
      <c r="DY151" s="176">
        <f t="shared" si="169"/>
        <v>7.1099063043279287</v>
      </c>
      <c r="DZ151" s="83">
        <f t="shared" si="169"/>
        <v>2.5234134537343653</v>
      </c>
      <c r="EA151" s="83">
        <f t="shared" si="169"/>
        <v>0.84836953583897257</v>
      </c>
      <c r="EB151" s="176">
        <f t="shared" si="169"/>
        <v>11.199629200824262</v>
      </c>
      <c r="EC151" s="83">
        <f t="shared" si="169"/>
        <v>3.8139152415197111</v>
      </c>
      <c r="ED151" s="83">
        <f t="shared" si="169"/>
        <v>1.7465815571370897</v>
      </c>
      <c r="EE151" s="83">
        <f t="shared" si="169"/>
        <v>2.3826475283954855</v>
      </c>
      <c r="EF151" s="83">
        <f t="shared" si="169"/>
        <v>2.5093045298984413</v>
      </c>
      <c r="EG151" s="83">
        <f t="shared" si="169"/>
        <v>2.3906067920382599</v>
      </c>
      <c r="EH151" s="83">
        <f t="shared" si="169"/>
        <v>2.6351285268707811</v>
      </c>
      <c r="EI151" s="83">
        <f t="shared" si="169"/>
        <v>2.6696317865829373</v>
      </c>
      <c r="EJ151" s="83">
        <f t="shared" si="169"/>
        <v>2.9033388496263339</v>
      </c>
      <c r="EK151" s="83">
        <f t="shared" si="169"/>
        <v>2.6725141230518688</v>
      </c>
      <c r="EL151" s="83">
        <f t="shared" si="169"/>
        <v>2.5536410549524566</v>
      </c>
      <c r="EM151" s="83">
        <f t="shared" si="169"/>
        <v>2.2645353401954074</v>
      </c>
      <c r="EN151" s="83">
        <f t="shared" si="169"/>
        <v>1.1758200997725514</v>
      </c>
      <c r="EO151" s="83">
        <f t="shared" si="169"/>
        <v>4.4641016151377544</v>
      </c>
      <c r="EP151" s="83" t="e">
        <f t="shared" si="169"/>
        <v>#DIV/0!</v>
      </c>
      <c r="EQ151" s="83" t="e">
        <f t="shared" ref="EQ151" si="170">(EQ153+(2*EQ149))</f>
        <v>#DIV/0!</v>
      </c>
      <c r="ER151" s="83">
        <f t="shared" si="169"/>
        <v>10.458687037884342</v>
      </c>
      <c r="ES151" s="83">
        <f t="shared" si="169"/>
        <v>3.0414758195760476</v>
      </c>
      <c r="ET151" s="83">
        <f t="shared" si="169"/>
        <v>3.0720485589900295</v>
      </c>
      <c r="EU151" s="83">
        <f t="shared" si="169"/>
        <v>2.2880760608785673</v>
      </c>
      <c r="EV151" s="83">
        <f t="shared" si="169"/>
        <v>2.8845058239739116</v>
      </c>
      <c r="EW151" s="83">
        <f t="shared" si="169"/>
        <v>2.658505243290572</v>
      </c>
      <c r="EX151" s="83">
        <f t="shared" si="169"/>
        <v>2.9512277603474821</v>
      </c>
      <c r="EY151" s="83">
        <f t="shared" si="169"/>
        <v>2.3313146290138587</v>
      </c>
      <c r="EZ151" s="83">
        <f t="shared" si="169"/>
        <v>2.4159458246648544</v>
      </c>
      <c r="FA151" s="83">
        <f t="shared" si="169"/>
        <v>2.9294945743283987</v>
      </c>
      <c r="FB151" s="83">
        <f t="shared" si="169"/>
        <v>0.83210678118654757</v>
      </c>
      <c r="FC151" s="83">
        <f t="shared" si="169"/>
        <v>7.4772255750516612</v>
      </c>
      <c r="FD151" s="83" t="e">
        <f t="shared" si="169"/>
        <v>#DIV/0!</v>
      </c>
      <c r="FE151" s="83" t="e">
        <f t="shared" ref="FE151" si="171">(FE153+(2*FE149))</f>
        <v>#DIV/0!</v>
      </c>
      <c r="FF151" s="83">
        <f t="shared" si="169"/>
        <v>11.644218482037523</v>
      </c>
      <c r="FG151" s="174"/>
      <c r="FH151" s="174"/>
      <c r="FI151" s="83">
        <f t="shared" ref="FI151:FQ151" si="172">(FI153+(2*FI149))</f>
        <v>3.0784375325335565</v>
      </c>
      <c r="FJ151" s="83">
        <f t="shared" si="172"/>
        <v>3.1270221790309978</v>
      </c>
      <c r="FK151" s="83">
        <f t="shared" si="172"/>
        <v>2.5729329496476216</v>
      </c>
      <c r="FL151" s="83">
        <f t="shared" si="172"/>
        <v>3.2417194297726764</v>
      </c>
      <c r="FM151" s="83">
        <f t="shared" si="172"/>
        <v>2.8621195942305162</v>
      </c>
      <c r="FN151" s="83">
        <f t="shared" si="172"/>
        <v>3.3455118746603043</v>
      </c>
      <c r="FO151" s="83">
        <f t="shared" si="172"/>
        <v>3.0088915718366107</v>
      </c>
      <c r="FP151" s="83">
        <f t="shared" si="172"/>
        <v>2.5786413150633845</v>
      </c>
      <c r="FQ151" s="83">
        <f t="shared" si="172"/>
        <v>2.5726066404198038</v>
      </c>
      <c r="FR151" s="83"/>
      <c r="FS151" s="83"/>
      <c r="FT151" s="83"/>
      <c r="FU151" s="83"/>
      <c r="FV151" s="83">
        <f>(FV153+(2*FV149))</f>
        <v>7.3794652472816544</v>
      </c>
      <c r="FW151" s="175" t="s">
        <v>266</v>
      </c>
    </row>
    <row r="152" spans="1:179" x14ac:dyDescent="0.25">
      <c r="A152" s="177" t="s">
        <v>267</v>
      </c>
      <c r="B152" s="83"/>
      <c r="C152" s="83"/>
      <c r="D152" s="83"/>
      <c r="E152" s="84">
        <f>(E153+E149)</f>
        <v>6361.9541678467913</v>
      </c>
      <c r="F152" s="83"/>
      <c r="G152" s="83"/>
      <c r="H152" s="83"/>
      <c r="I152" s="83"/>
      <c r="J152" s="176">
        <f t="shared" ref="J152:R152" si="173">(J153+J149)</f>
        <v>6.2499144269362654</v>
      </c>
      <c r="K152" s="83">
        <f t="shared" si="173"/>
        <v>7.2287991945049157</v>
      </c>
      <c r="L152" s="83">
        <f t="shared" si="173"/>
        <v>4.9792417438511336</v>
      </c>
      <c r="M152" s="83">
        <f t="shared" si="173"/>
        <v>4.2937677395201224</v>
      </c>
      <c r="N152" s="83">
        <f t="shared" si="173"/>
        <v>3.2262109982430864</v>
      </c>
      <c r="O152" s="83">
        <f t="shared" si="173"/>
        <v>6.3349681201034658</v>
      </c>
      <c r="P152" s="83">
        <f t="shared" si="173"/>
        <v>1.3314308265259052</v>
      </c>
      <c r="Q152" s="83">
        <f t="shared" si="173"/>
        <v>0.76716388417552861</v>
      </c>
      <c r="R152" s="83">
        <f t="shared" si="173"/>
        <v>25.504885199966463</v>
      </c>
      <c r="S152" s="83"/>
      <c r="T152" s="83"/>
      <c r="U152" s="83">
        <f>(U153+U149)</f>
        <v>1.0160618053111337</v>
      </c>
      <c r="V152" s="83">
        <f>(V153+V149)</f>
        <v>0.59036228460757512</v>
      </c>
      <c r="W152" s="83"/>
      <c r="X152" s="83"/>
      <c r="Y152" s="83"/>
      <c r="Z152" s="83"/>
      <c r="AA152" s="83"/>
      <c r="AB152" s="176">
        <f t="shared" ref="AB152:AJ152" si="174">(AB153+AB149)</f>
        <v>5.2414873175942613</v>
      </c>
      <c r="AC152" s="83">
        <f t="shared" si="174"/>
        <v>5.6802170972248893</v>
      </c>
      <c r="AD152" s="83">
        <f t="shared" si="174"/>
        <v>4.4498584949509503</v>
      </c>
      <c r="AE152" s="83">
        <f t="shared" si="174"/>
        <v>3.7102944113598966</v>
      </c>
      <c r="AF152" s="83">
        <f t="shared" si="174"/>
        <v>3.4263401033553418</v>
      </c>
      <c r="AG152" s="83">
        <f t="shared" si="174"/>
        <v>6.1898278376051099</v>
      </c>
      <c r="AH152" s="83">
        <f t="shared" si="174"/>
        <v>0.8394121260100873</v>
      </c>
      <c r="AI152" s="83">
        <f t="shared" si="174"/>
        <v>0.94250656153780255</v>
      </c>
      <c r="AJ152" s="83">
        <f t="shared" si="174"/>
        <v>23.511838666783774</v>
      </c>
      <c r="AK152" s="83"/>
      <c r="AL152" s="83"/>
      <c r="AM152" s="83"/>
      <c r="AN152" s="83">
        <f t="shared" ref="AN152:AV152" si="175">(AN153+AN149)</f>
        <v>5.0222967071396294</v>
      </c>
      <c r="AO152" s="83">
        <f t="shared" si="175"/>
        <v>1.5034795958012845</v>
      </c>
      <c r="AP152" s="83">
        <f t="shared" si="175"/>
        <v>2.0412602298082558</v>
      </c>
      <c r="AQ152" s="83">
        <f t="shared" si="175"/>
        <v>1.2792872280255605</v>
      </c>
      <c r="AR152" s="83">
        <f t="shared" si="175"/>
        <v>1.1804568513728999</v>
      </c>
      <c r="AS152" s="83">
        <f t="shared" si="175"/>
        <v>1.8187689438063681</v>
      </c>
      <c r="AT152" s="83">
        <f t="shared" si="175"/>
        <v>0.39911740114940686</v>
      </c>
      <c r="AU152" s="83">
        <f t="shared" si="175"/>
        <v>0.22286311389978433</v>
      </c>
      <c r="AV152" s="83">
        <f t="shared" si="175"/>
        <v>3.2148653705166472</v>
      </c>
      <c r="AW152" s="83"/>
      <c r="AX152" s="83">
        <f t="shared" ref="AX152:BF152" si="176">(AX153+AX149)</f>
        <v>4.7429089055470275</v>
      </c>
      <c r="AY152" s="83">
        <f t="shared" si="176"/>
        <v>1.3166171376276639</v>
      </c>
      <c r="AZ152" s="83">
        <f t="shared" si="176"/>
        <v>1.8504266556731341</v>
      </c>
      <c r="BA152" s="83">
        <f t="shared" si="176"/>
        <v>1.0364787507998632</v>
      </c>
      <c r="BB152" s="83">
        <f t="shared" si="176"/>
        <v>1.3712315643689625</v>
      </c>
      <c r="BC152" s="83">
        <f t="shared" si="176"/>
        <v>1.6166399090917163</v>
      </c>
      <c r="BD152" s="83">
        <f t="shared" si="176"/>
        <v>0.36819878352674451</v>
      </c>
      <c r="BE152" s="83">
        <f t="shared" si="176"/>
        <v>0.22286311389978433</v>
      </c>
      <c r="BF152" s="83">
        <f t="shared" si="176"/>
        <v>2.6815729712389813</v>
      </c>
      <c r="BG152" s="83"/>
      <c r="BH152" s="83">
        <f t="shared" ref="BH152:BP152" si="177">(BH153+BH149)</f>
        <v>4.6285471222215584</v>
      </c>
      <c r="BI152" s="83">
        <f t="shared" si="177"/>
        <v>1.368378298350037</v>
      </c>
      <c r="BJ152" s="83">
        <f t="shared" si="177"/>
        <v>2.0264154145473867</v>
      </c>
      <c r="BK152" s="83">
        <f t="shared" si="177"/>
        <v>1.5166493760046094</v>
      </c>
      <c r="BL152" s="83">
        <f t="shared" si="177"/>
        <v>1.3803687279430321</v>
      </c>
      <c r="BM152" s="83">
        <f t="shared" si="177"/>
        <v>1.3902315496895414</v>
      </c>
      <c r="BN152" s="83">
        <f t="shared" si="177"/>
        <v>0.33126955104412059</v>
      </c>
      <c r="BO152" s="83">
        <f t="shared" si="177"/>
        <v>0.19656074381169975</v>
      </c>
      <c r="BP152" s="83">
        <f t="shared" si="177"/>
        <v>3.4299812673247967</v>
      </c>
      <c r="BQ152" s="83"/>
      <c r="BR152" s="83">
        <f t="shared" ref="BR152:BZ152" si="178">(BR153+BR149)</f>
        <v>4.6736353377079016</v>
      </c>
      <c r="BS152" s="83">
        <f t="shared" si="178"/>
        <v>1.0380554128590802</v>
      </c>
      <c r="BT152" s="83">
        <f t="shared" si="178"/>
        <v>1.7157462272298565</v>
      </c>
      <c r="BU152" s="83">
        <f t="shared" si="178"/>
        <v>1.4434741253034686</v>
      </c>
      <c r="BV152" s="83">
        <f t="shared" si="178"/>
        <v>1.113195553128397</v>
      </c>
      <c r="BW152" s="83">
        <f t="shared" si="178"/>
        <v>1.5140981090071586</v>
      </c>
      <c r="BX152" s="83">
        <f t="shared" si="178"/>
        <v>0.26983672588894564</v>
      </c>
      <c r="BY152" s="83">
        <f t="shared" si="178"/>
        <v>0.26983672588894564</v>
      </c>
      <c r="BZ152" s="83">
        <f t="shared" si="178"/>
        <v>2.6220023994778332</v>
      </c>
      <c r="CA152" s="83"/>
      <c r="CB152" s="83">
        <f t="shared" ref="CB152:CJ152" si="179">(CB153+CB149)</f>
        <v>4.5896124096872803</v>
      </c>
      <c r="CC152" s="83">
        <f t="shared" si="179"/>
        <v>1.0966596449869646</v>
      </c>
      <c r="CD152" s="83">
        <f t="shared" si="179"/>
        <v>1.8701453805911972</v>
      </c>
      <c r="CE152" s="83">
        <f t="shared" si="179"/>
        <v>1.3849870289134307</v>
      </c>
      <c r="CF152" s="83">
        <f t="shared" si="179"/>
        <v>0.9282629447749825</v>
      </c>
      <c r="CG152" s="83">
        <f t="shared" si="179"/>
        <v>1.6375508353636978</v>
      </c>
      <c r="CH152" s="83">
        <f t="shared" si="179"/>
        <v>0.13390511898908575</v>
      </c>
      <c r="CI152" s="83">
        <f t="shared" si="179"/>
        <v>0.1674249107347294</v>
      </c>
      <c r="CJ152" s="83">
        <f t="shared" si="179"/>
        <v>3.0651459271212853</v>
      </c>
      <c r="CK152" s="83"/>
      <c r="CL152" s="83">
        <f t="shared" ref="CL152:CT152" si="180">(CL153+CL149)</f>
        <v>4.5926332408167214</v>
      </c>
      <c r="CM152" s="83">
        <f t="shared" si="180"/>
        <v>0.95100991249922662</v>
      </c>
      <c r="CN152" s="83">
        <f t="shared" si="180"/>
        <v>1.9032804780063501</v>
      </c>
      <c r="CO152" s="83">
        <f t="shared" si="180"/>
        <v>1.059976570738532</v>
      </c>
      <c r="CP152" s="83">
        <f t="shared" si="180"/>
        <v>0.84928086859035923</v>
      </c>
      <c r="CQ152" s="83">
        <f t="shared" si="180"/>
        <v>1.6256062724475941</v>
      </c>
      <c r="CR152" s="83">
        <f t="shared" si="180"/>
        <v>0.25828031527652856</v>
      </c>
      <c r="CS152" s="83">
        <f t="shared" si="180"/>
        <v>0.13390511898908575</v>
      </c>
      <c r="CT152" s="83">
        <f t="shared" si="180"/>
        <v>2.6711318449325994</v>
      </c>
      <c r="CU152" s="83"/>
      <c r="CV152" s="83">
        <f t="shared" ref="CV152:DD152" si="181">(CV153+CV149)</f>
        <v>4.4262857714409973</v>
      </c>
      <c r="CW152" s="83">
        <f t="shared" si="181"/>
        <v>1.0283532624411083</v>
      </c>
      <c r="CX152" s="83">
        <f t="shared" si="181"/>
        <v>1.8097578856593968</v>
      </c>
      <c r="CY152" s="83">
        <f t="shared" si="181"/>
        <v>1.1024789552029857</v>
      </c>
      <c r="CZ152" s="83">
        <f t="shared" si="181"/>
        <v>0.83554269573533002</v>
      </c>
      <c r="DA152" s="83">
        <f t="shared" si="181"/>
        <v>1.5002689992189655</v>
      </c>
      <c r="DB152" s="83">
        <f t="shared" si="181"/>
        <v>0.22286311389978433</v>
      </c>
      <c r="DC152" s="83">
        <f t="shared" si="181"/>
        <v>0.26983672588894564</v>
      </c>
      <c r="DD152" s="83">
        <f t="shared" si="181"/>
        <v>2.5496818916591715</v>
      </c>
      <c r="DE152" s="83"/>
      <c r="DF152" s="83">
        <f t="shared" ref="DF152:DN152" si="182">(DF153+DF149)</f>
        <v>4.2159646389417</v>
      </c>
      <c r="DG152" s="83">
        <f t="shared" si="182"/>
        <v>1.064437071182742</v>
      </c>
      <c r="DH152" s="83">
        <f t="shared" si="182"/>
        <v>1.6428072869305925</v>
      </c>
      <c r="DI152" s="83">
        <f t="shared" si="182"/>
        <v>0.8828511394708578</v>
      </c>
      <c r="DJ152" s="83">
        <f t="shared" si="182"/>
        <v>0.87452089440674752</v>
      </c>
      <c r="DK152" s="83">
        <f t="shared" si="182"/>
        <v>1.7857980140332272</v>
      </c>
      <c r="DL152" s="83">
        <f t="shared" si="182"/>
        <v>0.33949797148069277</v>
      </c>
      <c r="DM152" s="83">
        <f t="shared" si="182"/>
        <v>0.1674249107347294</v>
      </c>
      <c r="DN152" s="83">
        <f t="shared" si="182"/>
        <v>2.1484078455453641</v>
      </c>
      <c r="DO152" s="83"/>
      <c r="DP152" s="83">
        <f t="shared" ref="DP152:FF152" si="183">(DP153+DP149)</f>
        <v>4.15792389609806</v>
      </c>
      <c r="DQ152" s="83">
        <f t="shared" si="183"/>
        <v>1.0884319299586434</v>
      </c>
      <c r="DR152" s="83">
        <f t="shared" si="183"/>
        <v>1.6601125555463225</v>
      </c>
      <c r="DS152" s="83">
        <f t="shared" si="183"/>
        <v>1.0890891281170041</v>
      </c>
      <c r="DT152" s="83">
        <f t="shared" si="183"/>
        <v>0.95843954680143884</v>
      </c>
      <c r="DU152" s="83">
        <f t="shared" si="183"/>
        <v>1.8219894794564429</v>
      </c>
      <c r="DV152" s="83">
        <f t="shared" si="183"/>
        <v>0.29129431113173887</v>
      </c>
      <c r="DW152" s="83">
        <f t="shared" si="183"/>
        <v>0</v>
      </c>
      <c r="DX152" s="83">
        <f t="shared" si="183"/>
        <v>2.8467811017438205</v>
      </c>
      <c r="DY152" s="176">
        <f t="shared" si="183"/>
        <v>4.7252169411327891</v>
      </c>
      <c r="DZ152" s="83">
        <f t="shared" si="183"/>
        <v>1.5135052880182618</v>
      </c>
      <c r="EA152" s="83">
        <f t="shared" si="183"/>
        <v>0.49612721396265175</v>
      </c>
      <c r="EB152" s="176">
        <f t="shared" si="183"/>
        <v>8.8348265908198051</v>
      </c>
      <c r="EC152" s="83">
        <f t="shared" si="183"/>
        <v>2.5544396351483449</v>
      </c>
      <c r="ED152" s="83">
        <f t="shared" si="183"/>
        <v>1.0783267497915665</v>
      </c>
      <c r="EE152" s="83">
        <f t="shared" si="183"/>
        <v>1.4395252030466636</v>
      </c>
      <c r="EF152" s="83">
        <f t="shared" si="183"/>
        <v>1.4668824807765588</v>
      </c>
      <c r="EG152" s="83">
        <f t="shared" si="183"/>
        <v>1.4255192233572593</v>
      </c>
      <c r="EH152" s="83">
        <f t="shared" si="183"/>
        <v>1.5693628245864697</v>
      </c>
      <c r="EI152" s="83">
        <f t="shared" si="183"/>
        <v>1.604600065953339</v>
      </c>
      <c r="EJ152" s="83">
        <f t="shared" si="183"/>
        <v>1.7358420866836706</v>
      </c>
      <c r="EK152" s="83">
        <f t="shared" si="183"/>
        <v>1.5971266267433255</v>
      </c>
      <c r="EL152" s="83">
        <f t="shared" si="183"/>
        <v>1.5134617488502742</v>
      </c>
      <c r="EM152" s="83">
        <f t="shared" si="183"/>
        <v>1.359540397370431</v>
      </c>
      <c r="EN152" s="83">
        <f t="shared" si="183"/>
        <v>0.71291004988627571</v>
      </c>
      <c r="EO152" s="83">
        <f t="shared" si="183"/>
        <v>2.7320508075688772</v>
      </c>
      <c r="EP152" s="83" t="e">
        <f t="shared" si="183"/>
        <v>#DIV/0!</v>
      </c>
      <c r="EQ152" s="83" t="e">
        <f t="shared" ref="EQ152" si="184">(EQ153+EQ149)</f>
        <v>#DIV/0!</v>
      </c>
      <c r="ER152" s="83">
        <f t="shared" si="183"/>
        <v>7.4127967563522432</v>
      </c>
      <c r="ES152" s="83">
        <f t="shared" si="183"/>
        <v>1.8444789169822684</v>
      </c>
      <c r="ET152" s="83">
        <f t="shared" si="183"/>
        <v>1.8561681643871011</v>
      </c>
      <c r="EU152" s="83">
        <f t="shared" si="183"/>
        <v>1.3922394692882047</v>
      </c>
      <c r="EV152" s="83">
        <f t="shared" si="183"/>
        <v>1.722828451555301</v>
      </c>
      <c r="EW152" s="83">
        <f t="shared" si="183"/>
        <v>1.6242166504222646</v>
      </c>
      <c r="EX152" s="83">
        <f t="shared" si="183"/>
        <v>1.7885635204615107</v>
      </c>
      <c r="EY152" s="83">
        <f t="shared" si="183"/>
        <v>1.3899220203892821</v>
      </c>
      <c r="EZ152" s="83">
        <f t="shared" si="183"/>
        <v>1.4522477214927325</v>
      </c>
      <c r="FA152" s="83">
        <f t="shared" si="183"/>
        <v>1.7617769901344964</v>
      </c>
      <c r="FB152" s="83">
        <f t="shared" si="183"/>
        <v>0.47855339059327379</v>
      </c>
      <c r="FC152" s="83">
        <f t="shared" si="183"/>
        <v>4.738612787525831</v>
      </c>
      <c r="FD152" s="83" t="e">
        <f t="shared" si="183"/>
        <v>#DIV/0!</v>
      </c>
      <c r="FE152" s="83" t="e">
        <f t="shared" ref="FE152" si="185">(FE153+FE149)</f>
        <v>#DIV/0!</v>
      </c>
      <c r="FF152" s="83">
        <f t="shared" si="183"/>
        <v>8.3113178741122873</v>
      </c>
      <c r="FG152" s="174"/>
      <c r="FH152" s="174"/>
      <c r="FI152" s="83">
        <f t="shared" ref="FI152:FQ152" si="186">(FI153+FI149)</f>
        <v>1.4636791979214545</v>
      </c>
      <c r="FJ152" s="83">
        <f t="shared" si="186"/>
        <v>1.4555974204507507</v>
      </c>
      <c r="FK152" s="83">
        <f t="shared" si="186"/>
        <v>1.2684808633130193</v>
      </c>
      <c r="FL152" s="83">
        <f t="shared" si="186"/>
        <v>1.5920827364690719</v>
      </c>
      <c r="FM152" s="83">
        <f t="shared" si="186"/>
        <v>1.4058799410001503</v>
      </c>
      <c r="FN152" s="83">
        <f t="shared" si="186"/>
        <v>1.6439789589128859</v>
      </c>
      <c r="FO152" s="83">
        <f t="shared" si="186"/>
        <v>1.5440141312420463</v>
      </c>
      <c r="FP152" s="83">
        <f t="shared" si="186"/>
        <v>1.2821264129273757</v>
      </c>
      <c r="FQ152" s="83">
        <f t="shared" si="186"/>
        <v>1.2503320971883192</v>
      </c>
      <c r="FR152" s="83"/>
      <c r="FS152" s="83"/>
      <c r="FT152" s="83"/>
      <c r="FU152" s="83"/>
      <c r="FV152" s="83">
        <f>(FV153+FV149)</f>
        <v>3.3839772279573737</v>
      </c>
      <c r="FW152" s="175" t="s">
        <v>267</v>
      </c>
    </row>
    <row r="153" spans="1:179" x14ac:dyDescent="0.25">
      <c r="A153" s="177" t="s">
        <v>233</v>
      </c>
      <c r="B153" s="83"/>
      <c r="C153" s="83"/>
      <c r="D153" s="83"/>
      <c r="E153" s="39">
        <f>AVERAGE(Table137[Att])</f>
        <v>4108.5111111111109</v>
      </c>
      <c r="F153" s="83"/>
      <c r="G153" s="83"/>
      <c r="H153" s="83"/>
      <c r="I153" s="83"/>
      <c r="J153" s="178">
        <f>AVERAGE(Table137[S-IP])</f>
        <v>4.9544364508393279</v>
      </c>
      <c r="K153" s="42">
        <f>AVERAGE(Table137[S-H])</f>
        <v>4.8848920863309351</v>
      </c>
      <c r="L153" s="42">
        <f>AVERAGE(Table137[S-R])</f>
        <v>2.8417266187050361</v>
      </c>
      <c r="M153" s="42">
        <f>AVERAGE(Table137[S-ER])</f>
        <v>2.3741007194244603</v>
      </c>
      <c r="N153" s="42">
        <f>AVERAGE(Table137[S-BB])</f>
        <v>1.8417266187050361</v>
      </c>
      <c r="O153" s="42">
        <f>AVERAGE(Table137[S-SO])</f>
        <v>4.2374100719424463</v>
      </c>
      <c r="P153" s="42">
        <f>AVERAGE(Table137[S-HR])</f>
        <v>0.53956834532374098</v>
      </c>
      <c r="Q153" s="42">
        <f>AVERAGE(Table137[S-HBP])</f>
        <v>0.2446043165467626</v>
      </c>
      <c r="R153" s="42">
        <f>AVERAGE(Table137[S-BF])</f>
        <v>21.237410071942445</v>
      </c>
      <c r="S153" s="42"/>
      <c r="T153" s="42"/>
      <c r="U153" s="42">
        <f>AVERAGE(Table137[IRL])</f>
        <v>0.33093525179856115</v>
      </c>
      <c r="V153" s="42">
        <f>AVERAGE(Table137[IRS])</f>
        <v>0.1366906474820144</v>
      </c>
      <c r="W153" s="83"/>
      <c r="X153" s="83"/>
      <c r="Y153" s="83"/>
      <c r="Z153" s="83"/>
      <c r="AA153" s="83"/>
      <c r="AB153" s="178">
        <f>AVERAGE(Table137[B-IP])</f>
        <v>3.7793764988009597</v>
      </c>
      <c r="AC153" s="42">
        <f>AVERAGE(Table137[B-H])</f>
        <v>3.3093525179856114</v>
      </c>
      <c r="AD153" s="42">
        <f>AVERAGE(Table137[B-R])</f>
        <v>2.1366906474820144</v>
      </c>
      <c r="AE153" s="42">
        <f>AVERAGE(Table137[B-ER])</f>
        <v>1.7050359712230216</v>
      </c>
      <c r="AF153" s="42">
        <f>AVERAGE(Table137[B-BB])</f>
        <v>1.8417266187050361</v>
      </c>
      <c r="AG153" s="42">
        <f>AVERAGE(Table137[B-SO])</f>
        <v>3.9136690647482015</v>
      </c>
      <c r="AH153" s="42">
        <f>AVERAGE(Table137[B-HR])</f>
        <v>0.29496402877697842</v>
      </c>
      <c r="AI153" s="42">
        <f>AVERAGE(Table137[B-HBP])</f>
        <v>0.31654676258992803</v>
      </c>
      <c r="AJ153" s="42">
        <f>AVERAGE(Table137[B-BF])</f>
        <v>16.53956834532374</v>
      </c>
      <c r="AK153" s="42"/>
      <c r="AL153" s="42"/>
      <c r="AM153" s="83"/>
      <c r="AN153" s="42">
        <f>AVERAGE(Table137[AB1])</f>
        <v>4.1079136690647484</v>
      </c>
      <c r="AO153" s="42">
        <f>AVERAGE(Table137[R1])</f>
        <v>0.65467625899280579</v>
      </c>
      <c r="AP153" s="42">
        <f>AVERAGE(Table137[H1])</f>
        <v>1.0575539568345325</v>
      </c>
      <c r="AQ153" s="42">
        <f>AVERAGE(Table137[RBI1])</f>
        <v>0.46043165467625902</v>
      </c>
      <c r="AR153" s="42">
        <f>AVERAGE(Table137[BB1])</f>
        <v>0.40287769784172661</v>
      </c>
      <c r="AS153" s="42">
        <f>AVERAGE(Table137[SO1])</f>
        <v>0.96402877697841727</v>
      </c>
      <c r="AT153" s="42">
        <f>AVERAGE(Table137[HBP1])</f>
        <v>7.9136690647482008E-2</v>
      </c>
      <c r="AU153" s="42">
        <f>AVERAGE(Table137[SF1])</f>
        <v>3.5971223021582732E-2</v>
      </c>
      <c r="AV153" s="42">
        <f>AVERAGE(Table137[TB1])</f>
        <v>1.5107913669064748</v>
      </c>
      <c r="AW153" s="83"/>
      <c r="AX153" s="42">
        <f>AVERAGE(Table137[AB2])</f>
        <v>3.7913669064748201</v>
      </c>
      <c r="AY153" s="42">
        <f>AVERAGE(Table137[R2])</f>
        <v>0.59712230215827333</v>
      </c>
      <c r="AZ153" s="42">
        <f>AVERAGE(Table137[H2])</f>
        <v>0.97841726618705038</v>
      </c>
      <c r="BA153" s="42">
        <f>AVERAGE(Table137[RBI2])</f>
        <v>0.37410071942446044</v>
      </c>
      <c r="BB153" s="42">
        <f>AVERAGE(Table137[BB2])</f>
        <v>0.58273381294964033</v>
      </c>
      <c r="BC153" s="42">
        <f>AVERAGE(Table137[SO2])</f>
        <v>0.81294964028776984</v>
      </c>
      <c r="BD153" s="42">
        <f>AVERAGE(Table137[HBP2])</f>
        <v>8.6330935251798566E-2</v>
      </c>
      <c r="BE153" s="42">
        <f>AVERAGE(Table137[SF2])</f>
        <v>3.5971223021582732E-2</v>
      </c>
      <c r="BF153" s="42">
        <f>AVERAGE(Table137[TB2])</f>
        <v>1.3237410071942446</v>
      </c>
      <c r="BG153" s="83"/>
      <c r="BH153" s="42">
        <f>AVERAGE(Table137[AB3])</f>
        <v>3.7194244604316546</v>
      </c>
      <c r="BI153" s="42">
        <f>AVERAGE(Table137[R3])</f>
        <v>0.58992805755395683</v>
      </c>
      <c r="BJ153" s="42">
        <f>AVERAGE(Table137[H3])</f>
        <v>1.0575539568345325</v>
      </c>
      <c r="BK153" s="42">
        <f>AVERAGE(Table137[RBI3])</f>
        <v>0.56834532374100721</v>
      </c>
      <c r="BL153" s="42">
        <f>AVERAGE(Table137[BB3])</f>
        <v>0.58273381294964033</v>
      </c>
      <c r="BM153" s="42">
        <f>AVERAGE(Table137[SO3])</f>
        <v>0.60431654676258995</v>
      </c>
      <c r="BN153" s="42">
        <f>AVERAGE(Table137[HBP3])</f>
        <v>7.1942446043165464E-2</v>
      </c>
      <c r="BO153" s="42">
        <f>AVERAGE(Table137[SF3])</f>
        <v>2.8776978417266189E-2</v>
      </c>
      <c r="BP153" s="42">
        <f>AVERAGE(Table137[TB3])</f>
        <v>1.6402877697841727</v>
      </c>
      <c r="BQ153" s="83"/>
      <c r="BR153" s="42">
        <f>AVERAGE(Table137[AB4])</f>
        <v>3.7482014388489207</v>
      </c>
      <c r="BS153" s="42">
        <f>AVERAGE(Table137[R4])</f>
        <v>0.42446043165467628</v>
      </c>
      <c r="BT153" s="42">
        <f>AVERAGE(Table137[H4])</f>
        <v>0.87769784172661869</v>
      </c>
      <c r="BU153" s="42">
        <f>AVERAGE(Table137[RBI4])</f>
        <v>0.57553956834532372</v>
      </c>
      <c r="BV153" s="42">
        <f>AVERAGE(Table137[BB4])</f>
        <v>0.43165467625899279</v>
      </c>
      <c r="BW153" s="42">
        <f>AVERAGE(Table137[SO4])</f>
        <v>0.78417266187050361</v>
      </c>
      <c r="BX153" s="42">
        <f>AVERAGE(Table137[HBP4])</f>
        <v>5.0359712230215826E-2</v>
      </c>
      <c r="BY153" s="42">
        <f>AVERAGE(Table137[SF4])</f>
        <v>5.0359712230215826E-2</v>
      </c>
      <c r="BZ153" s="42">
        <f>AVERAGE(Table137[TB4])</f>
        <v>1.2230215827338129</v>
      </c>
      <c r="CA153" s="83"/>
      <c r="CB153" s="42">
        <f>AVERAGE(Table137[AB5])</f>
        <v>3.7841726618705036</v>
      </c>
      <c r="CC153" s="42">
        <f>AVERAGE(Table137[R5])</f>
        <v>0.46762589928057552</v>
      </c>
      <c r="CD153" s="42">
        <f>AVERAGE(Table137[H5])</f>
        <v>0.98561151079136688</v>
      </c>
      <c r="CE153" s="42">
        <f>AVERAGE(Table137[RBI5])</f>
        <v>0.48920863309352519</v>
      </c>
      <c r="CF153" s="42">
        <f>AVERAGE(Table137[BB5])</f>
        <v>0.32374100719424459</v>
      </c>
      <c r="CG153" s="42">
        <f>AVERAGE(Table137[SO5])</f>
        <v>0.84892086330935257</v>
      </c>
      <c r="CH153" s="42">
        <f>AVERAGE(Table137[HBP5])</f>
        <v>1.4388489208633094E-2</v>
      </c>
      <c r="CI153" s="42">
        <f>AVERAGE(Table137[SF5])</f>
        <v>2.1582733812949641E-2</v>
      </c>
      <c r="CJ153" s="42">
        <f>AVERAGE(Table137[TB5])</f>
        <v>1.4892086330935252</v>
      </c>
      <c r="CK153" s="83"/>
      <c r="CL153" s="42">
        <f>AVERAGE(Table137[AB6])</f>
        <v>3.6834532374100721</v>
      </c>
      <c r="CM153" s="42">
        <f>AVERAGE(Table137[R6])</f>
        <v>0.38129496402877699</v>
      </c>
      <c r="CN153" s="42">
        <f>AVERAGE(Table137[H6])</f>
        <v>0.97122302158273377</v>
      </c>
      <c r="CO153" s="42">
        <f>AVERAGE(Table137[RBI6])</f>
        <v>0.36690647482014388</v>
      </c>
      <c r="CP153" s="42">
        <f>AVERAGE(Table137[BB6])</f>
        <v>0.30215827338129497</v>
      </c>
      <c r="CQ153" s="42">
        <f>AVERAGE(Table137[SO6])</f>
        <v>0.81294964028776984</v>
      </c>
      <c r="CR153" s="42">
        <f>AVERAGE(Table137[HBP6])</f>
        <v>3.5971223021582732E-2</v>
      </c>
      <c r="CS153" s="42">
        <f>AVERAGE(Table137[SF6])</f>
        <v>1.4388489208633094E-2</v>
      </c>
      <c r="CT153" s="42">
        <f>AVERAGE(Table137[TB6])</f>
        <v>1.2733812949640289</v>
      </c>
      <c r="CU153" s="83"/>
      <c r="CV153" s="42">
        <f>AVERAGE(Table137[AB7])</f>
        <v>3.6043165467625897</v>
      </c>
      <c r="CW153" s="42">
        <f>AVERAGE(Table137[R7])</f>
        <v>0.39568345323741005</v>
      </c>
      <c r="CX153" s="42">
        <f>AVERAGE(Table137[H7])</f>
        <v>0.92805755395683454</v>
      </c>
      <c r="CY153" s="42">
        <f>AVERAGE(Table137[RBI7])</f>
        <v>0.43165467625899279</v>
      </c>
      <c r="CZ153" s="42">
        <f>AVERAGE(Table137[BB7])</f>
        <v>0.2733812949640288</v>
      </c>
      <c r="DA153" s="42">
        <f>AVERAGE(Table137[SO7])</f>
        <v>0.68345323741007191</v>
      </c>
      <c r="DB153" s="42">
        <f>AVERAGE(Table137[HBP7])</f>
        <v>3.5971223021582732E-2</v>
      </c>
      <c r="DC153" s="42">
        <f>AVERAGE(Table137[SF7])</f>
        <v>5.0359712230215826E-2</v>
      </c>
      <c r="DD153" s="42">
        <f>AVERAGE(Table137[TB7])</f>
        <v>1.2158273381294964</v>
      </c>
      <c r="DE153" s="83"/>
      <c r="DF153" s="42">
        <f>AVERAGE(Table137[AB8])</f>
        <v>3.4100719424460433</v>
      </c>
      <c r="DG153" s="42">
        <f>AVERAGE(Table137[R8])</f>
        <v>0.41726618705035973</v>
      </c>
      <c r="DH153" s="42">
        <f>AVERAGE(Table137[H8])</f>
        <v>0.79856115107913672</v>
      </c>
      <c r="DI153" s="42">
        <f>AVERAGE(Table137[RBI8])</f>
        <v>0.2805755395683453</v>
      </c>
      <c r="DJ153" s="42">
        <f>AVERAGE(Table137[BB8])</f>
        <v>0.33093525179856115</v>
      </c>
      <c r="DK153" s="42">
        <f>AVERAGE(Table137[SO8])</f>
        <v>0.91366906474820142</v>
      </c>
      <c r="DL153" s="42">
        <f>AVERAGE(Table137[HBP8])</f>
        <v>6.4748201438848921E-2</v>
      </c>
      <c r="DM153" s="42">
        <f>AVERAGE(Table137[SF8])</f>
        <v>2.1582733812949641E-2</v>
      </c>
      <c r="DN153" s="42">
        <f>AVERAGE(Table137[TB8])</f>
        <v>1</v>
      </c>
      <c r="DO153" s="83"/>
      <c r="DP153" s="42">
        <f>AVERAGE(Table137[AB9])</f>
        <v>3.2877697841726619</v>
      </c>
      <c r="DQ153" s="42">
        <f>AVERAGE(Table137[R9])</f>
        <v>0.43884892086330934</v>
      </c>
      <c r="DR153" s="42">
        <f>AVERAGE(Table137[H9])</f>
        <v>0.76258992805755399</v>
      </c>
      <c r="DS153" s="42">
        <f>AVERAGE(Table137[RBI9])</f>
        <v>0.37410071942446044</v>
      </c>
      <c r="DT153" s="42">
        <f>AVERAGE(Table137[BB9])</f>
        <v>0.36690647482014388</v>
      </c>
      <c r="DU153" s="42">
        <f>AVERAGE(Table137[SO9])</f>
        <v>0.97122302158273377</v>
      </c>
      <c r="DV153" s="42">
        <f>AVERAGE(Table137[HBP9])</f>
        <v>5.7553956834532377E-2</v>
      </c>
      <c r="DW153" s="42">
        <f>AVERAGE(Table137[SF9])</f>
        <v>0</v>
      </c>
      <c r="DX153" s="42">
        <f>AVERAGE(Table137[TB9])</f>
        <v>1.2302158273381294</v>
      </c>
      <c r="DY153" s="178">
        <f>AVERAGE(Table137[IVL])</f>
        <v>2.3405275779376495</v>
      </c>
      <c r="DZ153" s="42">
        <f>AVERAGE(Table137[SVL])</f>
        <v>0.50359712230215825</v>
      </c>
      <c r="EA153" s="42">
        <f>AVERAGE(Table137[CVL])</f>
        <v>0.14388489208633093</v>
      </c>
      <c r="EB153" s="178">
        <f>AVERAGE(Table137[IVR])</f>
        <v>6.4700239808153466</v>
      </c>
      <c r="EC153" s="42">
        <f>AVERAGE(Table137[SVR])</f>
        <v>1.2949640287769784</v>
      </c>
      <c r="ED153" s="42">
        <f>AVERAGE(Table137[CVR])</f>
        <v>0.41007194244604317</v>
      </c>
      <c r="EE153" s="42">
        <f>AVERAGE(Table137[RI1])</f>
        <v>0.49640287769784175</v>
      </c>
      <c r="EF153" s="42">
        <f>AVERAGE(Table137[RI2])</f>
        <v>0.42446043165467628</v>
      </c>
      <c r="EG153" s="42">
        <f>AVERAGE(Table137[RI3])</f>
        <v>0.46043165467625902</v>
      </c>
      <c r="EH153" s="42">
        <f>AVERAGE(Table137[RI4])</f>
        <v>0.50359712230215825</v>
      </c>
      <c r="EI153" s="42">
        <f>AVERAGE(Table137[RI5])</f>
        <v>0.53956834532374098</v>
      </c>
      <c r="EJ153" s="42">
        <f>AVERAGE(Table137[RI6])</f>
        <v>0.56834532374100721</v>
      </c>
      <c r="EK153" s="42">
        <f>AVERAGE(Table137[RI7])</f>
        <v>0.52173913043478259</v>
      </c>
      <c r="EL153" s="42">
        <f>AVERAGE(Table137[RI8])</f>
        <v>0.47328244274809161</v>
      </c>
      <c r="EM153" s="42">
        <f>AVERAGE(Table137[RI9])</f>
        <v>0.45454545454545453</v>
      </c>
      <c r="EN153" s="42">
        <f>AVERAGE(Table137[RI10])</f>
        <v>0.25</v>
      </c>
      <c r="EO153" s="42">
        <f>AVERAGE(Table137[RI11])</f>
        <v>1</v>
      </c>
      <c r="EP153" s="42">
        <f>AVERAGE(Table137[RI12])</f>
        <v>0</v>
      </c>
      <c r="EQ153" s="42">
        <f>AVERAGE(Table137[RI13])</f>
        <v>0</v>
      </c>
      <c r="ER153" s="42">
        <f>AVERAGE(Table137[RT])</f>
        <v>4.3669064748201443</v>
      </c>
      <c r="ES153" s="42">
        <f>AVERAGE(Table137[OI1])</f>
        <v>0.64748201438848918</v>
      </c>
      <c r="ET153" s="42">
        <f>AVERAGE(Table137[OI2])</f>
        <v>0.64028776978417268</v>
      </c>
      <c r="EU153" s="42">
        <f>AVERAGE(Table137[OI3])</f>
        <v>0.49640287769784175</v>
      </c>
      <c r="EV153" s="42">
        <f>AVERAGE(Table137[OI4])</f>
        <v>0.5611510791366906</v>
      </c>
      <c r="EW153" s="42">
        <f>AVERAGE(Table137[OI5])</f>
        <v>0.58992805755395683</v>
      </c>
      <c r="EX153" s="42">
        <f>AVERAGE(Table137[OI6])</f>
        <v>0.62589928057553956</v>
      </c>
      <c r="EY153" s="42">
        <f>AVERAGE(Table137[OI7])</f>
        <v>0.4485294117647059</v>
      </c>
      <c r="EZ153" s="42">
        <f>AVERAGE(Table137[OI8])</f>
        <v>0.48854961832061067</v>
      </c>
      <c r="FA153" s="42">
        <f>AVERAGE(Table137[OI9])</f>
        <v>0.59405940594059403</v>
      </c>
      <c r="FB153" s="42">
        <f>AVERAGE(Table137[OI10])</f>
        <v>0.125</v>
      </c>
      <c r="FC153" s="42">
        <f>AVERAGE(Table137[OI11])</f>
        <v>2</v>
      </c>
      <c r="FD153" s="42">
        <f>AVERAGE(Table137[OI12])</f>
        <v>0</v>
      </c>
      <c r="FE153" s="42">
        <f>AVERAGE(Table137[OI13])</f>
        <v>1</v>
      </c>
      <c r="FF153" s="42">
        <f>AVERAGE(Table137[OT])</f>
        <v>4.9784172661870505</v>
      </c>
      <c r="FG153" s="174"/>
      <c r="FH153" s="174"/>
      <c r="FI153" s="42">
        <f>AVERAGE(Table137[RD1])</f>
        <v>-0.15107913669064749</v>
      </c>
      <c r="FJ153" s="42">
        <f>AVERAGE(Table137[RD2])</f>
        <v>-0.21582733812949639</v>
      </c>
      <c r="FK153" s="42">
        <f>AVERAGE(Table137[RD3])</f>
        <v>-3.5971223021582732E-2</v>
      </c>
      <c r="FL153" s="42">
        <f>AVERAGE(Table137[RD4])</f>
        <v>-5.7553956834532377E-2</v>
      </c>
      <c r="FM153" s="42">
        <f>AVERAGE(Table137[RD5])</f>
        <v>-5.0359712230215826E-2</v>
      </c>
      <c r="FN153" s="42">
        <f>AVERAGE(Table137[RD6])</f>
        <v>-5.7553956834532377E-2</v>
      </c>
      <c r="FO153" s="42">
        <f>AVERAGE(Table137[RD7])</f>
        <v>7.9136690647482008E-2</v>
      </c>
      <c r="FP153" s="42">
        <f>AVERAGE(Table137[RD8])</f>
        <v>-1.4388489208633094E-2</v>
      </c>
      <c r="FQ153" s="42">
        <f>AVERAGE(Table137[RD9])</f>
        <v>-7.1942446043165464E-2</v>
      </c>
      <c r="FR153" s="42"/>
      <c r="FS153" s="42"/>
      <c r="FT153" s="42"/>
      <c r="FU153" s="42"/>
      <c r="FV153" s="42">
        <f>AVERAGE(Table137[RDT])</f>
        <v>-0.61151079136690645</v>
      </c>
      <c r="FW153" s="175" t="s">
        <v>233</v>
      </c>
    </row>
    <row r="154" spans="1:179" x14ac:dyDescent="0.25">
      <c r="A154" s="177" t="s">
        <v>268</v>
      </c>
      <c r="B154" s="83"/>
      <c r="C154" s="83"/>
      <c r="D154" s="83"/>
      <c r="E154" s="84">
        <f>(E153-E149)</f>
        <v>1855.0680543754306</v>
      </c>
      <c r="F154" s="83"/>
      <c r="G154" s="83"/>
      <c r="H154" s="83"/>
      <c r="I154" s="83"/>
      <c r="J154" s="176">
        <f t="shared" ref="J154:R154" si="187">(J153-J149)</f>
        <v>3.6589584747423904</v>
      </c>
      <c r="K154" s="83">
        <f t="shared" si="187"/>
        <v>2.5409849781569545</v>
      </c>
      <c r="L154" s="83">
        <f t="shared" si="187"/>
        <v>0.70421149355893808</v>
      </c>
      <c r="M154" s="83">
        <f t="shared" si="187"/>
        <v>0.45443369932879873</v>
      </c>
      <c r="N154" s="83">
        <f t="shared" si="187"/>
        <v>0.45724223916698548</v>
      </c>
      <c r="O154" s="83">
        <f t="shared" si="187"/>
        <v>2.1398520237814269</v>
      </c>
      <c r="P154" s="83">
        <f t="shared" si="187"/>
        <v>-0.25229413587842331</v>
      </c>
      <c r="Q154" s="83">
        <f t="shared" si="187"/>
        <v>-0.27795525108200336</v>
      </c>
      <c r="R154" s="83">
        <f t="shared" si="187"/>
        <v>16.969934943918428</v>
      </c>
      <c r="S154" s="83"/>
      <c r="T154" s="83"/>
      <c r="U154" s="83">
        <f>(U153-U149)</f>
        <v>-0.35419130171401142</v>
      </c>
      <c r="V154" s="83">
        <f>(V153-V149)</f>
        <v>-0.31698098964354637</v>
      </c>
      <c r="W154" s="83"/>
      <c r="X154" s="83"/>
      <c r="Y154" s="83"/>
      <c r="Z154" s="83"/>
      <c r="AA154" s="83"/>
      <c r="AB154" s="176">
        <f t="shared" ref="AB154:AJ154" si="188">(AB153-AB149)</f>
        <v>2.3172656800076581</v>
      </c>
      <c r="AC154" s="83">
        <f t="shared" si="188"/>
        <v>0.93848793874633341</v>
      </c>
      <c r="AD154" s="83">
        <f t="shared" si="188"/>
        <v>-0.17647719998692146</v>
      </c>
      <c r="AE154" s="83">
        <f t="shared" si="188"/>
        <v>-0.30022246891385329</v>
      </c>
      <c r="AF154" s="83">
        <f t="shared" si="188"/>
        <v>0.25711313405473013</v>
      </c>
      <c r="AG154" s="83">
        <f t="shared" si="188"/>
        <v>1.6375102918912932</v>
      </c>
      <c r="AH154" s="83">
        <f t="shared" si="188"/>
        <v>-0.24948406845613041</v>
      </c>
      <c r="AI154" s="83">
        <f t="shared" si="188"/>
        <v>-0.30941303635794654</v>
      </c>
      <c r="AJ154" s="83">
        <f t="shared" si="188"/>
        <v>9.5672980238637049</v>
      </c>
      <c r="AK154" s="83"/>
      <c r="AL154" s="83"/>
      <c r="AM154" s="83"/>
      <c r="AN154" s="83">
        <f t="shared" ref="AN154:AV154" si="189">(AN153-AN149)</f>
        <v>3.1935306309898679</v>
      </c>
      <c r="AO154" s="83">
        <f t="shared" si="189"/>
        <v>-0.19412707781567295</v>
      </c>
      <c r="AP154" s="83">
        <f t="shared" si="189"/>
        <v>7.3847683860809199E-2</v>
      </c>
      <c r="AQ154" s="83">
        <f t="shared" si="189"/>
        <v>-0.35842391867304246</v>
      </c>
      <c r="AR154" s="83">
        <f t="shared" si="189"/>
        <v>-0.37470145568944663</v>
      </c>
      <c r="AS154" s="83">
        <f t="shared" si="189"/>
        <v>0.10928861015046654</v>
      </c>
      <c r="AT154" s="83">
        <f t="shared" si="189"/>
        <v>-0.24084401985444281</v>
      </c>
      <c r="AU154" s="83">
        <f t="shared" si="189"/>
        <v>-0.15092066785661887</v>
      </c>
      <c r="AV154" s="83">
        <f t="shared" si="189"/>
        <v>-0.19328263670369772</v>
      </c>
      <c r="AW154" s="83"/>
      <c r="AX154" s="83">
        <f t="shared" ref="AX154:BF154" si="190">(AX153-AX149)</f>
        <v>2.8398249074026127</v>
      </c>
      <c r="AY154" s="83">
        <f t="shared" si="190"/>
        <v>-0.12237253331111719</v>
      </c>
      <c r="AZ154" s="83">
        <f t="shared" si="190"/>
        <v>0.10640787670096663</v>
      </c>
      <c r="BA154" s="83">
        <f t="shared" si="190"/>
        <v>-0.28827731195094231</v>
      </c>
      <c r="BB154" s="83">
        <f t="shared" si="190"/>
        <v>-0.20576393846968177</v>
      </c>
      <c r="BC154" s="83">
        <f t="shared" si="190"/>
        <v>9.2593714838234975E-3</v>
      </c>
      <c r="BD154" s="83">
        <f t="shared" si="190"/>
        <v>-0.19553691302314735</v>
      </c>
      <c r="BE154" s="83">
        <f t="shared" si="190"/>
        <v>-0.15092066785661887</v>
      </c>
      <c r="BF154" s="83">
        <f t="shared" si="190"/>
        <v>-3.4090956850492127E-2</v>
      </c>
      <c r="BG154" s="83"/>
      <c r="BH154" s="83">
        <f t="shared" ref="BH154:BP154" si="191">(BH153-BH149)</f>
        <v>2.8103017986417509</v>
      </c>
      <c r="BI154" s="83">
        <f t="shared" si="191"/>
        <v>-0.18852218324212322</v>
      </c>
      <c r="BJ154" s="83">
        <f t="shared" si="191"/>
        <v>8.8692499121678425E-2</v>
      </c>
      <c r="BK154" s="83">
        <f t="shared" si="191"/>
        <v>-0.37995872852259482</v>
      </c>
      <c r="BL154" s="83">
        <f t="shared" si="191"/>
        <v>-0.21490110204375146</v>
      </c>
      <c r="BM154" s="83">
        <f t="shared" si="191"/>
        <v>-0.18159845616436143</v>
      </c>
      <c r="BN154" s="83">
        <f t="shared" si="191"/>
        <v>-0.18738465895778966</v>
      </c>
      <c r="BO154" s="83">
        <f t="shared" si="191"/>
        <v>-0.13900678697716734</v>
      </c>
      <c r="BP154" s="83">
        <f t="shared" si="191"/>
        <v>-0.14940572775645156</v>
      </c>
      <c r="BQ154" s="83"/>
      <c r="BR154" s="83">
        <f t="shared" ref="BR154:BZ154" si="192">(BR153-BR149)</f>
        <v>2.8227675399899397</v>
      </c>
      <c r="BS154" s="83">
        <f t="shared" si="192"/>
        <v>-0.18913454954972753</v>
      </c>
      <c r="BT154" s="83">
        <f t="shared" si="192"/>
        <v>3.9649456223380897E-2</v>
      </c>
      <c r="BU154" s="83">
        <f t="shared" si="192"/>
        <v>-0.29239498861282109</v>
      </c>
      <c r="BV154" s="83">
        <f t="shared" si="192"/>
        <v>-0.24988620061041134</v>
      </c>
      <c r="BW154" s="83">
        <f t="shared" si="192"/>
        <v>5.4247214733848637E-2</v>
      </c>
      <c r="BX154" s="83">
        <f t="shared" si="192"/>
        <v>-0.169117301428514</v>
      </c>
      <c r="BY154" s="83">
        <f t="shared" si="192"/>
        <v>-0.169117301428514</v>
      </c>
      <c r="BZ154" s="83">
        <f t="shared" si="192"/>
        <v>-0.17595923401020763</v>
      </c>
      <c r="CA154" s="83"/>
      <c r="CB154" s="83">
        <f t="shared" ref="CB154:CJ154" si="193">(CB153-CB149)</f>
        <v>2.9787329140537269</v>
      </c>
      <c r="CC154" s="83">
        <f t="shared" si="193"/>
        <v>-0.16140784642581352</v>
      </c>
      <c r="CD154" s="83">
        <f t="shared" si="193"/>
        <v>0.10107764099153649</v>
      </c>
      <c r="CE154" s="83">
        <f t="shared" si="193"/>
        <v>-0.40656976272638029</v>
      </c>
      <c r="CF154" s="83">
        <f t="shared" si="193"/>
        <v>-0.28078093038649332</v>
      </c>
      <c r="CG154" s="83">
        <f t="shared" si="193"/>
        <v>6.0290891255007195E-2</v>
      </c>
      <c r="CH154" s="83">
        <f t="shared" si="193"/>
        <v>-0.10512814057181954</v>
      </c>
      <c r="CI154" s="83">
        <f t="shared" si="193"/>
        <v>-0.12425944310883011</v>
      </c>
      <c r="CJ154" s="83">
        <f t="shared" si="193"/>
        <v>-8.6728660934234814E-2</v>
      </c>
      <c r="CK154" s="83"/>
      <c r="CL154" s="83">
        <f t="shared" ref="CL154:CT154" si="194">(CL153-CL149)</f>
        <v>2.7742732340034228</v>
      </c>
      <c r="CM154" s="83">
        <f t="shared" si="194"/>
        <v>-0.18841998444167268</v>
      </c>
      <c r="CN154" s="83">
        <f t="shared" si="194"/>
        <v>3.9165565159117288E-2</v>
      </c>
      <c r="CO154" s="83">
        <f t="shared" si="194"/>
        <v>-0.32616362109824421</v>
      </c>
      <c r="CP154" s="83">
        <f t="shared" si="194"/>
        <v>-0.24496432182776928</v>
      </c>
      <c r="CQ154" s="83">
        <f t="shared" si="194"/>
        <v>2.9300812794563758E-4</v>
      </c>
      <c r="CR154" s="83">
        <f t="shared" si="194"/>
        <v>-0.1863378692333631</v>
      </c>
      <c r="CS154" s="83">
        <f t="shared" si="194"/>
        <v>-0.10512814057181954</v>
      </c>
      <c r="CT154" s="83">
        <f t="shared" si="194"/>
        <v>-0.12436925500454143</v>
      </c>
      <c r="CU154" s="83"/>
      <c r="CV154" s="83">
        <f t="shared" ref="CV154:DD154" si="195">(CV153-CV149)</f>
        <v>2.7823473220841821</v>
      </c>
      <c r="CW154" s="83">
        <f t="shared" si="195"/>
        <v>-0.23698635596628814</v>
      </c>
      <c r="CX154" s="83">
        <f t="shared" si="195"/>
        <v>4.6357222254272301E-2</v>
      </c>
      <c r="CY154" s="83">
        <f t="shared" si="195"/>
        <v>-0.23916960268499998</v>
      </c>
      <c r="CZ154" s="83">
        <f t="shared" si="195"/>
        <v>-0.28878010580727237</v>
      </c>
      <c r="DA154" s="83">
        <f t="shared" si="195"/>
        <v>-0.13336252439882168</v>
      </c>
      <c r="DB154" s="83">
        <f t="shared" si="195"/>
        <v>-0.15092066785661887</v>
      </c>
      <c r="DC154" s="83">
        <f t="shared" si="195"/>
        <v>-0.169117301428514</v>
      </c>
      <c r="DD154" s="83">
        <f t="shared" si="195"/>
        <v>-0.11802721540017869</v>
      </c>
      <c r="DE154" s="83"/>
      <c r="DF154" s="83">
        <f t="shared" ref="DF154:DN154" si="196">(DF153-DF149)</f>
        <v>2.6041792459503865</v>
      </c>
      <c r="DG154" s="83">
        <f t="shared" si="196"/>
        <v>-0.2299046970820226</v>
      </c>
      <c r="DH154" s="83">
        <f t="shared" si="196"/>
        <v>-4.5684984772319082E-2</v>
      </c>
      <c r="DI154" s="83">
        <f t="shared" si="196"/>
        <v>-0.32170006033416726</v>
      </c>
      <c r="DJ154" s="83">
        <f t="shared" si="196"/>
        <v>-0.21265039080962528</v>
      </c>
      <c r="DK154" s="83">
        <f t="shared" si="196"/>
        <v>4.1540115463175709E-2</v>
      </c>
      <c r="DL154" s="83">
        <f t="shared" si="196"/>
        <v>-0.21000156860299496</v>
      </c>
      <c r="DM154" s="83">
        <f t="shared" si="196"/>
        <v>-0.12425944310883011</v>
      </c>
      <c r="DN154" s="83">
        <f t="shared" si="196"/>
        <v>-0.14840784554536413</v>
      </c>
      <c r="DO154" s="83"/>
      <c r="DP154" s="83">
        <f t="shared" ref="DP154:FF154" si="197">(DP153-DP149)</f>
        <v>2.4176156722472637</v>
      </c>
      <c r="DQ154" s="83">
        <f t="shared" si="197"/>
        <v>-0.21073408823202461</v>
      </c>
      <c r="DR154" s="83">
        <f t="shared" si="197"/>
        <v>-0.13493269943121444</v>
      </c>
      <c r="DS154" s="83">
        <f t="shared" si="197"/>
        <v>-0.34088768926808333</v>
      </c>
      <c r="DT154" s="83">
        <f t="shared" si="197"/>
        <v>-0.22462659716115113</v>
      </c>
      <c r="DU154" s="83">
        <f t="shared" si="197"/>
        <v>0.12045656370902469</v>
      </c>
      <c r="DV154" s="83">
        <f t="shared" si="197"/>
        <v>-0.17618639746267414</v>
      </c>
      <c r="DW154" s="83">
        <f t="shared" si="197"/>
        <v>0</v>
      </c>
      <c r="DX154" s="83">
        <f t="shared" si="197"/>
        <v>-0.38634944706756147</v>
      </c>
      <c r="DY154" s="176">
        <f t="shared" si="197"/>
        <v>-4.4161785257490038E-2</v>
      </c>
      <c r="DZ154" s="83">
        <f t="shared" si="197"/>
        <v>-0.50631104341394528</v>
      </c>
      <c r="EA154" s="83">
        <f t="shared" si="197"/>
        <v>-0.20835742978998989</v>
      </c>
      <c r="EB154" s="176">
        <f t="shared" si="197"/>
        <v>4.105221370810888</v>
      </c>
      <c r="EC154" s="83">
        <f t="shared" si="197"/>
        <v>3.5488422405612008E-2</v>
      </c>
      <c r="ED154" s="83">
        <f t="shared" si="197"/>
        <v>-0.25818286489948017</v>
      </c>
      <c r="EE154" s="83">
        <f t="shared" si="197"/>
        <v>-0.44671944765098015</v>
      </c>
      <c r="EF154" s="83">
        <f t="shared" si="197"/>
        <v>-0.61796161746720624</v>
      </c>
      <c r="EG154" s="83">
        <f t="shared" si="197"/>
        <v>-0.5046559140047413</v>
      </c>
      <c r="EH154" s="83">
        <f t="shared" si="197"/>
        <v>-0.56216857998215319</v>
      </c>
      <c r="EI154" s="83">
        <f t="shared" si="197"/>
        <v>-0.52546337530585707</v>
      </c>
      <c r="EJ154" s="83">
        <f t="shared" si="197"/>
        <v>-0.59915143920165614</v>
      </c>
      <c r="EK154" s="83">
        <f t="shared" si="197"/>
        <v>-0.55364836587376043</v>
      </c>
      <c r="EL154" s="83">
        <f t="shared" si="197"/>
        <v>-0.56689686335409084</v>
      </c>
      <c r="EM154" s="83">
        <f t="shared" si="197"/>
        <v>-0.45044948827952186</v>
      </c>
      <c r="EN154" s="83">
        <f t="shared" si="197"/>
        <v>-0.21291004988627571</v>
      </c>
      <c r="EO154" s="83">
        <f t="shared" si="197"/>
        <v>-0.73205080756887719</v>
      </c>
      <c r="EP154" s="83" t="e">
        <f t="shared" si="197"/>
        <v>#DIV/0!</v>
      </c>
      <c r="EQ154" s="83" t="e">
        <f t="shared" ref="EQ154" si="198">(EQ153-EQ149)</f>
        <v>#DIV/0!</v>
      </c>
      <c r="ER154" s="83">
        <f t="shared" si="197"/>
        <v>1.3210161932880458</v>
      </c>
      <c r="ES154" s="83">
        <f t="shared" si="197"/>
        <v>-0.54951488820529004</v>
      </c>
      <c r="ET154" s="83">
        <f t="shared" si="197"/>
        <v>-0.57559262481875573</v>
      </c>
      <c r="EU154" s="83">
        <f t="shared" si="197"/>
        <v>-0.39943371389252114</v>
      </c>
      <c r="EV154" s="83">
        <f t="shared" si="197"/>
        <v>-0.60052629328191987</v>
      </c>
      <c r="EW154" s="83">
        <f t="shared" si="197"/>
        <v>-0.44436053531435082</v>
      </c>
      <c r="EX154" s="83">
        <f t="shared" si="197"/>
        <v>-0.53676495931043167</v>
      </c>
      <c r="EY154" s="83">
        <f t="shared" si="197"/>
        <v>-0.4928631968598704</v>
      </c>
      <c r="EZ154" s="83">
        <f t="shared" si="197"/>
        <v>-0.47514848485151112</v>
      </c>
      <c r="FA154" s="83">
        <f t="shared" si="197"/>
        <v>-0.57365817825330823</v>
      </c>
      <c r="FB154" s="83">
        <f t="shared" si="197"/>
        <v>-0.22855339059327379</v>
      </c>
      <c r="FC154" s="83">
        <f t="shared" si="197"/>
        <v>-0.73861278752583059</v>
      </c>
      <c r="FD154" s="83" t="e">
        <f t="shared" si="197"/>
        <v>#DIV/0!</v>
      </c>
      <c r="FE154" s="83" t="e">
        <f t="shared" ref="FE154" si="199">(FE153-FE149)</f>
        <v>#DIV/0!</v>
      </c>
      <c r="FF154" s="83">
        <f t="shared" si="197"/>
        <v>1.6455166582618137</v>
      </c>
      <c r="FG154" s="174"/>
      <c r="FH154" s="174"/>
      <c r="FI154" s="83">
        <f t="shared" ref="FI154:FQ154" si="200">(FI153-FI149)</f>
        <v>-1.7658374713027494</v>
      </c>
      <c r="FJ154" s="83">
        <f t="shared" si="200"/>
        <v>-1.8872520967097435</v>
      </c>
      <c r="FK154" s="83">
        <f t="shared" si="200"/>
        <v>-1.3404233093561848</v>
      </c>
      <c r="FL154" s="83">
        <f t="shared" si="200"/>
        <v>-1.7071906501381369</v>
      </c>
      <c r="FM154" s="83">
        <f t="shared" si="200"/>
        <v>-1.5065993654605818</v>
      </c>
      <c r="FN154" s="83">
        <f t="shared" si="200"/>
        <v>-1.7590868725819508</v>
      </c>
      <c r="FO154" s="83">
        <f t="shared" si="200"/>
        <v>-1.3857407499470824</v>
      </c>
      <c r="FP154" s="83">
        <f t="shared" si="200"/>
        <v>-1.3109033913446417</v>
      </c>
      <c r="FQ154" s="83">
        <f t="shared" si="200"/>
        <v>-1.3942169892746501</v>
      </c>
      <c r="FR154" s="83"/>
      <c r="FS154" s="83"/>
      <c r="FT154" s="83"/>
      <c r="FU154" s="83"/>
      <c r="FV154" s="83">
        <f>(FV153-FV149)</f>
        <v>-4.606998810691187</v>
      </c>
      <c r="FW154" s="175" t="s">
        <v>268</v>
      </c>
    </row>
    <row r="155" spans="1:179" x14ac:dyDescent="0.25">
      <c r="A155" s="177" t="s">
        <v>269</v>
      </c>
      <c r="B155" s="83"/>
      <c r="C155" s="83"/>
      <c r="D155" s="83"/>
      <c r="E155" s="84">
        <f>(E153-(2*E149))</f>
        <v>-398.37500236024971</v>
      </c>
      <c r="F155" s="83"/>
      <c r="G155" s="83"/>
      <c r="H155" s="83"/>
      <c r="I155" s="83"/>
      <c r="J155" s="176">
        <f t="shared" ref="J155:R155" si="201">(J153-(2*J149))</f>
        <v>2.363480498645453</v>
      </c>
      <c r="K155" s="83">
        <f t="shared" si="201"/>
        <v>0.19707786998297383</v>
      </c>
      <c r="L155" s="83">
        <f t="shared" si="201"/>
        <v>-1.4333036315871599</v>
      </c>
      <c r="M155" s="83">
        <f t="shared" si="201"/>
        <v>-1.4652333207668629</v>
      </c>
      <c r="N155" s="83">
        <f t="shared" si="201"/>
        <v>-0.92724214037106512</v>
      </c>
      <c r="O155" s="83">
        <f t="shared" si="201"/>
        <v>4.2293975620407487E-2</v>
      </c>
      <c r="P155" s="83">
        <f t="shared" si="201"/>
        <v>-1.0441566170805876</v>
      </c>
      <c r="Q155" s="83">
        <f t="shared" si="201"/>
        <v>-0.80051481871076935</v>
      </c>
      <c r="R155" s="83">
        <f t="shared" si="201"/>
        <v>12.702459815894409</v>
      </c>
      <c r="S155" s="83"/>
      <c r="T155" s="83"/>
      <c r="U155" s="83">
        <f>(U153-(2*U149))</f>
        <v>-1.039317855226584</v>
      </c>
      <c r="V155" s="83">
        <f>(V153-(2*V149))</f>
        <v>-0.77065262676910706</v>
      </c>
      <c r="W155" s="83"/>
      <c r="X155" s="83"/>
      <c r="Y155" s="83"/>
      <c r="Z155" s="83"/>
      <c r="AA155" s="83"/>
      <c r="AB155" s="176">
        <f t="shared" ref="AB155:AJ155" si="202">(AB153-(2*AB149))</f>
        <v>0.85515486121435691</v>
      </c>
      <c r="AC155" s="83">
        <f t="shared" si="202"/>
        <v>-1.4323766404929446</v>
      </c>
      <c r="AD155" s="83">
        <f t="shared" si="202"/>
        <v>-2.4896450474558574</v>
      </c>
      <c r="AE155" s="83">
        <f t="shared" si="202"/>
        <v>-2.3054809090507282</v>
      </c>
      <c r="AF155" s="83">
        <f t="shared" si="202"/>
        <v>-1.3275003505955758</v>
      </c>
      <c r="AG155" s="83">
        <f t="shared" si="202"/>
        <v>-0.63864848096561522</v>
      </c>
      <c r="AH155" s="83">
        <f t="shared" si="202"/>
        <v>-0.7939321656892393</v>
      </c>
      <c r="AI155" s="83">
        <f t="shared" si="202"/>
        <v>-0.93537283530582105</v>
      </c>
      <c r="AJ155" s="83">
        <f t="shared" si="202"/>
        <v>2.5950277024036694</v>
      </c>
      <c r="AK155" s="83"/>
      <c r="AL155" s="83"/>
      <c r="AM155" s="83"/>
      <c r="AN155" s="83">
        <f t="shared" ref="AN155:AV155" si="203">(AN153-(2*AN149))</f>
        <v>2.2791475929149874</v>
      </c>
      <c r="AO155" s="83">
        <f t="shared" si="203"/>
        <v>-1.0429304146241516</v>
      </c>
      <c r="AP155" s="83">
        <f t="shared" si="203"/>
        <v>-0.90985858911291406</v>
      </c>
      <c r="AQ155" s="83">
        <f t="shared" si="203"/>
        <v>-1.1772794920223439</v>
      </c>
      <c r="AR155" s="83">
        <f t="shared" si="203"/>
        <v>-1.1522806092206199</v>
      </c>
      <c r="AS155" s="83">
        <f t="shared" si="203"/>
        <v>-0.7454515566774842</v>
      </c>
      <c r="AT155" s="83">
        <f t="shared" si="203"/>
        <v>-0.56082473035636771</v>
      </c>
      <c r="AU155" s="83">
        <f t="shared" si="203"/>
        <v>-0.33781255873482047</v>
      </c>
      <c r="AV155" s="83">
        <f t="shared" si="203"/>
        <v>-1.8973566403138702</v>
      </c>
      <c r="AW155" s="83"/>
      <c r="AX155" s="83">
        <f t="shared" ref="AX155:BF155" si="204">(AX153-(2*AX149))</f>
        <v>1.8882829083304058</v>
      </c>
      <c r="AY155" s="83">
        <f t="shared" si="204"/>
        <v>-0.84186736878050772</v>
      </c>
      <c r="AZ155" s="83">
        <f t="shared" si="204"/>
        <v>-0.76560151278511712</v>
      </c>
      <c r="BA155" s="83">
        <f t="shared" si="204"/>
        <v>-0.95065534332634505</v>
      </c>
      <c r="BB155" s="83">
        <f t="shared" si="204"/>
        <v>-0.99426168988900387</v>
      </c>
      <c r="BC155" s="83">
        <f t="shared" si="204"/>
        <v>-0.79443089732012284</v>
      </c>
      <c r="BD155" s="83">
        <f t="shared" si="204"/>
        <v>-0.47740476129809328</v>
      </c>
      <c r="BE155" s="83">
        <f t="shared" si="204"/>
        <v>-0.33781255873482047</v>
      </c>
      <c r="BF155" s="83">
        <f t="shared" si="204"/>
        <v>-1.3919229208952288</v>
      </c>
      <c r="BG155" s="83"/>
      <c r="BH155" s="83">
        <f t="shared" ref="BH155:BP155" si="205">(BH153-(2*BH149))</f>
        <v>1.9011791368518471</v>
      </c>
      <c r="BI155" s="83">
        <f t="shared" si="205"/>
        <v>-0.96697242403820327</v>
      </c>
      <c r="BJ155" s="83">
        <f t="shared" si="205"/>
        <v>-0.88016895859117561</v>
      </c>
      <c r="BK155" s="83">
        <f t="shared" si="205"/>
        <v>-1.3282627807861969</v>
      </c>
      <c r="BL155" s="83">
        <f t="shared" si="205"/>
        <v>-1.0125360170371431</v>
      </c>
      <c r="BM155" s="83">
        <f t="shared" si="205"/>
        <v>-0.96751345909131281</v>
      </c>
      <c r="BN155" s="83">
        <f t="shared" si="205"/>
        <v>-0.44671176395874479</v>
      </c>
      <c r="BO155" s="83">
        <f t="shared" si="205"/>
        <v>-0.30679055237160091</v>
      </c>
      <c r="BP155" s="83">
        <f t="shared" si="205"/>
        <v>-1.9390992252970758</v>
      </c>
      <c r="BQ155" s="83"/>
      <c r="BR155" s="83">
        <f t="shared" ref="BR155:BZ155" si="206">(BR153-(2*BR149))</f>
        <v>1.8973336411309585</v>
      </c>
      <c r="BS155" s="83">
        <f t="shared" si="206"/>
        <v>-0.80272953075413134</v>
      </c>
      <c r="BT155" s="83">
        <f t="shared" si="206"/>
        <v>-0.79839892927985689</v>
      </c>
      <c r="BU155" s="83">
        <f t="shared" si="206"/>
        <v>-1.1603295455709659</v>
      </c>
      <c r="BV155" s="83">
        <f t="shared" si="206"/>
        <v>-0.93142707747981546</v>
      </c>
      <c r="BW155" s="83">
        <f t="shared" si="206"/>
        <v>-0.67567823240280633</v>
      </c>
      <c r="BX155" s="83">
        <f t="shared" si="206"/>
        <v>-0.38859431508724379</v>
      </c>
      <c r="BY155" s="83">
        <f t="shared" si="206"/>
        <v>-0.38859431508724379</v>
      </c>
      <c r="BZ155" s="83">
        <f t="shared" si="206"/>
        <v>-1.5749400507542282</v>
      </c>
      <c r="CA155" s="83"/>
      <c r="CB155" s="83">
        <f t="shared" ref="CB155:CJ155" si="207">(CB153-(2*CB149))</f>
        <v>2.1732931662369506</v>
      </c>
      <c r="CC155" s="83">
        <f t="shared" si="207"/>
        <v>-0.79044159213220255</v>
      </c>
      <c r="CD155" s="83">
        <f t="shared" si="207"/>
        <v>-0.78345622880829391</v>
      </c>
      <c r="CE155" s="83">
        <f t="shared" si="207"/>
        <v>-1.3023481585462857</v>
      </c>
      <c r="CF155" s="83">
        <f t="shared" si="207"/>
        <v>-0.88530286796723123</v>
      </c>
      <c r="CG155" s="83">
        <f t="shared" si="207"/>
        <v>-0.72833908079933818</v>
      </c>
      <c r="CH155" s="83">
        <f t="shared" si="207"/>
        <v>-0.22464477035227221</v>
      </c>
      <c r="CI155" s="83">
        <f t="shared" si="207"/>
        <v>-0.27010162003060989</v>
      </c>
      <c r="CJ155" s="83">
        <f t="shared" si="207"/>
        <v>-1.6626659549619949</v>
      </c>
      <c r="CK155" s="83"/>
      <c r="CL155" s="83">
        <f t="shared" ref="CL155:CT155" si="208">(CL153-(2*CL149))</f>
        <v>1.8650932305967733</v>
      </c>
      <c r="CM155" s="83">
        <f t="shared" si="208"/>
        <v>-0.75813493291212231</v>
      </c>
      <c r="CN155" s="83">
        <f t="shared" si="208"/>
        <v>-0.89289189126449919</v>
      </c>
      <c r="CO155" s="83">
        <f t="shared" si="208"/>
        <v>-1.0192337170166323</v>
      </c>
      <c r="CP155" s="83">
        <f t="shared" si="208"/>
        <v>-0.79208691703683354</v>
      </c>
      <c r="CQ155" s="83">
        <f t="shared" si="208"/>
        <v>-0.81236362403187856</v>
      </c>
      <c r="CR155" s="83">
        <f t="shared" si="208"/>
        <v>-0.40864696148830892</v>
      </c>
      <c r="CS155" s="83">
        <f t="shared" si="208"/>
        <v>-0.22464477035227221</v>
      </c>
      <c r="CT155" s="83">
        <f t="shared" si="208"/>
        <v>-1.5221198049731117</v>
      </c>
      <c r="CU155" s="83"/>
      <c r="CV155" s="83">
        <f t="shared" ref="CV155:DD155" si="209">(CV153-(2*CV149))</f>
        <v>1.9603780974057741</v>
      </c>
      <c r="CW155" s="83">
        <f t="shared" si="209"/>
        <v>-0.86965616516998634</v>
      </c>
      <c r="CX155" s="83">
        <f t="shared" si="209"/>
        <v>-0.83534310944828993</v>
      </c>
      <c r="CY155" s="83">
        <f t="shared" si="209"/>
        <v>-0.90999388162899275</v>
      </c>
      <c r="CZ155" s="83">
        <f t="shared" si="209"/>
        <v>-0.85094150657857348</v>
      </c>
      <c r="DA155" s="83">
        <f t="shared" si="209"/>
        <v>-0.95017828620771527</v>
      </c>
      <c r="DB155" s="83">
        <f t="shared" si="209"/>
        <v>-0.33781255873482047</v>
      </c>
      <c r="DC155" s="83">
        <f t="shared" si="209"/>
        <v>-0.38859431508724379</v>
      </c>
      <c r="DD155" s="83">
        <f t="shared" si="209"/>
        <v>-1.4518817689298538</v>
      </c>
      <c r="DE155" s="83"/>
      <c r="DF155" s="83">
        <f t="shared" ref="DF155:DN155" si="210">(DF153-(2*DF149))</f>
        <v>1.79828654945473</v>
      </c>
      <c r="DG155" s="83">
        <f t="shared" si="210"/>
        <v>-0.87707558121440488</v>
      </c>
      <c r="DH155" s="83">
        <f t="shared" si="210"/>
        <v>-0.88993112062377489</v>
      </c>
      <c r="DI155" s="83">
        <f t="shared" si="210"/>
        <v>-0.92397566023667976</v>
      </c>
      <c r="DJ155" s="83">
        <f t="shared" si="210"/>
        <v>-0.75623603341781176</v>
      </c>
      <c r="DK155" s="83">
        <f t="shared" si="210"/>
        <v>-0.83058883382185</v>
      </c>
      <c r="DL155" s="83">
        <f t="shared" si="210"/>
        <v>-0.48475133864483883</v>
      </c>
      <c r="DM155" s="83">
        <f t="shared" si="210"/>
        <v>-0.27010162003060989</v>
      </c>
      <c r="DN155" s="83">
        <f t="shared" si="210"/>
        <v>-1.2968156910907283</v>
      </c>
      <c r="DO155" s="83"/>
      <c r="DP155" s="83">
        <f t="shared" ref="DP155:FF155" si="211">(DP153-(2*DP149))</f>
        <v>1.547461560321866</v>
      </c>
      <c r="DQ155" s="83">
        <f t="shared" si="211"/>
        <v>-0.86031709732735862</v>
      </c>
      <c r="DR155" s="83">
        <f t="shared" si="211"/>
        <v>-1.0324553269199828</v>
      </c>
      <c r="DS155" s="83">
        <f t="shared" si="211"/>
        <v>-1.0558760979606272</v>
      </c>
      <c r="DT155" s="83">
        <f t="shared" si="211"/>
        <v>-0.8161596691424462</v>
      </c>
      <c r="DU155" s="83">
        <f t="shared" si="211"/>
        <v>-0.73030989416468439</v>
      </c>
      <c r="DV155" s="83">
        <f t="shared" si="211"/>
        <v>-0.40992675175988069</v>
      </c>
      <c r="DW155" s="83">
        <f t="shared" si="211"/>
        <v>0</v>
      </c>
      <c r="DX155" s="83">
        <f t="shared" si="211"/>
        <v>-2.0029147214732523</v>
      </c>
      <c r="DY155" s="176">
        <f t="shared" si="211"/>
        <v>-2.4288511484526296</v>
      </c>
      <c r="DZ155" s="83">
        <f t="shared" si="211"/>
        <v>-1.5162192091300488</v>
      </c>
      <c r="EA155" s="83">
        <f t="shared" si="211"/>
        <v>-0.56059975166631071</v>
      </c>
      <c r="EB155" s="176">
        <f t="shared" si="211"/>
        <v>1.7404187608064303</v>
      </c>
      <c r="EC155" s="83">
        <f t="shared" si="211"/>
        <v>-1.2239871839657543</v>
      </c>
      <c r="ED155" s="83">
        <f t="shared" si="211"/>
        <v>-0.92643767224500351</v>
      </c>
      <c r="EE155" s="83">
        <f t="shared" si="211"/>
        <v>-1.389841772999802</v>
      </c>
      <c r="EF155" s="83">
        <f t="shared" si="211"/>
        <v>-1.6603836665890888</v>
      </c>
      <c r="EG155" s="83">
        <f t="shared" si="211"/>
        <v>-1.4697434826857416</v>
      </c>
      <c r="EH155" s="83">
        <f t="shared" si="211"/>
        <v>-1.6279342822664646</v>
      </c>
      <c r="EI155" s="83">
        <f t="shared" si="211"/>
        <v>-1.5904950959354551</v>
      </c>
      <c r="EJ155" s="83">
        <f t="shared" si="211"/>
        <v>-1.7666482021443195</v>
      </c>
      <c r="EK155" s="83">
        <f t="shared" si="211"/>
        <v>-1.6290358621823033</v>
      </c>
      <c r="EL155" s="83">
        <f t="shared" si="211"/>
        <v>-1.6070761694562732</v>
      </c>
      <c r="EM155" s="83">
        <f t="shared" si="211"/>
        <v>-1.3554444311044982</v>
      </c>
      <c r="EN155" s="83">
        <f t="shared" si="211"/>
        <v>-0.67582009977255142</v>
      </c>
      <c r="EO155" s="83">
        <f t="shared" si="211"/>
        <v>-2.4641016151377544</v>
      </c>
      <c r="EP155" s="83" t="e">
        <f t="shared" si="211"/>
        <v>#DIV/0!</v>
      </c>
      <c r="EQ155" s="83" t="e">
        <f t="shared" ref="EQ155" si="212">(EQ153-(2*EQ149))</f>
        <v>#DIV/0!</v>
      </c>
      <c r="ER155" s="83">
        <f t="shared" si="211"/>
        <v>-1.7248740882440527</v>
      </c>
      <c r="ES155" s="83">
        <f t="shared" si="211"/>
        <v>-1.7465117907990693</v>
      </c>
      <c r="ET155" s="83">
        <f t="shared" si="211"/>
        <v>-1.7914730194216841</v>
      </c>
      <c r="EU155" s="83">
        <f t="shared" si="211"/>
        <v>-1.295270305482884</v>
      </c>
      <c r="EV155" s="83">
        <f t="shared" si="211"/>
        <v>-1.7622036657005302</v>
      </c>
      <c r="EW155" s="83">
        <f t="shared" si="211"/>
        <v>-1.4786491281826586</v>
      </c>
      <c r="EX155" s="83">
        <f t="shared" si="211"/>
        <v>-1.6994291991964028</v>
      </c>
      <c r="EY155" s="83">
        <f t="shared" si="211"/>
        <v>-1.4342558054844468</v>
      </c>
      <c r="EZ155" s="83">
        <f t="shared" si="211"/>
        <v>-1.438846588023633</v>
      </c>
      <c r="FA155" s="83">
        <f t="shared" si="211"/>
        <v>-1.7413757624472104</v>
      </c>
      <c r="FB155" s="83">
        <f t="shared" si="211"/>
        <v>-0.58210678118654757</v>
      </c>
      <c r="FC155" s="83">
        <f t="shared" si="211"/>
        <v>-3.4772255750516612</v>
      </c>
      <c r="FD155" s="83" t="e">
        <f t="shared" si="211"/>
        <v>#DIV/0!</v>
      </c>
      <c r="FE155" s="83" t="e">
        <f t="shared" ref="FE155" si="213">(FE153-(2*FE149))</f>
        <v>#DIV/0!</v>
      </c>
      <c r="FF155" s="83">
        <f t="shared" si="211"/>
        <v>-1.6873839496634231</v>
      </c>
      <c r="FG155" s="174"/>
      <c r="FH155" s="174"/>
      <c r="FI155" s="83">
        <f t="shared" ref="FI155:FQ155" si="214">(FI153-(2*FI149))</f>
        <v>-3.3805958059148513</v>
      </c>
      <c r="FJ155" s="83">
        <f t="shared" si="214"/>
        <v>-3.5586768552899906</v>
      </c>
      <c r="FK155" s="83">
        <f t="shared" si="214"/>
        <v>-2.6448753956907867</v>
      </c>
      <c r="FL155" s="83">
        <f t="shared" si="214"/>
        <v>-3.3568273434417413</v>
      </c>
      <c r="FM155" s="83">
        <f t="shared" si="214"/>
        <v>-2.9628390186909481</v>
      </c>
      <c r="FN155" s="83">
        <f t="shared" si="214"/>
        <v>-3.4606197883293692</v>
      </c>
      <c r="FO155" s="83">
        <f t="shared" si="214"/>
        <v>-2.8506181905416468</v>
      </c>
      <c r="FP155" s="83">
        <f t="shared" si="214"/>
        <v>-2.6074182934806505</v>
      </c>
      <c r="FQ155" s="83">
        <f t="shared" si="214"/>
        <v>-2.7164915325061347</v>
      </c>
      <c r="FR155" s="83"/>
      <c r="FS155" s="83"/>
      <c r="FT155" s="83"/>
      <c r="FU155" s="83"/>
      <c r="FV155" s="83">
        <f>(FV153-(2*FV149))</f>
        <v>-8.6024868300154669</v>
      </c>
      <c r="FW155" s="175" t="s">
        <v>269</v>
      </c>
    </row>
    <row r="156" spans="1:179" x14ac:dyDescent="0.25">
      <c r="A156" s="177" t="s">
        <v>270</v>
      </c>
      <c r="B156" s="83"/>
      <c r="C156" s="83"/>
      <c r="D156" s="83"/>
      <c r="E156" s="84">
        <f>(E153-(3*E149))</f>
        <v>-2651.81805909593</v>
      </c>
      <c r="F156" s="83"/>
      <c r="G156" s="83"/>
      <c r="H156" s="83"/>
      <c r="I156" s="83"/>
      <c r="J156" s="176">
        <f t="shared" ref="J156:R156" si="215">(J153-(3*J149))</f>
        <v>1.0680025225485155</v>
      </c>
      <c r="K156" s="83">
        <f t="shared" si="215"/>
        <v>-2.1468292381910068</v>
      </c>
      <c r="L156" s="83">
        <f t="shared" si="215"/>
        <v>-3.5708187567332574</v>
      </c>
      <c r="M156" s="83">
        <f t="shared" si="215"/>
        <v>-3.3849003408625244</v>
      </c>
      <c r="N156" s="83">
        <f t="shared" si="215"/>
        <v>-2.3117265199091159</v>
      </c>
      <c r="O156" s="83">
        <f t="shared" si="215"/>
        <v>-2.0552640725406119</v>
      </c>
      <c r="P156" s="83">
        <f t="shared" si="215"/>
        <v>-1.8360190982827518</v>
      </c>
      <c r="Q156" s="83">
        <f t="shared" si="215"/>
        <v>-1.3230743863395353</v>
      </c>
      <c r="R156" s="83">
        <f t="shared" si="215"/>
        <v>8.43498468787039</v>
      </c>
      <c r="S156" s="83"/>
      <c r="T156" s="83"/>
      <c r="U156" s="83">
        <f>(U153-(3*U149))</f>
        <v>-1.7244444087391566</v>
      </c>
      <c r="V156" s="83">
        <f>(V153-(3*V149))</f>
        <v>-1.2243242638946679</v>
      </c>
      <c r="W156" s="83"/>
      <c r="X156" s="83"/>
      <c r="Y156" s="83"/>
      <c r="Z156" s="83"/>
      <c r="AA156" s="83"/>
      <c r="AB156" s="176">
        <f t="shared" ref="AB156:AJ156" si="216">(AB153-(3*AB149))</f>
        <v>-0.60695595757894427</v>
      </c>
      <c r="AC156" s="83">
        <f t="shared" si="216"/>
        <v>-3.8032412197322225</v>
      </c>
      <c r="AD156" s="83">
        <f t="shared" si="216"/>
        <v>-4.8028128949247932</v>
      </c>
      <c r="AE156" s="83">
        <f t="shared" si="216"/>
        <v>-4.3107393491876032</v>
      </c>
      <c r="AF156" s="83">
        <f t="shared" si="216"/>
        <v>-2.912113835245882</v>
      </c>
      <c r="AG156" s="83">
        <f t="shared" si="216"/>
        <v>-2.914807253822524</v>
      </c>
      <c r="AH156" s="83">
        <f t="shared" si="216"/>
        <v>-1.3383802629223482</v>
      </c>
      <c r="AI156" s="83">
        <f t="shared" si="216"/>
        <v>-1.5613326342536957</v>
      </c>
      <c r="AJ156" s="83">
        <f t="shared" si="216"/>
        <v>-4.3772426190563642</v>
      </c>
      <c r="AK156" s="83"/>
      <c r="AL156" s="83"/>
      <c r="AM156" s="83"/>
      <c r="AN156" s="83">
        <f t="shared" ref="AN156:AV156" si="217">(AN153-(3*AN149))</f>
        <v>1.3647645548401064</v>
      </c>
      <c r="AO156" s="83">
        <f t="shared" si="217"/>
        <v>-1.8917337514326307</v>
      </c>
      <c r="AP156" s="83">
        <f t="shared" si="217"/>
        <v>-1.8935648620866372</v>
      </c>
      <c r="AQ156" s="83">
        <f t="shared" si="217"/>
        <v>-1.9961350653716454</v>
      </c>
      <c r="AR156" s="83">
        <f t="shared" si="217"/>
        <v>-1.9298597627517931</v>
      </c>
      <c r="AS156" s="83">
        <f t="shared" si="217"/>
        <v>-1.600191723505435</v>
      </c>
      <c r="AT156" s="83">
        <f t="shared" si="217"/>
        <v>-0.8808054408582926</v>
      </c>
      <c r="AU156" s="83">
        <f t="shared" si="217"/>
        <v>-0.52470444961302209</v>
      </c>
      <c r="AV156" s="83">
        <f t="shared" si="217"/>
        <v>-3.6014306439240431</v>
      </c>
      <c r="AW156" s="83"/>
      <c r="AX156" s="83">
        <f t="shared" ref="AX156:BF156" si="218">(AX153-(3*AX149))</f>
        <v>0.93674090925819842</v>
      </c>
      <c r="AY156" s="83">
        <f t="shared" si="218"/>
        <v>-1.5613622042498982</v>
      </c>
      <c r="AZ156" s="83">
        <f t="shared" si="218"/>
        <v>-1.6376109022712009</v>
      </c>
      <c r="BA156" s="83">
        <f t="shared" si="218"/>
        <v>-1.613033374701748</v>
      </c>
      <c r="BB156" s="83">
        <f t="shared" si="218"/>
        <v>-1.7827594413083263</v>
      </c>
      <c r="BC156" s="83">
        <f t="shared" si="218"/>
        <v>-1.5981211661240693</v>
      </c>
      <c r="BD156" s="83">
        <f t="shared" si="218"/>
        <v>-0.75927260957303921</v>
      </c>
      <c r="BE156" s="83">
        <f t="shared" si="218"/>
        <v>-0.52470444961302209</v>
      </c>
      <c r="BF156" s="83">
        <f t="shared" si="218"/>
        <v>-2.749754884939966</v>
      </c>
      <c r="BG156" s="83"/>
      <c r="BH156" s="83">
        <f t="shared" ref="BH156:BP156" si="219">(BH153-(3*BH149))</f>
        <v>0.99205647506194339</v>
      </c>
      <c r="BI156" s="83">
        <f t="shared" si="219"/>
        <v>-1.7454226648342832</v>
      </c>
      <c r="BJ156" s="83">
        <f t="shared" si="219"/>
        <v>-1.8490304163040299</v>
      </c>
      <c r="BK156" s="83">
        <f t="shared" si="219"/>
        <v>-2.2765668330497988</v>
      </c>
      <c r="BL156" s="83">
        <f t="shared" si="219"/>
        <v>-1.8101709320305353</v>
      </c>
      <c r="BM156" s="83">
        <f t="shared" si="219"/>
        <v>-1.7534284620182643</v>
      </c>
      <c r="BN156" s="83">
        <f t="shared" si="219"/>
        <v>-0.70603886895969992</v>
      </c>
      <c r="BO156" s="83">
        <f t="shared" si="219"/>
        <v>-0.47457431776603448</v>
      </c>
      <c r="BP156" s="83">
        <f t="shared" si="219"/>
        <v>-3.7287927228376998</v>
      </c>
      <c r="BQ156" s="83"/>
      <c r="BR156" s="83">
        <f t="shared" ref="BR156:BZ156" si="220">(BR153-(3*BR149))</f>
        <v>0.97189974227197728</v>
      </c>
      <c r="BS156" s="83">
        <f t="shared" si="220"/>
        <v>-1.416324511958535</v>
      </c>
      <c r="BT156" s="83">
        <f t="shared" si="220"/>
        <v>-1.6364473147830947</v>
      </c>
      <c r="BU156" s="83">
        <f t="shared" si="220"/>
        <v>-2.0282641025291106</v>
      </c>
      <c r="BV156" s="83">
        <f t="shared" si="220"/>
        <v>-1.6129679543492195</v>
      </c>
      <c r="BW156" s="83">
        <f t="shared" si="220"/>
        <v>-1.4056036795394613</v>
      </c>
      <c r="BX156" s="83">
        <f t="shared" si="220"/>
        <v>-0.60807132874597358</v>
      </c>
      <c r="BY156" s="83">
        <f t="shared" si="220"/>
        <v>-0.60807132874597358</v>
      </c>
      <c r="BZ156" s="83">
        <f t="shared" si="220"/>
        <v>-2.9739208674982485</v>
      </c>
      <c r="CA156" s="83"/>
      <c r="CB156" s="83">
        <f t="shared" ref="CB156:CJ156" si="221">(CB153-(3*CB149))</f>
        <v>1.3678534184201738</v>
      </c>
      <c r="CC156" s="83">
        <f t="shared" si="221"/>
        <v>-1.4194753378385916</v>
      </c>
      <c r="CD156" s="83">
        <f t="shared" si="221"/>
        <v>-1.667990098608124</v>
      </c>
      <c r="CE156" s="83">
        <f t="shared" si="221"/>
        <v>-2.198126554366191</v>
      </c>
      <c r="CF156" s="83">
        <f t="shared" si="221"/>
        <v>-1.489824805547969</v>
      </c>
      <c r="CG156" s="83">
        <f t="shared" si="221"/>
        <v>-1.5169690528536837</v>
      </c>
      <c r="CH156" s="83">
        <f t="shared" si="221"/>
        <v>-0.34416140013272484</v>
      </c>
      <c r="CI156" s="83">
        <f t="shared" si="221"/>
        <v>-0.41594379695238964</v>
      </c>
      <c r="CJ156" s="83">
        <f t="shared" si="221"/>
        <v>-3.2386032489897549</v>
      </c>
      <c r="CK156" s="83"/>
      <c r="CL156" s="83">
        <f t="shared" ref="CL156:CT156" si="222">(CL153-(3*CL149))</f>
        <v>0.95591322719012384</v>
      </c>
      <c r="CM156" s="83">
        <f t="shared" si="222"/>
        <v>-1.3278498813825721</v>
      </c>
      <c r="CN156" s="83">
        <f t="shared" si="222"/>
        <v>-1.8249493476881156</v>
      </c>
      <c r="CO156" s="83">
        <f t="shared" si="222"/>
        <v>-1.7123038129350205</v>
      </c>
      <c r="CP156" s="83">
        <f t="shared" si="222"/>
        <v>-1.339209512245898</v>
      </c>
      <c r="CQ156" s="83">
        <f t="shared" si="222"/>
        <v>-1.6250202561917029</v>
      </c>
      <c r="CR156" s="83">
        <f t="shared" si="222"/>
        <v>-0.63095605374325481</v>
      </c>
      <c r="CS156" s="83">
        <f t="shared" si="222"/>
        <v>-0.34416140013272484</v>
      </c>
      <c r="CT156" s="83">
        <f t="shared" si="222"/>
        <v>-2.9198703549416818</v>
      </c>
      <c r="CU156" s="83"/>
      <c r="CV156" s="83">
        <f t="shared" ref="CV156:DD156" si="223">(CV153-(3*CV149))</f>
        <v>1.138408872727366</v>
      </c>
      <c r="CW156" s="83">
        <f t="shared" si="223"/>
        <v>-1.5023259743736845</v>
      </c>
      <c r="CX156" s="83">
        <f t="shared" si="223"/>
        <v>-1.7170434411508522</v>
      </c>
      <c r="CY156" s="83">
        <f t="shared" si="223"/>
        <v>-1.5808181605729854</v>
      </c>
      <c r="CZ156" s="83">
        <f t="shared" si="223"/>
        <v>-1.4131029073498746</v>
      </c>
      <c r="DA156" s="83">
        <f t="shared" si="223"/>
        <v>-1.7669940480166091</v>
      </c>
      <c r="DB156" s="83">
        <f t="shared" si="223"/>
        <v>-0.52470444961302209</v>
      </c>
      <c r="DC156" s="83">
        <f t="shared" si="223"/>
        <v>-0.60807132874597358</v>
      </c>
      <c r="DD156" s="83">
        <f t="shared" si="223"/>
        <v>-2.7857363224595288</v>
      </c>
      <c r="DE156" s="83"/>
      <c r="DF156" s="83">
        <f t="shared" ref="DF156:DN156" si="224">(DF153-(3*DF149))</f>
        <v>0.99239385295907345</v>
      </c>
      <c r="DG156" s="83">
        <f t="shared" si="224"/>
        <v>-1.5242464653467871</v>
      </c>
      <c r="DH156" s="83">
        <f t="shared" si="224"/>
        <v>-1.7341772564752307</v>
      </c>
      <c r="DI156" s="83">
        <f t="shared" si="224"/>
        <v>-1.5262512601391922</v>
      </c>
      <c r="DJ156" s="83">
        <f t="shared" si="224"/>
        <v>-1.2998216760259982</v>
      </c>
      <c r="DK156" s="83">
        <f t="shared" si="224"/>
        <v>-1.7027177831068756</v>
      </c>
      <c r="DL156" s="83">
        <f t="shared" si="224"/>
        <v>-0.75950110868668264</v>
      </c>
      <c r="DM156" s="83">
        <f t="shared" si="224"/>
        <v>-0.41594379695238964</v>
      </c>
      <c r="DN156" s="83">
        <f t="shared" si="224"/>
        <v>-2.4452235366360924</v>
      </c>
      <c r="DO156" s="83"/>
      <c r="DP156" s="83">
        <f t="shared" ref="DP156:FF156" si="225">(DP153-(3*DP149))</f>
        <v>0.67730744839646828</v>
      </c>
      <c r="DQ156" s="83">
        <f t="shared" si="225"/>
        <v>-1.5099001064226925</v>
      </c>
      <c r="DR156" s="83">
        <f t="shared" si="225"/>
        <v>-1.9299779544087512</v>
      </c>
      <c r="DS156" s="83">
        <f t="shared" si="225"/>
        <v>-1.770864506653171</v>
      </c>
      <c r="DT156" s="83">
        <f t="shared" si="225"/>
        <v>-1.4076927411237412</v>
      </c>
      <c r="DU156" s="83">
        <f t="shared" si="225"/>
        <v>-1.5810763520383937</v>
      </c>
      <c r="DV156" s="83">
        <f t="shared" si="225"/>
        <v>-0.64366710605708721</v>
      </c>
      <c r="DW156" s="83">
        <f t="shared" si="225"/>
        <v>0</v>
      </c>
      <c r="DX156" s="83">
        <f t="shared" si="225"/>
        <v>-3.6194799958789434</v>
      </c>
      <c r="DY156" s="176">
        <f t="shared" si="225"/>
        <v>-4.8135405116477692</v>
      </c>
      <c r="DZ156" s="83">
        <f t="shared" si="225"/>
        <v>-2.5261273748461526</v>
      </c>
      <c r="EA156" s="83">
        <f t="shared" si="225"/>
        <v>-0.91284207354263147</v>
      </c>
      <c r="EB156" s="176">
        <f t="shared" si="225"/>
        <v>-0.62438384919802736</v>
      </c>
      <c r="EC156" s="83">
        <f t="shared" si="225"/>
        <v>-2.4834627903371205</v>
      </c>
      <c r="ED156" s="83">
        <f t="shared" si="225"/>
        <v>-1.5946924795905266</v>
      </c>
      <c r="EE156" s="83">
        <f t="shared" si="225"/>
        <v>-2.3329640983486239</v>
      </c>
      <c r="EF156" s="83">
        <f t="shared" si="225"/>
        <v>-2.7028057157109711</v>
      </c>
      <c r="EG156" s="83">
        <f t="shared" si="225"/>
        <v>-2.4348310513667419</v>
      </c>
      <c r="EH156" s="83">
        <f t="shared" si="225"/>
        <v>-2.6936999845507761</v>
      </c>
      <c r="EI156" s="83">
        <f t="shared" si="225"/>
        <v>-2.655526816565053</v>
      </c>
      <c r="EJ156" s="83">
        <f t="shared" si="225"/>
        <v>-2.9341449650869826</v>
      </c>
      <c r="EK156" s="83">
        <f t="shared" si="225"/>
        <v>-2.7044233584908466</v>
      </c>
      <c r="EL156" s="83">
        <f t="shared" si="225"/>
        <v>-2.6472554755584556</v>
      </c>
      <c r="EM156" s="83">
        <f t="shared" si="225"/>
        <v>-2.2604393739294744</v>
      </c>
      <c r="EN156" s="83">
        <f t="shared" si="225"/>
        <v>-1.1387301496588271</v>
      </c>
      <c r="EO156" s="83">
        <f t="shared" si="225"/>
        <v>-4.196152422706632</v>
      </c>
      <c r="EP156" s="83" t="e">
        <f t="shared" si="225"/>
        <v>#DIV/0!</v>
      </c>
      <c r="EQ156" s="83" t="e">
        <f t="shared" ref="EQ156" si="226">(EQ153-(3*EQ149))</f>
        <v>#DIV/0!</v>
      </c>
      <c r="ER156" s="83">
        <f t="shared" si="225"/>
        <v>-4.7707643697761508</v>
      </c>
      <c r="ES156" s="83">
        <f t="shared" si="225"/>
        <v>-2.9435086933928485</v>
      </c>
      <c r="ET156" s="83">
        <f t="shared" si="225"/>
        <v>-3.0073534140246125</v>
      </c>
      <c r="EU156" s="83">
        <f t="shared" si="225"/>
        <v>-2.1911068970732468</v>
      </c>
      <c r="EV156" s="83">
        <f t="shared" si="225"/>
        <v>-2.9238810381191405</v>
      </c>
      <c r="EW156" s="83">
        <f t="shared" si="225"/>
        <v>-2.5129377210509665</v>
      </c>
      <c r="EX156" s="83">
        <f t="shared" si="225"/>
        <v>-2.8620934390823742</v>
      </c>
      <c r="EY156" s="83">
        <f t="shared" si="225"/>
        <v>-2.3756484141090231</v>
      </c>
      <c r="EZ156" s="83">
        <f t="shared" si="225"/>
        <v>-2.4025446911957546</v>
      </c>
      <c r="FA156" s="83">
        <f t="shared" si="225"/>
        <v>-2.9090933466411126</v>
      </c>
      <c r="FB156" s="83">
        <f t="shared" si="225"/>
        <v>-0.93566017177982141</v>
      </c>
      <c r="FC156" s="83">
        <f t="shared" si="225"/>
        <v>-6.2158383625774913</v>
      </c>
      <c r="FD156" s="83" t="e">
        <f t="shared" si="225"/>
        <v>#DIV/0!</v>
      </c>
      <c r="FE156" s="83" t="e">
        <f t="shared" ref="FE156" si="227">(FE153-(3*FE149))</f>
        <v>#DIV/0!</v>
      </c>
      <c r="FF156" s="83">
        <f t="shared" si="225"/>
        <v>-5.0202845575886608</v>
      </c>
      <c r="FG156" s="174"/>
      <c r="FH156" s="174"/>
      <c r="FI156" s="83">
        <f t="shared" ref="FI156:FQ156" si="228">(FI153-(3*FI149))</f>
        <v>-4.9953541405269535</v>
      </c>
      <c r="FJ156" s="83">
        <f t="shared" si="228"/>
        <v>-5.2301016138702376</v>
      </c>
      <c r="FK156" s="83">
        <f t="shared" si="228"/>
        <v>-3.9493274820253887</v>
      </c>
      <c r="FL156" s="83">
        <f t="shared" si="228"/>
        <v>-5.0064640367453457</v>
      </c>
      <c r="FM156" s="83">
        <f t="shared" si="228"/>
        <v>-4.419078671921314</v>
      </c>
      <c r="FN156" s="83">
        <f t="shared" si="228"/>
        <v>-5.1621527040767869</v>
      </c>
      <c r="FO156" s="83">
        <f t="shared" si="228"/>
        <v>-4.3154956311362103</v>
      </c>
      <c r="FP156" s="83">
        <f t="shared" si="228"/>
        <v>-3.9039331956166592</v>
      </c>
      <c r="FQ156" s="83">
        <f t="shared" si="228"/>
        <v>-4.0387660757376196</v>
      </c>
      <c r="FR156" s="83"/>
      <c r="FS156" s="83"/>
      <c r="FT156" s="83"/>
      <c r="FU156" s="83"/>
      <c r="FV156" s="83">
        <f>(FV153-(3*FV149))</f>
        <v>-12.597974849339748</v>
      </c>
      <c r="FW156" s="175" t="s">
        <v>270</v>
      </c>
    </row>
  </sheetData>
  <mergeCells count="20">
    <mergeCell ref="F1:AL1"/>
    <mergeCell ref="F2:T2"/>
    <mergeCell ref="U2:V2"/>
    <mergeCell ref="W2:AL2"/>
    <mergeCell ref="AM2:AV2"/>
    <mergeCell ref="AM1:DX1"/>
    <mergeCell ref="DE2:DN2"/>
    <mergeCell ref="AW2:BF2"/>
    <mergeCell ref="BG2:BP2"/>
    <mergeCell ref="BQ2:BZ2"/>
    <mergeCell ref="CA2:CJ2"/>
    <mergeCell ref="CK2:CT2"/>
    <mergeCell ref="CU2:DD2"/>
    <mergeCell ref="FG1:FH2"/>
    <mergeCell ref="DO2:DX2"/>
    <mergeCell ref="EE2:ER2"/>
    <mergeCell ref="ES2:FF2"/>
    <mergeCell ref="FI1:FV2"/>
    <mergeCell ref="DY1:ED2"/>
    <mergeCell ref="EE1:FF1"/>
  </mergeCells>
  <conditionalFormatting sqref="FG4:FH143">
    <cfRule type="cellIs" dxfId="199" priority="1" operator="notEqual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78"/>
  <sheetViews>
    <sheetView workbookViewId="0">
      <pane xSplit="1" ySplit="3" topLeftCell="B39" activePane="bottomRight" state="frozen"/>
      <selection sqref="A1:K1"/>
      <selection pane="topRight" sqref="A1:K1"/>
      <selection pane="bottomLeft" sqref="A1:K1"/>
      <selection pane="bottomRight" activeCell="A64" sqref="A64"/>
    </sheetView>
  </sheetViews>
  <sheetFormatPr defaultRowHeight="15" x14ac:dyDescent="0.25"/>
  <cols>
    <col min="1" max="1" width="9.7109375" style="48" bestFit="1" customWidth="1"/>
    <col min="2" max="2" width="6.140625" style="48" bestFit="1" customWidth="1"/>
    <col min="3" max="3" width="6.42578125" style="48" bestFit="1" customWidth="1"/>
    <col min="4" max="4" width="16" style="48" bestFit="1" customWidth="1"/>
    <col min="5" max="5" width="8.28515625" style="49" bestFit="1" customWidth="1"/>
    <col min="6" max="6" width="5.42578125" style="49" bestFit="1" customWidth="1"/>
    <col min="7" max="7" width="12" style="52" bestFit="1" customWidth="1"/>
    <col min="8" max="8" width="7" style="52" bestFit="1" customWidth="1"/>
    <col min="9" max="9" width="5.85546875" style="52" bestFit="1" customWidth="1"/>
    <col min="10" max="10" width="6.7109375" style="52" bestFit="1" customWidth="1"/>
    <col min="11" max="11" width="6.28515625" style="52" bestFit="1" customWidth="1"/>
    <col min="12" max="12" width="6.140625" style="52" bestFit="1" customWidth="1"/>
    <col min="13" max="13" width="7.140625" style="52" bestFit="1" customWidth="1"/>
    <col min="14" max="14" width="7.28515625" style="52" bestFit="1" customWidth="1"/>
    <col min="15" max="16" width="7.42578125" style="52" bestFit="1" customWidth="1"/>
    <col min="17" max="17" width="8.5703125" style="52" bestFit="1" customWidth="1"/>
    <col min="18" max="18" width="7.140625" style="52" bestFit="1" customWidth="1"/>
    <col min="19" max="20" width="7.42578125" style="52" bestFit="1" customWidth="1"/>
    <col min="21" max="22" width="6" style="52" bestFit="1" customWidth="1"/>
    <col min="23" max="23" width="7.140625" style="52" bestFit="1" customWidth="1"/>
    <col min="24" max="24" width="6" style="52" bestFit="1" customWidth="1"/>
    <col min="25" max="25" width="6.28515625" style="52" bestFit="1" customWidth="1"/>
    <col min="26" max="26" width="5.28515625" style="52" bestFit="1" customWidth="1"/>
    <col min="27" max="27" width="5.42578125" style="52" bestFit="1" customWidth="1"/>
    <col min="28" max="28" width="6.85546875" style="52" bestFit="1" customWidth="1"/>
    <col min="29" max="29" width="6.42578125" style="52" bestFit="1" customWidth="1"/>
    <col min="30" max="30" width="6.28515625" style="52" bestFit="1" customWidth="1"/>
    <col min="31" max="31" width="7.28515625" style="52" bestFit="1" customWidth="1"/>
    <col min="32" max="32" width="7.42578125" style="52" bestFit="1" customWidth="1"/>
    <col min="33" max="34" width="7.5703125" style="52" bestFit="1" customWidth="1"/>
    <col min="35" max="35" width="8.7109375" style="52" bestFit="1" customWidth="1"/>
    <col min="36" max="36" width="7.28515625" style="52" bestFit="1" customWidth="1"/>
    <col min="37" max="38" width="7.5703125" style="52" bestFit="1" customWidth="1"/>
    <col min="39" max="39" width="10.28515625" style="52" bestFit="1" customWidth="1"/>
    <col min="40" max="40" width="6.7109375" style="52" bestFit="1" customWidth="1"/>
    <col min="41" max="42" width="6" style="52" bestFit="1" customWidth="1"/>
    <col min="43" max="43" width="7.140625" style="52" bestFit="1" customWidth="1"/>
    <col min="44" max="44" width="6.5703125" style="52" bestFit="1" customWidth="1"/>
    <col min="45" max="45" width="6.7109375" style="52" bestFit="1" customWidth="1"/>
    <col min="46" max="46" width="7.85546875" style="52" bestFit="1" customWidth="1"/>
    <col min="47" max="47" width="6.28515625" style="52" bestFit="1" customWidth="1"/>
    <col min="48" max="48" width="6.42578125" style="52" bestFit="1" customWidth="1"/>
    <col min="49" max="49" width="10.28515625" style="52" bestFit="1" customWidth="1"/>
    <col min="50" max="50" width="6.7109375" style="52" bestFit="1" customWidth="1"/>
    <col min="51" max="52" width="6" style="52" bestFit="1" customWidth="1"/>
    <col min="53" max="53" width="7.140625" style="52" bestFit="1" customWidth="1"/>
    <col min="54" max="54" width="6.5703125" style="52" bestFit="1" customWidth="1"/>
    <col min="55" max="55" width="6.7109375" style="52" bestFit="1" customWidth="1"/>
    <col min="56" max="56" width="7.85546875" style="52" bestFit="1" customWidth="1"/>
    <col min="57" max="57" width="6.28515625" style="52" bestFit="1" customWidth="1"/>
    <col min="58" max="58" width="6.42578125" style="52" bestFit="1" customWidth="1"/>
    <col min="59" max="59" width="13.5703125" style="52" bestFit="1" customWidth="1"/>
    <col min="60" max="60" width="6.7109375" style="52" bestFit="1" customWidth="1"/>
    <col min="61" max="62" width="6" style="52" bestFit="1" customWidth="1"/>
    <col min="63" max="63" width="7.140625" style="52" bestFit="1" customWidth="1"/>
    <col min="64" max="64" width="6.5703125" style="52" bestFit="1" customWidth="1"/>
    <col min="65" max="65" width="6.7109375" style="52" bestFit="1" customWidth="1"/>
    <col min="66" max="66" width="7.85546875" style="52" bestFit="1" customWidth="1"/>
    <col min="67" max="67" width="6.28515625" style="52" bestFit="1" customWidth="1"/>
    <col min="68" max="68" width="6.42578125" style="52" bestFit="1" customWidth="1"/>
    <col min="69" max="69" width="13.5703125" style="52" bestFit="1" customWidth="1"/>
    <col min="70" max="70" width="6.7109375" style="52" bestFit="1" customWidth="1"/>
    <col min="71" max="72" width="6" style="52" bestFit="1" customWidth="1"/>
    <col min="73" max="73" width="7.140625" style="52" bestFit="1" customWidth="1"/>
    <col min="74" max="74" width="6.5703125" style="52" bestFit="1" customWidth="1"/>
    <col min="75" max="75" width="6.7109375" style="52" bestFit="1" customWidth="1"/>
    <col min="76" max="76" width="7.85546875" style="52" bestFit="1" customWidth="1"/>
    <col min="77" max="77" width="6.28515625" style="52" bestFit="1" customWidth="1"/>
    <col min="78" max="78" width="6.42578125" style="52" bestFit="1" customWidth="1"/>
    <col min="79" max="79" width="13.7109375" style="52" bestFit="1" customWidth="1"/>
    <col min="80" max="80" width="6.7109375" style="52" bestFit="1" customWidth="1"/>
    <col min="81" max="82" width="6" style="52" bestFit="1" customWidth="1"/>
    <col min="83" max="83" width="7.140625" style="52" bestFit="1" customWidth="1"/>
    <col min="84" max="84" width="6.5703125" style="52" bestFit="1" customWidth="1"/>
    <col min="85" max="85" width="6.7109375" style="52" bestFit="1" customWidth="1"/>
    <col min="86" max="86" width="7.85546875" style="52" bestFit="1" customWidth="1"/>
    <col min="87" max="87" width="6.28515625" style="52" bestFit="1" customWidth="1"/>
    <col min="88" max="88" width="6.42578125" style="52" bestFit="1" customWidth="1"/>
    <col min="89" max="89" width="11.28515625" style="52" bestFit="1" customWidth="1"/>
    <col min="90" max="90" width="6.7109375" style="52" bestFit="1" customWidth="1"/>
    <col min="91" max="92" width="6" style="52" bestFit="1" customWidth="1"/>
    <col min="93" max="93" width="7.140625" style="52" bestFit="1" customWidth="1"/>
    <col min="94" max="94" width="6.5703125" style="52" bestFit="1" customWidth="1"/>
    <col min="95" max="95" width="6.7109375" style="52" bestFit="1" customWidth="1"/>
    <col min="96" max="96" width="7.85546875" style="52" bestFit="1" customWidth="1"/>
    <col min="97" max="97" width="6.28515625" style="52" bestFit="1" customWidth="1"/>
    <col min="98" max="98" width="6.42578125" style="52" bestFit="1" customWidth="1"/>
    <col min="99" max="99" width="11.42578125" style="52" bestFit="1" customWidth="1"/>
    <col min="100" max="100" width="6.7109375" style="52" bestFit="1" customWidth="1"/>
    <col min="101" max="102" width="6" style="52" bestFit="1" customWidth="1"/>
    <col min="103" max="103" width="7.140625" style="52" bestFit="1" customWidth="1"/>
    <col min="104" max="104" width="6.5703125" style="52" bestFit="1" customWidth="1"/>
    <col min="105" max="105" width="6.7109375" style="52" bestFit="1" customWidth="1"/>
    <col min="106" max="106" width="7.85546875" style="52" bestFit="1" customWidth="1"/>
    <col min="107" max="107" width="6.28515625" style="52" bestFit="1" customWidth="1"/>
    <col min="108" max="108" width="6.42578125" style="52" bestFit="1" customWidth="1"/>
    <col min="109" max="109" width="11.42578125" style="52" bestFit="1" customWidth="1"/>
    <col min="110" max="110" width="6.7109375" style="52" bestFit="1" customWidth="1"/>
    <col min="111" max="112" width="6" style="52" bestFit="1" customWidth="1"/>
    <col min="113" max="113" width="7.140625" style="52" bestFit="1" customWidth="1"/>
    <col min="114" max="114" width="6.5703125" style="52" bestFit="1" customWidth="1"/>
    <col min="115" max="115" width="6.7109375" style="52" bestFit="1" customWidth="1"/>
    <col min="116" max="116" width="7.85546875" style="52" bestFit="1" customWidth="1"/>
    <col min="117" max="117" width="6.28515625" style="52" bestFit="1" customWidth="1"/>
    <col min="118" max="118" width="6.42578125" style="52" bestFit="1" customWidth="1"/>
    <col min="119" max="119" width="10.28515625" style="52" bestFit="1" customWidth="1"/>
    <col min="120" max="120" width="6.7109375" style="52" bestFit="1" customWidth="1"/>
    <col min="121" max="122" width="6" style="52" bestFit="1" customWidth="1"/>
    <col min="123" max="123" width="7.140625" style="52" bestFit="1" customWidth="1"/>
    <col min="124" max="124" width="6.5703125" style="52" bestFit="1" customWidth="1"/>
    <col min="125" max="125" width="6.7109375" style="52" bestFit="1" customWidth="1"/>
    <col min="126" max="126" width="7.85546875" style="52" bestFit="1" customWidth="1"/>
    <col min="127" max="127" width="6.28515625" style="52" bestFit="1" customWidth="1"/>
    <col min="128" max="128" width="6.42578125" style="52" bestFit="1" customWidth="1"/>
    <col min="129" max="129" width="6.28515625" style="52" bestFit="1" customWidth="1"/>
    <col min="130" max="130" width="6.42578125" style="52" bestFit="1" customWidth="1"/>
    <col min="131" max="131" width="6.5703125" style="52" bestFit="1" customWidth="1"/>
    <col min="132" max="132" width="6.28515625" style="52" bestFit="1" customWidth="1"/>
    <col min="133" max="133" width="6.7109375" style="52" bestFit="1" customWidth="1"/>
    <col min="134" max="134" width="6.85546875" style="52" bestFit="1" customWidth="1"/>
    <col min="135" max="143" width="6" style="52" bestFit="1" customWidth="1"/>
    <col min="144" max="145" width="7" style="52" bestFit="1" customWidth="1"/>
    <col min="146" max="146" width="7.7109375" style="52" bestFit="1" customWidth="1"/>
    <col min="147" max="147" width="7.7109375" style="52" customWidth="1"/>
    <col min="148" max="157" width="6.28515625" style="52" bestFit="1" customWidth="1"/>
    <col min="158" max="159" width="7.28515625" style="52" bestFit="1" customWidth="1"/>
    <col min="160" max="160" width="7.7109375" style="52" bestFit="1" customWidth="1"/>
    <col min="161" max="161" width="7.7109375" style="52" customWidth="1"/>
    <col min="162" max="162" width="6.28515625" style="52" bestFit="1" customWidth="1"/>
    <col min="163" max="164" width="11.85546875" style="52" bestFit="1" customWidth="1"/>
    <col min="165" max="165" width="55.7109375" style="51" bestFit="1" customWidth="1"/>
    <col min="166" max="16384" width="9.140625" style="52"/>
  </cols>
  <sheetData>
    <row r="1" spans="1:165" x14ac:dyDescent="0.25">
      <c r="F1" s="442" t="s">
        <v>125</v>
      </c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  <c r="AM1" s="442" t="s">
        <v>185</v>
      </c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43"/>
      <c r="BZ1" s="443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43"/>
      <c r="CP1" s="443"/>
      <c r="CQ1" s="443"/>
      <c r="CR1" s="443"/>
      <c r="CS1" s="443"/>
      <c r="CT1" s="443"/>
      <c r="CU1" s="443"/>
      <c r="CV1" s="443"/>
      <c r="CW1" s="443"/>
      <c r="CX1" s="443"/>
      <c r="CY1" s="443"/>
      <c r="CZ1" s="443"/>
      <c r="DA1" s="443"/>
      <c r="DB1" s="443"/>
      <c r="DC1" s="443"/>
      <c r="DD1" s="443"/>
      <c r="DE1" s="443"/>
      <c r="DF1" s="443"/>
      <c r="DG1" s="443"/>
      <c r="DH1" s="443"/>
      <c r="DI1" s="443"/>
      <c r="DJ1" s="443"/>
      <c r="DK1" s="443"/>
      <c r="DL1" s="443"/>
      <c r="DM1" s="443"/>
      <c r="DN1" s="443"/>
      <c r="DO1" s="443"/>
      <c r="DP1" s="443"/>
      <c r="DQ1" s="443"/>
      <c r="DR1" s="443"/>
      <c r="DS1" s="443"/>
      <c r="DT1" s="443"/>
      <c r="DU1" s="443"/>
      <c r="DV1" s="443"/>
      <c r="DW1" s="443"/>
      <c r="DX1" s="444"/>
      <c r="DY1" s="445" t="s">
        <v>184</v>
      </c>
      <c r="DZ1" s="446"/>
      <c r="EA1" s="446"/>
      <c r="EB1" s="446"/>
      <c r="EC1" s="446"/>
      <c r="ED1" s="447"/>
      <c r="EE1" s="441" t="s">
        <v>178</v>
      </c>
      <c r="EF1" s="441"/>
      <c r="EG1" s="441"/>
      <c r="EH1" s="441"/>
      <c r="EI1" s="441"/>
      <c r="EJ1" s="441"/>
      <c r="EK1" s="441"/>
      <c r="EL1" s="441"/>
      <c r="EM1" s="441"/>
      <c r="EN1" s="441"/>
      <c r="EO1" s="441"/>
      <c r="EP1" s="441"/>
      <c r="EQ1" s="441"/>
      <c r="ER1" s="441"/>
      <c r="ES1" s="441"/>
      <c r="ET1" s="441"/>
      <c r="EU1" s="441"/>
      <c r="EV1" s="441"/>
      <c r="EW1" s="441"/>
      <c r="EX1" s="441"/>
      <c r="EY1" s="441"/>
      <c r="EZ1" s="441"/>
      <c r="FA1" s="441"/>
      <c r="FB1" s="441"/>
      <c r="FC1" s="441"/>
      <c r="FD1" s="441"/>
      <c r="FE1" s="441"/>
      <c r="FF1" s="441"/>
      <c r="FG1" s="438" t="s">
        <v>247</v>
      </c>
      <c r="FH1" s="438"/>
    </row>
    <row r="2" spans="1:165" x14ac:dyDescent="0.25">
      <c r="A2" s="53"/>
      <c r="B2" s="53"/>
      <c r="C2" s="53"/>
      <c r="D2" s="53"/>
      <c r="E2" s="54"/>
      <c r="F2" s="450" t="s">
        <v>0</v>
      </c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48" t="s">
        <v>186</v>
      </c>
      <c r="V2" s="449"/>
      <c r="W2" s="440" t="s">
        <v>1</v>
      </c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52">
        <v>1</v>
      </c>
      <c r="AN2" s="439"/>
      <c r="AO2" s="439"/>
      <c r="AP2" s="439"/>
      <c r="AQ2" s="439"/>
      <c r="AR2" s="439"/>
      <c r="AS2" s="439"/>
      <c r="AT2" s="439"/>
      <c r="AU2" s="439"/>
      <c r="AV2" s="439"/>
      <c r="AW2" s="439">
        <v>2</v>
      </c>
      <c r="AX2" s="439"/>
      <c r="AY2" s="439"/>
      <c r="AZ2" s="439"/>
      <c r="BA2" s="439"/>
      <c r="BB2" s="439"/>
      <c r="BC2" s="439"/>
      <c r="BD2" s="439"/>
      <c r="BE2" s="439"/>
      <c r="BF2" s="439"/>
      <c r="BG2" s="439">
        <v>3</v>
      </c>
      <c r="BH2" s="439"/>
      <c r="BI2" s="439"/>
      <c r="BJ2" s="439"/>
      <c r="BK2" s="439"/>
      <c r="BL2" s="439"/>
      <c r="BM2" s="439"/>
      <c r="BN2" s="439"/>
      <c r="BO2" s="439"/>
      <c r="BP2" s="439"/>
      <c r="BQ2" s="439">
        <v>4</v>
      </c>
      <c r="BR2" s="439"/>
      <c r="BS2" s="439"/>
      <c r="BT2" s="439"/>
      <c r="BU2" s="439"/>
      <c r="BV2" s="439"/>
      <c r="BW2" s="439"/>
      <c r="BX2" s="439"/>
      <c r="BY2" s="439"/>
      <c r="BZ2" s="439"/>
      <c r="CA2" s="439">
        <v>5</v>
      </c>
      <c r="CB2" s="439"/>
      <c r="CC2" s="439"/>
      <c r="CD2" s="439"/>
      <c r="CE2" s="439"/>
      <c r="CF2" s="439"/>
      <c r="CG2" s="439"/>
      <c r="CH2" s="439"/>
      <c r="CI2" s="439"/>
      <c r="CJ2" s="439"/>
      <c r="CK2" s="439">
        <v>6</v>
      </c>
      <c r="CL2" s="439"/>
      <c r="CM2" s="439"/>
      <c r="CN2" s="439"/>
      <c r="CO2" s="439"/>
      <c r="CP2" s="439"/>
      <c r="CQ2" s="439"/>
      <c r="CR2" s="439"/>
      <c r="CS2" s="439"/>
      <c r="CT2" s="439"/>
      <c r="CU2" s="439">
        <v>7</v>
      </c>
      <c r="CV2" s="439"/>
      <c r="CW2" s="439"/>
      <c r="CX2" s="439"/>
      <c r="CY2" s="439"/>
      <c r="CZ2" s="439"/>
      <c r="DA2" s="439"/>
      <c r="DB2" s="439"/>
      <c r="DC2" s="439"/>
      <c r="DD2" s="439"/>
      <c r="DE2" s="439">
        <v>8</v>
      </c>
      <c r="DF2" s="439"/>
      <c r="DG2" s="439"/>
      <c r="DH2" s="439"/>
      <c r="DI2" s="439"/>
      <c r="DJ2" s="439"/>
      <c r="DK2" s="439"/>
      <c r="DL2" s="439"/>
      <c r="DM2" s="439"/>
      <c r="DN2" s="439"/>
      <c r="DO2" s="439">
        <v>9</v>
      </c>
      <c r="DP2" s="439"/>
      <c r="DQ2" s="439"/>
      <c r="DR2" s="439"/>
      <c r="DS2" s="439"/>
      <c r="DT2" s="439"/>
      <c r="DU2" s="439"/>
      <c r="DV2" s="439"/>
      <c r="DW2" s="439"/>
      <c r="DX2" s="453"/>
      <c r="DY2" s="445"/>
      <c r="DZ2" s="446"/>
      <c r="EA2" s="446"/>
      <c r="EB2" s="446"/>
      <c r="EC2" s="446"/>
      <c r="ED2" s="447"/>
      <c r="EE2" s="441" t="s">
        <v>382</v>
      </c>
      <c r="EF2" s="441"/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/>
      <c r="ES2" s="441" t="s">
        <v>180</v>
      </c>
      <c r="ET2" s="441"/>
      <c r="EU2" s="441"/>
      <c r="EV2" s="441"/>
      <c r="EW2" s="441"/>
      <c r="EX2" s="441"/>
      <c r="EY2" s="441"/>
      <c r="EZ2" s="441"/>
      <c r="FA2" s="441"/>
      <c r="FB2" s="441"/>
      <c r="FC2" s="441"/>
      <c r="FD2" s="441"/>
      <c r="FE2" s="441"/>
      <c r="FF2" s="441"/>
      <c r="FG2" s="438"/>
      <c r="FH2" s="438"/>
    </row>
    <row r="3" spans="1:165" s="51" customFormat="1" x14ac:dyDescent="0.25">
      <c r="A3" s="55" t="s">
        <v>3</v>
      </c>
      <c r="B3" s="55" t="s">
        <v>126</v>
      </c>
      <c r="C3" s="55" t="s">
        <v>127</v>
      </c>
      <c r="D3" s="55" t="s">
        <v>128</v>
      </c>
      <c r="E3" s="56" t="s">
        <v>151</v>
      </c>
      <c r="F3" s="56" t="s">
        <v>181</v>
      </c>
      <c r="G3" s="36" t="s">
        <v>2</v>
      </c>
      <c r="H3" s="37" t="s">
        <v>4</v>
      </c>
      <c r="I3" s="37" t="s">
        <v>5</v>
      </c>
      <c r="J3" s="35" t="s">
        <v>6</v>
      </c>
      <c r="K3" s="36" t="s">
        <v>7</v>
      </c>
      <c r="L3" s="36" t="s">
        <v>8</v>
      </c>
      <c r="M3" s="36" t="s">
        <v>9</v>
      </c>
      <c r="N3" s="36" t="s">
        <v>10</v>
      </c>
      <c r="O3" s="36" t="s">
        <v>11</v>
      </c>
      <c r="P3" s="36" t="s">
        <v>12</v>
      </c>
      <c r="Q3" s="36" t="s">
        <v>13</v>
      </c>
      <c r="R3" s="36" t="s">
        <v>14</v>
      </c>
      <c r="S3" s="36" t="s">
        <v>15</v>
      </c>
      <c r="T3" s="36" t="s">
        <v>16</v>
      </c>
      <c r="U3" s="37" t="s">
        <v>32</v>
      </c>
      <c r="V3" s="37" t="s">
        <v>33</v>
      </c>
      <c r="W3" s="36" t="s">
        <v>17</v>
      </c>
      <c r="X3" s="36" t="s">
        <v>18</v>
      </c>
      <c r="Y3" s="36" t="s">
        <v>182</v>
      </c>
      <c r="Z3" s="36" t="s">
        <v>183</v>
      </c>
      <c r="AA3" s="36" t="s">
        <v>20</v>
      </c>
      <c r="AB3" s="35" t="s">
        <v>21</v>
      </c>
      <c r="AC3" s="37" t="s">
        <v>22</v>
      </c>
      <c r="AD3" s="37" t="s">
        <v>23</v>
      </c>
      <c r="AE3" s="37" t="s">
        <v>24</v>
      </c>
      <c r="AF3" s="37" t="s">
        <v>25</v>
      </c>
      <c r="AG3" s="37" t="s">
        <v>26</v>
      </c>
      <c r="AH3" s="37" t="s">
        <v>27</v>
      </c>
      <c r="AI3" s="37" t="s">
        <v>28</v>
      </c>
      <c r="AJ3" s="37" t="s">
        <v>29</v>
      </c>
      <c r="AK3" s="37" t="s">
        <v>30</v>
      </c>
      <c r="AL3" s="37" t="s">
        <v>31</v>
      </c>
      <c r="AM3" s="37" t="s">
        <v>35</v>
      </c>
      <c r="AN3" s="37" t="s">
        <v>36</v>
      </c>
      <c r="AO3" s="37" t="s">
        <v>37</v>
      </c>
      <c r="AP3" s="37" t="s">
        <v>38</v>
      </c>
      <c r="AQ3" s="37" t="s">
        <v>39</v>
      </c>
      <c r="AR3" s="37" t="s">
        <v>40</v>
      </c>
      <c r="AS3" s="37" t="s">
        <v>41</v>
      </c>
      <c r="AT3" s="37" t="s">
        <v>42</v>
      </c>
      <c r="AU3" s="37" t="s">
        <v>43</v>
      </c>
      <c r="AV3" s="37" t="s">
        <v>44</v>
      </c>
      <c r="AW3" s="37" t="s">
        <v>45</v>
      </c>
      <c r="AX3" s="37" t="s">
        <v>46</v>
      </c>
      <c r="AY3" s="37" t="s">
        <v>47</v>
      </c>
      <c r="AZ3" s="57" t="s">
        <v>48</v>
      </c>
      <c r="BA3" s="57" t="s">
        <v>49</v>
      </c>
      <c r="BB3" s="57" t="s">
        <v>50</v>
      </c>
      <c r="BC3" s="57" t="s">
        <v>51</v>
      </c>
      <c r="BD3" s="57" t="s">
        <v>52</v>
      </c>
      <c r="BE3" s="57" t="s">
        <v>53</v>
      </c>
      <c r="BF3" s="57" t="s">
        <v>54</v>
      </c>
      <c r="BG3" s="57" t="s">
        <v>55</v>
      </c>
      <c r="BH3" s="57" t="s">
        <v>56</v>
      </c>
      <c r="BI3" s="57" t="s">
        <v>57</v>
      </c>
      <c r="BJ3" s="57" t="s">
        <v>58</v>
      </c>
      <c r="BK3" s="57" t="s">
        <v>59</v>
      </c>
      <c r="BL3" s="57" t="s">
        <v>60</v>
      </c>
      <c r="BM3" s="57" t="s">
        <v>61</v>
      </c>
      <c r="BN3" s="57" t="s">
        <v>62</v>
      </c>
      <c r="BO3" s="57" t="s">
        <v>63</v>
      </c>
      <c r="BP3" s="57" t="s">
        <v>64</v>
      </c>
      <c r="BQ3" s="57" t="s">
        <v>65</v>
      </c>
      <c r="BR3" s="57" t="s">
        <v>66</v>
      </c>
      <c r="BS3" s="57" t="s">
        <v>67</v>
      </c>
      <c r="BT3" s="57" t="s">
        <v>68</v>
      </c>
      <c r="BU3" s="57" t="s">
        <v>69</v>
      </c>
      <c r="BV3" s="57" t="s">
        <v>70</v>
      </c>
      <c r="BW3" s="57" t="s">
        <v>71</v>
      </c>
      <c r="BX3" s="57" t="s">
        <v>72</v>
      </c>
      <c r="BY3" s="57" t="s">
        <v>73</v>
      </c>
      <c r="BZ3" s="57" t="s">
        <v>74</v>
      </c>
      <c r="CA3" s="57" t="s">
        <v>75</v>
      </c>
      <c r="CB3" s="57" t="s">
        <v>76</v>
      </c>
      <c r="CC3" s="57" t="s">
        <v>77</v>
      </c>
      <c r="CD3" s="57" t="s">
        <v>78</v>
      </c>
      <c r="CE3" s="57" t="s">
        <v>79</v>
      </c>
      <c r="CF3" s="57" t="s">
        <v>80</v>
      </c>
      <c r="CG3" s="57" t="s">
        <v>81</v>
      </c>
      <c r="CH3" s="57" t="s">
        <v>82</v>
      </c>
      <c r="CI3" s="57" t="s">
        <v>83</v>
      </c>
      <c r="CJ3" s="57" t="s">
        <v>84</v>
      </c>
      <c r="CK3" s="57" t="s">
        <v>85</v>
      </c>
      <c r="CL3" s="57" t="s">
        <v>86</v>
      </c>
      <c r="CM3" s="57" t="s">
        <v>87</v>
      </c>
      <c r="CN3" s="57" t="s">
        <v>88</v>
      </c>
      <c r="CO3" s="57" t="s">
        <v>89</v>
      </c>
      <c r="CP3" s="57" t="s">
        <v>90</v>
      </c>
      <c r="CQ3" s="57" t="s">
        <v>91</v>
      </c>
      <c r="CR3" s="57" t="s">
        <v>92</v>
      </c>
      <c r="CS3" s="57" t="s">
        <v>93</v>
      </c>
      <c r="CT3" s="57" t="s">
        <v>94</v>
      </c>
      <c r="CU3" s="57" t="s">
        <v>95</v>
      </c>
      <c r="CV3" s="57" t="s">
        <v>96</v>
      </c>
      <c r="CW3" s="57" t="s">
        <v>97</v>
      </c>
      <c r="CX3" s="57" t="s">
        <v>98</v>
      </c>
      <c r="CY3" s="57" t="s">
        <v>99</v>
      </c>
      <c r="CZ3" s="57" t="s">
        <v>100</v>
      </c>
      <c r="DA3" s="57" t="s">
        <v>101</v>
      </c>
      <c r="DB3" s="57" t="s">
        <v>102</v>
      </c>
      <c r="DC3" s="57" t="s">
        <v>103</v>
      </c>
      <c r="DD3" s="57" t="s">
        <v>104</v>
      </c>
      <c r="DE3" s="57" t="s">
        <v>105</v>
      </c>
      <c r="DF3" s="57" t="s">
        <v>106</v>
      </c>
      <c r="DG3" s="57" t="s">
        <v>107</v>
      </c>
      <c r="DH3" s="57" t="s">
        <v>108</v>
      </c>
      <c r="DI3" s="57" t="s">
        <v>109</v>
      </c>
      <c r="DJ3" s="57" t="s">
        <v>110</v>
      </c>
      <c r="DK3" s="57" t="s">
        <v>111</v>
      </c>
      <c r="DL3" s="57" t="s">
        <v>112</v>
      </c>
      <c r="DM3" s="57" t="s">
        <v>113</v>
      </c>
      <c r="DN3" s="57" t="s">
        <v>114</v>
      </c>
      <c r="DO3" s="57" t="s">
        <v>115</v>
      </c>
      <c r="DP3" s="57" t="s">
        <v>116</v>
      </c>
      <c r="DQ3" s="57" t="s">
        <v>117</v>
      </c>
      <c r="DR3" s="57" t="s">
        <v>118</v>
      </c>
      <c r="DS3" s="57" t="s">
        <v>119</v>
      </c>
      <c r="DT3" s="57" t="s">
        <v>120</v>
      </c>
      <c r="DU3" s="57" t="s">
        <v>121</v>
      </c>
      <c r="DV3" s="57" t="s">
        <v>122</v>
      </c>
      <c r="DW3" s="57" t="s">
        <v>123</v>
      </c>
      <c r="DX3" s="57" t="s">
        <v>124</v>
      </c>
      <c r="DY3" s="57" t="s">
        <v>145</v>
      </c>
      <c r="DZ3" s="57" t="s">
        <v>148</v>
      </c>
      <c r="EA3" s="57" t="s">
        <v>149</v>
      </c>
      <c r="EB3" s="57" t="s">
        <v>146</v>
      </c>
      <c r="EC3" s="57" t="s">
        <v>147</v>
      </c>
      <c r="ED3" s="57" t="s">
        <v>150</v>
      </c>
      <c r="EE3" s="57" t="s">
        <v>152</v>
      </c>
      <c r="EF3" s="57" t="s">
        <v>153</v>
      </c>
      <c r="EG3" s="57" t="s">
        <v>154</v>
      </c>
      <c r="EH3" s="57" t="s">
        <v>155</v>
      </c>
      <c r="EI3" s="57" t="s">
        <v>156</v>
      </c>
      <c r="EJ3" s="57" t="s">
        <v>157</v>
      </c>
      <c r="EK3" s="57" t="s">
        <v>158</v>
      </c>
      <c r="EL3" s="57" t="s">
        <v>159</v>
      </c>
      <c r="EM3" s="57" t="s">
        <v>160</v>
      </c>
      <c r="EN3" s="57" t="s">
        <v>161</v>
      </c>
      <c r="EO3" s="57" t="s">
        <v>162</v>
      </c>
      <c r="EP3" s="57" t="s">
        <v>163</v>
      </c>
      <c r="EQ3" s="57" t="s">
        <v>372</v>
      </c>
      <c r="ER3" s="57" t="s">
        <v>164</v>
      </c>
      <c r="ES3" s="57" t="s">
        <v>165</v>
      </c>
      <c r="ET3" s="57" t="s">
        <v>166</v>
      </c>
      <c r="EU3" s="57" t="s">
        <v>167</v>
      </c>
      <c r="EV3" s="57" t="s">
        <v>168</v>
      </c>
      <c r="EW3" s="57" t="s">
        <v>169</v>
      </c>
      <c r="EX3" s="57" t="s">
        <v>170</v>
      </c>
      <c r="EY3" s="57" t="s">
        <v>171</v>
      </c>
      <c r="EZ3" s="57" t="s">
        <v>172</v>
      </c>
      <c r="FA3" s="57" t="s">
        <v>173</v>
      </c>
      <c r="FB3" s="57" t="s">
        <v>174</v>
      </c>
      <c r="FC3" s="57" t="s">
        <v>175</v>
      </c>
      <c r="FD3" s="57" t="s">
        <v>176</v>
      </c>
      <c r="FE3" s="57" t="s">
        <v>371</v>
      </c>
      <c r="FF3" s="57" t="s">
        <v>177</v>
      </c>
      <c r="FG3" s="57" t="s">
        <v>245</v>
      </c>
      <c r="FH3" s="57" t="s">
        <v>246</v>
      </c>
      <c r="FI3" s="57" t="s">
        <v>248</v>
      </c>
    </row>
    <row r="4" spans="1:165" x14ac:dyDescent="0.25">
      <c r="A4" s="53">
        <v>40347</v>
      </c>
      <c r="B4" s="53" t="s">
        <v>133</v>
      </c>
      <c r="C4" s="53" t="s">
        <v>131</v>
      </c>
      <c r="D4" s="53" t="s">
        <v>287</v>
      </c>
      <c r="E4" s="54">
        <v>6671</v>
      </c>
      <c r="F4" s="58">
        <v>1</v>
      </c>
      <c r="G4" s="59" t="s">
        <v>286</v>
      </c>
      <c r="H4" s="6">
        <v>0</v>
      </c>
      <c r="I4" s="6">
        <v>0</v>
      </c>
      <c r="J4" s="60">
        <f>4+2/3</f>
        <v>4.666666666666667</v>
      </c>
      <c r="K4" s="6">
        <v>4</v>
      </c>
      <c r="L4" s="6">
        <v>1</v>
      </c>
      <c r="M4" s="6">
        <v>1</v>
      </c>
      <c r="N4" s="6">
        <v>0</v>
      </c>
      <c r="O4" s="6">
        <v>2</v>
      </c>
      <c r="P4" s="6">
        <v>0</v>
      </c>
      <c r="Q4" s="6">
        <v>0</v>
      </c>
      <c r="R4" s="6">
        <v>18</v>
      </c>
      <c r="S4" s="6"/>
      <c r="T4" s="6"/>
      <c r="U4" s="6">
        <v>0</v>
      </c>
      <c r="V4" s="61">
        <v>0</v>
      </c>
      <c r="W4" s="62">
        <v>0</v>
      </c>
      <c r="X4" s="62">
        <v>1</v>
      </c>
      <c r="Y4" s="62">
        <v>0</v>
      </c>
      <c r="Z4" s="62">
        <v>0</v>
      </c>
      <c r="AA4" s="62">
        <v>0</v>
      </c>
      <c r="AB4" s="63">
        <f>3+1/3</f>
        <v>3.3333333333333335</v>
      </c>
      <c r="AC4" s="62">
        <v>7</v>
      </c>
      <c r="AD4" s="62">
        <v>4</v>
      </c>
      <c r="AE4" s="62">
        <v>2</v>
      </c>
      <c r="AF4" s="62">
        <v>0</v>
      </c>
      <c r="AG4" s="62">
        <v>2</v>
      </c>
      <c r="AH4" s="62">
        <v>0</v>
      </c>
      <c r="AI4" s="62">
        <v>0</v>
      </c>
      <c r="AJ4" s="62">
        <v>15</v>
      </c>
      <c r="AK4" s="62"/>
      <c r="AL4" s="62"/>
      <c r="AM4" s="1" t="s">
        <v>282</v>
      </c>
      <c r="AN4" s="78">
        <v>4</v>
      </c>
      <c r="AO4" s="78">
        <v>1</v>
      </c>
      <c r="AP4" s="78">
        <v>2</v>
      </c>
      <c r="AQ4" s="78">
        <v>1</v>
      </c>
      <c r="AR4" s="78">
        <v>0</v>
      </c>
      <c r="AS4" s="78">
        <v>0</v>
      </c>
      <c r="AT4" s="78">
        <v>0</v>
      </c>
      <c r="AU4" s="78">
        <v>0</v>
      </c>
      <c r="AV4" s="76">
        <v>5</v>
      </c>
      <c r="AW4" s="1" t="s">
        <v>417</v>
      </c>
      <c r="AX4" s="78">
        <v>4</v>
      </c>
      <c r="AY4" s="78">
        <v>0</v>
      </c>
      <c r="AZ4" s="78">
        <v>0</v>
      </c>
      <c r="BA4" s="78">
        <v>0</v>
      </c>
      <c r="BB4" s="78">
        <v>0</v>
      </c>
      <c r="BC4" s="78">
        <v>0</v>
      </c>
      <c r="BD4" s="78">
        <v>0</v>
      </c>
      <c r="BE4" s="78">
        <v>0</v>
      </c>
      <c r="BF4" s="76">
        <v>0</v>
      </c>
      <c r="BG4" s="1" t="s">
        <v>284</v>
      </c>
      <c r="BH4" s="78">
        <v>3</v>
      </c>
      <c r="BI4" s="78">
        <v>1</v>
      </c>
      <c r="BJ4" s="78">
        <v>1</v>
      </c>
      <c r="BK4" s="78">
        <v>0</v>
      </c>
      <c r="BL4" s="78">
        <v>1</v>
      </c>
      <c r="BM4" s="78">
        <v>0</v>
      </c>
      <c r="BN4" s="78">
        <v>0</v>
      </c>
      <c r="BO4" s="78">
        <v>0</v>
      </c>
      <c r="BP4" s="76">
        <v>2</v>
      </c>
      <c r="BQ4" s="1" t="s">
        <v>418</v>
      </c>
      <c r="BR4" s="78">
        <v>3</v>
      </c>
      <c r="BS4" s="78">
        <v>0</v>
      </c>
      <c r="BT4" s="78">
        <v>0</v>
      </c>
      <c r="BU4" s="78">
        <v>0</v>
      </c>
      <c r="BV4" s="78">
        <v>1</v>
      </c>
      <c r="BW4" s="78">
        <v>0</v>
      </c>
      <c r="BX4" s="78">
        <v>0</v>
      </c>
      <c r="BY4" s="78">
        <v>0</v>
      </c>
      <c r="BZ4" s="76">
        <v>0</v>
      </c>
      <c r="CA4" s="1" t="s">
        <v>291</v>
      </c>
      <c r="CB4" s="78">
        <v>3</v>
      </c>
      <c r="CC4" s="78">
        <v>0</v>
      </c>
      <c r="CD4" s="78">
        <v>0</v>
      </c>
      <c r="CE4" s="78">
        <v>1</v>
      </c>
      <c r="CF4" s="78">
        <v>1</v>
      </c>
      <c r="CG4" s="78">
        <v>2</v>
      </c>
      <c r="CH4" s="78">
        <v>0</v>
      </c>
      <c r="CI4" s="78">
        <v>0</v>
      </c>
      <c r="CJ4" s="76">
        <v>0</v>
      </c>
      <c r="CK4" s="1" t="s">
        <v>424</v>
      </c>
      <c r="CL4" s="78">
        <v>4</v>
      </c>
      <c r="CM4" s="78">
        <v>0</v>
      </c>
      <c r="CN4" s="78">
        <v>0</v>
      </c>
      <c r="CO4" s="78">
        <v>0</v>
      </c>
      <c r="CP4" s="78">
        <v>0</v>
      </c>
      <c r="CQ4" s="78">
        <v>1</v>
      </c>
      <c r="CR4" s="78">
        <v>0</v>
      </c>
      <c r="CS4" s="78">
        <v>0</v>
      </c>
      <c r="CT4" s="76">
        <v>0</v>
      </c>
      <c r="CU4" s="1" t="s">
        <v>416</v>
      </c>
      <c r="CV4" s="78">
        <v>4</v>
      </c>
      <c r="CW4" s="78">
        <v>0</v>
      </c>
      <c r="CX4" s="78">
        <v>0</v>
      </c>
      <c r="CY4" s="78">
        <v>0</v>
      </c>
      <c r="CZ4" s="78">
        <v>0</v>
      </c>
      <c r="DA4" s="78">
        <v>0</v>
      </c>
      <c r="DB4" s="78">
        <v>0</v>
      </c>
      <c r="DC4" s="78">
        <v>0</v>
      </c>
      <c r="DD4" s="76">
        <v>0</v>
      </c>
      <c r="DE4" s="1" t="s">
        <v>423</v>
      </c>
      <c r="DF4" s="78">
        <v>3</v>
      </c>
      <c r="DG4" s="78">
        <v>0</v>
      </c>
      <c r="DH4" s="78">
        <v>0</v>
      </c>
      <c r="DI4" s="78">
        <v>0</v>
      </c>
      <c r="DJ4" s="78">
        <v>0</v>
      </c>
      <c r="DK4" s="78">
        <v>1</v>
      </c>
      <c r="DL4" s="78">
        <v>0</v>
      </c>
      <c r="DM4" s="78">
        <v>0</v>
      </c>
      <c r="DN4" s="76">
        <v>0</v>
      </c>
      <c r="DO4" s="1" t="s">
        <v>419</v>
      </c>
      <c r="DP4" s="78">
        <v>2</v>
      </c>
      <c r="DQ4" s="78">
        <v>0</v>
      </c>
      <c r="DR4" s="78">
        <v>0</v>
      </c>
      <c r="DS4" s="78">
        <v>0</v>
      </c>
      <c r="DT4" s="78">
        <v>0</v>
      </c>
      <c r="DU4" s="78">
        <v>0</v>
      </c>
      <c r="DV4" s="78">
        <v>1</v>
      </c>
      <c r="DW4" s="78">
        <v>0</v>
      </c>
      <c r="DX4" s="76">
        <v>0</v>
      </c>
      <c r="DY4" s="77">
        <v>6</v>
      </c>
      <c r="DZ4" s="43">
        <v>2</v>
      </c>
      <c r="EA4" s="43">
        <v>0</v>
      </c>
      <c r="EB4" s="45">
        <v>3</v>
      </c>
      <c r="EC4" s="43">
        <v>0</v>
      </c>
      <c r="ED4" s="44">
        <v>0</v>
      </c>
      <c r="EE4" s="71">
        <v>0</v>
      </c>
      <c r="EF4" s="43">
        <v>0</v>
      </c>
      <c r="EG4" s="43">
        <v>0</v>
      </c>
      <c r="EH4" s="43">
        <v>0</v>
      </c>
      <c r="EI4" s="43">
        <v>0</v>
      </c>
      <c r="EJ4" s="43">
        <v>1</v>
      </c>
      <c r="EK4" s="43">
        <v>0</v>
      </c>
      <c r="EL4" s="43">
        <v>0</v>
      </c>
      <c r="EM4" s="43">
        <v>1</v>
      </c>
      <c r="EN4" s="43"/>
      <c r="EO4" s="43"/>
      <c r="EP4" s="43"/>
      <c r="EQ4" s="43"/>
      <c r="ER4" s="44">
        <f t="shared" ref="ER4:ER35" si="0">SUM(EE4:EQ4)</f>
        <v>2</v>
      </c>
      <c r="ES4" s="43">
        <v>0</v>
      </c>
      <c r="ET4" s="43">
        <v>1</v>
      </c>
      <c r="EU4" s="43">
        <v>0</v>
      </c>
      <c r="EV4" s="43">
        <v>0</v>
      </c>
      <c r="EW4" s="43">
        <v>0</v>
      </c>
      <c r="EX4" s="43">
        <v>4</v>
      </c>
      <c r="EY4" s="43">
        <v>0</v>
      </c>
      <c r="EZ4" s="43">
        <v>0</v>
      </c>
      <c r="FA4" s="43"/>
      <c r="FB4" s="43"/>
      <c r="FC4" s="43"/>
      <c r="FD4" s="43"/>
      <c r="FE4" s="43"/>
      <c r="FF4" s="43">
        <f t="shared" ref="FF4:FF35" si="1">SUM(ES4:FE4)</f>
        <v>5</v>
      </c>
      <c r="FG4" s="73">
        <f t="shared" ref="FG4:FG19" si="2">((SUM(L4,AD4))-(FF4))</f>
        <v>0</v>
      </c>
      <c r="FH4" s="73">
        <f t="shared" ref="FH4:FH19" si="3">((SUM(AO4,AY4,BI4,BS4,CC4,CM4,CW4,DG4,DQ4))-(ER4))</f>
        <v>0</v>
      </c>
      <c r="FI4" s="38"/>
    </row>
    <row r="5" spans="1:165" x14ac:dyDescent="0.25">
      <c r="A5" s="53">
        <v>40348</v>
      </c>
      <c r="B5" s="53" t="s">
        <v>133</v>
      </c>
      <c r="C5" s="53" t="s">
        <v>129</v>
      </c>
      <c r="D5" s="53" t="s">
        <v>287</v>
      </c>
      <c r="E5" s="54">
        <v>6595</v>
      </c>
      <c r="F5" s="58">
        <v>2</v>
      </c>
      <c r="G5" s="59" t="s">
        <v>414</v>
      </c>
      <c r="H5" s="6">
        <v>1</v>
      </c>
      <c r="I5" s="6">
        <v>0</v>
      </c>
      <c r="J5" s="60">
        <f>5+1/3</f>
        <v>5.333333333333333</v>
      </c>
      <c r="K5" s="6">
        <v>3</v>
      </c>
      <c r="L5" s="6">
        <v>1</v>
      </c>
      <c r="M5" s="6">
        <v>1</v>
      </c>
      <c r="N5" s="6">
        <v>5</v>
      </c>
      <c r="O5" s="6">
        <v>2</v>
      </c>
      <c r="P5" s="6">
        <v>0</v>
      </c>
      <c r="Q5" s="6">
        <v>0</v>
      </c>
      <c r="R5" s="6">
        <v>22</v>
      </c>
      <c r="S5" s="6"/>
      <c r="T5" s="6"/>
      <c r="U5" s="6">
        <v>1</v>
      </c>
      <c r="V5" s="61">
        <v>0</v>
      </c>
      <c r="W5" s="62">
        <v>0</v>
      </c>
      <c r="X5" s="62">
        <v>0</v>
      </c>
      <c r="Y5" s="62">
        <v>1</v>
      </c>
      <c r="Z5" s="62">
        <v>0</v>
      </c>
      <c r="AA5" s="62">
        <v>0</v>
      </c>
      <c r="AB5" s="63">
        <f>3+2/3</f>
        <v>3.6666666666666665</v>
      </c>
      <c r="AC5" s="62">
        <v>2</v>
      </c>
      <c r="AD5" s="62">
        <v>4</v>
      </c>
      <c r="AE5" s="62">
        <v>4</v>
      </c>
      <c r="AF5" s="62">
        <v>3</v>
      </c>
      <c r="AG5" s="62">
        <v>6</v>
      </c>
      <c r="AH5" s="62">
        <v>0</v>
      </c>
      <c r="AI5" s="62">
        <v>1</v>
      </c>
      <c r="AJ5" s="62">
        <v>18</v>
      </c>
      <c r="AK5" s="62"/>
      <c r="AL5" s="62"/>
      <c r="AM5" s="1" t="s">
        <v>282</v>
      </c>
      <c r="AN5" s="78">
        <v>3</v>
      </c>
      <c r="AO5" s="78">
        <v>0</v>
      </c>
      <c r="AP5" s="78">
        <v>0</v>
      </c>
      <c r="AQ5" s="78">
        <v>1</v>
      </c>
      <c r="AR5" s="78">
        <v>1</v>
      </c>
      <c r="AS5" s="78">
        <v>2</v>
      </c>
      <c r="AT5" s="78">
        <v>0</v>
      </c>
      <c r="AU5" s="78">
        <v>1</v>
      </c>
      <c r="AV5" s="76">
        <v>0</v>
      </c>
      <c r="AW5" s="1" t="s">
        <v>417</v>
      </c>
      <c r="AX5" s="78">
        <v>3</v>
      </c>
      <c r="AY5" s="78">
        <v>0</v>
      </c>
      <c r="AZ5" s="78">
        <v>1</v>
      </c>
      <c r="BA5" s="78">
        <v>0</v>
      </c>
      <c r="BB5" s="78">
        <v>2</v>
      </c>
      <c r="BC5" s="78">
        <v>0</v>
      </c>
      <c r="BD5" s="78">
        <v>0</v>
      </c>
      <c r="BE5" s="78">
        <v>0</v>
      </c>
      <c r="BF5" s="76">
        <v>1</v>
      </c>
      <c r="BG5" s="1" t="s">
        <v>284</v>
      </c>
      <c r="BH5" s="78">
        <v>4</v>
      </c>
      <c r="BI5" s="78">
        <v>1</v>
      </c>
      <c r="BJ5" s="78">
        <v>2</v>
      </c>
      <c r="BK5" s="78">
        <v>2</v>
      </c>
      <c r="BL5" s="78">
        <v>1</v>
      </c>
      <c r="BM5" s="78">
        <v>1</v>
      </c>
      <c r="BN5" s="78">
        <v>0</v>
      </c>
      <c r="BO5" s="78">
        <v>0</v>
      </c>
      <c r="BP5" s="76">
        <v>3</v>
      </c>
      <c r="BQ5" s="1" t="s">
        <v>422</v>
      </c>
      <c r="BR5" s="78">
        <v>4</v>
      </c>
      <c r="BS5" s="78">
        <v>1</v>
      </c>
      <c r="BT5" s="78">
        <v>0</v>
      </c>
      <c r="BU5" s="78">
        <v>0</v>
      </c>
      <c r="BV5" s="78">
        <v>1</v>
      </c>
      <c r="BW5" s="78">
        <v>0</v>
      </c>
      <c r="BX5" s="78">
        <v>0</v>
      </c>
      <c r="BY5" s="78">
        <v>0</v>
      </c>
      <c r="BZ5" s="76">
        <v>0</v>
      </c>
      <c r="CA5" s="1" t="s">
        <v>421</v>
      </c>
      <c r="CB5" s="78">
        <v>4</v>
      </c>
      <c r="CC5" s="78">
        <v>0</v>
      </c>
      <c r="CD5" s="78">
        <v>2</v>
      </c>
      <c r="CE5" s="78">
        <v>2</v>
      </c>
      <c r="CF5" s="78">
        <v>1</v>
      </c>
      <c r="CG5" s="78">
        <v>0</v>
      </c>
      <c r="CH5" s="78">
        <v>0</v>
      </c>
      <c r="CI5" s="78">
        <v>0</v>
      </c>
      <c r="CJ5" s="76">
        <v>2</v>
      </c>
      <c r="CK5" s="1" t="s">
        <v>425</v>
      </c>
      <c r="CL5" s="78">
        <v>5</v>
      </c>
      <c r="CM5" s="78">
        <v>2</v>
      </c>
      <c r="CN5" s="78">
        <v>2</v>
      </c>
      <c r="CO5" s="78">
        <v>0</v>
      </c>
      <c r="CP5" s="78">
        <v>0</v>
      </c>
      <c r="CQ5" s="78">
        <v>0</v>
      </c>
      <c r="CR5" s="78">
        <v>0</v>
      </c>
      <c r="CS5" s="78">
        <v>0</v>
      </c>
      <c r="CT5" s="76">
        <v>4</v>
      </c>
      <c r="CU5" s="1" t="s">
        <v>416</v>
      </c>
      <c r="CV5" s="78">
        <v>3</v>
      </c>
      <c r="CW5" s="78">
        <v>1</v>
      </c>
      <c r="CX5" s="78">
        <v>1</v>
      </c>
      <c r="CY5" s="78">
        <v>0</v>
      </c>
      <c r="CZ5" s="78">
        <v>2</v>
      </c>
      <c r="DA5" s="78">
        <v>0</v>
      </c>
      <c r="DB5" s="78">
        <v>0</v>
      </c>
      <c r="DC5" s="78">
        <v>0</v>
      </c>
      <c r="DD5" s="76">
        <v>1</v>
      </c>
      <c r="DE5" s="1" t="s">
        <v>423</v>
      </c>
      <c r="DF5" s="78">
        <v>3</v>
      </c>
      <c r="DG5" s="78">
        <v>0</v>
      </c>
      <c r="DH5" s="78">
        <v>2</v>
      </c>
      <c r="DI5" s="78">
        <v>1</v>
      </c>
      <c r="DJ5" s="78">
        <v>2</v>
      </c>
      <c r="DK5" s="78">
        <v>0</v>
      </c>
      <c r="DL5" s="78">
        <v>0</v>
      </c>
      <c r="DM5" s="78">
        <v>0</v>
      </c>
      <c r="DN5" s="76">
        <v>2</v>
      </c>
      <c r="DO5" s="1" t="s">
        <v>415</v>
      </c>
      <c r="DP5" s="78">
        <v>5</v>
      </c>
      <c r="DQ5" s="78">
        <v>1</v>
      </c>
      <c r="DR5" s="78">
        <v>0</v>
      </c>
      <c r="DS5" s="78">
        <v>0</v>
      </c>
      <c r="DT5" s="78">
        <v>0</v>
      </c>
      <c r="DU5" s="78">
        <v>1</v>
      </c>
      <c r="DV5" s="78">
        <v>0</v>
      </c>
      <c r="DW5" s="78">
        <v>0</v>
      </c>
      <c r="DX5" s="76">
        <v>0</v>
      </c>
      <c r="DY5" s="77">
        <f>2+1/3</f>
        <v>2.3333333333333335</v>
      </c>
      <c r="DZ5" s="43">
        <v>0</v>
      </c>
      <c r="EA5" s="43">
        <v>0</v>
      </c>
      <c r="EB5" s="45">
        <f>6+2/3</f>
        <v>6.666666666666667</v>
      </c>
      <c r="EC5" s="43">
        <v>2</v>
      </c>
      <c r="ED5" s="44">
        <v>1</v>
      </c>
      <c r="EE5" s="71">
        <v>0</v>
      </c>
      <c r="EF5" s="43">
        <v>1</v>
      </c>
      <c r="EG5" s="43">
        <v>0</v>
      </c>
      <c r="EH5" s="43">
        <v>0</v>
      </c>
      <c r="EI5" s="43">
        <v>0</v>
      </c>
      <c r="EJ5" s="43">
        <v>1</v>
      </c>
      <c r="EK5" s="43">
        <v>2</v>
      </c>
      <c r="EL5" s="43">
        <v>2</v>
      </c>
      <c r="EM5" s="43">
        <v>0</v>
      </c>
      <c r="EN5" s="43"/>
      <c r="EO5" s="43"/>
      <c r="EP5" s="43"/>
      <c r="EQ5" s="43"/>
      <c r="ER5" s="44">
        <f t="shared" si="0"/>
        <v>6</v>
      </c>
      <c r="ES5" s="43">
        <v>0</v>
      </c>
      <c r="ET5" s="43">
        <v>0</v>
      </c>
      <c r="EU5" s="43">
        <v>1</v>
      </c>
      <c r="EV5" s="43">
        <v>0</v>
      </c>
      <c r="EW5" s="43">
        <v>0</v>
      </c>
      <c r="EX5" s="43">
        <v>0</v>
      </c>
      <c r="EY5" s="43">
        <v>0</v>
      </c>
      <c r="EZ5" s="43">
        <v>0</v>
      </c>
      <c r="FA5" s="43">
        <v>4</v>
      </c>
      <c r="FB5" s="43"/>
      <c r="FC5" s="43"/>
      <c r="FD5" s="43"/>
      <c r="FE5" s="43"/>
      <c r="FF5" s="43">
        <f t="shared" si="1"/>
        <v>5</v>
      </c>
      <c r="FG5" s="73">
        <f t="shared" si="2"/>
        <v>0</v>
      </c>
      <c r="FH5" s="73">
        <f t="shared" si="3"/>
        <v>0</v>
      </c>
      <c r="FI5" s="38"/>
    </row>
    <row r="6" spans="1:165" x14ac:dyDescent="0.25">
      <c r="A6" s="53">
        <v>40349</v>
      </c>
      <c r="B6" s="53" t="s">
        <v>133</v>
      </c>
      <c r="C6" s="53" t="s">
        <v>131</v>
      </c>
      <c r="D6" s="53" t="s">
        <v>287</v>
      </c>
      <c r="E6" s="54">
        <v>6498</v>
      </c>
      <c r="F6" s="58">
        <v>3</v>
      </c>
      <c r="G6" s="59" t="s">
        <v>411</v>
      </c>
      <c r="H6" s="6">
        <v>0</v>
      </c>
      <c r="I6" s="6">
        <v>1</v>
      </c>
      <c r="J6" s="60">
        <f>4+1/3</f>
        <v>4.333333333333333</v>
      </c>
      <c r="K6" s="6">
        <v>4</v>
      </c>
      <c r="L6" s="6">
        <v>2</v>
      </c>
      <c r="M6" s="6">
        <v>0</v>
      </c>
      <c r="N6" s="6">
        <v>2</v>
      </c>
      <c r="O6" s="6">
        <v>2</v>
      </c>
      <c r="P6" s="6">
        <v>0</v>
      </c>
      <c r="Q6" s="6">
        <v>0</v>
      </c>
      <c r="R6" s="6">
        <v>20</v>
      </c>
      <c r="S6" s="6"/>
      <c r="T6" s="6"/>
      <c r="U6" s="6">
        <v>1</v>
      </c>
      <c r="V6" s="61">
        <v>1</v>
      </c>
      <c r="W6" s="62">
        <v>0</v>
      </c>
      <c r="X6" s="62">
        <v>0</v>
      </c>
      <c r="Y6" s="62">
        <v>0</v>
      </c>
      <c r="Z6" s="62">
        <v>0</v>
      </c>
      <c r="AA6" s="62">
        <v>0</v>
      </c>
      <c r="AB6" s="63">
        <f>3+2/3</f>
        <v>3.6666666666666665</v>
      </c>
      <c r="AC6" s="62">
        <v>5</v>
      </c>
      <c r="AD6" s="62">
        <v>2</v>
      </c>
      <c r="AE6" s="62">
        <v>1</v>
      </c>
      <c r="AF6" s="62">
        <v>1</v>
      </c>
      <c r="AG6" s="62">
        <v>4</v>
      </c>
      <c r="AH6" s="62">
        <v>0</v>
      </c>
      <c r="AI6" s="62">
        <v>0</v>
      </c>
      <c r="AJ6" s="62">
        <v>18</v>
      </c>
      <c r="AK6" s="62"/>
      <c r="AL6" s="62"/>
      <c r="AM6" s="1" t="s">
        <v>416</v>
      </c>
      <c r="AN6" s="78">
        <v>4</v>
      </c>
      <c r="AO6" s="78">
        <v>0</v>
      </c>
      <c r="AP6" s="78">
        <v>0</v>
      </c>
      <c r="AQ6" s="78">
        <v>0</v>
      </c>
      <c r="AR6" s="78">
        <v>0</v>
      </c>
      <c r="AS6" s="78">
        <v>2</v>
      </c>
      <c r="AT6" s="78">
        <v>0</v>
      </c>
      <c r="AU6" s="78">
        <v>0</v>
      </c>
      <c r="AV6" s="76">
        <v>0</v>
      </c>
      <c r="AW6" s="1" t="s">
        <v>418</v>
      </c>
      <c r="AX6" s="78">
        <v>3</v>
      </c>
      <c r="AY6" s="78">
        <v>0</v>
      </c>
      <c r="AZ6" s="78">
        <v>2</v>
      </c>
      <c r="BA6" s="78">
        <v>0</v>
      </c>
      <c r="BB6" s="78">
        <v>1</v>
      </c>
      <c r="BC6" s="78">
        <v>0</v>
      </c>
      <c r="BD6" s="78">
        <v>0</v>
      </c>
      <c r="BE6" s="78">
        <v>0</v>
      </c>
      <c r="BF6" s="76">
        <v>2</v>
      </c>
      <c r="BG6" s="1" t="s">
        <v>284</v>
      </c>
      <c r="BH6" s="78">
        <v>3</v>
      </c>
      <c r="BI6" s="78">
        <v>0</v>
      </c>
      <c r="BJ6" s="78">
        <v>1</v>
      </c>
      <c r="BK6" s="78">
        <v>0</v>
      </c>
      <c r="BL6" s="78">
        <v>1</v>
      </c>
      <c r="BM6" s="78">
        <v>1</v>
      </c>
      <c r="BN6" s="78">
        <v>0</v>
      </c>
      <c r="BO6" s="78">
        <v>0</v>
      </c>
      <c r="BP6" s="76">
        <v>1</v>
      </c>
      <c r="BQ6" s="1" t="s">
        <v>422</v>
      </c>
      <c r="BR6" s="78">
        <v>3</v>
      </c>
      <c r="BS6" s="78">
        <v>0</v>
      </c>
      <c r="BT6" s="78">
        <v>1</v>
      </c>
      <c r="BU6" s="78">
        <v>0</v>
      </c>
      <c r="BV6" s="78">
        <v>1</v>
      </c>
      <c r="BW6" s="78">
        <v>0</v>
      </c>
      <c r="BX6" s="78">
        <v>0</v>
      </c>
      <c r="BY6" s="78">
        <v>0</v>
      </c>
      <c r="BZ6" s="76">
        <v>1</v>
      </c>
      <c r="CA6" s="1" t="s">
        <v>421</v>
      </c>
      <c r="CB6" s="78">
        <v>4</v>
      </c>
      <c r="CC6" s="78">
        <v>0</v>
      </c>
      <c r="CD6" s="78">
        <v>0</v>
      </c>
      <c r="CE6" s="78">
        <v>0</v>
      </c>
      <c r="CF6" s="78">
        <v>0</v>
      </c>
      <c r="CG6" s="78">
        <v>0</v>
      </c>
      <c r="CH6" s="78">
        <v>0</v>
      </c>
      <c r="CI6" s="78">
        <v>0</v>
      </c>
      <c r="CJ6" s="76">
        <v>0</v>
      </c>
      <c r="CK6" s="1" t="s">
        <v>424</v>
      </c>
      <c r="CL6" s="78">
        <v>4</v>
      </c>
      <c r="CM6" s="78">
        <v>0</v>
      </c>
      <c r="CN6" s="78">
        <v>2</v>
      </c>
      <c r="CO6" s="78">
        <v>0</v>
      </c>
      <c r="CP6" s="78">
        <v>0</v>
      </c>
      <c r="CQ6" s="78">
        <v>1</v>
      </c>
      <c r="CR6" s="78">
        <v>0</v>
      </c>
      <c r="CS6" s="78">
        <v>0</v>
      </c>
      <c r="CT6" s="76">
        <v>2</v>
      </c>
      <c r="CU6" s="1" t="s">
        <v>291</v>
      </c>
      <c r="CV6" s="78">
        <v>3</v>
      </c>
      <c r="CW6" s="78">
        <v>0</v>
      </c>
      <c r="CX6" s="78">
        <v>0</v>
      </c>
      <c r="CY6" s="78">
        <v>0</v>
      </c>
      <c r="CZ6" s="78">
        <v>1</v>
      </c>
      <c r="DA6" s="78">
        <v>1</v>
      </c>
      <c r="DB6" s="78">
        <v>0</v>
      </c>
      <c r="DC6" s="78">
        <v>0</v>
      </c>
      <c r="DD6" s="76">
        <v>0</v>
      </c>
      <c r="DE6" s="1" t="s">
        <v>427</v>
      </c>
      <c r="DF6" s="78">
        <v>3</v>
      </c>
      <c r="DG6" s="78">
        <v>0</v>
      </c>
      <c r="DH6" s="78">
        <v>0</v>
      </c>
      <c r="DI6" s="78">
        <v>0</v>
      </c>
      <c r="DJ6" s="78">
        <v>0</v>
      </c>
      <c r="DK6" s="78">
        <v>0</v>
      </c>
      <c r="DL6" s="78">
        <v>0</v>
      </c>
      <c r="DM6" s="78">
        <v>0</v>
      </c>
      <c r="DN6" s="76">
        <v>0</v>
      </c>
      <c r="DO6" s="1" t="s">
        <v>419</v>
      </c>
      <c r="DP6" s="78">
        <v>3</v>
      </c>
      <c r="DQ6" s="78">
        <v>0</v>
      </c>
      <c r="DR6" s="78">
        <v>1</v>
      </c>
      <c r="DS6" s="78">
        <v>0</v>
      </c>
      <c r="DT6" s="78">
        <v>0</v>
      </c>
      <c r="DU6" s="78">
        <v>2</v>
      </c>
      <c r="DV6" s="78">
        <v>0</v>
      </c>
      <c r="DW6" s="78">
        <v>0</v>
      </c>
      <c r="DX6" s="76">
        <v>1</v>
      </c>
      <c r="DY6" s="77">
        <v>2</v>
      </c>
      <c r="DZ6" s="43">
        <v>0</v>
      </c>
      <c r="EA6" s="43">
        <v>0</v>
      </c>
      <c r="EB6" s="45">
        <v>7</v>
      </c>
      <c r="EC6" s="43">
        <v>1</v>
      </c>
      <c r="ED6" s="44">
        <v>0</v>
      </c>
      <c r="EE6" s="71">
        <v>0</v>
      </c>
      <c r="EF6" s="43">
        <v>0</v>
      </c>
      <c r="EG6" s="43">
        <v>0</v>
      </c>
      <c r="EH6" s="43">
        <v>0</v>
      </c>
      <c r="EI6" s="43">
        <v>0</v>
      </c>
      <c r="EJ6" s="43">
        <v>0</v>
      </c>
      <c r="EK6" s="43">
        <v>0</v>
      </c>
      <c r="EL6" s="43">
        <v>0</v>
      </c>
      <c r="EM6" s="43">
        <v>0</v>
      </c>
      <c r="EN6" s="43"/>
      <c r="EO6" s="43"/>
      <c r="EP6" s="43"/>
      <c r="EQ6" s="43"/>
      <c r="ER6" s="44">
        <f t="shared" si="0"/>
        <v>0</v>
      </c>
      <c r="ES6" s="43">
        <v>0</v>
      </c>
      <c r="ET6" s="43">
        <v>0</v>
      </c>
      <c r="EU6" s="43">
        <v>1</v>
      </c>
      <c r="EV6" s="43">
        <v>0</v>
      </c>
      <c r="EW6" s="43">
        <v>1</v>
      </c>
      <c r="EX6" s="43">
        <v>0</v>
      </c>
      <c r="EY6" s="43">
        <v>1</v>
      </c>
      <c r="EZ6" s="43">
        <v>1</v>
      </c>
      <c r="FA6" s="43"/>
      <c r="FB6" s="43"/>
      <c r="FC6" s="43"/>
      <c r="FD6" s="43"/>
      <c r="FE6" s="43"/>
      <c r="FF6" s="43">
        <f t="shared" si="1"/>
        <v>4</v>
      </c>
      <c r="FG6" s="73">
        <f t="shared" si="2"/>
        <v>0</v>
      </c>
      <c r="FH6" s="73">
        <f t="shared" si="3"/>
        <v>0</v>
      </c>
      <c r="FI6" s="38"/>
    </row>
    <row r="7" spans="1:165" x14ac:dyDescent="0.25">
      <c r="A7" s="53">
        <v>40350</v>
      </c>
      <c r="B7" s="53" t="s">
        <v>19</v>
      </c>
      <c r="C7" s="53" t="s">
        <v>129</v>
      </c>
      <c r="D7" s="53" t="s">
        <v>289</v>
      </c>
      <c r="E7" s="54">
        <v>4785</v>
      </c>
      <c r="F7" s="58">
        <v>4</v>
      </c>
      <c r="G7" s="59" t="s">
        <v>409</v>
      </c>
      <c r="H7" s="6">
        <v>0</v>
      </c>
      <c r="I7" s="6">
        <v>0</v>
      </c>
      <c r="J7" s="60">
        <v>4</v>
      </c>
      <c r="K7" s="6">
        <v>7</v>
      </c>
      <c r="L7" s="6">
        <v>2</v>
      </c>
      <c r="M7" s="6">
        <v>2</v>
      </c>
      <c r="N7" s="6">
        <v>1</v>
      </c>
      <c r="O7" s="6">
        <v>4</v>
      </c>
      <c r="P7" s="6">
        <v>0</v>
      </c>
      <c r="Q7" s="6">
        <v>0</v>
      </c>
      <c r="R7" s="6">
        <v>21</v>
      </c>
      <c r="S7" s="6"/>
      <c r="T7" s="6"/>
      <c r="U7" s="6">
        <v>0</v>
      </c>
      <c r="V7" s="61">
        <v>0</v>
      </c>
      <c r="W7" s="62">
        <v>1</v>
      </c>
      <c r="X7" s="62">
        <v>0</v>
      </c>
      <c r="Y7" s="62">
        <v>1</v>
      </c>
      <c r="Z7" s="62">
        <v>1</v>
      </c>
      <c r="AA7" s="62">
        <v>0</v>
      </c>
      <c r="AB7" s="63">
        <v>5</v>
      </c>
      <c r="AC7" s="62">
        <v>2</v>
      </c>
      <c r="AD7" s="62">
        <v>0</v>
      </c>
      <c r="AE7" s="62">
        <v>0</v>
      </c>
      <c r="AF7" s="62">
        <v>3</v>
      </c>
      <c r="AG7" s="62">
        <v>4</v>
      </c>
      <c r="AH7" s="62">
        <v>0</v>
      </c>
      <c r="AI7" s="62">
        <v>0</v>
      </c>
      <c r="AJ7" s="62">
        <v>20</v>
      </c>
      <c r="AK7" s="62"/>
      <c r="AL7" s="62"/>
      <c r="AM7" s="1" t="s">
        <v>282</v>
      </c>
      <c r="AN7" s="78">
        <v>3</v>
      </c>
      <c r="AO7" s="78">
        <v>1</v>
      </c>
      <c r="AP7" s="78">
        <v>0</v>
      </c>
      <c r="AQ7" s="78">
        <v>0</v>
      </c>
      <c r="AR7" s="78">
        <v>2</v>
      </c>
      <c r="AS7" s="78">
        <v>0</v>
      </c>
      <c r="AT7" s="78">
        <v>0</v>
      </c>
      <c r="AU7" s="78">
        <v>0</v>
      </c>
      <c r="AV7" s="76">
        <v>0</v>
      </c>
      <c r="AW7" s="1" t="s">
        <v>417</v>
      </c>
      <c r="AX7" s="78">
        <v>4</v>
      </c>
      <c r="AY7" s="78">
        <v>2</v>
      </c>
      <c r="AZ7" s="78">
        <v>1</v>
      </c>
      <c r="BA7" s="78">
        <v>0</v>
      </c>
      <c r="BB7" s="78">
        <v>0</v>
      </c>
      <c r="BC7" s="78">
        <v>1</v>
      </c>
      <c r="BD7" s="78">
        <v>0</v>
      </c>
      <c r="BE7" s="78">
        <v>0</v>
      </c>
      <c r="BF7" s="76">
        <v>1</v>
      </c>
      <c r="BG7" s="1" t="s">
        <v>284</v>
      </c>
      <c r="BH7" s="78">
        <v>3</v>
      </c>
      <c r="BI7" s="78">
        <v>0</v>
      </c>
      <c r="BJ7" s="78">
        <v>3</v>
      </c>
      <c r="BK7" s="78">
        <v>3</v>
      </c>
      <c r="BL7" s="78">
        <v>0</v>
      </c>
      <c r="BM7" s="78">
        <v>0</v>
      </c>
      <c r="BN7" s="78">
        <v>1</v>
      </c>
      <c r="BO7" s="78">
        <v>0</v>
      </c>
      <c r="BP7" s="76">
        <v>6</v>
      </c>
      <c r="BQ7" s="1" t="s">
        <v>418</v>
      </c>
      <c r="BR7" s="78">
        <v>3</v>
      </c>
      <c r="BS7" s="78">
        <v>0</v>
      </c>
      <c r="BT7" s="78">
        <v>0</v>
      </c>
      <c r="BU7" s="78">
        <v>0</v>
      </c>
      <c r="BV7" s="78">
        <v>1</v>
      </c>
      <c r="BW7" s="78">
        <v>0</v>
      </c>
      <c r="BX7" s="78">
        <v>0</v>
      </c>
      <c r="BY7" s="78">
        <v>0</v>
      </c>
      <c r="BZ7" s="76">
        <v>0</v>
      </c>
      <c r="CA7" s="1" t="s">
        <v>291</v>
      </c>
      <c r="CB7" s="78">
        <v>4</v>
      </c>
      <c r="CC7" s="78">
        <v>0</v>
      </c>
      <c r="CD7" s="78">
        <v>0</v>
      </c>
      <c r="CE7" s="78">
        <v>0</v>
      </c>
      <c r="CF7" s="78">
        <v>0</v>
      </c>
      <c r="CG7" s="78">
        <v>1</v>
      </c>
      <c r="CH7" s="78">
        <v>0</v>
      </c>
      <c r="CI7" s="78">
        <v>0</v>
      </c>
      <c r="CJ7" s="76">
        <v>0</v>
      </c>
      <c r="CK7" s="1" t="s">
        <v>423</v>
      </c>
      <c r="CL7" s="78">
        <v>4</v>
      </c>
      <c r="CM7" s="78">
        <v>0</v>
      </c>
      <c r="CN7" s="78">
        <v>1</v>
      </c>
      <c r="CO7" s="78">
        <v>0</v>
      </c>
      <c r="CP7" s="78">
        <v>0</v>
      </c>
      <c r="CQ7" s="78">
        <v>1</v>
      </c>
      <c r="CR7" s="78">
        <v>0</v>
      </c>
      <c r="CS7" s="78">
        <v>0</v>
      </c>
      <c r="CT7" s="76">
        <v>1</v>
      </c>
      <c r="CU7" s="1" t="s">
        <v>424</v>
      </c>
      <c r="CV7" s="78">
        <v>4</v>
      </c>
      <c r="CW7" s="78">
        <v>0</v>
      </c>
      <c r="CX7" s="78">
        <v>0</v>
      </c>
      <c r="CY7" s="78">
        <v>0</v>
      </c>
      <c r="CZ7" s="78">
        <v>0</v>
      </c>
      <c r="DA7" s="78">
        <v>2</v>
      </c>
      <c r="DB7" s="78">
        <v>0</v>
      </c>
      <c r="DC7" s="78">
        <v>0</v>
      </c>
      <c r="DD7" s="76">
        <v>0</v>
      </c>
      <c r="DE7" s="1" t="s">
        <v>416</v>
      </c>
      <c r="DF7" s="78">
        <v>3</v>
      </c>
      <c r="DG7" s="78">
        <v>0</v>
      </c>
      <c r="DH7" s="78">
        <v>2</v>
      </c>
      <c r="DI7" s="78">
        <v>0</v>
      </c>
      <c r="DJ7" s="78">
        <v>1</v>
      </c>
      <c r="DK7" s="78">
        <v>0</v>
      </c>
      <c r="DL7" s="78">
        <v>0</v>
      </c>
      <c r="DM7" s="78">
        <v>0</v>
      </c>
      <c r="DN7" s="76">
        <v>4</v>
      </c>
      <c r="DO7" s="1" t="s">
        <v>415</v>
      </c>
      <c r="DP7" s="78">
        <v>3</v>
      </c>
      <c r="DQ7" s="78">
        <v>0</v>
      </c>
      <c r="DR7" s="78">
        <v>0</v>
      </c>
      <c r="DS7" s="78">
        <v>0</v>
      </c>
      <c r="DT7" s="78">
        <v>1</v>
      </c>
      <c r="DU7" s="78">
        <v>1</v>
      </c>
      <c r="DV7" s="78">
        <v>0</v>
      </c>
      <c r="DW7" s="78">
        <v>0</v>
      </c>
      <c r="DX7" s="76">
        <v>0</v>
      </c>
      <c r="DY7" s="77">
        <f>2/3</f>
        <v>0.66666666666666663</v>
      </c>
      <c r="DZ7" s="43">
        <v>1</v>
      </c>
      <c r="EA7" s="43">
        <v>0</v>
      </c>
      <c r="EB7" s="45">
        <f>7+1/3</f>
        <v>7.333333333333333</v>
      </c>
      <c r="EC7" s="43">
        <v>2</v>
      </c>
      <c r="ED7" s="44">
        <v>0</v>
      </c>
      <c r="EE7" s="71">
        <v>2</v>
      </c>
      <c r="EF7" s="43">
        <v>0</v>
      </c>
      <c r="EG7" s="43">
        <v>0</v>
      </c>
      <c r="EH7" s="43">
        <v>0</v>
      </c>
      <c r="EI7" s="43">
        <v>1</v>
      </c>
      <c r="EJ7" s="43">
        <v>0</v>
      </c>
      <c r="EK7" s="43">
        <v>0</v>
      </c>
      <c r="EL7" s="43">
        <v>0</v>
      </c>
      <c r="EM7" s="43"/>
      <c r="EN7" s="43"/>
      <c r="EO7" s="43"/>
      <c r="EP7" s="43"/>
      <c r="EQ7" s="43"/>
      <c r="ER7" s="44">
        <f t="shared" si="0"/>
        <v>3</v>
      </c>
      <c r="ES7" s="43">
        <v>0</v>
      </c>
      <c r="ET7" s="43">
        <v>2</v>
      </c>
      <c r="EU7" s="43">
        <v>0</v>
      </c>
      <c r="EV7" s="43">
        <v>0</v>
      </c>
      <c r="EW7" s="43">
        <v>0</v>
      </c>
      <c r="EX7" s="43">
        <v>0</v>
      </c>
      <c r="EY7" s="43">
        <v>0</v>
      </c>
      <c r="EZ7" s="43">
        <v>0</v>
      </c>
      <c r="FA7" s="43">
        <v>0</v>
      </c>
      <c r="FB7" s="43"/>
      <c r="FC7" s="43"/>
      <c r="FD7" s="43"/>
      <c r="FE7" s="43"/>
      <c r="FF7" s="43">
        <f t="shared" si="1"/>
        <v>2</v>
      </c>
      <c r="FG7" s="73">
        <f t="shared" si="2"/>
        <v>0</v>
      </c>
      <c r="FH7" s="73">
        <f t="shared" si="3"/>
        <v>0</v>
      </c>
      <c r="FI7" s="38" t="s">
        <v>290</v>
      </c>
    </row>
    <row r="8" spans="1:165" x14ac:dyDescent="0.25">
      <c r="A8" s="53">
        <v>40352</v>
      </c>
      <c r="B8" s="53" t="s">
        <v>19</v>
      </c>
      <c r="C8" s="53" t="s">
        <v>129</v>
      </c>
      <c r="D8" s="53" t="s">
        <v>288</v>
      </c>
      <c r="E8" s="54">
        <v>5018</v>
      </c>
      <c r="F8" s="58">
        <v>1</v>
      </c>
      <c r="G8" s="59" t="s">
        <v>286</v>
      </c>
      <c r="H8" s="6">
        <v>0</v>
      </c>
      <c r="I8" s="6">
        <v>0</v>
      </c>
      <c r="J8" s="60">
        <v>6</v>
      </c>
      <c r="K8" s="6">
        <v>3</v>
      </c>
      <c r="L8" s="6">
        <v>2</v>
      </c>
      <c r="M8" s="6">
        <v>2</v>
      </c>
      <c r="N8" s="6">
        <v>1</v>
      </c>
      <c r="O8" s="6">
        <v>2</v>
      </c>
      <c r="P8" s="6">
        <v>0</v>
      </c>
      <c r="Q8" s="6">
        <v>0</v>
      </c>
      <c r="R8" s="6">
        <v>22</v>
      </c>
      <c r="S8" s="6"/>
      <c r="T8" s="6"/>
      <c r="U8" s="6">
        <v>0</v>
      </c>
      <c r="V8" s="61">
        <v>0</v>
      </c>
      <c r="W8" s="62">
        <v>1</v>
      </c>
      <c r="X8" s="62">
        <v>0</v>
      </c>
      <c r="Y8" s="62">
        <v>0</v>
      </c>
      <c r="Z8" s="62">
        <v>1</v>
      </c>
      <c r="AA8" s="62">
        <v>0</v>
      </c>
      <c r="AB8" s="63">
        <v>3</v>
      </c>
      <c r="AC8" s="62">
        <v>0</v>
      </c>
      <c r="AD8" s="62">
        <v>0</v>
      </c>
      <c r="AE8" s="62">
        <v>0</v>
      </c>
      <c r="AF8" s="62">
        <v>1</v>
      </c>
      <c r="AG8" s="62">
        <v>4</v>
      </c>
      <c r="AH8" s="62">
        <v>0</v>
      </c>
      <c r="AI8" s="62">
        <v>0</v>
      </c>
      <c r="AJ8" s="62">
        <v>10</v>
      </c>
      <c r="AK8" s="62"/>
      <c r="AL8" s="62"/>
      <c r="AM8" s="1" t="s">
        <v>282</v>
      </c>
      <c r="AN8" s="78">
        <v>4</v>
      </c>
      <c r="AO8" s="78">
        <v>0</v>
      </c>
      <c r="AP8" s="78">
        <v>0</v>
      </c>
      <c r="AQ8" s="78">
        <v>0</v>
      </c>
      <c r="AR8" s="78">
        <v>0</v>
      </c>
      <c r="AS8" s="78">
        <v>0</v>
      </c>
      <c r="AT8" s="78">
        <v>0</v>
      </c>
      <c r="AU8" s="78">
        <v>0</v>
      </c>
      <c r="AV8" s="76">
        <v>0</v>
      </c>
      <c r="AW8" s="1" t="s">
        <v>417</v>
      </c>
      <c r="AX8" s="78">
        <v>4</v>
      </c>
      <c r="AY8" s="78">
        <v>0</v>
      </c>
      <c r="AZ8" s="78">
        <v>1</v>
      </c>
      <c r="BA8" s="78">
        <v>0</v>
      </c>
      <c r="BB8" s="78">
        <v>0</v>
      </c>
      <c r="BC8" s="78">
        <v>0</v>
      </c>
      <c r="BD8" s="78">
        <v>0</v>
      </c>
      <c r="BE8" s="78">
        <v>0</v>
      </c>
      <c r="BF8" s="76">
        <v>2</v>
      </c>
      <c r="BG8" s="1" t="s">
        <v>284</v>
      </c>
      <c r="BH8" s="78">
        <v>3</v>
      </c>
      <c r="BI8" s="78">
        <v>1</v>
      </c>
      <c r="BJ8" s="78">
        <v>0</v>
      </c>
      <c r="BK8" s="78">
        <v>0</v>
      </c>
      <c r="BL8" s="78">
        <v>0</v>
      </c>
      <c r="BM8" s="78">
        <v>1</v>
      </c>
      <c r="BN8" s="78">
        <v>1</v>
      </c>
      <c r="BO8" s="78">
        <v>0</v>
      </c>
      <c r="BP8" s="76">
        <v>0</v>
      </c>
      <c r="BQ8" s="1" t="s">
        <v>422</v>
      </c>
      <c r="BR8" s="78">
        <v>3</v>
      </c>
      <c r="BS8" s="78">
        <v>2</v>
      </c>
      <c r="BT8" s="78">
        <v>1</v>
      </c>
      <c r="BU8" s="78">
        <v>0</v>
      </c>
      <c r="BV8" s="78">
        <v>1</v>
      </c>
      <c r="BW8" s="78">
        <v>1</v>
      </c>
      <c r="BX8" s="78">
        <v>0</v>
      </c>
      <c r="BY8" s="78">
        <v>0</v>
      </c>
      <c r="BZ8" s="76">
        <v>2</v>
      </c>
      <c r="CA8" s="1" t="s">
        <v>421</v>
      </c>
      <c r="CB8" s="78">
        <v>3</v>
      </c>
      <c r="CC8" s="78">
        <v>1</v>
      </c>
      <c r="CD8" s="78">
        <v>1</v>
      </c>
      <c r="CE8" s="78">
        <v>0</v>
      </c>
      <c r="CF8" s="78">
        <v>1</v>
      </c>
      <c r="CG8" s="78">
        <v>0</v>
      </c>
      <c r="CH8" s="78">
        <v>0</v>
      </c>
      <c r="CI8" s="78">
        <v>0</v>
      </c>
      <c r="CJ8" s="76">
        <v>1</v>
      </c>
      <c r="CK8" s="1" t="s">
        <v>423</v>
      </c>
      <c r="CL8" s="78">
        <v>2</v>
      </c>
      <c r="CM8" s="78">
        <v>0</v>
      </c>
      <c r="CN8" s="78">
        <v>1</v>
      </c>
      <c r="CO8" s="78">
        <v>0</v>
      </c>
      <c r="CP8" s="78">
        <v>0</v>
      </c>
      <c r="CQ8" s="78">
        <v>0</v>
      </c>
      <c r="CR8" s="78">
        <v>0</v>
      </c>
      <c r="CS8" s="78">
        <v>0</v>
      </c>
      <c r="CT8" s="76">
        <v>1</v>
      </c>
      <c r="CU8" s="1" t="s">
        <v>426</v>
      </c>
      <c r="CV8" s="78">
        <v>3</v>
      </c>
      <c r="CW8" s="78">
        <v>1</v>
      </c>
      <c r="CX8" s="78">
        <v>1</v>
      </c>
      <c r="CY8" s="78">
        <v>3</v>
      </c>
      <c r="CZ8" s="78">
        <v>0</v>
      </c>
      <c r="DA8" s="78">
        <v>0</v>
      </c>
      <c r="DB8" s="78">
        <v>0</v>
      </c>
      <c r="DC8" s="78">
        <v>0</v>
      </c>
      <c r="DD8" s="76">
        <v>1</v>
      </c>
      <c r="DE8" s="1" t="s">
        <v>418</v>
      </c>
      <c r="DF8" s="78">
        <v>3</v>
      </c>
      <c r="DG8" s="78">
        <v>0</v>
      </c>
      <c r="DH8" s="78">
        <v>0</v>
      </c>
      <c r="DI8" s="78">
        <v>0</v>
      </c>
      <c r="DJ8" s="78">
        <v>0</v>
      </c>
      <c r="DK8" s="78">
        <v>0</v>
      </c>
      <c r="DL8" s="78">
        <v>0</v>
      </c>
      <c r="DM8" s="78">
        <v>0</v>
      </c>
      <c r="DN8" s="76">
        <v>0</v>
      </c>
      <c r="DO8" s="1" t="s">
        <v>419</v>
      </c>
      <c r="DP8" s="78">
        <v>3</v>
      </c>
      <c r="DQ8" s="78">
        <v>0</v>
      </c>
      <c r="DR8" s="78">
        <v>1</v>
      </c>
      <c r="DS8" s="78">
        <v>1</v>
      </c>
      <c r="DT8" s="78">
        <v>0</v>
      </c>
      <c r="DU8" s="78">
        <v>0</v>
      </c>
      <c r="DV8" s="78">
        <v>0</v>
      </c>
      <c r="DW8" s="78">
        <v>0</v>
      </c>
      <c r="DX8" s="76">
        <v>1</v>
      </c>
      <c r="DY8" s="77">
        <v>0</v>
      </c>
      <c r="DZ8" s="43">
        <v>0</v>
      </c>
      <c r="EA8" s="43">
        <v>0</v>
      </c>
      <c r="EB8" s="45">
        <v>8</v>
      </c>
      <c r="EC8" s="43">
        <v>1</v>
      </c>
      <c r="ED8" s="44">
        <v>0</v>
      </c>
      <c r="EE8" s="71">
        <v>0</v>
      </c>
      <c r="EF8" s="43">
        <v>1</v>
      </c>
      <c r="EG8" s="43">
        <v>0</v>
      </c>
      <c r="EH8" s="43">
        <v>0</v>
      </c>
      <c r="EI8" s="43">
        <v>0</v>
      </c>
      <c r="EJ8" s="43">
        <v>0</v>
      </c>
      <c r="EK8" s="43">
        <v>4</v>
      </c>
      <c r="EL8" s="43">
        <v>0</v>
      </c>
      <c r="EM8" s="43"/>
      <c r="EN8" s="43"/>
      <c r="EO8" s="43"/>
      <c r="EP8" s="43"/>
      <c r="EQ8" s="43"/>
      <c r="ER8" s="44">
        <f t="shared" si="0"/>
        <v>5</v>
      </c>
      <c r="ES8" s="43">
        <v>0</v>
      </c>
      <c r="ET8" s="43">
        <v>0</v>
      </c>
      <c r="EU8" s="43">
        <v>0</v>
      </c>
      <c r="EV8" s="43">
        <v>0</v>
      </c>
      <c r="EW8" s="43">
        <v>0</v>
      </c>
      <c r="EX8" s="43">
        <v>2</v>
      </c>
      <c r="EY8" s="43">
        <v>0</v>
      </c>
      <c r="EZ8" s="43">
        <v>0</v>
      </c>
      <c r="FA8" s="43">
        <v>0</v>
      </c>
      <c r="FB8" s="43"/>
      <c r="FC8" s="43"/>
      <c r="FD8" s="43"/>
      <c r="FE8" s="43"/>
      <c r="FF8" s="43">
        <f t="shared" si="1"/>
        <v>2</v>
      </c>
      <c r="FG8" s="73">
        <f t="shared" si="2"/>
        <v>0</v>
      </c>
      <c r="FH8" s="73">
        <f t="shared" si="3"/>
        <v>0</v>
      </c>
      <c r="FI8" s="38"/>
    </row>
    <row r="9" spans="1:165" x14ac:dyDescent="0.25">
      <c r="A9" s="53">
        <v>40353</v>
      </c>
      <c r="B9" s="53" t="s">
        <v>133</v>
      </c>
      <c r="C9" s="53" t="s">
        <v>131</v>
      </c>
      <c r="D9" s="53" t="s">
        <v>288</v>
      </c>
      <c r="E9" s="54">
        <v>7174</v>
      </c>
      <c r="F9" s="58">
        <v>2</v>
      </c>
      <c r="G9" s="59" t="s">
        <v>414</v>
      </c>
      <c r="H9" s="6">
        <v>0</v>
      </c>
      <c r="I9" s="6">
        <v>1</v>
      </c>
      <c r="J9" s="60">
        <v>4</v>
      </c>
      <c r="K9" s="6">
        <v>8</v>
      </c>
      <c r="L9" s="6">
        <v>6</v>
      </c>
      <c r="M9" s="6">
        <v>5</v>
      </c>
      <c r="N9" s="6">
        <v>0</v>
      </c>
      <c r="O9" s="6">
        <v>0</v>
      </c>
      <c r="P9" s="6">
        <v>0</v>
      </c>
      <c r="Q9" s="6">
        <v>0</v>
      </c>
      <c r="R9" s="6">
        <v>20</v>
      </c>
      <c r="S9" s="6"/>
      <c r="T9" s="6"/>
      <c r="U9" s="6">
        <v>2</v>
      </c>
      <c r="V9" s="61">
        <v>2</v>
      </c>
      <c r="W9" s="62">
        <v>0</v>
      </c>
      <c r="X9" s="62">
        <v>0</v>
      </c>
      <c r="Y9" s="62">
        <v>0</v>
      </c>
      <c r="Z9" s="62">
        <v>0</v>
      </c>
      <c r="AA9" s="62">
        <v>0</v>
      </c>
      <c r="AB9" s="63">
        <v>4</v>
      </c>
      <c r="AC9" s="62">
        <v>11</v>
      </c>
      <c r="AD9" s="62">
        <v>10</v>
      </c>
      <c r="AE9" s="62">
        <v>8</v>
      </c>
      <c r="AF9" s="62">
        <v>3</v>
      </c>
      <c r="AG9" s="62">
        <v>3</v>
      </c>
      <c r="AH9" s="62">
        <v>1</v>
      </c>
      <c r="AI9" s="62">
        <v>0</v>
      </c>
      <c r="AJ9" s="62">
        <v>29</v>
      </c>
      <c r="AK9" s="62"/>
      <c r="AL9" s="62"/>
      <c r="AM9" s="1" t="s">
        <v>285</v>
      </c>
      <c r="AN9" s="78">
        <v>4</v>
      </c>
      <c r="AO9" s="78">
        <v>0</v>
      </c>
      <c r="AP9" s="78">
        <v>2</v>
      </c>
      <c r="AQ9" s="78">
        <v>0</v>
      </c>
      <c r="AR9" s="78">
        <v>0</v>
      </c>
      <c r="AS9" s="78">
        <v>1</v>
      </c>
      <c r="AT9" s="78">
        <v>1</v>
      </c>
      <c r="AU9" s="78">
        <v>0</v>
      </c>
      <c r="AV9" s="76">
        <v>2</v>
      </c>
      <c r="AW9" s="1" t="s">
        <v>417</v>
      </c>
      <c r="AX9" s="78">
        <v>4</v>
      </c>
      <c r="AY9" s="78">
        <v>1</v>
      </c>
      <c r="AZ9" s="78">
        <v>1</v>
      </c>
      <c r="BA9" s="78">
        <v>0</v>
      </c>
      <c r="BB9" s="78">
        <v>1</v>
      </c>
      <c r="BC9" s="78">
        <v>0</v>
      </c>
      <c r="BD9" s="78">
        <v>0</v>
      </c>
      <c r="BE9" s="78">
        <v>0</v>
      </c>
      <c r="BF9" s="76">
        <v>1</v>
      </c>
      <c r="BG9" s="1" t="s">
        <v>284</v>
      </c>
      <c r="BH9" s="78">
        <v>4</v>
      </c>
      <c r="BI9" s="78">
        <v>1</v>
      </c>
      <c r="BJ9" s="78">
        <v>0</v>
      </c>
      <c r="BK9" s="78">
        <v>0</v>
      </c>
      <c r="BL9" s="78">
        <v>1</v>
      </c>
      <c r="BM9" s="78">
        <v>1</v>
      </c>
      <c r="BN9" s="78">
        <v>0</v>
      </c>
      <c r="BO9" s="78">
        <v>0</v>
      </c>
      <c r="BP9" s="76">
        <v>0</v>
      </c>
      <c r="BQ9" s="1" t="s">
        <v>422</v>
      </c>
      <c r="BR9" s="78">
        <v>5</v>
      </c>
      <c r="BS9" s="78">
        <v>2</v>
      </c>
      <c r="BT9" s="78">
        <v>2</v>
      </c>
      <c r="BU9" s="78">
        <v>2</v>
      </c>
      <c r="BV9" s="78">
        <v>0</v>
      </c>
      <c r="BW9" s="78">
        <v>0</v>
      </c>
      <c r="BX9" s="78">
        <v>0</v>
      </c>
      <c r="BY9" s="78">
        <v>0</v>
      </c>
      <c r="BZ9" s="76">
        <v>6</v>
      </c>
      <c r="CA9" s="1" t="s">
        <v>421</v>
      </c>
      <c r="CB9" s="78">
        <v>5</v>
      </c>
      <c r="CC9" s="78">
        <v>1</v>
      </c>
      <c r="CD9" s="78">
        <v>1</v>
      </c>
      <c r="CE9" s="78">
        <v>0</v>
      </c>
      <c r="CF9" s="78">
        <v>0</v>
      </c>
      <c r="CG9" s="78">
        <v>1</v>
      </c>
      <c r="CH9" s="78">
        <v>0</v>
      </c>
      <c r="CI9" s="78">
        <v>0</v>
      </c>
      <c r="CJ9" s="76">
        <v>1</v>
      </c>
      <c r="CK9" s="1" t="s">
        <v>418</v>
      </c>
      <c r="CL9" s="78">
        <v>5</v>
      </c>
      <c r="CM9" s="78">
        <v>0</v>
      </c>
      <c r="CN9" s="78">
        <v>1</v>
      </c>
      <c r="CO9" s="78">
        <v>1</v>
      </c>
      <c r="CP9" s="78">
        <v>0</v>
      </c>
      <c r="CQ9" s="78">
        <v>2</v>
      </c>
      <c r="CR9" s="78">
        <v>0</v>
      </c>
      <c r="CS9" s="78">
        <v>0</v>
      </c>
      <c r="CT9" s="76">
        <v>2</v>
      </c>
      <c r="CU9" s="1" t="s">
        <v>426</v>
      </c>
      <c r="CV9" s="78">
        <v>4</v>
      </c>
      <c r="CW9" s="78">
        <v>0</v>
      </c>
      <c r="CX9" s="78">
        <v>1</v>
      </c>
      <c r="CY9" s="78">
        <v>0</v>
      </c>
      <c r="CZ9" s="78">
        <v>0</v>
      </c>
      <c r="DA9" s="78">
        <v>0</v>
      </c>
      <c r="DB9" s="78">
        <v>0</v>
      </c>
      <c r="DC9" s="78">
        <v>0</v>
      </c>
      <c r="DD9" s="76">
        <v>1</v>
      </c>
      <c r="DE9" s="1" t="s">
        <v>415</v>
      </c>
      <c r="DF9" s="78">
        <v>4</v>
      </c>
      <c r="DG9" s="78">
        <v>0</v>
      </c>
      <c r="DH9" s="78">
        <v>1</v>
      </c>
      <c r="DI9" s="78">
        <v>0</v>
      </c>
      <c r="DJ9" s="78">
        <v>0</v>
      </c>
      <c r="DK9" s="78">
        <v>1</v>
      </c>
      <c r="DL9" s="78">
        <v>0</v>
      </c>
      <c r="DM9" s="78">
        <v>0</v>
      </c>
      <c r="DN9" s="76">
        <v>1</v>
      </c>
      <c r="DO9" s="1" t="s">
        <v>419</v>
      </c>
      <c r="DP9" s="78">
        <v>4</v>
      </c>
      <c r="DQ9" s="78">
        <v>0</v>
      </c>
      <c r="DR9" s="78">
        <v>0</v>
      </c>
      <c r="DS9" s="78">
        <v>0</v>
      </c>
      <c r="DT9" s="78">
        <v>0</v>
      </c>
      <c r="DU9" s="78">
        <v>2</v>
      </c>
      <c r="DV9" s="78">
        <v>0</v>
      </c>
      <c r="DW9" s="78">
        <v>0</v>
      </c>
      <c r="DX9" s="76">
        <v>0</v>
      </c>
      <c r="DY9" s="77">
        <v>6</v>
      </c>
      <c r="DZ9" s="43">
        <v>0</v>
      </c>
      <c r="EA9" s="43">
        <v>0</v>
      </c>
      <c r="EB9" s="45">
        <v>3</v>
      </c>
      <c r="EC9" s="43">
        <v>0</v>
      </c>
      <c r="ED9" s="44">
        <v>0</v>
      </c>
      <c r="EE9" s="71">
        <v>0</v>
      </c>
      <c r="EF9" s="43">
        <v>0</v>
      </c>
      <c r="EG9" s="43">
        <v>0</v>
      </c>
      <c r="EH9" s="43">
        <v>0</v>
      </c>
      <c r="EI9" s="43">
        <v>0</v>
      </c>
      <c r="EJ9" s="43">
        <v>3</v>
      </c>
      <c r="EK9" s="43">
        <v>0</v>
      </c>
      <c r="EL9" s="43">
        <v>0</v>
      </c>
      <c r="EM9" s="43">
        <v>2</v>
      </c>
      <c r="EN9" s="43"/>
      <c r="EO9" s="43"/>
      <c r="EP9" s="43"/>
      <c r="EQ9" s="43"/>
      <c r="ER9" s="44">
        <f t="shared" si="0"/>
        <v>5</v>
      </c>
      <c r="ES9" s="43">
        <v>3</v>
      </c>
      <c r="ET9" s="43">
        <v>0</v>
      </c>
      <c r="EU9" s="43">
        <v>0</v>
      </c>
      <c r="EV9" s="43">
        <v>1</v>
      </c>
      <c r="EW9" s="43">
        <v>2</v>
      </c>
      <c r="EX9" s="43">
        <v>3</v>
      </c>
      <c r="EY9" s="43">
        <v>6</v>
      </c>
      <c r="EZ9" s="43">
        <v>1</v>
      </c>
      <c r="FA9" s="43"/>
      <c r="FB9" s="43"/>
      <c r="FC9" s="43"/>
      <c r="FD9" s="43"/>
      <c r="FE9" s="43"/>
      <c r="FF9" s="43">
        <f t="shared" si="1"/>
        <v>16</v>
      </c>
      <c r="FG9" s="73">
        <f t="shared" si="2"/>
        <v>0</v>
      </c>
      <c r="FH9" s="73">
        <f t="shared" si="3"/>
        <v>0</v>
      </c>
      <c r="FI9" s="38"/>
    </row>
    <row r="10" spans="1:165" x14ac:dyDescent="0.25">
      <c r="A10" s="53">
        <v>40354</v>
      </c>
      <c r="B10" s="53" t="s">
        <v>19</v>
      </c>
      <c r="C10" s="53" t="s">
        <v>129</v>
      </c>
      <c r="D10" s="53" t="s">
        <v>288</v>
      </c>
      <c r="E10" s="54">
        <v>5351</v>
      </c>
      <c r="F10" s="58">
        <v>3</v>
      </c>
      <c r="G10" s="59" t="s">
        <v>411</v>
      </c>
      <c r="H10" s="6">
        <v>0</v>
      </c>
      <c r="I10" s="6">
        <v>0</v>
      </c>
      <c r="J10" s="60">
        <v>6</v>
      </c>
      <c r="K10" s="6">
        <v>7</v>
      </c>
      <c r="L10" s="6">
        <v>3</v>
      </c>
      <c r="M10" s="6">
        <v>3</v>
      </c>
      <c r="N10" s="6">
        <v>1</v>
      </c>
      <c r="O10" s="6">
        <v>5</v>
      </c>
      <c r="P10" s="6">
        <v>1</v>
      </c>
      <c r="Q10" s="6">
        <v>0</v>
      </c>
      <c r="R10" s="6">
        <v>24</v>
      </c>
      <c r="S10" s="6"/>
      <c r="T10" s="6"/>
      <c r="U10" s="6">
        <v>0</v>
      </c>
      <c r="V10" s="61">
        <v>0</v>
      </c>
      <c r="W10" s="62">
        <v>1</v>
      </c>
      <c r="X10" s="62">
        <v>0</v>
      </c>
      <c r="Y10" s="62">
        <v>0</v>
      </c>
      <c r="Z10" s="62">
        <v>0</v>
      </c>
      <c r="AA10" s="62">
        <v>0</v>
      </c>
      <c r="AB10" s="63">
        <v>3</v>
      </c>
      <c r="AC10" s="62">
        <v>1</v>
      </c>
      <c r="AD10" s="62">
        <v>0</v>
      </c>
      <c r="AE10" s="62">
        <v>0</v>
      </c>
      <c r="AF10" s="62">
        <v>3</v>
      </c>
      <c r="AG10" s="62">
        <v>4</v>
      </c>
      <c r="AH10" s="62">
        <v>0</v>
      </c>
      <c r="AI10" s="62">
        <v>0</v>
      </c>
      <c r="AJ10" s="62">
        <v>6</v>
      </c>
      <c r="AK10" s="62"/>
      <c r="AL10" s="62"/>
      <c r="AM10" s="1" t="s">
        <v>282</v>
      </c>
      <c r="AN10" s="78">
        <v>2</v>
      </c>
      <c r="AO10" s="78">
        <v>0</v>
      </c>
      <c r="AP10" s="78">
        <v>0</v>
      </c>
      <c r="AQ10" s="78">
        <v>0</v>
      </c>
      <c r="AR10" s="78">
        <v>1</v>
      </c>
      <c r="AS10" s="78">
        <v>0</v>
      </c>
      <c r="AT10" s="78">
        <v>0</v>
      </c>
      <c r="AU10" s="78">
        <v>0</v>
      </c>
      <c r="AV10" s="76">
        <v>0</v>
      </c>
      <c r="AW10" s="1" t="s">
        <v>417</v>
      </c>
      <c r="AX10" s="78">
        <v>3</v>
      </c>
      <c r="AY10" s="78">
        <v>1</v>
      </c>
      <c r="AZ10" s="78">
        <v>0</v>
      </c>
      <c r="BA10" s="78">
        <v>0</v>
      </c>
      <c r="BB10" s="78">
        <v>0</v>
      </c>
      <c r="BC10" s="78">
        <v>1</v>
      </c>
      <c r="BD10" s="78">
        <v>1</v>
      </c>
      <c r="BE10" s="78">
        <v>0</v>
      </c>
      <c r="BF10" s="76">
        <v>0</v>
      </c>
      <c r="BG10" s="1" t="s">
        <v>422</v>
      </c>
      <c r="BH10" s="78">
        <v>4</v>
      </c>
      <c r="BI10" s="78">
        <v>0</v>
      </c>
      <c r="BJ10" s="78">
        <v>1</v>
      </c>
      <c r="BK10" s="78">
        <v>0</v>
      </c>
      <c r="BL10" s="78">
        <v>0</v>
      </c>
      <c r="BM10" s="78">
        <v>2</v>
      </c>
      <c r="BN10" s="78">
        <v>0</v>
      </c>
      <c r="BO10" s="78">
        <v>0</v>
      </c>
      <c r="BP10" s="76">
        <v>2</v>
      </c>
      <c r="BQ10" s="1" t="s">
        <v>421</v>
      </c>
      <c r="BR10" s="78">
        <v>4</v>
      </c>
      <c r="BS10" s="78">
        <v>1</v>
      </c>
      <c r="BT10" s="78">
        <v>1</v>
      </c>
      <c r="BU10" s="78">
        <v>1</v>
      </c>
      <c r="BV10" s="78">
        <v>0</v>
      </c>
      <c r="BW10" s="78">
        <v>0</v>
      </c>
      <c r="BX10" s="78">
        <v>0</v>
      </c>
      <c r="BY10" s="78">
        <v>0</v>
      </c>
      <c r="BZ10" s="76">
        <v>1</v>
      </c>
      <c r="CA10" s="1" t="s">
        <v>420</v>
      </c>
      <c r="CB10" s="78">
        <v>4</v>
      </c>
      <c r="CC10" s="78">
        <v>0</v>
      </c>
      <c r="CD10" s="78">
        <v>0</v>
      </c>
      <c r="CE10" s="78">
        <v>0</v>
      </c>
      <c r="CF10" s="78">
        <v>0</v>
      </c>
      <c r="CG10" s="78">
        <v>2</v>
      </c>
      <c r="CH10" s="78">
        <v>0</v>
      </c>
      <c r="CI10" s="78">
        <v>0</v>
      </c>
      <c r="CJ10" s="76">
        <v>0</v>
      </c>
      <c r="CK10" s="1" t="s">
        <v>426</v>
      </c>
      <c r="CL10" s="78">
        <v>4</v>
      </c>
      <c r="CM10" s="78">
        <v>1</v>
      </c>
      <c r="CN10" s="78">
        <v>2</v>
      </c>
      <c r="CO10" s="78">
        <v>1</v>
      </c>
      <c r="CP10" s="78">
        <v>0</v>
      </c>
      <c r="CQ10" s="78">
        <v>0</v>
      </c>
      <c r="CR10" s="78">
        <v>0</v>
      </c>
      <c r="CS10" s="78">
        <v>0</v>
      </c>
      <c r="CT10" s="76">
        <v>4</v>
      </c>
      <c r="CU10" s="1" t="s">
        <v>419</v>
      </c>
      <c r="CV10" s="78">
        <v>3</v>
      </c>
      <c r="CW10" s="78">
        <v>0</v>
      </c>
      <c r="CX10" s="78">
        <v>0</v>
      </c>
      <c r="CY10" s="78">
        <v>0</v>
      </c>
      <c r="CZ10" s="78">
        <v>1</v>
      </c>
      <c r="DA10" s="78">
        <v>2</v>
      </c>
      <c r="DB10" s="78">
        <v>0</v>
      </c>
      <c r="DC10" s="78">
        <v>0</v>
      </c>
      <c r="DD10" s="76">
        <v>0</v>
      </c>
      <c r="DE10" s="1" t="s">
        <v>416</v>
      </c>
      <c r="DF10" s="78">
        <v>3</v>
      </c>
      <c r="DG10" s="78">
        <v>1</v>
      </c>
      <c r="DH10" s="78">
        <v>1</v>
      </c>
      <c r="DI10" s="78">
        <v>1</v>
      </c>
      <c r="DJ10" s="78">
        <v>1</v>
      </c>
      <c r="DK10" s="78">
        <v>1</v>
      </c>
      <c r="DL10" s="78">
        <v>0</v>
      </c>
      <c r="DM10" s="78">
        <v>0</v>
      </c>
      <c r="DN10" s="76">
        <v>1</v>
      </c>
      <c r="DO10" s="1" t="s">
        <v>415</v>
      </c>
      <c r="DP10" s="78">
        <v>4</v>
      </c>
      <c r="DQ10" s="78">
        <v>0</v>
      </c>
      <c r="DR10" s="78">
        <v>2</v>
      </c>
      <c r="DS10" s="78">
        <v>1</v>
      </c>
      <c r="DT10" s="78">
        <v>0</v>
      </c>
      <c r="DU10" s="78">
        <v>1</v>
      </c>
      <c r="DV10" s="78">
        <v>0</v>
      </c>
      <c r="DW10" s="78">
        <v>0</v>
      </c>
      <c r="DX10" s="76">
        <v>3</v>
      </c>
      <c r="DY10" s="77">
        <v>6</v>
      </c>
      <c r="DZ10" s="43">
        <v>1</v>
      </c>
      <c r="EA10" s="43">
        <v>0</v>
      </c>
      <c r="EB10" s="45">
        <f>2+2/3</f>
        <v>2.6666666666666665</v>
      </c>
      <c r="EC10" s="43">
        <v>0</v>
      </c>
      <c r="ED10" s="44">
        <v>0</v>
      </c>
      <c r="EE10" s="71">
        <v>0</v>
      </c>
      <c r="EF10" s="43">
        <v>0</v>
      </c>
      <c r="EG10" s="43">
        <v>1</v>
      </c>
      <c r="EH10" s="43">
        <v>0</v>
      </c>
      <c r="EI10" s="43">
        <v>0</v>
      </c>
      <c r="EJ10" s="43">
        <v>0</v>
      </c>
      <c r="EK10" s="43">
        <v>0</v>
      </c>
      <c r="EL10" s="43">
        <v>0</v>
      </c>
      <c r="EM10" s="43">
        <v>3</v>
      </c>
      <c r="EN10" s="43"/>
      <c r="EO10" s="43"/>
      <c r="EP10" s="43"/>
      <c r="EQ10" s="43"/>
      <c r="ER10" s="44">
        <f t="shared" si="0"/>
        <v>4</v>
      </c>
      <c r="ES10" s="43">
        <v>0</v>
      </c>
      <c r="ET10" s="43">
        <v>0</v>
      </c>
      <c r="EU10" s="43">
        <v>3</v>
      </c>
      <c r="EV10" s="43">
        <v>0</v>
      </c>
      <c r="EW10" s="43">
        <v>0</v>
      </c>
      <c r="EX10" s="43">
        <v>0</v>
      </c>
      <c r="EY10" s="43">
        <v>0</v>
      </c>
      <c r="EZ10" s="43">
        <v>0</v>
      </c>
      <c r="FA10" s="43">
        <v>0</v>
      </c>
      <c r="FB10" s="43"/>
      <c r="FC10" s="43"/>
      <c r="FD10" s="43"/>
      <c r="FE10" s="43"/>
      <c r="FF10" s="43">
        <f t="shared" si="1"/>
        <v>3</v>
      </c>
      <c r="FG10" s="73">
        <f t="shared" si="2"/>
        <v>0</v>
      </c>
      <c r="FH10" s="73">
        <f t="shared" si="3"/>
        <v>0</v>
      </c>
      <c r="FI10" s="38"/>
    </row>
    <row r="11" spans="1:165" x14ac:dyDescent="0.25">
      <c r="A11" s="53">
        <v>40355</v>
      </c>
      <c r="B11" s="53" t="s">
        <v>133</v>
      </c>
      <c r="C11" s="53" t="s">
        <v>129</v>
      </c>
      <c r="D11" s="53" t="s">
        <v>289</v>
      </c>
      <c r="E11" s="54">
        <v>7171</v>
      </c>
      <c r="F11" s="58">
        <v>4</v>
      </c>
      <c r="G11" s="59" t="s">
        <v>409</v>
      </c>
      <c r="H11" s="6">
        <v>1</v>
      </c>
      <c r="I11" s="6">
        <v>0</v>
      </c>
      <c r="J11" s="60">
        <v>6</v>
      </c>
      <c r="K11" s="6">
        <v>3</v>
      </c>
      <c r="L11" s="6">
        <v>1</v>
      </c>
      <c r="M11" s="6">
        <v>1</v>
      </c>
      <c r="N11" s="6">
        <v>1</v>
      </c>
      <c r="O11" s="6">
        <v>5</v>
      </c>
      <c r="P11" s="6">
        <v>0</v>
      </c>
      <c r="Q11" s="6">
        <v>0</v>
      </c>
      <c r="R11" s="6">
        <v>22</v>
      </c>
      <c r="S11" s="6"/>
      <c r="T11" s="6"/>
      <c r="U11" s="6">
        <v>0</v>
      </c>
      <c r="V11" s="61">
        <v>0</v>
      </c>
      <c r="W11" s="62">
        <v>0</v>
      </c>
      <c r="X11" s="62">
        <v>0</v>
      </c>
      <c r="Y11" s="62">
        <v>0</v>
      </c>
      <c r="Z11" s="62">
        <v>0</v>
      </c>
      <c r="AA11" s="62">
        <v>0</v>
      </c>
      <c r="AB11" s="63">
        <v>3</v>
      </c>
      <c r="AC11" s="62">
        <v>0</v>
      </c>
      <c r="AD11" s="62">
        <v>0</v>
      </c>
      <c r="AE11" s="62">
        <v>0</v>
      </c>
      <c r="AF11" s="62">
        <v>1</v>
      </c>
      <c r="AG11" s="62">
        <v>3</v>
      </c>
      <c r="AH11" s="62">
        <v>0</v>
      </c>
      <c r="AI11" s="62">
        <v>0</v>
      </c>
      <c r="AJ11" s="62">
        <v>10</v>
      </c>
      <c r="AK11" s="62"/>
      <c r="AL11" s="62"/>
      <c r="AM11" s="1" t="s">
        <v>282</v>
      </c>
      <c r="AN11" s="78">
        <v>5</v>
      </c>
      <c r="AO11" s="78">
        <v>2</v>
      </c>
      <c r="AP11" s="78">
        <v>2</v>
      </c>
      <c r="AQ11" s="78">
        <v>2</v>
      </c>
      <c r="AR11" s="78">
        <v>0</v>
      </c>
      <c r="AS11" s="78">
        <v>0</v>
      </c>
      <c r="AT11" s="78">
        <v>0</v>
      </c>
      <c r="AU11" s="78">
        <v>0</v>
      </c>
      <c r="AV11" s="76">
        <v>3</v>
      </c>
      <c r="AW11" s="1" t="s">
        <v>417</v>
      </c>
      <c r="AX11" s="78">
        <v>5</v>
      </c>
      <c r="AY11" s="78">
        <v>2</v>
      </c>
      <c r="AZ11" s="78">
        <v>3</v>
      </c>
      <c r="BA11" s="78">
        <v>2</v>
      </c>
      <c r="BB11" s="78">
        <v>0</v>
      </c>
      <c r="BC11" s="78">
        <v>0</v>
      </c>
      <c r="BD11" s="78">
        <v>0</v>
      </c>
      <c r="BE11" s="78">
        <v>0</v>
      </c>
      <c r="BF11" s="76">
        <v>5</v>
      </c>
      <c r="BG11" s="1" t="s">
        <v>421</v>
      </c>
      <c r="BH11" s="78">
        <v>4</v>
      </c>
      <c r="BI11" s="78">
        <v>0</v>
      </c>
      <c r="BJ11" s="78">
        <v>0</v>
      </c>
      <c r="BK11" s="78">
        <v>0</v>
      </c>
      <c r="BL11" s="78">
        <v>0</v>
      </c>
      <c r="BM11" s="78">
        <v>1</v>
      </c>
      <c r="BN11" s="78">
        <v>1</v>
      </c>
      <c r="BO11" s="78">
        <v>0</v>
      </c>
      <c r="BP11" s="76">
        <v>0</v>
      </c>
      <c r="BQ11" s="1" t="s">
        <v>420</v>
      </c>
      <c r="BR11" s="78">
        <v>5</v>
      </c>
      <c r="BS11" s="78">
        <v>1</v>
      </c>
      <c r="BT11" s="78">
        <v>2</v>
      </c>
      <c r="BU11" s="78">
        <v>1</v>
      </c>
      <c r="BV11" s="78">
        <v>0</v>
      </c>
      <c r="BW11" s="78">
        <v>1</v>
      </c>
      <c r="BX11" s="78">
        <v>0</v>
      </c>
      <c r="BY11" s="78">
        <v>0</v>
      </c>
      <c r="BZ11" s="76">
        <v>3</v>
      </c>
      <c r="CA11" s="1" t="s">
        <v>284</v>
      </c>
      <c r="CB11" s="78">
        <v>5</v>
      </c>
      <c r="CC11" s="78">
        <v>1</v>
      </c>
      <c r="CD11" s="78">
        <v>1</v>
      </c>
      <c r="CE11" s="78">
        <v>1</v>
      </c>
      <c r="CF11" s="78">
        <v>0</v>
      </c>
      <c r="CG11" s="78">
        <v>2</v>
      </c>
      <c r="CH11" s="78">
        <v>0</v>
      </c>
      <c r="CI11" s="78">
        <v>0</v>
      </c>
      <c r="CJ11" s="76">
        <v>2</v>
      </c>
      <c r="CK11" s="1" t="s">
        <v>418</v>
      </c>
      <c r="CL11" s="78">
        <v>5</v>
      </c>
      <c r="CM11" s="78">
        <v>1</v>
      </c>
      <c r="CN11" s="78">
        <v>2</v>
      </c>
      <c r="CO11" s="78">
        <v>2</v>
      </c>
      <c r="CP11" s="78">
        <v>0</v>
      </c>
      <c r="CQ11" s="78">
        <v>2</v>
      </c>
      <c r="CR11" s="78">
        <v>0</v>
      </c>
      <c r="CS11" s="78">
        <v>0</v>
      </c>
      <c r="CT11" s="76">
        <v>2</v>
      </c>
      <c r="CU11" s="1" t="s">
        <v>424</v>
      </c>
      <c r="CV11" s="78">
        <v>4</v>
      </c>
      <c r="CW11" s="78">
        <v>1</v>
      </c>
      <c r="CX11" s="78">
        <v>1</v>
      </c>
      <c r="CY11" s="78">
        <v>0</v>
      </c>
      <c r="CZ11" s="78">
        <v>0</v>
      </c>
      <c r="DA11" s="78">
        <v>2</v>
      </c>
      <c r="DB11" s="78">
        <v>0</v>
      </c>
      <c r="DC11" s="78">
        <v>0</v>
      </c>
      <c r="DD11" s="76">
        <v>1</v>
      </c>
      <c r="DE11" s="1" t="s">
        <v>416</v>
      </c>
      <c r="DF11" s="78">
        <v>4</v>
      </c>
      <c r="DG11" s="78">
        <v>0</v>
      </c>
      <c r="DH11" s="78">
        <v>1</v>
      </c>
      <c r="DI11" s="78">
        <v>0</v>
      </c>
      <c r="DJ11" s="78">
        <v>0</v>
      </c>
      <c r="DK11" s="78">
        <v>0</v>
      </c>
      <c r="DL11" s="78">
        <v>0</v>
      </c>
      <c r="DM11" s="78">
        <v>0</v>
      </c>
      <c r="DN11" s="76">
        <v>1</v>
      </c>
      <c r="DO11" s="1" t="s">
        <v>415</v>
      </c>
      <c r="DP11" s="78">
        <v>3</v>
      </c>
      <c r="DQ11" s="78">
        <v>0</v>
      </c>
      <c r="DR11" s="78">
        <v>0</v>
      </c>
      <c r="DS11" s="78">
        <v>0</v>
      </c>
      <c r="DT11" s="78">
        <v>1</v>
      </c>
      <c r="DU11" s="78">
        <v>1</v>
      </c>
      <c r="DV11" s="78">
        <v>0</v>
      </c>
      <c r="DW11" s="78">
        <v>0</v>
      </c>
      <c r="DX11" s="76">
        <v>0</v>
      </c>
      <c r="DY11" s="77">
        <v>0</v>
      </c>
      <c r="DZ11" s="43">
        <v>0</v>
      </c>
      <c r="EA11" s="43">
        <v>0</v>
      </c>
      <c r="EB11" s="45">
        <v>9</v>
      </c>
      <c r="EC11" s="43">
        <v>2</v>
      </c>
      <c r="ED11" s="44">
        <v>1</v>
      </c>
      <c r="EE11" s="71">
        <v>0</v>
      </c>
      <c r="EF11" s="43">
        <v>5</v>
      </c>
      <c r="EG11" s="43">
        <v>0</v>
      </c>
      <c r="EH11" s="43">
        <v>0</v>
      </c>
      <c r="EI11" s="43">
        <v>1</v>
      </c>
      <c r="EJ11" s="43">
        <v>0</v>
      </c>
      <c r="EK11" s="43">
        <v>0</v>
      </c>
      <c r="EL11" s="43">
        <v>0</v>
      </c>
      <c r="EM11" s="43">
        <v>2</v>
      </c>
      <c r="EN11" s="43"/>
      <c r="EO11" s="43"/>
      <c r="EP11" s="43"/>
      <c r="EQ11" s="43"/>
      <c r="ER11" s="44">
        <f t="shared" si="0"/>
        <v>8</v>
      </c>
      <c r="ES11" s="43">
        <v>0</v>
      </c>
      <c r="ET11" s="43">
        <v>0</v>
      </c>
      <c r="EU11" s="43">
        <v>0</v>
      </c>
      <c r="EV11" s="43">
        <v>0</v>
      </c>
      <c r="EW11" s="43">
        <v>0</v>
      </c>
      <c r="EX11" s="43">
        <v>1</v>
      </c>
      <c r="EY11" s="43">
        <v>0</v>
      </c>
      <c r="EZ11" s="43">
        <v>0</v>
      </c>
      <c r="FA11" s="43">
        <v>0</v>
      </c>
      <c r="FB11" s="43"/>
      <c r="FC11" s="43"/>
      <c r="FD11" s="43"/>
      <c r="FE11" s="43"/>
      <c r="FF11" s="43">
        <f t="shared" si="1"/>
        <v>1</v>
      </c>
      <c r="FG11" s="73">
        <f t="shared" si="2"/>
        <v>0</v>
      </c>
      <c r="FH11" s="73">
        <f t="shared" si="3"/>
        <v>0</v>
      </c>
      <c r="FI11" s="38"/>
    </row>
    <row r="12" spans="1:165" x14ac:dyDescent="0.25">
      <c r="A12" s="53">
        <v>40356</v>
      </c>
      <c r="B12" s="53" t="s">
        <v>133</v>
      </c>
      <c r="C12" s="53" t="s">
        <v>131</v>
      </c>
      <c r="D12" s="53" t="s">
        <v>289</v>
      </c>
      <c r="E12" s="54">
        <v>7171</v>
      </c>
      <c r="F12" s="58">
        <v>5</v>
      </c>
      <c r="G12" s="59" t="s">
        <v>413</v>
      </c>
      <c r="H12" s="6">
        <v>0</v>
      </c>
      <c r="I12" s="6">
        <v>0</v>
      </c>
      <c r="J12" s="60">
        <f>4+2/3</f>
        <v>4.666666666666667</v>
      </c>
      <c r="K12" s="6">
        <v>4</v>
      </c>
      <c r="L12" s="6">
        <v>3</v>
      </c>
      <c r="M12" s="6">
        <v>3</v>
      </c>
      <c r="N12" s="6">
        <v>1</v>
      </c>
      <c r="O12" s="6">
        <v>3</v>
      </c>
      <c r="P12" s="6">
        <v>1</v>
      </c>
      <c r="Q12" s="6">
        <v>0</v>
      </c>
      <c r="R12" s="6">
        <v>19</v>
      </c>
      <c r="S12" s="6"/>
      <c r="T12" s="6"/>
      <c r="U12" s="6">
        <v>1</v>
      </c>
      <c r="V12" s="61">
        <v>0</v>
      </c>
      <c r="W12" s="62">
        <v>0</v>
      </c>
      <c r="X12" s="62">
        <v>1</v>
      </c>
      <c r="Y12" s="62">
        <v>0</v>
      </c>
      <c r="Z12" s="62">
        <v>0</v>
      </c>
      <c r="AA12" s="62">
        <v>0</v>
      </c>
      <c r="AB12" s="63">
        <f>3+1/3</f>
        <v>3.3333333333333335</v>
      </c>
      <c r="AC12" s="62">
        <v>5</v>
      </c>
      <c r="AD12" s="62">
        <v>5</v>
      </c>
      <c r="AE12" s="62">
        <v>5</v>
      </c>
      <c r="AF12" s="62">
        <v>2</v>
      </c>
      <c r="AG12" s="62">
        <v>1</v>
      </c>
      <c r="AH12" s="62">
        <v>1</v>
      </c>
      <c r="AI12" s="62">
        <v>0</v>
      </c>
      <c r="AJ12" s="62">
        <v>16</v>
      </c>
      <c r="AK12" s="62"/>
      <c r="AL12" s="62"/>
      <c r="AM12" s="1" t="s">
        <v>285</v>
      </c>
      <c r="AN12" s="78">
        <v>4</v>
      </c>
      <c r="AO12" s="78">
        <v>1</v>
      </c>
      <c r="AP12" s="78">
        <v>2</v>
      </c>
      <c r="AQ12" s="78">
        <v>1</v>
      </c>
      <c r="AR12" s="78">
        <v>0</v>
      </c>
      <c r="AS12" s="78">
        <v>1</v>
      </c>
      <c r="AT12" s="78">
        <v>0</v>
      </c>
      <c r="AU12" s="78">
        <v>0</v>
      </c>
      <c r="AV12" s="76">
        <v>2</v>
      </c>
      <c r="AW12" s="1" t="s">
        <v>417</v>
      </c>
      <c r="AX12" s="78">
        <v>4</v>
      </c>
      <c r="AY12" s="78">
        <v>1</v>
      </c>
      <c r="AZ12" s="78">
        <v>1</v>
      </c>
      <c r="BA12" s="78">
        <v>0</v>
      </c>
      <c r="BB12" s="78">
        <v>0</v>
      </c>
      <c r="BC12" s="78">
        <v>1</v>
      </c>
      <c r="BD12" s="78">
        <v>0</v>
      </c>
      <c r="BE12" s="78">
        <v>0</v>
      </c>
      <c r="BF12" s="76">
        <v>2</v>
      </c>
      <c r="BG12" s="1" t="s">
        <v>421</v>
      </c>
      <c r="BH12" s="78">
        <v>4</v>
      </c>
      <c r="BI12" s="78">
        <v>1</v>
      </c>
      <c r="BJ12" s="78">
        <v>1</v>
      </c>
      <c r="BK12" s="78">
        <v>1</v>
      </c>
      <c r="BL12" s="78">
        <v>0</v>
      </c>
      <c r="BM12" s="78">
        <v>0</v>
      </c>
      <c r="BN12" s="78">
        <v>0</v>
      </c>
      <c r="BO12" s="78">
        <v>0</v>
      </c>
      <c r="BP12" s="76">
        <v>1</v>
      </c>
      <c r="BQ12" s="1" t="s">
        <v>420</v>
      </c>
      <c r="BR12" s="78">
        <v>4</v>
      </c>
      <c r="BS12" s="78">
        <v>1</v>
      </c>
      <c r="BT12" s="78">
        <v>2</v>
      </c>
      <c r="BU12" s="78">
        <v>1</v>
      </c>
      <c r="BV12" s="78">
        <v>0</v>
      </c>
      <c r="BW12" s="78">
        <v>1</v>
      </c>
      <c r="BX12" s="78">
        <v>0</v>
      </c>
      <c r="BY12" s="78">
        <v>0</v>
      </c>
      <c r="BZ12" s="76">
        <v>2</v>
      </c>
      <c r="CA12" s="1" t="s">
        <v>422</v>
      </c>
      <c r="CB12" s="78">
        <v>4</v>
      </c>
      <c r="CC12" s="78">
        <v>1</v>
      </c>
      <c r="CD12" s="78">
        <v>1</v>
      </c>
      <c r="CE12" s="78">
        <v>1</v>
      </c>
      <c r="CF12" s="78">
        <v>0</v>
      </c>
      <c r="CG12" s="78">
        <v>1</v>
      </c>
      <c r="CH12" s="78">
        <v>0</v>
      </c>
      <c r="CI12" s="78">
        <v>0</v>
      </c>
      <c r="CJ12" s="76">
        <v>2</v>
      </c>
      <c r="CK12" s="1" t="s">
        <v>284</v>
      </c>
      <c r="CL12" s="78">
        <v>4</v>
      </c>
      <c r="CM12" s="78">
        <v>0</v>
      </c>
      <c r="CN12" s="78">
        <v>0</v>
      </c>
      <c r="CO12" s="78">
        <v>1</v>
      </c>
      <c r="CP12" s="78">
        <v>0</v>
      </c>
      <c r="CQ12" s="78">
        <v>2</v>
      </c>
      <c r="CR12" s="78">
        <v>0</v>
      </c>
      <c r="CS12" s="78">
        <v>0</v>
      </c>
      <c r="CT12" s="76">
        <v>0</v>
      </c>
      <c r="CU12" s="1" t="s">
        <v>418</v>
      </c>
      <c r="CV12" s="78">
        <v>4</v>
      </c>
      <c r="CW12" s="78">
        <v>0</v>
      </c>
      <c r="CX12" s="78">
        <v>0</v>
      </c>
      <c r="CY12" s="78">
        <v>0</v>
      </c>
      <c r="CZ12" s="78">
        <v>0</v>
      </c>
      <c r="DA12" s="78">
        <v>1</v>
      </c>
      <c r="DB12" s="78">
        <v>0</v>
      </c>
      <c r="DC12" s="78">
        <v>0</v>
      </c>
      <c r="DD12" s="76">
        <v>0</v>
      </c>
      <c r="DE12" s="1" t="s">
        <v>426</v>
      </c>
      <c r="DF12" s="78">
        <v>3</v>
      </c>
      <c r="DG12" s="78">
        <v>0</v>
      </c>
      <c r="DH12" s="78">
        <v>0</v>
      </c>
      <c r="DI12" s="78">
        <v>0</v>
      </c>
      <c r="DJ12" s="78">
        <v>1</v>
      </c>
      <c r="DK12" s="78">
        <v>1</v>
      </c>
      <c r="DL12" s="78">
        <v>0</v>
      </c>
      <c r="DM12" s="78">
        <v>0</v>
      </c>
      <c r="DN12" s="76">
        <v>0</v>
      </c>
      <c r="DO12" s="1" t="s">
        <v>419</v>
      </c>
      <c r="DP12" s="78">
        <v>4</v>
      </c>
      <c r="DQ12" s="78">
        <v>1</v>
      </c>
      <c r="DR12" s="78">
        <v>1</v>
      </c>
      <c r="DS12" s="78">
        <v>0</v>
      </c>
      <c r="DT12" s="78">
        <v>0</v>
      </c>
      <c r="DU12" s="78">
        <v>2</v>
      </c>
      <c r="DV12" s="78">
        <v>0</v>
      </c>
      <c r="DW12" s="78">
        <v>0</v>
      </c>
      <c r="DX12" s="76">
        <v>3</v>
      </c>
      <c r="DY12" s="77">
        <v>0</v>
      </c>
      <c r="DZ12" s="43">
        <v>0</v>
      </c>
      <c r="EA12" s="43">
        <v>0</v>
      </c>
      <c r="EB12" s="45">
        <v>9</v>
      </c>
      <c r="EC12" s="43">
        <v>0</v>
      </c>
      <c r="ED12" s="44">
        <v>2</v>
      </c>
      <c r="EE12" s="71">
        <v>0</v>
      </c>
      <c r="EF12" s="43">
        <v>0</v>
      </c>
      <c r="EG12" s="43">
        <v>0</v>
      </c>
      <c r="EH12" s="43">
        <v>0</v>
      </c>
      <c r="EI12" s="43">
        <v>0</v>
      </c>
      <c r="EJ12" s="43">
        <v>6</v>
      </c>
      <c r="EK12" s="43">
        <v>0</v>
      </c>
      <c r="EL12" s="43">
        <v>0</v>
      </c>
      <c r="EM12" s="43">
        <v>0</v>
      </c>
      <c r="EN12" s="43"/>
      <c r="EO12" s="43"/>
      <c r="EP12" s="43"/>
      <c r="EQ12" s="43"/>
      <c r="ER12" s="44">
        <f t="shared" si="0"/>
        <v>6</v>
      </c>
      <c r="ES12" s="43">
        <v>1</v>
      </c>
      <c r="ET12" s="43">
        <v>0</v>
      </c>
      <c r="EU12" s="43">
        <v>0</v>
      </c>
      <c r="EV12" s="43">
        <v>2</v>
      </c>
      <c r="EW12" s="43">
        <v>0</v>
      </c>
      <c r="EX12" s="43">
        <v>3</v>
      </c>
      <c r="EY12" s="43">
        <v>0</v>
      </c>
      <c r="EZ12" s="43">
        <v>2</v>
      </c>
      <c r="FA12" s="43"/>
      <c r="FB12" s="43"/>
      <c r="FC12" s="43"/>
      <c r="FD12" s="43"/>
      <c r="FE12" s="43"/>
      <c r="FF12" s="43">
        <f t="shared" si="1"/>
        <v>8</v>
      </c>
      <c r="FG12" s="73">
        <f t="shared" si="2"/>
        <v>0</v>
      </c>
      <c r="FH12" s="73">
        <f t="shared" si="3"/>
        <v>0</v>
      </c>
      <c r="FI12" s="38"/>
    </row>
    <row r="13" spans="1:165" x14ac:dyDescent="0.25">
      <c r="A13" s="53">
        <v>40357</v>
      </c>
      <c r="B13" s="53" t="s">
        <v>133</v>
      </c>
      <c r="C13" s="53" t="s">
        <v>131</v>
      </c>
      <c r="D13" s="53" t="s">
        <v>288</v>
      </c>
      <c r="E13" s="54">
        <v>7591</v>
      </c>
      <c r="F13" s="58">
        <v>1</v>
      </c>
      <c r="G13" s="59" t="s">
        <v>286</v>
      </c>
      <c r="H13" s="6">
        <v>0</v>
      </c>
      <c r="I13" s="6">
        <v>1</v>
      </c>
      <c r="J13" s="60">
        <v>4</v>
      </c>
      <c r="K13" s="6">
        <v>9</v>
      </c>
      <c r="L13" s="6">
        <v>4</v>
      </c>
      <c r="M13" s="6">
        <v>4</v>
      </c>
      <c r="N13" s="6">
        <v>0</v>
      </c>
      <c r="O13" s="6">
        <v>6</v>
      </c>
      <c r="P13" s="6">
        <v>1</v>
      </c>
      <c r="Q13" s="6">
        <v>0</v>
      </c>
      <c r="R13" s="6">
        <v>20</v>
      </c>
      <c r="S13" s="6"/>
      <c r="T13" s="6"/>
      <c r="U13" s="6">
        <v>2</v>
      </c>
      <c r="V13" s="61">
        <v>2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63">
        <v>4</v>
      </c>
      <c r="AC13" s="62">
        <v>4</v>
      </c>
      <c r="AD13" s="62">
        <v>1</v>
      </c>
      <c r="AE13" s="62">
        <v>1</v>
      </c>
      <c r="AF13" s="62">
        <v>2</v>
      </c>
      <c r="AG13" s="62">
        <v>6</v>
      </c>
      <c r="AH13" s="62">
        <v>1</v>
      </c>
      <c r="AI13" s="62">
        <v>0</v>
      </c>
      <c r="AJ13" s="62">
        <v>17</v>
      </c>
      <c r="AK13" s="62"/>
      <c r="AL13" s="62"/>
      <c r="AM13" s="1" t="s">
        <v>282</v>
      </c>
      <c r="AN13" s="78">
        <v>5</v>
      </c>
      <c r="AO13" s="78">
        <v>0</v>
      </c>
      <c r="AP13" s="78">
        <v>3</v>
      </c>
      <c r="AQ13" s="78">
        <v>0</v>
      </c>
      <c r="AR13" s="78">
        <v>0</v>
      </c>
      <c r="AS13" s="78">
        <v>1</v>
      </c>
      <c r="AT13" s="78">
        <v>0</v>
      </c>
      <c r="AU13" s="78">
        <v>0</v>
      </c>
      <c r="AV13" s="76">
        <v>5</v>
      </c>
      <c r="AW13" s="1" t="s">
        <v>285</v>
      </c>
      <c r="AX13" s="78">
        <v>4</v>
      </c>
      <c r="AY13" s="78">
        <v>1</v>
      </c>
      <c r="AZ13" s="78">
        <v>3</v>
      </c>
      <c r="BA13" s="78">
        <v>0</v>
      </c>
      <c r="BB13" s="78">
        <v>0</v>
      </c>
      <c r="BC13" s="78">
        <v>0</v>
      </c>
      <c r="BD13" s="78">
        <v>0</v>
      </c>
      <c r="BE13" s="78">
        <v>0</v>
      </c>
      <c r="BF13" s="76">
        <v>3</v>
      </c>
      <c r="BG13" s="1" t="s">
        <v>284</v>
      </c>
      <c r="BH13" s="78">
        <v>4</v>
      </c>
      <c r="BI13" s="78">
        <v>1</v>
      </c>
      <c r="BJ13" s="78">
        <v>2</v>
      </c>
      <c r="BK13" s="78">
        <v>1</v>
      </c>
      <c r="BL13" s="78">
        <v>0</v>
      </c>
      <c r="BM13" s="78">
        <v>1</v>
      </c>
      <c r="BN13" s="78">
        <v>0</v>
      </c>
      <c r="BO13" s="78">
        <v>0</v>
      </c>
      <c r="BP13" s="76">
        <v>4</v>
      </c>
      <c r="BQ13" s="1" t="s">
        <v>420</v>
      </c>
      <c r="BR13" s="78">
        <v>4</v>
      </c>
      <c r="BS13" s="78">
        <v>0</v>
      </c>
      <c r="BT13" s="78">
        <v>1</v>
      </c>
      <c r="BU13" s="78">
        <v>1</v>
      </c>
      <c r="BV13" s="78">
        <v>0</v>
      </c>
      <c r="BW13" s="78">
        <v>0</v>
      </c>
      <c r="BX13" s="78">
        <v>0</v>
      </c>
      <c r="BY13" s="78">
        <v>0</v>
      </c>
      <c r="BZ13" s="76">
        <v>1</v>
      </c>
      <c r="CA13" s="1" t="s">
        <v>422</v>
      </c>
      <c r="CB13" s="78">
        <v>4</v>
      </c>
      <c r="CC13" s="78">
        <v>0</v>
      </c>
      <c r="CD13" s="78">
        <v>0</v>
      </c>
      <c r="CE13" s="78">
        <v>0</v>
      </c>
      <c r="CF13" s="78">
        <v>0</v>
      </c>
      <c r="CG13" s="78">
        <v>0</v>
      </c>
      <c r="CH13" s="78">
        <v>0</v>
      </c>
      <c r="CI13" s="78">
        <v>0</v>
      </c>
      <c r="CJ13" s="76">
        <v>0</v>
      </c>
      <c r="CK13" s="1" t="s">
        <v>423</v>
      </c>
      <c r="CL13" s="78">
        <v>4</v>
      </c>
      <c r="CM13" s="78">
        <v>0</v>
      </c>
      <c r="CN13" s="78">
        <v>0</v>
      </c>
      <c r="CO13" s="78">
        <v>0</v>
      </c>
      <c r="CP13" s="78">
        <v>0</v>
      </c>
      <c r="CQ13" s="78">
        <v>3</v>
      </c>
      <c r="CR13" s="78">
        <v>0</v>
      </c>
      <c r="CS13" s="78">
        <v>0</v>
      </c>
      <c r="CT13" s="76">
        <v>0</v>
      </c>
      <c r="CU13" s="1" t="s">
        <v>426</v>
      </c>
      <c r="CV13" s="78">
        <v>3</v>
      </c>
      <c r="CW13" s="78">
        <v>0</v>
      </c>
      <c r="CX13" s="78">
        <v>0</v>
      </c>
      <c r="CY13" s="78">
        <v>0</v>
      </c>
      <c r="CZ13" s="78">
        <v>1</v>
      </c>
      <c r="DA13" s="78">
        <v>1</v>
      </c>
      <c r="DB13" s="78">
        <v>0</v>
      </c>
      <c r="DC13" s="78">
        <v>0</v>
      </c>
      <c r="DD13" s="76">
        <v>0</v>
      </c>
      <c r="DE13" s="1" t="s">
        <v>416</v>
      </c>
      <c r="DF13" s="78">
        <v>4</v>
      </c>
      <c r="DG13" s="78">
        <v>0</v>
      </c>
      <c r="DH13" s="78">
        <v>1</v>
      </c>
      <c r="DI13" s="78">
        <v>0</v>
      </c>
      <c r="DJ13" s="78">
        <v>0</v>
      </c>
      <c r="DK13" s="78">
        <v>0</v>
      </c>
      <c r="DL13" s="78">
        <v>0</v>
      </c>
      <c r="DM13" s="78">
        <v>0</v>
      </c>
      <c r="DN13" s="76">
        <v>1</v>
      </c>
      <c r="DO13" s="1" t="s">
        <v>419</v>
      </c>
      <c r="DP13" s="78">
        <v>4</v>
      </c>
      <c r="DQ13" s="78">
        <v>0</v>
      </c>
      <c r="DR13" s="78">
        <v>0</v>
      </c>
      <c r="DS13" s="78">
        <v>0</v>
      </c>
      <c r="DT13" s="78">
        <v>0</v>
      </c>
      <c r="DU13" s="78">
        <v>2</v>
      </c>
      <c r="DV13" s="78">
        <v>0</v>
      </c>
      <c r="DW13" s="78">
        <v>0</v>
      </c>
      <c r="DX13" s="76">
        <v>0</v>
      </c>
      <c r="DY13" s="77">
        <v>0</v>
      </c>
      <c r="DZ13" s="43">
        <v>0</v>
      </c>
      <c r="EA13" s="43">
        <v>0</v>
      </c>
      <c r="EB13" s="45">
        <v>9</v>
      </c>
      <c r="EC13" s="43">
        <v>1</v>
      </c>
      <c r="ED13" s="44">
        <v>0</v>
      </c>
      <c r="EE13" s="71">
        <v>1</v>
      </c>
      <c r="EF13" s="43">
        <v>0</v>
      </c>
      <c r="EG13" s="43">
        <v>0</v>
      </c>
      <c r="EH13" s="43">
        <v>0</v>
      </c>
      <c r="EI13" s="43">
        <v>0</v>
      </c>
      <c r="EJ13" s="43">
        <v>0</v>
      </c>
      <c r="EK13" s="43">
        <v>0</v>
      </c>
      <c r="EL13" s="43">
        <v>1</v>
      </c>
      <c r="EM13" s="43">
        <v>0</v>
      </c>
      <c r="EN13" s="43"/>
      <c r="EO13" s="43"/>
      <c r="EP13" s="43"/>
      <c r="EQ13" s="43"/>
      <c r="ER13" s="44">
        <f t="shared" si="0"/>
        <v>2</v>
      </c>
      <c r="ES13" s="43">
        <v>2</v>
      </c>
      <c r="ET13" s="43">
        <v>0</v>
      </c>
      <c r="EU13" s="43">
        <v>0</v>
      </c>
      <c r="EV13" s="43">
        <v>0</v>
      </c>
      <c r="EW13" s="43">
        <v>3</v>
      </c>
      <c r="EX13" s="43">
        <v>0</v>
      </c>
      <c r="EY13" s="43">
        <v>0</v>
      </c>
      <c r="EZ13" s="43">
        <v>0</v>
      </c>
      <c r="FA13" s="43"/>
      <c r="FB13" s="43"/>
      <c r="FC13" s="43"/>
      <c r="FD13" s="43"/>
      <c r="FE13" s="43"/>
      <c r="FF13" s="43">
        <f t="shared" si="1"/>
        <v>5</v>
      </c>
      <c r="FG13" s="73">
        <f t="shared" si="2"/>
        <v>0</v>
      </c>
      <c r="FH13" s="73">
        <f t="shared" si="3"/>
        <v>0</v>
      </c>
      <c r="FI13" s="38"/>
    </row>
    <row r="14" spans="1:165" x14ac:dyDescent="0.25">
      <c r="A14" s="53">
        <v>40358</v>
      </c>
      <c r="B14" s="53" t="s">
        <v>19</v>
      </c>
      <c r="C14" s="53" t="s">
        <v>131</v>
      </c>
      <c r="D14" s="53" t="s">
        <v>288</v>
      </c>
      <c r="E14" s="54">
        <v>5154</v>
      </c>
      <c r="F14" s="58">
        <v>2</v>
      </c>
      <c r="G14" s="59" t="s">
        <v>414</v>
      </c>
      <c r="H14" s="6">
        <v>0</v>
      </c>
      <c r="I14" s="6">
        <v>1</v>
      </c>
      <c r="J14" s="60">
        <f>3+1/3</f>
        <v>3.3333333333333335</v>
      </c>
      <c r="K14" s="6">
        <v>5</v>
      </c>
      <c r="L14" s="6">
        <v>4</v>
      </c>
      <c r="M14" s="6">
        <v>4</v>
      </c>
      <c r="N14" s="6">
        <v>4</v>
      </c>
      <c r="O14" s="6">
        <v>1</v>
      </c>
      <c r="P14" s="6">
        <v>0</v>
      </c>
      <c r="Q14" s="6">
        <v>0</v>
      </c>
      <c r="R14" s="6">
        <v>18</v>
      </c>
      <c r="S14" s="6"/>
      <c r="T14" s="6"/>
      <c r="U14" s="6">
        <v>2</v>
      </c>
      <c r="V14" s="61">
        <v>2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B14" s="63">
        <f>5+2/3</f>
        <v>5.666666666666667</v>
      </c>
      <c r="AC14" s="62">
        <v>7</v>
      </c>
      <c r="AD14" s="62">
        <v>4</v>
      </c>
      <c r="AE14" s="62">
        <v>4</v>
      </c>
      <c r="AF14" s="62">
        <v>2</v>
      </c>
      <c r="AG14" s="62">
        <v>6</v>
      </c>
      <c r="AH14" s="62">
        <v>1</v>
      </c>
      <c r="AI14" s="62">
        <v>1</v>
      </c>
      <c r="AJ14" s="62">
        <v>26</v>
      </c>
      <c r="AK14" s="62"/>
      <c r="AL14" s="62"/>
      <c r="AM14" s="1" t="s">
        <v>415</v>
      </c>
      <c r="AN14" s="78">
        <v>3</v>
      </c>
      <c r="AO14" s="78">
        <v>0</v>
      </c>
      <c r="AP14" s="78">
        <v>0</v>
      </c>
      <c r="AQ14" s="78">
        <v>0</v>
      </c>
      <c r="AR14" s="78">
        <v>1</v>
      </c>
      <c r="AS14" s="78">
        <v>1</v>
      </c>
      <c r="AT14" s="78">
        <v>0</v>
      </c>
      <c r="AU14" s="78">
        <v>0</v>
      </c>
      <c r="AV14" s="76">
        <v>0</v>
      </c>
      <c r="AW14" s="1" t="s">
        <v>417</v>
      </c>
      <c r="AX14" s="78">
        <v>5</v>
      </c>
      <c r="AY14" s="78">
        <v>1</v>
      </c>
      <c r="AZ14" s="78">
        <v>1</v>
      </c>
      <c r="BA14" s="78">
        <v>1</v>
      </c>
      <c r="BB14" s="78">
        <v>0</v>
      </c>
      <c r="BC14" s="78">
        <v>0</v>
      </c>
      <c r="BD14" s="78">
        <v>0</v>
      </c>
      <c r="BE14" s="78">
        <v>0</v>
      </c>
      <c r="BF14" s="76">
        <v>1</v>
      </c>
      <c r="BG14" s="1" t="s">
        <v>420</v>
      </c>
      <c r="BH14" s="78">
        <v>5</v>
      </c>
      <c r="BI14" s="78">
        <v>1</v>
      </c>
      <c r="BJ14" s="78">
        <v>1</v>
      </c>
      <c r="BK14" s="78">
        <v>1</v>
      </c>
      <c r="BL14" s="78">
        <v>0</v>
      </c>
      <c r="BM14" s="78">
        <v>1</v>
      </c>
      <c r="BN14" s="78">
        <v>0</v>
      </c>
      <c r="BO14" s="78">
        <v>0</v>
      </c>
      <c r="BP14" s="76">
        <v>1</v>
      </c>
      <c r="BQ14" s="1" t="s">
        <v>284</v>
      </c>
      <c r="BR14" s="78">
        <v>5</v>
      </c>
      <c r="BS14" s="78">
        <v>0</v>
      </c>
      <c r="BT14" s="78">
        <v>0</v>
      </c>
      <c r="BU14" s="78">
        <v>0</v>
      </c>
      <c r="BV14" s="78">
        <v>0</v>
      </c>
      <c r="BW14" s="78">
        <v>4</v>
      </c>
      <c r="BX14" s="78">
        <v>0</v>
      </c>
      <c r="BY14" s="78">
        <v>0</v>
      </c>
      <c r="BZ14" s="76">
        <v>0</v>
      </c>
      <c r="CA14" s="1" t="s">
        <v>422</v>
      </c>
      <c r="CB14" s="78">
        <v>4</v>
      </c>
      <c r="CC14" s="78">
        <v>1</v>
      </c>
      <c r="CD14" s="78">
        <v>2</v>
      </c>
      <c r="CE14" s="78">
        <v>1</v>
      </c>
      <c r="CF14" s="78">
        <v>0</v>
      </c>
      <c r="CG14" s="78">
        <v>1</v>
      </c>
      <c r="CH14" s="78">
        <v>0</v>
      </c>
      <c r="CI14" s="78">
        <v>0</v>
      </c>
      <c r="CJ14" s="76">
        <v>3</v>
      </c>
      <c r="CK14" s="1" t="s">
        <v>421</v>
      </c>
      <c r="CL14" s="78">
        <v>4</v>
      </c>
      <c r="CM14" s="78">
        <v>1</v>
      </c>
      <c r="CN14" s="78">
        <v>1</v>
      </c>
      <c r="CO14" s="78">
        <v>1</v>
      </c>
      <c r="CP14" s="78">
        <v>0</v>
      </c>
      <c r="CQ14" s="78">
        <v>1</v>
      </c>
      <c r="CR14" s="78">
        <v>0</v>
      </c>
      <c r="CS14" s="78">
        <v>0</v>
      </c>
      <c r="CT14" s="76">
        <v>1</v>
      </c>
      <c r="CU14" s="1" t="s">
        <v>282</v>
      </c>
      <c r="CV14" s="78">
        <v>2</v>
      </c>
      <c r="CW14" s="78">
        <v>1</v>
      </c>
      <c r="CX14" s="78">
        <v>1</v>
      </c>
      <c r="CY14" s="78">
        <v>0</v>
      </c>
      <c r="CZ14" s="78">
        <v>0</v>
      </c>
      <c r="DA14" s="78">
        <v>0</v>
      </c>
      <c r="DB14" s="78">
        <v>2</v>
      </c>
      <c r="DC14" s="78">
        <v>0</v>
      </c>
      <c r="DD14" s="76">
        <v>1</v>
      </c>
      <c r="DE14" s="1" t="s">
        <v>418</v>
      </c>
      <c r="DF14" s="78">
        <v>4</v>
      </c>
      <c r="DG14" s="78">
        <v>0</v>
      </c>
      <c r="DH14" s="78">
        <v>0</v>
      </c>
      <c r="DI14" s="78">
        <v>0</v>
      </c>
      <c r="DJ14" s="78">
        <v>0</v>
      </c>
      <c r="DK14" s="78">
        <v>2</v>
      </c>
      <c r="DL14" s="78">
        <v>0</v>
      </c>
      <c r="DM14" s="78">
        <v>0</v>
      </c>
      <c r="DN14" s="76">
        <v>0</v>
      </c>
      <c r="DO14" s="1" t="s">
        <v>424</v>
      </c>
      <c r="DP14" s="78">
        <v>4</v>
      </c>
      <c r="DQ14" s="78">
        <v>1</v>
      </c>
      <c r="DR14" s="78">
        <v>2</v>
      </c>
      <c r="DS14" s="78">
        <v>1</v>
      </c>
      <c r="DT14" s="78">
        <v>0</v>
      </c>
      <c r="DU14" s="78">
        <v>0</v>
      </c>
      <c r="DV14" s="78">
        <v>0</v>
      </c>
      <c r="DW14" s="78">
        <v>0</v>
      </c>
      <c r="DX14" s="76">
        <v>2</v>
      </c>
      <c r="DY14" s="77">
        <f>7+2/3</f>
        <v>7.666666666666667</v>
      </c>
      <c r="DZ14" s="43">
        <v>1</v>
      </c>
      <c r="EA14" s="43">
        <v>0</v>
      </c>
      <c r="EB14" s="45">
        <f>1+1/3</f>
        <v>1.3333333333333333</v>
      </c>
      <c r="EC14" s="43">
        <v>1</v>
      </c>
      <c r="ED14" s="44">
        <v>0</v>
      </c>
      <c r="EE14" s="71">
        <v>0</v>
      </c>
      <c r="EF14" s="43">
        <v>0</v>
      </c>
      <c r="EG14" s="43">
        <v>0</v>
      </c>
      <c r="EH14" s="43">
        <v>0</v>
      </c>
      <c r="EI14" s="43">
        <v>1</v>
      </c>
      <c r="EJ14" s="43">
        <v>3</v>
      </c>
      <c r="EK14" s="43">
        <v>0</v>
      </c>
      <c r="EL14" s="43">
        <v>0</v>
      </c>
      <c r="EM14" s="43">
        <v>2</v>
      </c>
      <c r="EN14" s="43"/>
      <c r="EO14" s="43"/>
      <c r="EP14" s="43"/>
      <c r="EQ14" s="43"/>
      <c r="ER14" s="44">
        <f t="shared" si="0"/>
        <v>6</v>
      </c>
      <c r="ES14" s="43">
        <v>2</v>
      </c>
      <c r="ET14" s="43">
        <v>0</v>
      </c>
      <c r="EU14" s="43">
        <v>0</v>
      </c>
      <c r="EV14" s="43">
        <v>4</v>
      </c>
      <c r="EW14" s="43">
        <v>0</v>
      </c>
      <c r="EX14" s="43">
        <v>0</v>
      </c>
      <c r="EY14" s="43">
        <v>0</v>
      </c>
      <c r="EZ14" s="43">
        <v>0</v>
      </c>
      <c r="FA14" s="43">
        <v>2</v>
      </c>
      <c r="FB14" s="43"/>
      <c r="FC14" s="43"/>
      <c r="FD14" s="43"/>
      <c r="FE14" s="43"/>
      <c r="FF14" s="43">
        <f t="shared" si="1"/>
        <v>8</v>
      </c>
      <c r="FG14" s="73">
        <f t="shared" si="2"/>
        <v>0</v>
      </c>
      <c r="FH14" s="73">
        <f t="shared" si="3"/>
        <v>0</v>
      </c>
      <c r="FI14" s="38"/>
    </row>
    <row r="15" spans="1:165" x14ac:dyDescent="0.25">
      <c r="A15" s="53">
        <v>40359</v>
      </c>
      <c r="B15" s="53" t="s">
        <v>133</v>
      </c>
      <c r="C15" s="53" t="s">
        <v>131</v>
      </c>
      <c r="D15" s="53" t="s">
        <v>288</v>
      </c>
      <c r="E15" s="54">
        <v>8263</v>
      </c>
      <c r="F15" s="58">
        <v>3</v>
      </c>
      <c r="G15" s="59" t="s">
        <v>411</v>
      </c>
      <c r="H15" s="6">
        <v>0</v>
      </c>
      <c r="I15" s="6">
        <v>1</v>
      </c>
      <c r="J15" s="60">
        <v>4</v>
      </c>
      <c r="K15" s="6">
        <v>5</v>
      </c>
      <c r="L15" s="6">
        <v>4</v>
      </c>
      <c r="M15" s="6">
        <v>4</v>
      </c>
      <c r="N15" s="6">
        <v>1</v>
      </c>
      <c r="O15" s="6">
        <v>2</v>
      </c>
      <c r="P15" s="6">
        <v>1</v>
      </c>
      <c r="Q15" s="6">
        <v>0</v>
      </c>
      <c r="R15" s="6">
        <v>18</v>
      </c>
      <c r="S15" s="6"/>
      <c r="T15" s="6"/>
      <c r="U15" s="6">
        <v>0</v>
      </c>
      <c r="V15" s="61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3">
        <v>4</v>
      </c>
      <c r="AC15" s="62">
        <v>7</v>
      </c>
      <c r="AD15" s="62">
        <v>4</v>
      </c>
      <c r="AE15" s="62">
        <v>4</v>
      </c>
      <c r="AF15" s="62">
        <v>1</v>
      </c>
      <c r="AG15" s="62">
        <v>1</v>
      </c>
      <c r="AH15" s="62">
        <v>1</v>
      </c>
      <c r="AI15" s="62">
        <v>0</v>
      </c>
      <c r="AJ15" s="62">
        <v>19</v>
      </c>
      <c r="AK15" s="62"/>
      <c r="AL15" s="62"/>
      <c r="AM15" s="1" t="s">
        <v>285</v>
      </c>
      <c r="AN15" s="78">
        <v>3</v>
      </c>
      <c r="AO15" s="78">
        <v>1</v>
      </c>
      <c r="AP15" s="78">
        <v>1</v>
      </c>
      <c r="AQ15" s="78">
        <v>0</v>
      </c>
      <c r="AR15" s="78">
        <v>2</v>
      </c>
      <c r="AS15" s="78">
        <v>2</v>
      </c>
      <c r="AT15" s="78">
        <v>0</v>
      </c>
      <c r="AU15" s="78">
        <v>0</v>
      </c>
      <c r="AV15" s="76">
        <v>1</v>
      </c>
      <c r="AW15" s="1" t="s">
        <v>417</v>
      </c>
      <c r="AX15" s="78">
        <v>4</v>
      </c>
      <c r="AY15" s="78">
        <v>0</v>
      </c>
      <c r="AZ15" s="78">
        <v>1</v>
      </c>
      <c r="BA15" s="78">
        <v>1</v>
      </c>
      <c r="BB15" s="78">
        <v>0</v>
      </c>
      <c r="BC15" s="78">
        <v>0</v>
      </c>
      <c r="BD15" s="78">
        <v>0</v>
      </c>
      <c r="BE15" s="78">
        <v>0</v>
      </c>
      <c r="BF15" s="76">
        <v>1</v>
      </c>
      <c r="BG15" s="1" t="s">
        <v>421</v>
      </c>
      <c r="BH15" s="78">
        <v>4</v>
      </c>
      <c r="BI15" s="78">
        <v>0</v>
      </c>
      <c r="BJ15" s="78">
        <v>1</v>
      </c>
      <c r="BK15" s="78">
        <v>1</v>
      </c>
      <c r="BL15" s="78">
        <v>0</v>
      </c>
      <c r="BM15" s="78">
        <v>0</v>
      </c>
      <c r="BN15" s="78">
        <v>0</v>
      </c>
      <c r="BO15" s="78">
        <v>0</v>
      </c>
      <c r="BP15" s="76">
        <v>1</v>
      </c>
      <c r="BQ15" s="1" t="s">
        <v>422</v>
      </c>
      <c r="BR15" s="78">
        <v>3</v>
      </c>
      <c r="BS15" s="78">
        <v>1</v>
      </c>
      <c r="BT15" s="78">
        <v>1</v>
      </c>
      <c r="BU15" s="78">
        <v>0</v>
      </c>
      <c r="BV15" s="78">
        <v>1</v>
      </c>
      <c r="BW15" s="78">
        <v>0</v>
      </c>
      <c r="BX15" s="78">
        <v>0</v>
      </c>
      <c r="BY15" s="78">
        <v>0</v>
      </c>
      <c r="BZ15" s="76">
        <v>1</v>
      </c>
      <c r="CA15" s="1" t="s">
        <v>284</v>
      </c>
      <c r="CB15" s="78">
        <v>3</v>
      </c>
      <c r="CC15" s="78">
        <v>0</v>
      </c>
      <c r="CD15" s="78">
        <v>1</v>
      </c>
      <c r="CE15" s="78">
        <v>0</v>
      </c>
      <c r="CF15" s="78">
        <v>1</v>
      </c>
      <c r="CG15" s="78">
        <v>1</v>
      </c>
      <c r="CH15" s="78">
        <v>0</v>
      </c>
      <c r="CI15" s="78">
        <v>0</v>
      </c>
      <c r="CJ15" s="76">
        <v>2</v>
      </c>
      <c r="CK15" s="1" t="s">
        <v>426</v>
      </c>
      <c r="CL15" s="78">
        <v>4</v>
      </c>
      <c r="CM15" s="78">
        <v>0</v>
      </c>
      <c r="CN15" s="78">
        <v>0</v>
      </c>
      <c r="CO15" s="78">
        <v>0</v>
      </c>
      <c r="CP15" s="78">
        <v>0</v>
      </c>
      <c r="CQ15" s="78">
        <v>0</v>
      </c>
      <c r="CR15" s="78">
        <v>0</v>
      </c>
      <c r="CS15" s="78">
        <v>0</v>
      </c>
      <c r="CT15" s="76">
        <v>0</v>
      </c>
      <c r="CU15" s="1" t="s">
        <v>415</v>
      </c>
      <c r="CV15" s="78">
        <v>4</v>
      </c>
      <c r="CW15" s="78">
        <v>0</v>
      </c>
      <c r="CX15" s="78">
        <v>0</v>
      </c>
      <c r="CY15" s="78">
        <v>1</v>
      </c>
      <c r="CZ15" s="78">
        <v>0</v>
      </c>
      <c r="DA15" s="78">
        <v>2</v>
      </c>
      <c r="DB15" s="78">
        <v>0</v>
      </c>
      <c r="DC15" s="78">
        <v>0</v>
      </c>
      <c r="DD15" s="76">
        <v>0</v>
      </c>
      <c r="DE15" s="1" t="s">
        <v>427</v>
      </c>
      <c r="DF15" s="78">
        <v>4</v>
      </c>
      <c r="DG15" s="78">
        <v>1</v>
      </c>
      <c r="DH15" s="78">
        <v>2</v>
      </c>
      <c r="DI15" s="78">
        <v>0</v>
      </c>
      <c r="DJ15" s="78">
        <v>0</v>
      </c>
      <c r="DK15" s="78">
        <v>1</v>
      </c>
      <c r="DL15" s="78">
        <v>0</v>
      </c>
      <c r="DM15" s="78">
        <v>0</v>
      </c>
      <c r="DN15" s="76">
        <v>3</v>
      </c>
      <c r="DO15" s="1" t="s">
        <v>419</v>
      </c>
      <c r="DP15" s="78">
        <v>4</v>
      </c>
      <c r="DQ15" s="78">
        <v>0</v>
      </c>
      <c r="DR15" s="78">
        <v>1</v>
      </c>
      <c r="DS15" s="78">
        <v>0</v>
      </c>
      <c r="DT15" s="78">
        <v>0</v>
      </c>
      <c r="DU15" s="78">
        <v>0</v>
      </c>
      <c r="DV15" s="78">
        <v>0</v>
      </c>
      <c r="DW15" s="78">
        <v>0</v>
      </c>
      <c r="DX15" s="76">
        <v>1</v>
      </c>
      <c r="DY15" s="77">
        <v>6</v>
      </c>
      <c r="DZ15" s="43">
        <v>1</v>
      </c>
      <c r="EA15" s="43">
        <v>0</v>
      </c>
      <c r="EB15" s="45">
        <v>3</v>
      </c>
      <c r="EC15" s="43">
        <v>1</v>
      </c>
      <c r="ED15" s="44">
        <v>0</v>
      </c>
      <c r="EE15" s="71">
        <v>0</v>
      </c>
      <c r="EF15" s="43">
        <v>0</v>
      </c>
      <c r="EG15" s="43">
        <v>2</v>
      </c>
      <c r="EH15" s="43">
        <v>0</v>
      </c>
      <c r="EI15" s="43">
        <v>0</v>
      </c>
      <c r="EJ15" s="43">
        <v>1</v>
      </c>
      <c r="EK15" s="43">
        <v>0</v>
      </c>
      <c r="EL15" s="43">
        <v>0</v>
      </c>
      <c r="EM15" s="43">
        <v>0</v>
      </c>
      <c r="EN15" s="43"/>
      <c r="EO15" s="43"/>
      <c r="EP15" s="43"/>
      <c r="EQ15" s="43"/>
      <c r="ER15" s="44">
        <f t="shared" si="0"/>
        <v>3</v>
      </c>
      <c r="ES15" s="43">
        <v>0</v>
      </c>
      <c r="ET15" s="43">
        <v>0</v>
      </c>
      <c r="EU15" s="43">
        <v>4</v>
      </c>
      <c r="EV15" s="43">
        <v>0</v>
      </c>
      <c r="EW15" s="43">
        <v>1</v>
      </c>
      <c r="EX15" s="43">
        <v>0</v>
      </c>
      <c r="EY15" s="43">
        <v>1</v>
      </c>
      <c r="EZ15" s="43">
        <v>2</v>
      </c>
      <c r="FA15" s="43"/>
      <c r="FB15" s="43"/>
      <c r="FC15" s="43"/>
      <c r="FD15" s="43"/>
      <c r="FE15" s="43"/>
      <c r="FF15" s="43">
        <f t="shared" si="1"/>
        <v>8</v>
      </c>
      <c r="FG15" s="73">
        <f t="shared" si="2"/>
        <v>0</v>
      </c>
      <c r="FH15" s="73">
        <f t="shared" si="3"/>
        <v>0</v>
      </c>
      <c r="FI15" s="38"/>
    </row>
    <row r="16" spans="1:165" x14ac:dyDescent="0.25">
      <c r="A16" s="53">
        <v>40360</v>
      </c>
      <c r="B16" s="53" t="s">
        <v>19</v>
      </c>
      <c r="C16" s="53" t="s">
        <v>129</v>
      </c>
      <c r="D16" s="53" t="s">
        <v>287</v>
      </c>
      <c r="E16" s="54">
        <v>4074</v>
      </c>
      <c r="F16" s="58">
        <v>4</v>
      </c>
      <c r="G16" s="59" t="s">
        <v>409</v>
      </c>
      <c r="H16" s="6">
        <v>0</v>
      </c>
      <c r="I16" s="6">
        <v>0</v>
      </c>
      <c r="J16" s="60">
        <v>5</v>
      </c>
      <c r="K16" s="6">
        <v>7</v>
      </c>
      <c r="L16" s="6">
        <v>2</v>
      </c>
      <c r="M16" s="6">
        <v>2</v>
      </c>
      <c r="N16" s="6">
        <v>2</v>
      </c>
      <c r="O16" s="6">
        <v>3</v>
      </c>
      <c r="P16" s="6">
        <v>0</v>
      </c>
      <c r="Q16" s="6">
        <v>0</v>
      </c>
      <c r="R16" s="6">
        <v>23</v>
      </c>
      <c r="S16" s="6"/>
      <c r="T16" s="6"/>
      <c r="U16" s="6">
        <v>0</v>
      </c>
      <c r="V16" s="61">
        <v>0</v>
      </c>
      <c r="W16" s="62">
        <v>1</v>
      </c>
      <c r="X16" s="62">
        <v>0</v>
      </c>
      <c r="Y16" s="62">
        <v>0</v>
      </c>
      <c r="Z16" s="62">
        <v>0</v>
      </c>
      <c r="AA16" s="62">
        <v>0</v>
      </c>
      <c r="AB16" s="63">
        <v>4</v>
      </c>
      <c r="AC16" s="62">
        <v>2</v>
      </c>
      <c r="AD16" s="62">
        <v>0</v>
      </c>
      <c r="AE16" s="62">
        <v>0</v>
      </c>
      <c r="AF16" s="62">
        <v>0</v>
      </c>
      <c r="AG16" s="62">
        <v>5</v>
      </c>
      <c r="AH16" s="62">
        <v>0</v>
      </c>
      <c r="AI16" s="62">
        <v>0</v>
      </c>
      <c r="AJ16" s="62">
        <v>15</v>
      </c>
      <c r="AK16" s="62"/>
      <c r="AL16" s="62"/>
      <c r="AM16" s="1" t="s">
        <v>285</v>
      </c>
      <c r="AN16" s="78">
        <v>3</v>
      </c>
      <c r="AO16" s="78">
        <v>0</v>
      </c>
      <c r="AP16" s="78">
        <v>0</v>
      </c>
      <c r="AQ16" s="78">
        <v>0</v>
      </c>
      <c r="AR16" s="78">
        <v>0</v>
      </c>
      <c r="AS16" s="78">
        <v>2</v>
      </c>
      <c r="AT16" s="78">
        <v>1</v>
      </c>
      <c r="AU16" s="78">
        <v>0</v>
      </c>
      <c r="AV16" s="76">
        <v>0</v>
      </c>
      <c r="AW16" s="1" t="s">
        <v>417</v>
      </c>
      <c r="AX16" s="78">
        <v>3</v>
      </c>
      <c r="AY16" s="78">
        <v>1</v>
      </c>
      <c r="AZ16" s="78">
        <v>0</v>
      </c>
      <c r="BA16" s="78">
        <v>0</v>
      </c>
      <c r="BB16" s="78">
        <v>0</v>
      </c>
      <c r="BC16" s="78">
        <v>1</v>
      </c>
      <c r="BD16" s="78">
        <v>1</v>
      </c>
      <c r="BE16" s="78">
        <v>0</v>
      </c>
      <c r="BF16" s="76">
        <v>0</v>
      </c>
      <c r="BG16" s="1" t="s">
        <v>421</v>
      </c>
      <c r="BH16" s="78">
        <v>4</v>
      </c>
      <c r="BI16" s="78">
        <v>0</v>
      </c>
      <c r="BJ16" s="78">
        <v>0</v>
      </c>
      <c r="BK16" s="78">
        <v>0</v>
      </c>
      <c r="BL16" s="78">
        <v>0</v>
      </c>
      <c r="BM16" s="78">
        <v>0</v>
      </c>
      <c r="BN16" s="78">
        <v>0</v>
      </c>
      <c r="BO16" s="78">
        <v>0</v>
      </c>
      <c r="BP16" s="76">
        <v>0</v>
      </c>
      <c r="BQ16" s="1" t="s">
        <v>420</v>
      </c>
      <c r="BR16" s="78">
        <v>4</v>
      </c>
      <c r="BS16" s="78">
        <v>1</v>
      </c>
      <c r="BT16" s="78">
        <v>2</v>
      </c>
      <c r="BU16" s="78">
        <v>1</v>
      </c>
      <c r="BV16" s="78">
        <v>0</v>
      </c>
      <c r="BW16" s="78">
        <v>0</v>
      </c>
      <c r="BX16" s="78">
        <v>0</v>
      </c>
      <c r="BY16" s="78">
        <v>0</v>
      </c>
      <c r="BZ16" s="76">
        <v>2</v>
      </c>
      <c r="CA16" s="1" t="s">
        <v>422</v>
      </c>
      <c r="CB16" s="78">
        <v>4</v>
      </c>
      <c r="CC16" s="78">
        <v>1</v>
      </c>
      <c r="CD16" s="78">
        <v>1</v>
      </c>
      <c r="CE16" s="78">
        <v>0</v>
      </c>
      <c r="CF16" s="78">
        <v>0</v>
      </c>
      <c r="CG16" s="78">
        <v>2</v>
      </c>
      <c r="CH16" s="78">
        <v>0</v>
      </c>
      <c r="CI16" s="78">
        <v>0</v>
      </c>
      <c r="CJ16" s="76">
        <v>2</v>
      </c>
      <c r="CK16" s="1" t="s">
        <v>284</v>
      </c>
      <c r="CL16" s="78">
        <v>3</v>
      </c>
      <c r="CM16" s="78">
        <v>0</v>
      </c>
      <c r="CN16" s="78">
        <v>0</v>
      </c>
      <c r="CO16" s="78">
        <v>0</v>
      </c>
      <c r="CP16" s="78">
        <v>0</v>
      </c>
      <c r="CQ16" s="78">
        <v>0</v>
      </c>
      <c r="CR16" s="78">
        <v>1</v>
      </c>
      <c r="CS16" s="78">
        <v>0</v>
      </c>
      <c r="CT16" s="76">
        <v>0</v>
      </c>
      <c r="CU16" s="1" t="s">
        <v>282</v>
      </c>
      <c r="CV16" s="78">
        <v>4</v>
      </c>
      <c r="CW16" s="78">
        <v>0</v>
      </c>
      <c r="CX16" s="78">
        <v>2</v>
      </c>
      <c r="CY16" s="78">
        <v>1</v>
      </c>
      <c r="CZ16" s="78">
        <v>0</v>
      </c>
      <c r="DA16" s="78">
        <v>1</v>
      </c>
      <c r="DB16" s="78">
        <v>0</v>
      </c>
      <c r="DC16" s="78">
        <v>0</v>
      </c>
      <c r="DD16" s="76">
        <v>2</v>
      </c>
      <c r="DE16" s="1" t="s">
        <v>426</v>
      </c>
      <c r="DF16" s="78">
        <v>2</v>
      </c>
      <c r="DG16" s="78">
        <v>0</v>
      </c>
      <c r="DH16" s="78">
        <v>0</v>
      </c>
      <c r="DI16" s="78">
        <v>0</v>
      </c>
      <c r="DJ16" s="78">
        <v>1</v>
      </c>
      <c r="DK16" s="78">
        <v>0</v>
      </c>
      <c r="DL16" s="78">
        <v>0</v>
      </c>
      <c r="DM16" s="78">
        <v>0</v>
      </c>
      <c r="DN16" s="76">
        <v>0</v>
      </c>
      <c r="DO16" s="1" t="s">
        <v>416</v>
      </c>
      <c r="DP16" s="78">
        <v>3</v>
      </c>
      <c r="DQ16" s="78">
        <v>0</v>
      </c>
      <c r="DR16" s="78">
        <v>0</v>
      </c>
      <c r="DS16" s="78">
        <v>0</v>
      </c>
      <c r="DT16" s="78">
        <v>0</v>
      </c>
      <c r="DU16" s="78">
        <v>2</v>
      </c>
      <c r="DV16" s="78">
        <v>0</v>
      </c>
      <c r="DW16" s="78">
        <v>0</v>
      </c>
      <c r="DX16" s="76">
        <v>0</v>
      </c>
      <c r="DY16" s="77">
        <v>0</v>
      </c>
      <c r="DZ16" s="43">
        <v>0</v>
      </c>
      <c r="EA16" s="43">
        <v>0</v>
      </c>
      <c r="EB16" s="45">
        <f>8+1/3</f>
        <v>8.3333333333333339</v>
      </c>
      <c r="EC16" s="43">
        <v>0</v>
      </c>
      <c r="ED16" s="44">
        <v>1</v>
      </c>
      <c r="EE16" s="71">
        <v>1</v>
      </c>
      <c r="EF16" s="43">
        <v>1</v>
      </c>
      <c r="EG16" s="43">
        <v>0</v>
      </c>
      <c r="EH16" s="43">
        <v>0</v>
      </c>
      <c r="EI16" s="43">
        <v>0</v>
      </c>
      <c r="EJ16" s="43">
        <v>0</v>
      </c>
      <c r="EK16" s="43">
        <v>0</v>
      </c>
      <c r="EL16" s="43">
        <v>0</v>
      </c>
      <c r="EM16" s="43">
        <v>1</v>
      </c>
      <c r="EN16" s="43"/>
      <c r="EO16" s="43"/>
      <c r="EP16" s="43"/>
      <c r="EQ16" s="43"/>
      <c r="ER16" s="44">
        <f t="shared" si="0"/>
        <v>3</v>
      </c>
      <c r="ES16" s="43">
        <v>0</v>
      </c>
      <c r="ET16" s="43">
        <v>0</v>
      </c>
      <c r="EU16" s="43">
        <v>1</v>
      </c>
      <c r="EV16" s="43">
        <v>0</v>
      </c>
      <c r="EW16" s="43">
        <v>1</v>
      </c>
      <c r="EX16" s="43">
        <v>0</v>
      </c>
      <c r="EY16" s="43">
        <v>0</v>
      </c>
      <c r="EZ16" s="43">
        <v>0</v>
      </c>
      <c r="FA16" s="43">
        <v>0</v>
      </c>
      <c r="FB16" s="43"/>
      <c r="FC16" s="43"/>
      <c r="FD16" s="43"/>
      <c r="FE16" s="43"/>
      <c r="FF16" s="43">
        <f t="shared" si="1"/>
        <v>2</v>
      </c>
      <c r="FG16" s="73">
        <f t="shared" si="2"/>
        <v>0</v>
      </c>
      <c r="FH16" s="73">
        <f t="shared" si="3"/>
        <v>0</v>
      </c>
      <c r="FI16" s="38"/>
    </row>
    <row r="17" spans="1:165" x14ac:dyDescent="0.25">
      <c r="A17" s="53">
        <v>40361</v>
      </c>
      <c r="B17" s="53" t="s">
        <v>19</v>
      </c>
      <c r="C17" s="53" t="s">
        <v>131</v>
      </c>
      <c r="D17" s="53" t="s">
        <v>287</v>
      </c>
      <c r="E17" s="54">
        <v>4589</v>
      </c>
      <c r="F17" s="58">
        <v>5</v>
      </c>
      <c r="G17" s="59" t="s">
        <v>413</v>
      </c>
      <c r="H17" s="6">
        <v>0</v>
      </c>
      <c r="I17" s="6">
        <v>1</v>
      </c>
      <c r="J17" s="60">
        <v>5</v>
      </c>
      <c r="K17" s="6">
        <v>7</v>
      </c>
      <c r="L17" s="6">
        <v>5</v>
      </c>
      <c r="M17" s="6">
        <v>4</v>
      </c>
      <c r="N17" s="6">
        <v>1</v>
      </c>
      <c r="O17" s="6">
        <v>4</v>
      </c>
      <c r="P17" s="6">
        <v>2</v>
      </c>
      <c r="Q17" s="6">
        <v>1</v>
      </c>
      <c r="R17" s="6">
        <v>25</v>
      </c>
      <c r="S17" s="6"/>
      <c r="T17" s="6"/>
      <c r="U17" s="6">
        <v>0</v>
      </c>
      <c r="V17" s="61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3">
        <v>4</v>
      </c>
      <c r="AC17" s="62">
        <v>1</v>
      </c>
      <c r="AD17" s="62">
        <v>0</v>
      </c>
      <c r="AE17" s="62">
        <v>0</v>
      </c>
      <c r="AF17" s="62">
        <v>2</v>
      </c>
      <c r="AG17" s="62">
        <v>4</v>
      </c>
      <c r="AH17" s="62">
        <v>0</v>
      </c>
      <c r="AI17" s="62">
        <v>0</v>
      </c>
      <c r="AJ17" s="62">
        <v>14</v>
      </c>
      <c r="AK17" s="62"/>
      <c r="AL17" s="62"/>
      <c r="AM17" s="1" t="s">
        <v>282</v>
      </c>
      <c r="AN17" s="78">
        <v>3</v>
      </c>
      <c r="AO17" s="78">
        <v>0</v>
      </c>
      <c r="AP17" s="78">
        <v>0</v>
      </c>
      <c r="AQ17" s="78">
        <v>0</v>
      </c>
      <c r="AR17" s="78">
        <v>1</v>
      </c>
      <c r="AS17" s="78">
        <v>0</v>
      </c>
      <c r="AT17" s="78">
        <v>0</v>
      </c>
      <c r="AU17" s="78">
        <v>0</v>
      </c>
      <c r="AV17" s="76">
        <v>0</v>
      </c>
      <c r="AW17" s="1" t="s">
        <v>417</v>
      </c>
      <c r="AX17" s="78">
        <v>3</v>
      </c>
      <c r="AY17" s="78">
        <v>0</v>
      </c>
      <c r="AZ17" s="78">
        <v>0</v>
      </c>
      <c r="BA17" s="78">
        <v>0</v>
      </c>
      <c r="BB17" s="78">
        <v>1</v>
      </c>
      <c r="BC17" s="78">
        <v>0</v>
      </c>
      <c r="BD17" s="78">
        <v>0</v>
      </c>
      <c r="BE17" s="78">
        <v>0</v>
      </c>
      <c r="BF17" s="76">
        <v>0</v>
      </c>
      <c r="BG17" s="1" t="s">
        <v>421</v>
      </c>
      <c r="BH17" s="78">
        <v>4</v>
      </c>
      <c r="BI17" s="78">
        <v>0</v>
      </c>
      <c r="BJ17" s="78">
        <v>0</v>
      </c>
      <c r="BK17" s="78">
        <v>0</v>
      </c>
      <c r="BL17" s="78">
        <v>0</v>
      </c>
      <c r="BM17" s="78">
        <v>0</v>
      </c>
      <c r="BN17" s="78">
        <v>0</v>
      </c>
      <c r="BO17" s="78">
        <v>0</v>
      </c>
      <c r="BP17" s="76">
        <v>0</v>
      </c>
      <c r="BQ17" s="1" t="s">
        <v>420</v>
      </c>
      <c r="BR17" s="78">
        <v>4</v>
      </c>
      <c r="BS17" s="78">
        <v>0</v>
      </c>
      <c r="BT17" s="78">
        <v>0</v>
      </c>
      <c r="BU17" s="78">
        <v>0</v>
      </c>
      <c r="BV17" s="78">
        <v>0</v>
      </c>
      <c r="BW17" s="78">
        <v>2</v>
      </c>
      <c r="BX17" s="78">
        <v>0</v>
      </c>
      <c r="BY17" s="78">
        <v>0</v>
      </c>
      <c r="BZ17" s="76">
        <v>0</v>
      </c>
      <c r="CA17" s="1" t="s">
        <v>422</v>
      </c>
      <c r="CB17" s="78">
        <v>2</v>
      </c>
      <c r="CC17" s="78">
        <v>0</v>
      </c>
      <c r="CD17" s="78">
        <v>0</v>
      </c>
      <c r="CE17" s="78">
        <v>0</v>
      </c>
      <c r="CF17" s="78">
        <v>1</v>
      </c>
      <c r="CG17" s="78">
        <v>1</v>
      </c>
      <c r="CH17" s="78">
        <v>0</v>
      </c>
      <c r="CI17" s="78">
        <v>0</v>
      </c>
      <c r="CJ17" s="76">
        <v>0</v>
      </c>
      <c r="CK17" s="1" t="s">
        <v>284</v>
      </c>
      <c r="CL17" s="78">
        <v>3</v>
      </c>
      <c r="CM17" s="78">
        <v>0</v>
      </c>
      <c r="CN17" s="78">
        <v>0</v>
      </c>
      <c r="CO17" s="78">
        <v>0</v>
      </c>
      <c r="CP17" s="78">
        <v>0</v>
      </c>
      <c r="CQ17" s="78">
        <v>0</v>
      </c>
      <c r="CR17" s="78">
        <v>0</v>
      </c>
      <c r="CS17" s="78">
        <v>0</v>
      </c>
      <c r="CT17" s="76">
        <v>0</v>
      </c>
      <c r="CU17" s="1" t="s">
        <v>418</v>
      </c>
      <c r="CV17" s="78">
        <v>3</v>
      </c>
      <c r="CW17" s="78">
        <v>0</v>
      </c>
      <c r="CX17" s="78">
        <v>1</v>
      </c>
      <c r="CY17" s="78">
        <v>0</v>
      </c>
      <c r="CZ17" s="78">
        <v>0</v>
      </c>
      <c r="DA17" s="78">
        <v>1</v>
      </c>
      <c r="DB17" s="78">
        <v>0</v>
      </c>
      <c r="DC17" s="78">
        <v>0</v>
      </c>
      <c r="DD17" s="76">
        <v>2</v>
      </c>
      <c r="DE17" s="1" t="s">
        <v>426</v>
      </c>
      <c r="DF17" s="78">
        <v>3</v>
      </c>
      <c r="DG17" s="78">
        <v>0</v>
      </c>
      <c r="DH17" s="78">
        <v>0</v>
      </c>
      <c r="DI17" s="78">
        <v>0</v>
      </c>
      <c r="DJ17" s="78">
        <v>0</v>
      </c>
      <c r="DK17" s="78">
        <v>0</v>
      </c>
      <c r="DL17" s="78">
        <v>0</v>
      </c>
      <c r="DM17" s="78">
        <v>0</v>
      </c>
      <c r="DN17" s="76">
        <v>0</v>
      </c>
      <c r="DO17" s="1" t="s">
        <v>416</v>
      </c>
      <c r="DP17" s="78">
        <v>3</v>
      </c>
      <c r="DQ17" s="78">
        <v>0</v>
      </c>
      <c r="DR17" s="78">
        <v>0</v>
      </c>
      <c r="DS17" s="78">
        <v>0</v>
      </c>
      <c r="DT17" s="78">
        <v>0</v>
      </c>
      <c r="DU17" s="78">
        <v>1</v>
      </c>
      <c r="DV17" s="78">
        <v>0</v>
      </c>
      <c r="DW17" s="78">
        <v>0</v>
      </c>
      <c r="DX17" s="76">
        <v>0</v>
      </c>
      <c r="DY17" s="77">
        <v>2</v>
      </c>
      <c r="DZ17" s="43">
        <v>0</v>
      </c>
      <c r="EA17" s="43">
        <v>0</v>
      </c>
      <c r="EB17" s="45">
        <v>7</v>
      </c>
      <c r="EC17" s="43">
        <v>1</v>
      </c>
      <c r="ED17" s="44">
        <v>0</v>
      </c>
      <c r="EE17" s="71">
        <v>0</v>
      </c>
      <c r="EF17" s="43">
        <v>0</v>
      </c>
      <c r="EG17" s="43">
        <v>0</v>
      </c>
      <c r="EH17" s="43">
        <v>0</v>
      </c>
      <c r="EI17" s="43">
        <v>0</v>
      </c>
      <c r="EJ17" s="43">
        <v>0</v>
      </c>
      <c r="EK17" s="43">
        <v>0</v>
      </c>
      <c r="EL17" s="43">
        <v>0</v>
      </c>
      <c r="EM17" s="43">
        <v>0</v>
      </c>
      <c r="EN17" s="43"/>
      <c r="EO17" s="43"/>
      <c r="EP17" s="43"/>
      <c r="EQ17" s="43"/>
      <c r="ER17" s="44">
        <f t="shared" si="0"/>
        <v>0</v>
      </c>
      <c r="ES17" s="43">
        <v>0</v>
      </c>
      <c r="ET17" s="43">
        <v>0</v>
      </c>
      <c r="EU17" s="43">
        <v>0</v>
      </c>
      <c r="EV17" s="43">
        <v>2</v>
      </c>
      <c r="EW17" s="43">
        <v>3</v>
      </c>
      <c r="EX17" s="43">
        <v>0</v>
      </c>
      <c r="EY17" s="43">
        <v>0</v>
      </c>
      <c r="EZ17" s="43">
        <v>0</v>
      </c>
      <c r="FA17" s="43">
        <v>0</v>
      </c>
      <c r="FB17" s="43"/>
      <c r="FC17" s="43"/>
      <c r="FD17" s="43"/>
      <c r="FE17" s="43"/>
      <c r="FF17" s="43">
        <f t="shared" si="1"/>
        <v>5</v>
      </c>
      <c r="FG17" s="73">
        <f t="shared" si="2"/>
        <v>0</v>
      </c>
      <c r="FH17" s="73">
        <f t="shared" si="3"/>
        <v>0</v>
      </c>
      <c r="FI17" s="38"/>
    </row>
    <row r="18" spans="1:165" x14ac:dyDescent="0.25">
      <c r="A18" s="53">
        <v>40362</v>
      </c>
      <c r="B18" s="53" t="s">
        <v>19</v>
      </c>
      <c r="C18" s="53" t="s">
        <v>131</v>
      </c>
      <c r="D18" s="53" t="s">
        <v>287</v>
      </c>
      <c r="E18" s="54">
        <v>4924</v>
      </c>
      <c r="F18" s="58">
        <v>1</v>
      </c>
      <c r="G18" s="59" t="s">
        <v>286</v>
      </c>
      <c r="H18" s="6">
        <v>0</v>
      </c>
      <c r="I18" s="6">
        <v>0</v>
      </c>
      <c r="J18" s="60">
        <f>3+1/3</f>
        <v>3.3333333333333335</v>
      </c>
      <c r="K18" s="6">
        <v>10</v>
      </c>
      <c r="L18" s="6">
        <v>8</v>
      </c>
      <c r="M18" s="6">
        <v>8</v>
      </c>
      <c r="N18" s="6">
        <v>1</v>
      </c>
      <c r="O18" s="6">
        <v>3</v>
      </c>
      <c r="P18" s="6">
        <v>1</v>
      </c>
      <c r="Q18" s="6">
        <v>1</v>
      </c>
      <c r="R18" s="6">
        <v>21</v>
      </c>
      <c r="S18" s="6"/>
      <c r="T18" s="6"/>
      <c r="U18" s="6">
        <v>2</v>
      </c>
      <c r="V18" s="61">
        <v>0</v>
      </c>
      <c r="W18" s="62">
        <v>0</v>
      </c>
      <c r="X18" s="62">
        <v>1</v>
      </c>
      <c r="Y18" s="62">
        <v>0</v>
      </c>
      <c r="Z18" s="62">
        <v>0</v>
      </c>
      <c r="AA18" s="62">
        <v>0</v>
      </c>
      <c r="AB18" s="63">
        <f>5+2/3</f>
        <v>5.666666666666667</v>
      </c>
      <c r="AC18" s="62">
        <v>4</v>
      </c>
      <c r="AD18" s="62">
        <v>5</v>
      </c>
      <c r="AE18" s="62">
        <v>5</v>
      </c>
      <c r="AF18" s="62">
        <v>4</v>
      </c>
      <c r="AG18" s="62">
        <v>4</v>
      </c>
      <c r="AH18" s="62">
        <v>0</v>
      </c>
      <c r="AI18" s="62">
        <v>0</v>
      </c>
      <c r="AJ18" s="62">
        <v>25</v>
      </c>
      <c r="AK18" s="62"/>
      <c r="AL18" s="62"/>
      <c r="AM18" s="1" t="s">
        <v>417</v>
      </c>
      <c r="AN18" s="78">
        <v>5</v>
      </c>
      <c r="AO18" s="78">
        <v>1</v>
      </c>
      <c r="AP18" s="78">
        <v>1</v>
      </c>
      <c r="AQ18" s="78">
        <v>0</v>
      </c>
      <c r="AR18" s="78">
        <v>0</v>
      </c>
      <c r="AS18" s="78">
        <v>2</v>
      </c>
      <c r="AT18" s="78">
        <v>0</v>
      </c>
      <c r="AU18" s="78">
        <v>0</v>
      </c>
      <c r="AV18" s="76">
        <v>1</v>
      </c>
      <c r="AW18" s="1" t="s">
        <v>285</v>
      </c>
      <c r="AX18" s="78">
        <v>4</v>
      </c>
      <c r="AY18" s="78">
        <v>2</v>
      </c>
      <c r="AZ18" s="78">
        <v>2</v>
      </c>
      <c r="BA18" s="78">
        <v>1</v>
      </c>
      <c r="BB18" s="78">
        <v>1</v>
      </c>
      <c r="BC18" s="78">
        <v>1</v>
      </c>
      <c r="BD18" s="78">
        <v>0</v>
      </c>
      <c r="BE18" s="78">
        <v>0</v>
      </c>
      <c r="BF18" s="76">
        <v>2</v>
      </c>
      <c r="BG18" s="1" t="s">
        <v>420</v>
      </c>
      <c r="BH18" s="78">
        <v>3</v>
      </c>
      <c r="BI18" s="78">
        <v>1</v>
      </c>
      <c r="BJ18" s="78">
        <v>2</v>
      </c>
      <c r="BK18" s="78">
        <v>2</v>
      </c>
      <c r="BL18" s="78">
        <v>2</v>
      </c>
      <c r="BM18" s="78">
        <v>1</v>
      </c>
      <c r="BN18" s="78">
        <v>0</v>
      </c>
      <c r="BO18" s="78">
        <v>0</v>
      </c>
      <c r="BP18" s="76">
        <v>3</v>
      </c>
      <c r="BQ18" s="1" t="s">
        <v>421</v>
      </c>
      <c r="BR18" s="78">
        <v>3</v>
      </c>
      <c r="BS18" s="78">
        <v>2</v>
      </c>
      <c r="BT18" s="78">
        <v>1</v>
      </c>
      <c r="BU18" s="78">
        <v>0</v>
      </c>
      <c r="BV18" s="78">
        <v>2</v>
      </c>
      <c r="BW18" s="78">
        <v>0</v>
      </c>
      <c r="BX18" s="78">
        <v>0</v>
      </c>
      <c r="BY18" s="78">
        <v>0</v>
      </c>
      <c r="BZ18" s="76">
        <v>1</v>
      </c>
      <c r="CA18" s="1" t="s">
        <v>422</v>
      </c>
      <c r="CB18" s="78">
        <v>4</v>
      </c>
      <c r="CC18" s="78">
        <v>1</v>
      </c>
      <c r="CD18" s="78">
        <v>2</v>
      </c>
      <c r="CE18" s="78">
        <v>5</v>
      </c>
      <c r="CF18" s="78">
        <v>0</v>
      </c>
      <c r="CG18" s="78">
        <v>1</v>
      </c>
      <c r="CH18" s="78">
        <v>0</v>
      </c>
      <c r="CI18" s="78">
        <v>1</v>
      </c>
      <c r="CJ18" s="76">
        <v>5</v>
      </c>
      <c r="CK18" s="1" t="s">
        <v>284</v>
      </c>
      <c r="CL18" s="78">
        <v>5</v>
      </c>
      <c r="CM18" s="78">
        <v>0</v>
      </c>
      <c r="CN18" s="78">
        <v>1</v>
      </c>
      <c r="CO18" s="78">
        <v>1</v>
      </c>
      <c r="CP18" s="78">
        <v>0</v>
      </c>
      <c r="CQ18" s="78">
        <v>1</v>
      </c>
      <c r="CR18" s="78">
        <v>0</v>
      </c>
      <c r="CS18" s="78">
        <v>0</v>
      </c>
      <c r="CT18" s="76">
        <v>2</v>
      </c>
      <c r="CU18" s="1" t="s">
        <v>427</v>
      </c>
      <c r="CV18" s="78">
        <v>4</v>
      </c>
      <c r="CW18" s="78">
        <v>1</v>
      </c>
      <c r="CX18" s="78">
        <v>0</v>
      </c>
      <c r="CY18" s="78">
        <v>0</v>
      </c>
      <c r="CZ18" s="78">
        <v>1</v>
      </c>
      <c r="DA18" s="78">
        <v>2</v>
      </c>
      <c r="DB18" s="78">
        <v>0</v>
      </c>
      <c r="DC18" s="78">
        <v>0</v>
      </c>
      <c r="DD18" s="76">
        <v>0</v>
      </c>
      <c r="DE18" s="1" t="s">
        <v>426</v>
      </c>
      <c r="DF18" s="78">
        <v>4</v>
      </c>
      <c r="DG18" s="78">
        <v>1</v>
      </c>
      <c r="DH18" s="78">
        <v>2</v>
      </c>
      <c r="DI18" s="78">
        <v>0</v>
      </c>
      <c r="DJ18" s="78">
        <v>0</v>
      </c>
      <c r="DK18" s="78">
        <v>1</v>
      </c>
      <c r="DL18" s="78">
        <v>0</v>
      </c>
      <c r="DM18" s="78">
        <v>0</v>
      </c>
      <c r="DN18" s="76">
        <v>3</v>
      </c>
      <c r="DO18" s="1" t="s">
        <v>419</v>
      </c>
      <c r="DP18" s="78">
        <v>4</v>
      </c>
      <c r="DQ18" s="78">
        <v>0</v>
      </c>
      <c r="DR18" s="78">
        <v>0</v>
      </c>
      <c r="DS18" s="78">
        <v>0</v>
      </c>
      <c r="DT18" s="78">
        <v>0</v>
      </c>
      <c r="DU18" s="78">
        <v>0</v>
      </c>
      <c r="DV18" s="78">
        <v>0</v>
      </c>
      <c r="DW18" s="78">
        <v>0</v>
      </c>
      <c r="DX18" s="76">
        <v>0</v>
      </c>
      <c r="DY18" s="77">
        <v>7</v>
      </c>
      <c r="DZ18" s="43">
        <v>1</v>
      </c>
      <c r="EA18" s="43">
        <v>0</v>
      </c>
      <c r="EB18" s="45">
        <v>2</v>
      </c>
      <c r="EC18" s="43">
        <v>0</v>
      </c>
      <c r="ED18" s="44">
        <v>0</v>
      </c>
      <c r="EE18" s="71">
        <v>2</v>
      </c>
      <c r="EF18" s="43">
        <v>0</v>
      </c>
      <c r="EG18" s="43">
        <v>1</v>
      </c>
      <c r="EH18" s="43">
        <v>6</v>
      </c>
      <c r="EI18" s="43">
        <v>0</v>
      </c>
      <c r="EJ18" s="43">
        <v>0</v>
      </c>
      <c r="EK18" s="43">
        <v>0</v>
      </c>
      <c r="EL18" s="43">
        <v>0</v>
      </c>
      <c r="EM18" s="43">
        <v>0</v>
      </c>
      <c r="EN18" s="43"/>
      <c r="EO18" s="43"/>
      <c r="EP18" s="43"/>
      <c r="EQ18" s="43"/>
      <c r="ER18" s="44">
        <f t="shared" si="0"/>
        <v>9</v>
      </c>
      <c r="ES18" s="43">
        <v>2</v>
      </c>
      <c r="ET18" s="43">
        <v>0</v>
      </c>
      <c r="EU18" s="43">
        <v>3</v>
      </c>
      <c r="EV18" s="43">
        <v>3</v>
      </c>
      <c r="EW18" s="43">
        <v>2</v>
      </c>
      <c r="EX18" s="43">
        <v>0</v>
      </c>
      <c r="EY18" s="43">
        <v>0</v>
      </c>
      <c r="EZ18" s="43">
        <v>0</v>
      </c>
      <c r="FA18" s="43">
        <v>3</v>
      </c>
      <c r="FB18" s="43"/>
      <c r="FC18" s="43"/>
      <c r="FD18" s="43"/>
      <c r="FE18" s="43"/>
      <c r="FF18" s="43">
        <f t="shared" si="1"/>
        <v>13</v>
      </c>
      <c r="FG18" s="73">
        <f t="shared" si="2"/>
        <v>0</v>
      </c>
      <c r="FH18" s="73">
        <f t="shared" si="3"/>
        <v>0</v>
      </c>
      <c r="FI18" s="38"/>
    </row>
    <row r="19" spans="1:165" x14ac:dyDescent="0.25">
      <c r="A19" s="53">
        <v>40363</v>
      </c>
      <c r="B19" s="53" t="s">
        <v>133</v>
      </c>
      <c r="C19" s="53" t="s">
        <v>131</v>
      </c>
      <c r="D19" s="53" t="s">
        <v>283</v>
      </c>
      <c r="E19" s="54">
        <v>4131</v>
      </c>
      <c r="F19" s="58">
        <v>2</v>
      </c>
      <c r="G19" s="59" t="s">
        <v>412</v>
      </c>
      <c r="H19" s="6">
        <v>0</v>
      </c>
      <c r="I19" s="6">
        <v>0</v>
      </c>
      <c r="J19" s="60">
        <v>4</v>
      </c>
      <c r="K19" s="6">
        <v>2</v>
      </c>
      <c r="L19" s="6">
        <v>0</v>
      </c>
      <c r="M19" s="6">
        <v>0</v>
      </c>
      <c r="N19" s="6">
        <v>2</v>
      </c>
      <c r="O19" s="6">
        <v>1</v>
      </c>
      <c r="P19" s="6">
        <v>0</v>
      </c>
      <c r="Q19" s="6">
        <v>1</v>
      </c>
      <c r="R19" s="6">
        <v>14</v>
      </c>
      <c r="S19" s="6"/>
      <c r="T19" s="6"/>
      <c r="U19" s="6">
        <v>0</v>
      </c>
      <c r="V19" s="61">
        <v>0</v>
      </c>
      <c r="W19" s="62">
        <v>0</v>
      </c>
      <c r="X19" s="62">
        <v>1</v>
      </c>
      <c r="Y19" s="62">
        <v>0</v>
      </c>
      <c r="Z19" s="62">
        <v>0</v>
      </c>
      <c r="AA19" s="62">
        <v>0</v>
      </c>
      <c r="AB19" s="63">
        <v>4</v>
      </c>
      <c r="AC19" s="62">
        <v>4</v>
      </c>
      <c r="AD19" s="62">
        <v>4</v>
      </c>
      <c r="AE19" s="62">
        <v>4</v>
      </c>
      <c r="AF19" s="62">
        <v>2</v>
      </c>
      <c r="AG19" s="62">
        <v>1</v>
      </c>
      <c r="AH19" s="62">
        <v>0</v>
      </c>
      <c r="AI19" s="62">
        <v>0</v>
      </c>
      <c r="AJ19" s="62">
        <v>19</v>
      </c>
      <c r="AK19" s="62"/>
      <c r="AL19" s="62"/>
      <c r="AM19" s="1" t="s">
        <v>417</v>
      </c>
      <c r="AN19" s="78">
        <v>4</v>
      </c>
      <c r="AO19" s="78">
        <v>0</v>
      </c>
      <c r="AP19" s="78">
        <v>0</v>
      </c>
      <c r="AQ19" s="78">
        <v>0</v>
      </c>
      <c r="AR19" s="78">
        <v>0</v>
      </c>
      <c r="AS19" s="78">
        <v>1</v>
      </c>
      <c r="AT19" s="78">
        <v>0</v>
      </c>
      <c r="AU19" s="78">
        <v>0</v>
      </c>
      <c r="AV19" s="76">
        <v>0</v>
      </c>
      <c r="AW19" s="1" t="s">
        <v>419</v>
      </c>
      <c r="AX19" s="78">
        <v>3</v>
      </c>
      <c r="AY19" s="78">
        <v>1</v>
      </c>
      <c r="AZ19" s="78">
        <v>0</v>
      </c>
      <c r="BA19" s="78">
        <v>0</v>
      </c>
      <c r="BB19" s="78">
        <v>1</v>
      </c>
      <c r="BC19" s="78">
        <v>2</v>
      </c>
      <c r="BD19" s="78">
        <v>0</v>
      </c>
      <c r="BE19" s="78">
        <v>0</v>
      </c>
      <c r="BF19" s="76">
        <v>0</v>
      </c>
      <c r="BG19" s="1" t="s">
        <v>420</v>
      </c>
      <c r="BH19" s="78">
        <v>4</v>
      </c>
      <c r="BI19" s="78">
        <v>1</v>
      </c>
      <c r="BJ19" s="78">
        <v>1</v>
      </c>
      <c r="BK19" s="78">
        <v>0</v>
      </c>
      <c r="BL19" s="78">
        <v>0</v>
      </c>
      <c r="BM19" s="78">
        <v>0</v>
      </c>
      <c r="BN19" s="78">
        <v>0</v>
      </c>
      <c r="BO19" s="78">
        <v>0</v>
      </c>
      <c r="BP19" s="76">
        <v>1</v>
      </c>
      <c r="BQ19" s="1" t="s">
        <v>422</v>
      </c>
      <c r="BR19" s="78">
        <v>3</v>
      </c>
      <c r="BS19" s="78">
        <v>1</v>
      </c>
      <c r="BT19" s="78">
        <v>1</v>
      </c>
      <c r="BU19" s="78">
        <v>1</v>
      </c>
      <c r="BV19" s="78">
        <v>1</v>
      </c>
      <c r="BW19" s="78">
        <v>1</v>
      </c>
      <c r="BX19" s="78">
        <v>0</v>
      </c>
      <c r="BY19" s="78">
        <v>0</v>
      </c>
      <c r="BZ19" s="76">
        <v>1</v>
      </c>
      <c r="CA19" s="1" t="s">
        <v>423</v>
      </c>
      <c r="CB19" s="78">
        <v>4</v>
      </c>
      <c r="CC19" s="78">
        <v>0</v>
      </c>
      <c r="CD19" s="78">
        <v>1</v>
      </c>
      <c r="CE19" s="78">
        <v>0</v>
      </c>
      <c r="CF19" s="78">
        <v>0</v>
      </c>
      <c r="CG19" s="78">
        <v>0</v>
      </c>
      <c r="CH19" s="78">
        <v>0</v>
      </c>
      <c r="CI19" s="78">
        <v>0</v>
      </c>
      <c r="CJ19" s="76">
        <v>1</v>
      </c>
      <c r="CK19" s="1" t="s">
        <v>282</v>
      </c>
      <c r="CL19" s="78">
        <v>3</v>
      </c>
      <c r="CM19" s="78">
        <v>0</v>
      </c>
      <c r="CN19" s="78">
        <v>1</v>
      </c>
      <c r="CO19" s="78">
        <v>2</v>
      </c>
      <c r="CP19" s="78">
        <v>0</v>
      </c>
      <c r="CQ19" s="78">
        <v>0</v>
      </c>
      <c r="CR19" s="78">
        <v>1</v>
      </c>
      <c r="CS19" s="78">
        <v>0</v>
      </c>
      <c r="CT19" s="76">
        <v>1</v>
      </c>
      <c r="CU19" s="1" t="s">
        <v>424</v>
      </c>
      <c r="CV19" s="78">
        <v>3</v>
      </c>
      <c r="CW19" s="78">
        <v>0</v>
      </c>
      <c r="CX19" s="78">
        <v>0</v>
      </c>
      <c r="CY19" s="78">
        <v>0</v>
      </c>
      <c r="CZ19" s="78">
        <v>0</v>
      </c>
      <c r="DA19" s="78">
        <v>0</v>
      </c>
      <c r="DB19" s="78">
        <v>0</v>
      </c>
      <c r="DC19" s="78">
        <v>0</v>
      </c>
      <c r="DD19" s="76">
        <v>0</v>
      </c>
      <c r="DE19" s="1" t="s">
        <v>415</v>
      </c>
      <c r="DF19" s="78">
        <v>3</v>
      </c>
      <c r="DG19" s="78">
        <v>0</v>
      </c>
      <c r="DH19" s="78">
        <v>0</v>
      </c>
      <c r="DI19" s="78">
        <v>0</v>
      </c>
      <c r="DJ19" s="78">
        <v>0</v>
      </c>
      <c r="DK19" s="78">
        <v>2</v>
      </c>
      <c r="DL19" s="78">
        <v>0</v>
      </c>
      <c r="DM19" s="78">
        <v>0</v>
      </c>
      <c r="DN19" s="76">
        <v>0</v>
      </c>
      <c r="DO19" s="1" t="s">
        <v>416</v>
      </c>
      <c r="DP19" s="78">
        <v>3</v>
      </c>
      <c r="DQ19" s="78">
        <v>0</v>
      </c>
      <c r="DR19" s="78">
        <v>0</v>
      </c>
      <c r="DS19" s="78">
        <v>0</v>
      </c>
      <c r="DT19" s="78">
        <v>0</v>
      </c>
      <c r="DU19" s="78">
        <v>1</v>
      </c>
      <c r="DV19" s="78">
        <v>0</v>
      </c>
      <c r="DW19" s="78">
        <v>0</v>
      </c>
      <c r="DX19" s="76">
        <v>0</v>
      </c>
      <c r="DY19" s="77">
        <v>4</v>
      </c>
      <c r="DZ19" s="43">
        <v>0</v>
      </c>
      <c r="EA19" s="43">
        <v>0</v>
      </c>
      <c r="EB19" s="45">
        <v>5</v>
      </c>
      <c r="EC19" s="43">
        <v>1</v>
      </c>
      <c r="ED19" s="44">
        <v>0</v>
      </c>
      <c r="EE19" s="71">
        <v>0</v>
      </c>
      <c r="EF19" s="43">
        <v>0</v>
      </c>
      <c r="EG19" s="43">
        <v>0</v>
      </c>
      <c r="EH19" s="43">
        <v>0</v>
      </c>
      <c r="EI19" s="43">
        <v>0</v>
      </c>
      <c r="EJ19" s="43">
        <v>1</v>
      </c>
      <c r="EK19" s="43">
        <v>0</v>
      </c>
      <c r="EL19" s="43">
        <v>0</v>
      </c>
      <c r="EM19" s="43">
        <v>2</v>
      </c>
      <c r="EN19" s="43"/>
      <c r="EO19" s="43"/>
      <c r="EP19" s="43"/>
      <c r="EQ19" s="43"/>
      <c r="ER19" s="44">
        <f t="shared" si="0"/>
        <v>3</v>
      </c>
      <c r="ES19" s="43">
        <v>0</v>
      </c>
      <c r="ET19" s="43">
        <v>0</v>
      </c>
      <c r="EU19" s="43">
        <v>0</v>
      </c>
      <c r="EV19" s="43">
        <v>0</v>
      </c>
      <c r="EW19" s="43">
        <v>0</v>
      </c>
      <c r="EX19" s="43">
        <v>0</v>
      </c>
      <c r="EY19" s="43">
        <v>3</v>
      </c>
      <c r="EZ19" s="43">
        <v>1</v>
      </c>
      <c r="FA19" s="43"/>
      <c r="FB19" s="43"/>
      <c r="FC19" s="43"/>
      <c r="FD19" s="43"/>
      <c r="FE19" s="43"/>
      <c r="FF19" s="43">
        <f t="shared" si="1"/>
        <v>4</v>
      </c>
      <c r="FG19" s="73">
        <f t="shared" si="2"/>
        <v>0</v>
      </c>
      <c r="FH19" s="73">
        <f t="shared" si="3"/>
        <v>0</v>
      </c>
      <c r="FI19" s="38"/>
    </row>
    <row r="20" spans="1:165" x14ac:dyDescent="0.25">
      <c r="A20" s="91">
        <v>40364</v>
      </c>
      <c r="B20" s="91" t="s">
        <v>133</v>
      </c>
      <c r="C20" s="91" t="s">
        <v>129</v>
      </c>
      <c r="D20" s="91" t="s">
        <v>283</v>
      </c>
      <c r="E20" s="92">
        <v>2551</v>
      </c>
      <c r="F20" s="93">
        <v>3</v>
      </c>
      <c r="G20" s="94" t="s">
        <v>411</v>
      </c>
      <c r="H20" s="95">
        <v>0</v>
      </c>
      <c r="I20" s="95">
        <v>0</v>
      </c>
      <c r="J20" s="96">
        <v>4</v>
      </c>
      <c r="K20" s="95">
        <v>4</v>
      </c>
      <c r="L20" s="95">
        <v>4</v>
      </c>
      <c r="M20" s="95">
        <v>2</v>
      </c>
      <c r="N20" s="95">
        <v>2</v>
      </c>
      <c r="O20" s="95">
        <v>3</v>
      </c>
      <c r="P20" s="95">
        <v>1</v>
      </c>
      <c r="Q20" s="95">
        <v>0</v>
      </c>
      <c r="R20" s="95">
        <v>17</v>
      </c>
      <c r="S20" s="95"/>
      <c r="T20" s="95"/>
      <c r="U20" s="95">
        <v>2</v>
      </c>
      <c r="V20" s="97">
        <v>2</v>
      </c>
      <c r="W20" s="98">
        <v>1</v>
      </c>
      <c r="X20" s="98">
        <v>0</v>
      </c>
      <c r="Y20" s="98">
        <v>0</v>
      </c>
      <c r="Z20" s="98">
        <v>1</v>
      </c>
      <c r="AA20" s="98">
        <v>0</v>
      </c>
      <c r="AB20" s="99">
        <v>5</v>
      </c>
      <c r="AC20" s="98">
        <v>6</v>
      </c>
      <c r="AD20" s="98">
        <v>3</v>
      </c>
      <c r="AE20" s="98">
        <v>3</v>
      </c>
      <c r="AF20" s="98">
        <v>0</v>
      </c>
      <c r="AG20" s="98">
        <v>7</v>
      </c>
      <c r="AH20" s="98">
        <v>0</v>
      </c>
      <c r="AI20" s="98">
        <v>0</v>
      </c>
      <c r="AJ20" s="98">
        <v>22</v>
      </c>
      <c r="AK20" s="98"/>
      <c r="AL20" s="98"/>
      <c r="AM20" s="100" t="s">
        <v>285</v>
      </c>
      <c r="AN20" s="101">
        <v>4</v>
      </c>
      <c r="AO20" s="101">
        <v>1</v>
      </c>
      <c r="AP20" s="101">
        <v>2</v>
      </c>
      <c r="AQ20" s="101">
        <v>0</v>
      </c>
      <c r="AR20" s="101">
        <v>0</v>
      </c>
      <c r="AS20" s="101">
        <v>2</v>
      </c>
      <c r="AT20" s="101">
        <v>1</v>
      </c>
      <c r="AU20" s="101">
        <v>0</v>
      </c>
      <c r="AV20" s="102">
        <v>3</v>
      </c>
      <c r="AW20" s="100" t="s">
        <v>282</v>
      </c>
      <c r="AX20" s="101">
        <v>4</v>
      </c>
      <c r="AY20" s="101">
        <v>3</v>
      </c>
      <c r="AZ20" s="101">
        <v>2</v>
      </c>
      <c r="BA20" s="101">
        <v>1</v>
      </c>
      <c r="BB20" s="101">
        <v>1</v>
      </c>
      <c r="BC20" s="101">
        <v>0</v>
      </c>
      <c r="BD20" s="101">
        <v>1</v>
      </c>
      <c r="BE20" s="101">
        <v>0</v>
      </c>
      <c r="BF20" s="102">
        <v>6</v>
      </c>
      <c r="BG20" s="100" t="s">
        <v>420</v>
      </c>
      <c r="BH20" s="101">
        <v>5</v>
      </c>
      <c r="BI20" s="101">
        <v>2</v>
      </c>
      <c r="BJ20" s="101">
        <v>2</v>
      </c>
      <c r="BK20" s="101">
        <v>1</v>
      </c>
      <c r="BL20" s="101">
        <v>0</v>
      </c>
      <c r="BM20" s="101">
        <v>1</v>
      </c>
      <c r="BN20" s="101">
        <v>1</v>
      </c>
      <c r="BO20" s="101">
        <v>0</v>
      </c>
      <c r="BP20" s="102">
        <v>3</v>
      </c>
      <c r="BQ20" s="100" t="s">
        <v>422</v>
      </c>
      <c r="BR20" s="101">
        <v>6</v>
      </c>
      <c r="BS20" s="101">
        <v>2</v>
      </c>
      <c r="BT20" s="101">
        <v>4</v>
      </c>
      <c r="BU20" s="101">
        <v>5</v>
      </c>
      <c r="BV20" s="101">
        <v>0</v>
      </c>
      <c r="BW20" s="101">
        <v>0</v>
      </c>
      <c r="BX20" s="101">
        <v>0</v>
      </c>
      <c r="BY20" s="101">
        <v>0</v>
      </c>
      <c r="BZ20" s="102">
        <v>5</v>
      </c>
      <c r="CA20" s="100" t="s">
        <v>284</v>
      </c>
      <c r="CB20" s="101">
        <v>6</v>
      </c>
      <c r="CC20" s="101">
        <v>0</v>
      </c>
      <c r="CD20" s="101">
        <v>3</v>
      </c>
      <c r="CE20" s="101">
        <v>1</v>
      </c>
      <c r="CF20" s="101">
        <v>0</v>
      </c>
      <c r="CG20" s="101">
        <v>1</v>
      </c>
      <c r="CH20" s="101">
        <v>0</v>
      </c>
      <c r="CI20" s="101">
        <v>0</v>
      </c>
      <c r="CJ20" s="102">
        <v>4</v>
      </c>
      <c r="CK20" s="100" t="s">
        <v>421</v>
      </c>
      <c r="CL20" s="101">
        <v>2</v>
      </c>
      <c r="CM20" s="101">
        <v>0</v>
      </c>
      <c r="CN20" s="101">
        <v>1</v>
      </c>
      <c r="CO20" s="101">
        <v>1</v>
      </c>
      <c r="CP20" s="101">
        <v>1</v>
      </c>
      <c r="CQ20" s="101">
        <v>0</v>
      </c>
      <c r="CR20" s="101">
        <v>2</v>
      </c>
      <c r="CS20" s="101">
        <v>0</v>
      </c>
      <c r="CT20" s="102">
        <v>1</v>
      </c>
      <c r="CU20" s="100" t="s">
        <v>418</v>
      </c>
      <c r="CV20" s="101">
        <v>3</v>
      </c>
      <c r="CW20" s="101">
        <v>1</v>
      </c>
      <c r="CX20" s="101">
        <v>1</v>
      </c>
      <c r="CY20" s="101">
        <v>0</v>
      </c>
      <c r="CZ20" s="101">
        <v>2</v>
      </c>
      <c r="DA20" s="101">
        <v>1</v>
      </c>
      <c r="DB20" s="101">
        <v>0</v>
      </c>
      <c r="DC20" s="101">
        <v>0</v>
      </c>
      <c r="DD20" s="102">
        <v>1</v>
      </c>
      <c r="DE20" s="100" t="s">
        <v>426</v>
      </c>
      <c r="DF20" s="101">
        <v>5</v>
      </c>
      <c r="DG20" s="101">
        <v>1</v>
      </c>
      <c r="DH20" s="101">
        <v>1</v>
      </c>
      <c r="DI20" s="101">
        <v>1</v>
      </c>
      <c r="DJ20" s="101">
        <v>0</v>
      </c>
      <c r="DK20" s="101">
        <v>0</v>
      </c>
      <c r="DL20" s="101">
        <v>0</v>
      </c>
      <c r="DM20" s="101">
        <v>0</v>
      </c>
      <c r="DN20" s="102">
        <v>1</v>
      </c>
      <c r="DO20" s="100" t="s">
        <v>416</v>
      </c>
      <c r="DP20" s="101">
        <v>4</v>
      </c>
      <c r="DQ20" s="101">
        <v>2</v>
      </c>
      <c r="DR20" s="101">
        <v>1</v>
      </c>
      <c r="DS20" s="101">
        <v>1</v>
      </c>
      <c r="DT20" s="101">
        <v>1</v>
      </c>
      <c r="DU20" s="101">
        <v>0</v>
      </c>
      <c r="DV20" s="101">
        <v>0</v>
      </c>
      <c r="DW20" s="101">
        <v>0</v>
      </c>
      <c r="DX20" s="102">
        <v>1</v>
      </c>
      <c r="DY20" s="103">
        <v>2</v>
      </c>
      <c r="DZ20" s="104">
        <v>0</v>
      </c>
      <c r="EA20" s="104">
        <v>0</v>
      </c>
      <c r="EB20" s="105">
        <v>7</v>
      </c>
      <c r="EC20" s="104">
        <v>9</v>
      </c>
      <c r="ED20" s="106">
        <v>2</v>
      </c>
      <c r="EE20" s="107">
        <v>2</v>
      </c>
      <c r="EF20" s="104">
        <v>1</v>
      </c>
      <c r="EG20" s="104">
        <v>0</v>
      </c>
      <c r="EH20" s="104">
        <v>1</v>
      </c>
      <c r="EI20" s="104">
        <v>0</v>
      </c>
      <c r="EJ20" s="104">
        <v>6</v>
      </c>
      <c r="EK20" s="104">
        <v>0</v>
      </c>
      <c r="EL20" s="104">
        <v>0</v>
      </c>
      <c r="EM20" s="104">
        <v>2</v>
      </c>
      <c r="EN20" s="104"/>
      <c r="EO20" s="104"/>
      <c r="EP20" s="104"/>
      <c r="EQ20" s="104"/>
      <c r="ER20" s="106">
        <f t="shared" si="0"/>
        <v>12</v>
      </c>
      <c r="ES20" s="104">
        <v>0</v>
      </c>
      <c r="ET20" s="104">
        <v>0</v>
      </c>
      <c r="EU20" s="104">
        <v>0</v>
      </c>
      <c r="EV20" s="104">
        <v>2</v>
      </c>
      <c r="EW20" s="104">
        <v>5</v>
      </c>
      <c r="EX20" s="104">
        <v>0</v>
      </c>
      <c r="EY20" s="104">
        <v>0</v>
      </c>
      <c r="EZ20" s="104">
        <v>0</v>
      </c>
      <c r="FA20" s="104">
        <v>0</v>
      </c>
      <c r="FB20" s="104"/>
      <c r="FC20" s="104"/>
      <c r="FD20" s="104"/>
      <c r="FE20" s="104"/>
      <c r="FF20" s="104">
        <f t="shared" si="1"/>
        <v>7</v>
      </c>
      <c r="FG20" s="108">
        <f t="shared" ref="FG20:FG25" si="4">((SUM(L20,AD20))-(FF20))</f>
        <v>0</v>
      </c>
      <c r="FH20" s="108">
        <f t="shared" ref="FH20:FH25" si="5">((SUM(AO20,AY20,BI20,BS20,CC20,CM20,CW20,DG20,DQ20))-(ER20))</f>
        <v>0</v>
      </c>
      <c r="FI20" s="109"/>
    </row>
    <row r="21" spans="1:165" x14ac:dyDescent="0.25">
      <c r="A21" s="91">
        <v>40365</v>
      </c>
      <c r="B21" s="91" t="s">
        <v>133</v>
      </c>
      <c r="C21" s="91" t="s">
        <v>131</v>
      </c>
      <c r="D21" s="91" t="s">
        <v>283</v>
      </c>
      <c r="E21" s="92">
        <v>3273</v>
      </c>
      <c r="F21" s="93">
        <v>4</v>
      </c>
      <c r="G21" s="94" t="s">
        <v>409</v>
      </c>
      <c r="H21" s="95">
        <v>0</v>
      </c>
      <c r="I21" s="95">
        <v>0</v>
      </c>
      <c r="J21" s="96">
        <v>4</v>
      </c>
      <c r="K21" s="95">
        <v>6</v>
      </c>
      <c r="L21" s="95">
        <v>3</v>
      </c>
      <c r="M21" s="95">
        <v>3</v>
      </c>
      <c r="N21" s="95">
        <v>2</v>
      </c>
      <c r="O21" s="95">
        <v>1</v>
      </c>
      <c r="P21" s="95">
        <v>0</v>
      </c>
      <c r="Q21" s="95">
        <v>0</v>
      </c>
      <c r="R21" s="95">
        <v>18</v>
      </c>
      <c r="S21" s="95"/>
      <c r="T21" s="95"/>
      <c r="U21" s="95">
        <v>0</v>
      </c>
      <c r="V21" s="97">
        <v>0</v>
      </c>
      <c r="W21" s="98">
        <v>0</v>
      </c>
      <c r="X21" s="98">
        <v>1</v>
      </c>
      <c r="Y21" s="98">
        <v>0</v>
      </c>
      <c r="Z21" s="98">
        <v>0</v>
      </c>
      <c r="AA21" s="98">
        <v>0</v>
      </c>
      <c r="AB21" s="99">
        <f>5+1/3</f>
        <v>5.333333333333333</v>
      </c>
      <c r="AC21" s="98">
        <v>7</v>
      </c>
      <c r="AD21" s="98">
        <v>2</v>
      </c>
      <c r="AE21" s="98">
        <v>2</v>
      </c>
      <c r="AF21" s="98">
        <v>5</v>
      </c>
      <c r="AG21" s="98">
        <v>7</v>
      </c>
      <c r="AH21" s="98">
        <v>0</v>
      </c>
      <c r="AI21" s="98">
        <v>0</v>
      </c>
      <c r="AJ21" s="98">
        <v>28</v>
      </c>
      <c r="AK21" s="98"/>
      <c r="AL21" s="98"/>
      <c r="AM21" s="100" t="s">
        <v>417</v>
      </c>
      <c r="AN21" s="101">
        <v>5</v>
      </c>
      <c r="AO21" s="101">
        <v>1</v>
      </c>
      <c r="AP21" s="101">
        <v>0</v>
      </c>
      <c r="AQ21" s="101">
        <v>0</v>
      </c>
      <c r="AR21" s="101">
        <v>0</v>
      </c>
      <c r="AS21" s="101">
        <v>2</v>
      </c>
      <c r="AT21" s="101">
        <v>0</v>
      </c>
      <c r="AU21" s="101">
        <v>0</v>
      </c>
      <c r="AV21" s="102">
        <v>0</v>
      </c>
      <c r="AW21" s="100" t="s">
        <v>285</v>
      </c>
      <c r="AX21" s="101">
        <v>5</v>
      </c>
      <c r="AY21" s="101">
        <v>1</v>
      </c>
      <c r="AZ21" s="101">
        <v>1</v>
      </c>
      <c r="BA21" s="101">
        <v>0</v>
      </c>
      <c r="BB21" s="101">
        <v>0</v>
      </c>
      <c r="BC21" s="101">
        <v>0</v>
      </c>
      <c r="BD21" s="101">
        <v>0</v>
      </c>
      <c r="BE21" s="101">
        <v>0</v>
      </c>
      <c r="BF21" s="102">
        <v>2</v>
      </c>
      <c r="BG21" s="100" t="s">
        <v>420</v>
      </c>
      <c r="BH21" s="101">
        <v>5</v>
      </c>
      <c r="BI21" s="101">
        <v>1</v>
      </c>
      <c r="BJ21" s="101">
        <v>1</v>
      </c>
      <c r="BK21" s="101">
        <v>1</v>
      </c>
      <c r="BL21" s="101">
        <v>0</v>
      </c>
      <c r="BM21" s="101">
        <v>1</v>
      </c>
      <c r="BN21" s="101">
        <v>0</v>
      </c>
      <c r="BO21" s="101">
        <v>0</v>
      </c>
      <c r="BP21" s="102">
        <v>1</v>
      </c>
      <c r="BQ21" s="100" t="s">
        <v>422</v>
      </c>
      <c r="BR21" s="101">
        <v>4</v>
      </c>
      <c r="BS21" s="101">
        <v>1</v>
      </c>
      <c r="BT21" s="101">
        <v>2</v>
      </c>
      <c r="BU21" s="101">
        <v>2</v>
      </c>
      <c r="BV21" s="101">
        <v>0</v>
      </c>
      <c r="BW21" s="101">
        <v>0</v>
      </c>
      <c r="BX21" s="101">
        <v>0</v>
      </c>
      <c r="BY21" s="101">
        <v>1</v>
      </c>
      <c r="BZ21" s="102">
        <v>5</v>
      </c>
      <c r="CA21" s="100" t="s">
        <v>284</v>
      </c>
      <c r="CB21" s="101">
        <v>2</v>
      </c>
      <c r="CC21" s="101">
        <v>0</v>
      </c>
      <c r="CD21" s="101">
        <v>0</v>
      </c>
      <c r="CE21" s="101">
        <v>0</v>
      </c>
      <c r="CF21" s="101">
        <v>1</v>
      </c>
      <c r="CG21" s="101">
        <v>2</v>
      </c>
      <c r="CH21" s="101">
        <v>1</v>
      </c>
      <c r="CI21" s="101">
        <v>0</v>
      </c>
      <c r="CJ21" s="102">
        <v>0</v>
      </c>
      <c r="CK21" s="100" t="s">
        <v>282</v>
      </c>
      <c r="CL21" s="101">
        <v>3</v>
      </c>
      <c r="CM21" s="101">
        <v>0</v>
      </c>
      <c r="CN21" s="101">
        <v>0</v>
      </c>
      <c r="CO21" s="101">
        <v>0</v>
      </c>
      <c r="CP21" s="101">
        <v>1</v>
      </c>
      <c r="CQ21" s="101">
        <v>2</v>
      </c>
      <c r="CR21" s="101">
        <v>0</v>
      </c>
      <c r="CS21" s="101">
        <v>0</v>
      </c>
      <c r="CT21" s="102">
        <v>0</v>
      </c>
      <c r="CU21" s="100" t="s">
        <v>418</v>
      </c>
      <c r="CV21" s="101">
        <v>4</v>
      </c>
      <c r="CW21" s="101">
        <v>0</v>
      </c>
      <c r="CX21" s="101">
        <v>0</v>
      </c>
      <c r="CY21" s="101">
        <v>0</v>
      </c>
      <c r="CZ21" s="101">
        <v>0</v>
      </c>
      <c r="DA21" s="101">
        <v>0</v>
      </c>
      <c r="DB21" s="101">
        <v>0</v>
      </c>
      <c r="DC21" s="101">
        <v>0</v>
      </c>
      <c r="DD21" s="102">
        <v>0</v>
      </c>
      <c r="DE21" s="100" t="s">
        <v>426</v>
      </c>
      <c r="DF21" s="101">
        <v>4</v>
      </c>
      <c r="DG21" s="101">
        <v>0</v>
      </c>
      <c r="DH21" s="101">
        <v>1</v>
      </c>
      <c r="DI21" s="101">
        <v>0</v>
      </c>
      <c r="DJ21" s="101">
        <v>0</v>
      </c>
      <c r="DK21" s="101">
        <v>1</v>
      </c>
      <c r="DL21" s="101">
        <v>0</v>
      </c>
      <c r="DM21" s="101">
        <v>0</v>
      </c>
      <c r="DN21" s="102">
        <v>2</v>
      </c>
      <c r="DO21" s="100" t="s">
        <v>419</v>
      </c>
      <c r="DP21" s="101">
        <v>4</v>
      </c>
      <c r="DQ21" s="101">
        <v>0</v>
      </c>
      <c r="DR21" s="101">
        <v>2</v>
      </c>
      <c r="DS21" s="101">
        <v>0</v>
      </c>
      <c r="DT21" s="101">
        <v>0</v>
      </c>
      <c r="DU21" s="101">
        <v>0</v>
      </c>
      <c r="DV21" s="101">
        <v>0</v>
      </c>
      <c r="DW21" s="101">
        <v>0</v>
      </c>
      <c r="DX21" s="102">
        <v>2</v>
      </c>
      <c r="DY21" s="103">
        <v>0</v>
      </c>
      <c r="DZ21" s="104">
        <v>0</v>
      </c>
      <c r="EA21" s="104">
        <v>0</v>
      </c>
      <c r="EB21" s="105">
        <v>10</v>
      </c>
      <c r="EC21" s="104">
        <v>0</v>
      </c>
      <c r="ED21" s="106">
        <v>0</v>
      </c>
      <c r="EE21" s="107">
        <v>0</v>
      </c>
      <c r="EF21" s="104">
        <v>1</v>
      </c>
      <c r="EG21" s="104">
        <v>3</v>
      </c>
      <c r="EH21" s="104">
        <v>0</v>
      </c>
      <c r="EI21" s="104">
        <v>0</v>
      </c>
      <c r="EJ21" s="104">
        <v>0</v>
      </c>
      <c r="EK21" s="104">
        <v>0</v>
      </c>
      <c r="EL21" s="104">
        <v>0</v>
      </c>
      <c r="EM21" s="104">
        <v>0</v>
      </c>
      <c r="EN21" s="104">
        <v>0</v>
      </c>
      <c r="EO21" s="104"/>
      <c r="EP21" s="104"/>
      <c r="EQ21" s="104"/>
      <c r="ER21" s="106">
        <f t="shared" si="0"/>
        <v>4</v>
      </c>
      <c r="ES21" s="104">
        <v>2</v>
      </c>
      <c r="ET21" s="104">
        <v>0</v>
      </c>
      <c r="EU21" s="104">
        <v>0</v>
      </c>
      <c r="EV21" s="104">
        <v>1</v>
      </c>
      <c r="EW21" s="104">
        <v>1</v>
      </c>
      <c r="EX21" s="104">
        <v>0</v>
      </c>
      <c r="EY21" s="104">
        <v>0</v>
      </c>
      <c r="EZ21" s="104">
        <v>0</v>
      </c>
      <c r="FA21" s="104">
        <v>0</v>
      </c>
      <c r="FB21" s="104">
        <v>1</v>
      </c>
      <c r="FC21" s="104"/>
      <c r="FD21" s="104"/>
      <c r="FE21" s="104"/>
      <c r="FF21" s="104">
        <f t="shared" si="1"/>
        <v>5</v>
      </c>
      <c r="FG21" s="108">
        <f t="shared" si="4"/>
        <v>0</v>
      </c>
      <c r="FH21" s="108">
        <f t="shared" si="5"/>
        <v>0</v>
      </c>
      <c r="FI21" s="109"/>
    </row>
    <row r="22" spans="1:165" x14ac:dyDescent="0.25">
      <c r="A22" s="91">
        <v>40367</v>
      </c>
      <c r="B22" s="91" t="s">
        <v>19</v>
      </c>
      <c r="C22" s="91" t="s">
        <v>131</v>
      </c>
      <c r="D22" s="91" t="s">
        <v>383</v>
      </c>
      <c r="E22" s="92">
        <v>3638</v>
      </c>
      <c r="F22" s="93">
        <v>5</v>
      </c>
      <c r="G22" s="94" t="s">
        <v>410</v>
      </c>
      <c r="H22" s="95">
        <v>0</v>
      </c>
      <c r="I22" s="95">
        <v>1</v>
      </c>
      <c r="J22" s="96">
        <f>3+2/3</f>
        <v>3.6666666666666665</v>
      </c>
      <c r="K22" s="95">
        <v>3</v>
      </c>
      <c r="L22" s="95">
        <v>2</v>
      </c>
      <c r="M22" s="95">
        <v>2</v>
      </c>
      <c r="N22" s="95">
        <v>1</v>
      </c>
      <c r="O22" s="95">
        <v>4</v>
      </c>
      <c r="P22" s="95">
        <v>0</v>
      </c>
      <c r="Q22" s="95">
        <v>0</v>
      </c>
      <c r="R22" s="95">
        <v>15</v>
      </c>
      <c r="S22" s="95"/>
      <c r="T22" s="95"/>
      <c r="U22" s="95">
        <v>1</v>
      </c>
      <c r="V22" s="97">
        <v>0</v>
      </c>
      <c r="W22" s="98">
        <v>0</v>
      </c>
      <c r="X22" s="98">
        <v>0</v>
      </c>
      <c r="Y22" s="98">
        <v>0</v>
      </c>
      <c r="Z22" s="98">
        <v>0</v>
      </c>
      <c r="AA22" s="98">
        <v>0</v>
      </c>
      <c r="AB22" s="99">
        <f>5+1/3</f>
        <v>5.333333333333333</v>
      </c>
      <c r="AC22" s="98">
        <v>6</v>
      </c>
      <c r="AD22" s="98">
        <v>5</v>
      </c>
      <c r="AE22" s="98">
        <v>5</v>
      </c>
      <c r="AF22" s="98">
        <v>3</v>
      </c>
      <c r="AG22" s="98">
        <v>5</v>
      </c>
      <c r="AH22" s="98">
        <v>1</v>
      </c>
      <c r="AI22" s="98">
        <v>1</v>
      </c>
      <c r="AJ22" s="98">
        <v>26</v>
      </c>
      <c r="AK22" s="98"/>
      <c r="AL22" s="98"/>
      <c r="AM22" s="100" t="s">
        <v>282</v>
      </c>
      <c r="AN22" s="101">
        <v>4</v>
      </c>
      <c r="AO22" s="101">
        <v>0</v>
      </c>
      <c r="AP22" s="101">
        <v>1</v>
      </c>
      <c r="AQ22" s="101">
        <v>0</v>
      </c>
      <c r="AR22" s="101">
        <v>0</v>
      </c>
      <c r="AS22" s="101">
        <v>1</v>
      </c>
      <c r="AT22" s="101">
        <v>0</v>
      </c>
      <c r="AU22" s="101">
        <v>0</v>
      </c>
      <c r="AV22" s="102">
        <v>1</v>
      </c>
      <c r="AW22" s="100" t="s">
        <v>418</v>
      </c>
      <c r="AX22" s="101">
        <v>4</v>
      </c>
      <c r="AY22" s="101">
        <v>0</v>
      </c>
      <c r="AZ22" s="101">
        <v>0</v>
      </c>
      <c r="BA22" s="101">
        <v>0</v>
      </c>
      <c r="BB22" s="101">
        <v>0</v>
      </c>
      <c r="BC22" s="101">
        <v>1</v>
      </c>
      <c r="BD22" s="101">
        <v>0</v>
      </c>
      <c r="BE22" s="101">
        <v>0</v>
      </c>
      <c r="BF22" s="102">
        <v>0</v>
      </c>
      <c r="BG22" s="100" t="s">
        <v>417</v>
      </c>
      <c r="BH22" s="101">
        <v>4</v>
      </c>
      <c r="BI22" s="101">
        <v>1</v>
      </c>
      <c r="BJ22" s="101">
        <v>2</v>
      </c>
      <c r="BK22" s="101">
        <v>0</v>
      </c>
      <c r="BL22" s="101">
        <v>0</v>
      </c>
      <c r="BM22" s="101">
        <v>1</v>
      </c>
      <c r="BN22" s="101">
        <v>0</v>
      </c>
      <c r="BO22" s="101">
        <v>0</v>
      </c>
      <c r="BP22" s="102">
        <v>3</v>
      </c>
      <c r="BQ22" s="100" t="s">
        <v>422</v>
      </c>
      <c r="BR22" s="101">
        <v>3</v>
      </c>
      <c r="BS22" s="101">
        <v>1</v>
      </c>
      <c r="BT22" s="101">
        <v>1</v>
      </c>
      <c r="BU22" s="101">
        <v>0</v>
      </c>
      <c r="BV22" s="101">
        <v>1</v>
      </c>
      <c r="BW22" s="101">
        <v>0</v>
      </c>
      <c r="BX22" s="101">
        <v>0</v>
      </c>
      <c r="BY22" s="101">
        <v>0</v>
      </c>
      <c r="BZ22" s="102">
        <v>1</v>
      </c>
      <c r="CA22" s="100" t="s">
        <v>421</v>
      </c>
      <c r="CB22" s="101">
        <v>4</v>
      </c>
      <c r="CC22" s="101">
        <v>0</v>
      </c>
      <c r="CD22" s="101">
        <v>3</v>
      </c>
      <c r="CE22" s="101">
        <v>1</v>
      </c>
      <c r="CF22" s="101">
        <v>0</v>
      </c>
      <c r="CG22" s="101">
        <v>0</v>
      </c>
      <c r="CH22" s="101">
        <v>0</v>
      </c>
      <c r="CI22" s="101">
        <v>0</v>
      </c>
      <c r="CJ22" s="102">
        <v>3</v>
      </c>
      <c r="CK22" s="100" t="s">
        <v>284</v>
      </c>
      <c r="CL22" s="101">
        <v>4</v>
      </c>
      <c r="CM22" s="101">
        <v>0</v>
      </c>
      <c r="CN22" s="101">
        <v>0</v>
      </c>
      <c r="CO22" s="101">
        <v>0</v>
      </c>
      <c r="CP22" s="101">
        <v>0</v>
      </c>
      <c r="CQ22" s="101">
        <v>1</v>
      </c>
      <c r="CR22" s="101">
        <v>0</v>
      </c>
      <c r="CS22" s="101">
        <v>0</v>
      </c>
      <c r="CT22" s="102">
        <v>0</v>
      </c>
      <c r="CU22" s="100" t="s">
        <v>423</v>
      </c>
      <c r="CV22" s="101">
        <v>4</v>
      </c>
      <c r="CW22" s="101">
        <v>0</v>
      </c>
      <c r="CX22" s="101">
        <v>0</v>
      </c>
      <c r="CY22" s="101">
        <v>0</v>
      </c>
      <c r="CZ22" s="101">
        <v>1</v>
      </c>
      <c r="DA22" s="101">
        <v>0</v>
      </c>
      <c r="DB22" s="101">
        <v>1</v>
      </c>
      <c r="DC22" s="101">
        <v>0</v>
      </c>
      <c r="DD22" s="102">
        <v>0</v>
      </c>
      <c r="DE22" s="100" t="s">
        <v>424</v>
      </c>
      <c r="DF22" s="101">
        <v>4</v>
      </c>
      <c r="DG22" s="101">
        <v>0</v>
      </c>
      <c r="DH22" s="101">
        <v>0</v>
      </c>
      <c r="DI22" s="101">
        <v>0</v>
      </c>
      <c r="DJ22" s="101">
        <v>0</v>
      </c>
      <c r="DK22" s="101">
        <v>1</v>
      </c>
      <c r="DL22" s="101">
        <v>0</v>
      </c>
      <c r="DM22" s="101">
        <v>0</v>
      </c>
      <c r="DN22" s="102">
        <v>0</v>
      </c>
      <c r="DO22" s="100" t="s">
        <v>416</v>
      </c>
      <c r="DP22" s="101">
        <v>3</v>
      </c>
      <c r="DQ22" s="101">
        <v>0</v>
      </c>
      <c r="DR22" s="101">
        <v>1</v>
      </c>
      <c r="DS22" s="101">
        <v>0</v>
      </c>
      <c r="DT22" s="101">
        <v>0</v>
      </c>
      <c r="DU22" s="101">
        <v>1</v>
      </c>
      <c r="DV22" s="101">
        <v>0</v>
      </c>
      <c r="DW22" s="101">
        <v>0</v>
      </c>
      <c r="DX22" s="102">
        <v>1</v>
      </c>
      <c r="DY22" s="103">
        <v>0</v>
      </c>
      <c r="DZ22" s="104">
        <v>0</v>
      </c>
      <c r="EA22" s="104">
        <v>0</v>
      </c>
      <c r="EB22" s="105">
        <v>9</v>
      </c>
      <c r="EC22" s="104">
        <v>1</v>
      </c>
      <c r="ED22" s="106">
        <v>0</v>
      </c>
      <c r="EE22" s="107">
        <v>0</v>
      </c>
      <c r="EF22" s="104">
        <v>0</v>
      </c>
      <c r="EG22" s="104">
        <v>0</v>
      </c>
      <c r="EH22" s="104">
        <v>0</v>
      </c>
      <c r="EI22" s="104">
        <v>0</v>
      </c>
      <c r="EJ22" s="104">
        <v>1</v>
      </c>
      <c r="EK22" s="104">
        <v>0</v>
      </c>
      <c r="EL22" s="104">
        <v>0</v>
      </c>
      <c r="EM22" s="104">
        <v>1</v>
      </c>
      <c r="EN22" s="104"/>
      <c r="EO22" s="104"/>
      <c r="EP22" s="104"/>
      <c r="EQ22" s="104"/>
      <c r="ER22" s="106">
        <f t="shared" si="0"/>
        <v>2</v>
      </c>
      <c r="ES22" s="104">
        <v>0</v>
      </c>
      <c r="ET22" s="104">
        <v>0</v>
      </c>
      <c r="EU22" s="104">
        <v>0</v>
      </c>
      <c r="EV22" s="104">
        <v>2</v>
      </c>
      <c r="EW22" s="104">
        <v>1</v>
      </c>
      <c r="EX22" s="104">
        <v>3</v>
      </c>
      <c r="EY22" s="104">
        <v>0</v>
      </c>
      <c r="EZ22" s="104">
        <v>0</v>
      </c>
      <c r="FA22" s="104">
        <v>1</v>
      </c>
      <c r="FB22" s="104"/>
      <c r="FC22" s="104"/>
      <c r="FD22" s="104"/>
      <c r="FE22" s="104"/>
      <c r="FF22" s="104">
        <f t="shared" si="1"/>
        <v>7</v>
      </c>
      <c r="FG22" s="108">
        <f t="shared" si="4"/>
        <v>0</v>
      </c>
      <c r="FH22" s="108">
        <f t="shared" si="5"/>
        <v>0</v>
      </c>
      <c r="FI22" s="109"/>
    </row>
    <row r="23" spans="1:165" x14ac:dyDescent="0.25">
      <c r="A23" s="91">
        <v>40368</v>
      </c>
      <c r="B23" s="91" t="s">
        <v>19</v>
      </c>
      <c r="C23" s="91" t="s">
        <v>129</v>
      </c>
      <c r="D23" s="91" t="s">
        <v>383</v>
      </c>
      <c r="E23" s="92">
        <v>4701</v>
      </c>
      <c r="F23" s="93">
        <v>1</v>
      </c>
      <c r="G23" s="94" t="s">
        <v>286</v>
      </c>
      <c r="H23" s="95">
        <v>0</v>
      </c>
      <c r="I23" s="95">
        <v>0</v>
      </c>
      <c r="J23" s="96">
        <v>6</v>
      </c>
      <c r="K23" s="95">
        <v>3</v>
      </c>
      <c r="L23" s="95">
        <v>3</v>
      </c>
      <c r="M23" s="95">
        <v>3</v>
      </c>
      <c r="N23" s="95">
        <v>0</v>
      </c>
      <c r="O23" s="95">
        <v>6</v>
      </c>
      <c r="P23" s="95">
        <v>2</v>
      </c>
      <c r="Q23" s="95">
        <v>1</v>
      </c>
      <c r="R23" s="95">
        <v>22</v>
      </c>
      <c r="S23" s="95"/>
      <c r="T23" s="95"/>
      <c r="U23" s="95">
        <v>0</v>
      </c>
      <c r="V23" s="97">
        <v>0</v>
      </c>
      <c r="W23" s="98">
        <v>1</v>
      </c>
      <c r="X23" s="98">
        <v>0</v>
      </c>
      <c r="Y23" s="98">
        <v>0</v>
      </c>
      <c r="Z23" s="98">
        <v>0</v>
      </c>
      <c r="AA23" s="98">
        <v>0</v>
      </c>
      <c r="AB23" s="99">
        <v>5</v>
      </c>
      <c r="AC23" s="98">
        <v>1</v>
      </c>
      <c r="AD23" s="98">
        <v>0</v>
      </c>
      <c r="AE23" s="98">
        <v>0</v>
      </c>
      <c r="AF23" s="98">
        <v>0</v>
      </c>
      <c r="AG23" s="98">
        <v>5</v>
      </c>
      <c r="AH23" s="98">
        <v>0</v>
      </c>
      <c r="AI23" s="98">
        <v>1</v>
      </c>
      <c r="AJ23" s="98">
        <v>18</v>
      </c>
      <c r="AK23" s="98"/>
      <c r="AL23" s="98"/>
      <c r="AM23" s="100" t="s">
        <v>282</v>
      </c>
      <c r="AN23" s="101">
        <v>2</v>
      </c>
      <c r="AO23" s="101">
        <v>1</v>
      </c>
      <c r="AP23" s="101">
        <v>2</v>
      </c>
      <c r="AQ23" s="101">
        <v>1</v>
      </c>
      <c r="AR23" s="101">
        <v>4</v>
      </c>
      <c r="AS23" s="101">
        <v>0</v>
      </c>
      <c r="AT23" s="101">
        <v>0</v>
      </c>
      <c r="AU23" s="101">
        <v>0</v>
      </c>
      <c r="AV23" s="102">
        <v>3</v>
      </c>
      <c r="AW23" s="100" t="s">
        <v>285</v>
      </c>
      <c r="AX23" s="101">
        <v>4</v>
      </c>
      <c r="AY23" s="101">
        <v>0</v>
      </c>
      <c r="AZ23" s="101">
        <v>1</v>
      </c>
      <c r="BA23" s="101">
        <v>1</v>
      </c>
      <c r="BB23" s="101">
        <v>1</v>
      </c>
      <c r="BC23" s="101">
        <v>2</v>
      </c>
      <c r="BD23" s="101">
        <v>0</v>
      </c>
      <c r="BE23" s="101">
        <v>0</v>
      </c>
      <c r="BF23" s="102">
        <v>1</v>
      </c>
      <c r="BG23" s="100" t="s">
        <v>417</v>
      </c>
      <c r="BH23" s="101">
        <v>4</v>
      </c>
      <c r="BI23" s="101">
        <v>0</v>
      </c>
      <c r="BJ23" s="101">
        <v>1</v>
      </c>
      <c r="BK23" s="101">
        <v>0</v>
      </c>
      <c r="BL23" s="101">
        <v>0</v>
      </c>
      <c r="BM23" s="101">
        <v>1</v>
      </c>
      <c r="BN23" s="101">
        <v>0</v>
      </c>
      <c r="BO23" s="101">
        <v>0</v>
      </c>
      <c r="BP23" s="102">
        <v>1</v>
      </c>
      <c r="BQ23" s="100" t="s">
        <v>420</v>
      </c>
      <c r="BR23" s="101">
        <v>5</v>
      </c>
      <c r="BS23" s="101">
        <v>0</v>
      </c>
      <c r="BT23" s="101">
        <v>2</v>
      </c>
      <c r="BU23" s="101">
        <v>1</v>
      </c>
      <c r="BV23" s="101">
        <v>0</v>
      </c>
      <c r="BW23" s="101">
        <v>1</v>
      </c>
      <c r="BX23" s="101">
        <v>0</v>
      </c>
      <c r="BY23" s="101">
        <v>0</v>
      </c>
      <c r="BZ23" s="102">
        <v>2</v>
      </c>
      <c r="CA23" s="100" t="s">
        <v>421</v>
      </c>
      <c r="CB23" s="101">
        <v>5</v>
      </c>
      <c r="CC23" s="101">
        <v>0</v>
      </c>
      <c r="CD23" s="101">
        <v>0</v>
      </c>
      <c r="CE23" s="101">
        <v>0</v>
      </c>
      <c r="CF23" s="101">
        <v>0</v>
      </c>
      <c r="CG23" s="101">
        <v>1</v>
      </c>
      <c r="CH23" s="101">
        <v>0</v>
      </c>
      <c r="CI23" s="101">
        <v>0</v>
      </c>
      <c r="CJ23" s="102">
        <v>0</v>
      </c>
      <c r="CK23" s="100" t="s">
        <v>284</v>
      </c>
      <c r="CL23" s="101">
        <v>5</v>
      </c>
      <c r="CM23" s="101">
        <v>0</v>
      </c>
      <c r="CN23" s="101">
        <v>1</v>
      </c>
      <c r="CO23" s="101">
        <v>0</v>
      </c>
      <c r="CP23" s="101">
        <v>0</v>
      </c>
      <c r="CQ23" s="101">
        <v>2</v>
      </c>
      <c r="CR23" s="101">
        <v>0</v>
      </c>
      <c r="CS23" s="101">
        <v>0</v>
      </c>
      <c r="CT23" s="102">
        <v>2</v>
      </c>
      <c r="CU23" s="100" t="s">
        <v>418</v>
      </c>
      <c r="CV23" s="101">
        <v>5</v>
      </c>
      <c r="CW23" s="101">
        <v>0</v>
      </c>
      <c r="CX23" s="101">
        <v>0</v>
      </c>
      <c r="CY23" s="101">
        <v>0</v>
      </c>
      <c r="CZ23" s="101">
        <v>0</v>
      </c>
      <c r="DA23" s="101">
        <v>1</v>
      </c>
      <c r="DB23" s="101">
        <v>0</v>
      </c>
      <c r="DC23" s="101">
        <v>0</v>
      </c>
      <c r="DD23" s="102">
        <v>0</v>
      </c>
      <c r="DE23" s="100" t="s">
        <v>426</v>
      </c>
      <c r="DF23" s="101">
        <v>5</v>
      </c>
      <c r="DG23" s="101">
        <v>2</v>
      </c>
      <c r="DH23" s="101">
        <v>2</v>
      </c>
      <c r="DI23" s="101">
        <v>0</v>
      </c>
      <c r="DJ23" s="101">
        <v>2</v>
      </c>
      <c r="DK23" s="101">
        <v>2</v>
      </c>
      <c r="DL23" s="101">
        <v>0</v>
      </c>
      <c r="DM23" s="101">
        <v>0</v>
      </c>
      <c r="DN23" s="102">
        <v>3</v>
      </c>
      <c r="DO23" s="100" t="s">
        <v>419</v>
      </c>
      <c r="DP23" s="101">
        <v>4</v>
      </c>
      <c r="DQ23" s="101">
        <v>1</v>
      </c>
      <c r="DR23" s="101">
        <v>1</v>
      </c>
      <c r="DS23" s="101">
        <v>0</v>
      </c>
      <c r="DT23" s="101">
        <v>0</v>
      </c>
      <c r="DU23" s="101">
        <v>2</v>
      </c>
      <c r="DV23" s="101">
        <v>0</v>
      </c>
      <c r="DW23" s="101">
        <v>0</v>
      </c>
      <c r="DX23" s="102">
        <v>1</v>
      </c>
      <c r="DY23" s="103">
        <v>0</v>
      </c>
      <c r="DZ23" s="104">
        <v>0</v>
      </c>
      <c r="EA23" s="104">
        <v>0</v>
      </c>
      <c r="EB23" s="105">
        <f>10+2/3</f>
        <v>10.666666666666666</v>
      </c>
      <c r="EC23" s="104">
        <v>1</v>
      </c>
      <c r="ED23" s="106">
        <v>0</v>
      </c>
      <c r="EE23" s="107">
        <v>0</v>
      </c>
      <c r="EF23" s="104">
        <v>0</v>
      </c>
      <c r="EG23" s="104">
        <v>0</v>
      </c>
      <c r="EH23" s="104">
        <v>0</v>
      </c>
      <c r="EI23" s="104">
        <v>0</v>
      </c>
      <c r="EJ23" s="104">
        <v>1</v>
      </c>
      <c r="EK23" s="104">
        <v>0</v>
      </c>
      <c r="EL23" s="104">
        <v>0</v>
      </c>
      <c r="EM23" s="104">
        <v>2</v>
      </c>
      <c r="EN23" s="104">
        <v>0</v>
      </c>
      <c r="EO23" s="104">
        <v>1</v>
      </c>
      <c r="EP23" s="104"/>
      <c r="EQ23" s="104"/>
      <c r="ER23" s="106">
        <f t="shared" si="0"/>
        <v>4</v>
      </c>
      <c r="ES23" s="104">
        <v>0</v>
      </c>
      <c r="ET23" s="104">
        <v>1</v>
      </c>
      <c r="EU23" s="104">
        <v>0</v>
      </c>
      <c r="EV23" s="104">
        <v>0</v>
      </c>
      <c r="EW23" s="104">
        <v>1</v>
      </c>
      <c r="EX23" s="104">
        <v>1</v>
      </c>
      <c r="EY23" s="104">
        <v>0</v>
      </c>
      <c r="EZ23" s="104">
        <v>0</v>
      </c>
      <c r="FA23" s="104">
        <v>0</v>
      </c>
      <c r="FB23" s="104">
        <v>0</v>
      </c>
      <c r="FC23" s="104">
        <v>0</v>
      </c>
      <c r="FD23" s="104"/>
      <c r="FE23" s="104"/>
      <c r="FF23" s="104">
        <f t="shared" si="1"/>
        <v>3</v>
      </c>
      <c r="FG23" s="108">
        <f t="shared" si="4"/>
        <v>0</v>
      </c>
      <c r="FH23" s="108">
        <f t="shared" si="5"/>
        <v>0</v>
      </c>
      <c r="FI23" s="109"/>
    </row>
    <row r="24" spans="1:165" x14ac:dyDescent="0.25">
      <c r="A24" s="91">
        <v>40369</v>
      </c>
      <c r="B24" s="91" t="s">
        <v>19</v>
      </c>
      <c r="C24" s="91" t="s">
        <v>131</v>
      </c>
      <c r="D24" s="91" t="s">
        <v>383</v>
      </c>
      <c r="E24" s="92">
        <v>4045</v>
      </c>
      <c r="F24" s="93">
        <v>2</v>
      </c>
      <c r="G24" s="94" t="s">
        <v>412</v>
      </c>
      <c r="H24" s="95">
        <v>0</v>
      </c>
      <c r="I24" s="95">
        <v>1</v>
      </c>
      <c r="J24" s="96">
        <f>2+2/3</f>
        <v>2.6666666666666665</v>
      </c>
      <c r="K24" s="95">
        <v>3</v>
      </c>
      <c r="L24" s="95">
        <v>3</v>
      </c>
      <c r="M24" s="95">
        <v>3</v>
      </c>
      <c r="N24" s="95">
        <v>2</v>
      </c>
      <c r="O24" s="95">
        <v>3</v>
      </c>
      <c r="P24" s="95">
        <v>1</v>
      </c>
      <c r="Q24" s="95">
        <v>0</v>
      </c>
      <c r="R24" s="95">
        <v>12</v>
      </c>
      <c r="S24" s="95"/>
      <c r="T24" s="95"/>
      <c r="U24" s="95">
        <v>1</v>
      </c>
      <c r="V24" s="97">
        <v>1</v>
      </c>
      <c r="W24" s="98">
        <v>0</v>
      </c>
      <c r="X24" s="98">
        <v>0</v>
      </c>
      <c r="Y24" s="98">
        <v>0</v>
      </c>
      <c r="Z24" s="98">
        <v>0</v>
      </c>
      <c r="AA24" s="98">
        <v>0</v>
      </c>
      <c r="AB24" s="99">
        <f>6+1/3</f>
        <v>6.333333333333333</v>
      </c>
      <c r="AC24" s="98">
        <v>8</v>
      </c>
      <c r="AD24" s="98">
        <v>7</v>
      </c>
      <c r="AE24" s="98">
        <v>3</v>
      </c>
      <c r="AF24" s="98">
        <v>3</v>
      </c>
      <c r="AG24" s="98">
        <v>4</v>
      </c>
      <c r="AH24" s="98">
        <v>0</v>
      </c>
      <c r="AI24" s="98">
        <v>1</v>
      </c>
      <c r="AJ24" s="98">
        <v>30</v>
      </c>
      <c r="AK24" s="98"/>
      <c r="AL24" s="98"/>
      <c r="AM24" s="100" t="s">
        <v>282</v>
      </c>
      <c r="AN24" s="101">
        <v>4</v>
      </c>
      <c r="AO24" s="101">
        <v>2</v>
      </c>
      <c r="AP24" s="101">
        <v>1</v>
      </c>
      <c r="AQ24" s="101">
        <v>0</v>
      </c>
      <c r="AR24" s="101">
        <v>1</v>
      </c>
      <c r="AS24" s="101">
        <v>1</v>
      </c>
      <c r="AT24" s="101">
        <v>0</v>
      </c>
      <c r="AU24" s="101">
        <v>0</v>
      </c>
      <c r="AV24" s="102">
        <v>2</v>
      </c>
      <c r="AW24" s="100" t="s">
        <v>417</v>
      </c>
      <c r="AX24" s="101">
        <v>5</v>
      </c>
      <c r="AY24" s="101">
        <v>1</v>
      </c>
      <c r="AZ24" s="101">
        <v>4</v>
      </c>
      <c r="BA24" s="101">
        <v>1</v>
      </c>
      <c r="BB24" s="101">
        <v>0</v>
      </c>
      <c r="BC24" s="101">
        <v>0</v>
      </c>
      <c r="BD24" s="101">
        <v>0</v>
      </c>
      <c r="BE24" s="101">
        <v>0</v>
      </c>
      <c r="BF24" s="102">
        <v>4</v>
      </c>
      <c r="BG24" s="100" t="s">
        <v>422</v>
      </c>
      <c r="BH24" s="101">
        <v>5</v>
      </c>
      <c r="BI24" s="101">
        <v>0</v>
      </c>
      <c r="BJ24" s="101">
        <v>2</v>
      </c>
      <c r="BK24" s="101">
        <v>1</v>
      </c>
      <c r="BL24" s="101">
        <v>0</v>
      </c>
      <c r="BM24" s="101">
        <v>1</v>
      </c>
      <c r="BN24" s="101">
        <v>0</v>
      </c>
      <c r="BO24" s="101">
        <v>0</v>
      </c>
      <c r="BP24" s="102">
        <v>2</v>
      </c>
      <c r="BQ24" s="100" t="s">
        <v>420</v>
      </c>
      <c r="BR24" s="101">
        <v>4</v>
      </c>
      <c r="BS24" s="101">
        <v>0</v>
      </c>
      <c r="BT24" s="101">
        <v>1</v>
      </c>
      <c r="BU24" s="101">
        <v>0</v>
      </c>
      <c r="BV24" s="101">
        <v>0</v>
      </c>
      <c r="BW24" s="101">
        <v>0</v>
      </c>
      <c r="BX24" s="101">
        <v>1</v>
      </c>
      <c r="BY24" s="101">
        <v>0</v>
      </c>
      <c r="BZ24" s="102">
        <v>1</v>
      </c>
      <c r="CA24" s="100" t="s">
        <v>421</v>
      </c>
      <c r="CB24" s="101">
        <v>4</v>
      </c>
      <c r="CC24" s="101">
        <v>2</v>
      </c>
      <c r="CD24" s="101">
        <v>1</v>
      </c>
      <c r="CE24" s="101">
        <v>1</v>
      </c>
      <c r="CF24" s="101">
        <v>1</v>
      </c>
      <c r="CG24" s="101">
        <v>0</v>
      </c>
      <c r="CH24" s="101">
        <v>0</v>
      </c>
      <c r="CI24" s="101">
        <v>0</v>
      </c>
      <c r="CJ24" s="102">
        <v>1</v>
      </c>
      <c r="CK24" s="100" t="s">
        <v>426</v>
      </c>
      <c r="CL24" s="101">
        <v>5</v>
      </c>
      <c r="CM24" s="101">
        <v>1</v>
      </c>
      <c r="CN24" s="101">
        <v>2</v>
      </c>
      <c r="CO24" s="101">
        <v>0</v>
      </c>
      <c r="CP24" s="101">
        <v>0</v>
      </c>
      <c r="CQ24" s="101">
        <v>0</v>
      </c>
      <c r="CR24" s="101">
        <v>0</v>
      </c>
      <c r="CS24" s="101">
        <v>0</v>
      </c>
      <c r="CT24" s="102">
        <v>2</v>
      </c>
      <c r="CU24" s="100" t="s">
        <v>285</v>
      </c>
      <c r="CV24" s="101">
        <v>4</v>
      </c>
      <c r="CW24" s="101">
        <v>1</v>
      </c>
      <c r="CX24" s="101">
        <v>1</v>
      </c>
      <c r="CY24" s="101">
        <v>1</v>
      </c>
      <c r="CZ24" s="101">
        <v>1</v>
      </c>
      <c r="DA24" s="101">
        <v>0</v>
      </c>
      <c r="DB24" s="101">
        <v>0</v>
      </c>
      <c r="DC24" s="101">
        <v>0</v>
      </c>
      <c r="DD24" s="102">
        <v>3</v>
      </c>
      <c r="DE24" s="100" t="s">
        <v>416</v>
      </c>
      <c r="DF24" s="101">
        <v>5</v>
      </c>
      <c r="DG24" s="101">
        <v>1</v>
      </c>
      <c r="DH24" s="101">
        <v>3</v>
      </c>
      <c r="DI24" s="101">
        <v>3</v>
      </c>
      <c r="DJ24" s="101">
        <v>0</v>
      </c>
      <c r="DK24" s="101">
        <v>2</v>
      </c>
      <c r="DL24" s="101">
        <v>0</v>
      </c>
      <c r="DM24" s="101">
        <v>0</v>
      </c>
      <c r="DN24" s="102">
        <v>4</v>
      </c>
      <c r="DO24" s="100" t="s">
        <v>415</v>
      </c>
      <c r="DP24" s="101">
        <v>5</v>
      </c>
      <c r="DQ24" s="101">
        <v>0</v>
      </c>
      <c r="DR24" s="101">
        <v>0</v>
      </c>
      <c r="DS24" s="101">
        <v>0</v>
      </c>
      <c r="DT24" s="101">
        <v>0</v>
      </c>
      <c r="DU24" s="101">
        <v>3</v>
      </c>
      <c r="DV24" s="101">
        <v>0</v>
      </c>
      <c r="DW24" s="101">
        <v>0</v>
      </c>
      <c r="DX24" s="102">
        <v>0</v>
      </c>
      <c r="DY24" s="103">
        <f>2+1/3</f>
        <v>2.3333333333333335</v>
      </c>
      <c r="DZ24" s="104">
        <v>0</v>
      </c>
      <c r="EA24" s="104">
        <v>1</v>
      </c>
      <c r="EB24" s="105">
        <f>6+2/3</f>
        <v>6.666666666666667</v>
      </c>
      <c r="EC24" s="104">
        <v>1</v>
      </c>
      <c r="ED24" s="106">
        <v>0</v>
      </c>
      <c r="EE24" s="107">
        <v>1</v>
      </c>
      <c r="EF24" s="104">
        <v>0</v>
      </c>
      <c r="EG24" s="104">
        <v>0</v>
      </c>
      <c r="EH24" s="104">
        <v>1</v>
      </c>
      <c r="EI24" s="104">
        <v>1</v>
      </c>
      <c r="EJ24" s="104">
        <v>4</v>
      </c>
      <c r="EK24" s="104">
        <v>0</v>
      </c>
      <c r="EL24" s="104">
        <v>0</v>
      </c>
      <c r="EM24" s="104">
        <v>1</v>
      </c>
      <c r="EN24" s="104"/>
      <c r="EO24" s="104"/>
      <c r="EP24" s="104"/>
      <c r="EQ24" s="104"/>
      <c r="ER24" s="106">
        <f t="shared" si="0"/>
        <v>8</v>
      </c>
      <c r="ES24" s="104">
        <v>1</v>
      </c>
      <c r="ET24" s="104">
        <v>0</v>
      </c>
      <c r="EU24" s="104">
        <v>2</v>
      </c>
      <c r="EV24" s="104">
        <v>5</v>
      </c>
      <c r="EW24" s="104">
        <v>0</v>
      </c>
      <c r="EX24" s="104">
        <v>0</v>
      </c>
      <c r="EY24" s="104">
        <v>0</v>
      </c>
      <c r="EZ24" s="104">
        <v>2</v>
      </c>
      <c r="FA24" s="104">
        <v>0</v>
      </c>
      <c r="FB24" s="104"/>
      <c r="FC24" s="104"/>
      <c r="FD24" s="104"/>
      <c r="FE24" s="104"/>
      <c r="FF24" s="104">
        <f t="shared" si="1"/>
        <v>10</v>
      </c>
      <c r="FG24" s="108">
        <f t="shared" si="4"/>
        <v>0</v>
      </c>
      <c r="FH24" s="108">
        <f t="shared" si="5"/>
        <v>0</v>
      </c>
      <c r="FI24" s="109"/>
    </row>
    <row r="25" spans="1:165" x14ac:dyDescent="0.25">
      <c r="A25" s="91">
        <v>40370</v>
      </c>
      <c r="B25" s="91" t="s">
        <v>133</v>
      </c>
      <c r="C25" s="91" t="s">
        <v>129</v>
      </c>
      <c r="D25" s="91" t="s">
        <v>474</v>
      </c>
      <c r="E25" s="92">
        <v>1923</v>
      </c>
      <c r="F25" s="93">
        <v>3</v>
      </c>
      <c r="G25" s="94" t="s">
        <v>411</v>
      </c>
      <c r="H25" s="95">
        <v>0</v>
      </c>
      <c r="I25" s="95">
        <v>0</v>
      </c>
      <c r="J25" s="96">
        <v>5</v>
      </c>
      <c r="K25" s="95">
        <v>6</v>
      </c>
      <c r="L25" s="95">
        <v>1</v>
      </c>
      <c r="M25" s="95">
        <v>1</v>
      </c>
      <c r="N25" s="95">
        <v>0</v>
      </c>
      <c r="O25" s="95">
        <v>4</v>
      </c>
      <c r="P25" s="95">
        <v>0</v>
      </c>
      <c r="Q25" s="95">
        <v>0</v>
      </c>
      <c r="R25" s="95">
        <v>22</v>
      </c>
      <c r="S25" s="95"/>
      <c r="T25" s="95"/>
      <c r="U25" s="95">
        <v>0</v>
      </c>
      <c r="V25" s="97">
        <v>0</v>
      </c>
      <c r="W25" s="98">
        <v>1</v>
      </c>
      <c r="X25" s="98">
        <v>0</v>
      </c>
      <c r="Y25" s="98">
        <v>0</v>
      </c>
      <c r="Z25" s="98">
        <v>0</v>
      </c>
      <c r="AA25" s="98">
        <v>2</v>
      </c>
      <c r="AB25" s="99">
        <v>7</v>
      </c>
      <c r="AC25" s="98">
        <v>7</v>
      </c>
      <c r="AD25" s="98">
        <v>3</v>
      </c>
      <c r="AE25" s="98">
        <v>2</v>
      </c>
      <c r="AF25" s="98">
        <v>5</v>
      </c>
      <c r="AG25" s="98">
        <v>8</v>
      </c>
      <c r="AH25" s="98">
        <v>0</v>
      </c>
      <c r="AI25" s="98">
        <v>1</v>
      </c>
      <c r="AJ25" s="98">
        <v>35</v>
      </c>
      <c r="AK25" s="98"/>
      <c r="AL25" s="98"/>
      <c r="AM25" s="1" t="s">
        <v>417</v>
      </c>
      <c r="AN25" s="101">
        <v>5</v>
      </c>
      <c r="AO25" s="101">
        <v>0</v>
      </c>
      <c r="AP25" s="101">
        <v>1</v>
      </c>
      <c r="AQ25" s="101">
        <v>0</v>
      </c>
      <c r="AR25" s="101">
        <v>1</v>
      </c>
      <c r="AS25" s="101">
        <v>0</v>
      </c>
      <c r="AT25" s="101">
        <v>0</v>
      </c>
      <c r="AU25" s="101">
        <v>0</v>
      </c>
      <c r="AV25" s="102">
        <v>1</v>
      </c>
      <c r="AW25" s="100" t="s">
        <v>285</v>
      </c>
      <c r="AX25" s="101">
        <v>5</v>
      </c>
      <c r="AY25" s="101">
        <v>0</v>
      </c>
      <c r="AZ25" s="101">
        <v>2</v>
      </c>
      <c r="BA25" s="101">
        <v>3</v>
      </c>
      <c r="BB25" s="101">
        <v>0</v>
      </c>
      <c r="BC25" s="101">
        <v>1</v>
      </c>
      <c r="BD25" s="101">
        <v>1</v>
      </c>
      <c r="BE25" s="101">
        <v>0</v>
      </c>
      <c r="BF25" s="102">
        <v>3</v>
      </c>
      <c r="BG25" s="100" t="s">
        <v>422</v>
      </c>
      <c r="BH25" s="101">
        <v>4</v>
      </c>
      <c r="BI25" s="101">
        <v>2</v>
      </c>
      <c r="BJ25" s="101">
        <v>1</v>
      </c>
      <c r="BK25" s="101">
        <v>0</v>
      </c>
      <c r="BL25" s="101">
        <v>2</v>
      </c>
      <c r="BM25" s="101">
        <v>0</v>
      </c>
      <c r="BN25" s="101">
        <v>0</v>
      </c>
      <c r="BO25" s="101">
        <v>0</v>
      </c>
      <c r="BP25" s="102">
        <v>1</v>
      </c>
      <c r="BQ25" s="100" t="s">
        <v>420</v>
      </c>
      <c r="BR25" s="101">
        <v>6</v>
      </c>
      <c r="BS25" s="101">
        <v>1</v>
      </c>
      <c r="BT25" s="101">
        <v>3</v>
      </c>
      <c r="BU25" s="101">
        <v>1</v>
      </c>
      <c r="BV25" s="101">
        <v>0</v>
      </c>
      <c r="BW25" s="101">
        <v>1</v>
      </c>
      <c r="BX25" s="101">
        <v>0</v>
      </c>
      <c r="BY25" s="101">
        <v>0</v>
      </c>
      <c r="BZ25" s="102">
        <v>5</v>
      </c>
      <c r="CA25" s="100" t="s">
        <v>284</v>
      </c>
      <c r="CB25" s="101">
        <v>6</v>
      </c>
      <c r="CC25" s="101">
        <v>0</v>
      </c>
      <c r="CD25" s="101">
        <v>0</v>
      </c>
      <c r="CE25" s="101">
        <v>0</v>
      </c>
      <c r="CF25" s="101">
        <v>0</v>
      </c>
      <c r="CG25" s="101">
        <v>1</v>
      </c>
      <c r="CH25" s="101">
        <v>0</v>
      </c>
      <c r="CI25" s="101">
        <v>0</v>
      </c>
      <c r="CJ25" s="102">
        <v>0</v>
      </c>
      <c r="CK25" s="100" t="s">
        <v>421</v>
      </c>
      <c r="CL25" s="101">
        <v>5</v>
      </c>
      <c r="CM25" s="101">
        <v>0</v>
      </c>
      <c r="CN25" s="101">
        <v>1</v>
      </c>
      <c r="CO25" s="101">
        <v>2</v>
      </c>
      <c r="CP25" s="101">
        <v>0</v>
      </c>
      <c r="CQ25" s="101">
        <v>0</v>
      </c>
      <c r="CR25" s="101">
        <v>0</v>
      </c>
      <c r="CS25" s="101">
        <v>0</v>
      </c>
      <c r="CT25" s="102">
        <v>1</v>
      </c>
      <c r="CU25" s="100" t="s">
        <v>424</v>
      </c>
      <c r="CV25" s="101">
        <v>5</v>
      </c>
      <c r="CW25" s="101">
        <v>1</v>
      </c>
      <c r="CX25" s="101">
        <v>1</v>
      </c>
      <c r="CY25" s="101">
        <v>0</v>
      </c>
      <c r="CZ25" s="101">
        <v>0</v>
      </c>
      <c r="DA25" s="101">
        <v>1</v>
      </c>
      <c r="DB25" s="101">
        <v>0</v>
      </c>
      <c r="DC25" s="101">
        <v>0</v>
      </c>
      <c r="DD25" s="102">
        <v>2</v>
      </c>
      <c r="DE25" s="100" t="s">
        <v>416</v>
      </c>
      <c r="DF25" s="101">
        <v>4</v>
      </c>
      <c r="DG25" s="101">
        <v>1</v>
      </c>
      <c r="DH25" s="101">
        <v>1</v>
      </c>
      <c r="DI25" s="101">
        <v>0</v>
      </c>
      <c r="DJ25" s="101">
        <v>1</v>
      </c>
      <c r="DK25" s="101">
        <v>3</v>
      </c>
      <c r="DL25" s="101">
        <v>0</v>
      </c>
      <c r="DM25" s="101">
        <v>0</v>
      </c>
      <c r="DN25" s="102">
        <v>1</v>
      </c>
      <c r="DO25" s="100" t="s">
        <v>419</v>
      </c>
      <c r="DP25" s="101">
        <v>5</v>
      </c>
      <c r="DQ25" s="101">
        <v>1</v>
      </c>
      <c r="DR25" s="101">
        <v>1</v>
      </c>
      <c r="DS25" s="101">
        <v>0</v>
      </c>
      <c r="DT25" s="101">
        <v>0</v>
      </c>
      <c r="DU25" s="101">
        <v>1</v>
      </c>
      <c r="DV25" s="101">
        <v>0</v>
      </c>
      <c r="DW25" s="101">
        <v>0</v>
      </c>
      <c r="DX25" s="102">
        <v>2</v>
      </c>
      <c r="DY25" s="103">
        <f>7+1/3</f>
        <v>7.333333333333333</v>
      </c>
      <c r="DZ25" s="104">
        <v>1</v>
      </c>
      <c r="EA25" s="104">
        <v>1</v>
      </c>
      <c r="EB25" s="105">
        <f>4+2/3</f>
        <v>4.666666666666667</v>
      </c>
      <c r="EC25" s="104">
        <v>0</v>
      </c>
      <c r="ED25" s="106">
        <v>0</v>
      </c>
      <c r="EE25" s="107">
        <v>0</v>
      </c>
      <c r="EF25" s="104">
        <v>0</v>
      </c>
      <c r="EG25" s="104">
        <v>0</v>
      </c>
      <c r="EH25" s="104">
        <v>0</v>
      </c>
      <c r="EI25" s="104">
        <v>0</v>
      </c>
      <c r="EJ25" s="104">
        <v>0</v>
      </c>
      <c r="EK25" s="104">
        <v>1</v>
      </c>
      <c r="EL25" s="104">
        <v>0</v>
      </c>
      <c r="EM25" s="104">
        <v>2</v>
      </c>
      <c r="EN25" s="104">
        <v>1</v>
      </c>
      <c r="EO25" s="104">
        <v>0</v>
      </c>
      <c r="EP25" s="104">
        <v>2</v>
      </c>
      <c r="EQ25" s="104"/>
      <c r="ER25" s="106">
        <f t="shared" si="0"/>
        <v>6</v>
      </c>
      <c r="ES25" s="104">
        <v>0</v>
      </c>
      <c r="ET25" s="104">
        <v>0</v>
      </c>
      <c r="EU25" s="104">
        <v>0</v>
      </c>
      <c r="EV25" s="104">
        <v>1</v>
      </c>
      <c r="EW25" s="104">
        <v>0</v>
      </c>
      <c r="EX25" s="104">
        <v>0</v>
      </c>
      <c r="EY25" s="104">
        <v>0</v>
      </c>
      <c r="EZ25" s="104">
        <v>0</v>
      </c>
      <c r="FA25" s="104">
        <v>2</v>
      </c>
      <c r="FB25" s="104">
        <v>1</v>
      </c>
      <c r="FC25" s="104">
        <v>0</v>
      </c>
      <c r="FD25" s="104">
        <v>0</v>
      </c>
      <c r="FE25" s="104"/>
      <c r="FF25" s="104">
        <f t="shared" si="1"/>
        <v>4</v>
      </c>
      <c r="FG25" s="108">
        <f t="shared" si="4"/>
        <v>0</v>
      </c>
      <c r="FH25" s="108">
        <f t="shared" si="5"/>
        <v>0</v>
      </c>
      <c r="FI25" s="109"/>
    </row>
    <row r="26" spans="1:165" x14ac:dyDescent="0.25">
      <c r="A26" s="53">
        <v>40371</v>
      </c>
      <c r="B26" s="53" t="s">
        <v>133</v>
      </c>
      <c r="C26" s="53" t="s">
        <v>129</v>
      </c>
      <c r="D26" s="53" t="s">
        <v>474</v>
      </c>
      <c r="E26" s="54">
        <v>3767</v>
      </c>
      <c r="F26" s="58">
        <v>4</v>
      </c>
      <c r="G26" s="59" t="s">
        <v>409</v>
      </c>
      <c r="H26" s="6">
        <v>1</v>
      </c>
      <c r="I26" s="6">
        <v>0</v>
      </c>
      <c r="J26" s="60">
        <v>5</v>
      </c>
      <c r="K26" s="6">
        <v>7</v>
      </c>
      <c r="L26" s="6">
        <v>4</v>
      </c>
      <c r="M26" s="6">
        <v>4</v>
      </c>
      <c r="N26" s="6">
        <v>2</v>
      </c>
      <c r="O26" s="6">
        <v>1</v>
      </c>
      <c r="P26" s="6">
        <v>1</v>
      </c>
      <c r="Q26" s="6">
        <v>0</v>
      </c>
      <c r="R26" s="6">
        <v>22</v>
      </c>
      <c r="S26" s="6"/>
      <c r="T26" s="6"/>
      <c r="U26" s="6">
        <v>0</v>
      </c>
      <c r="V26" s="61">
        <v>0</v>
      </c>
      <c r="W26" s="62">
        <v>0</v>
      </c>
      <c r="X26" s="62">
        <v>0</v>
      </c>
      <c r="Y26" s="62">
        <v>1</v>
      </c>
      <c r="Z26" s="62">
        <v>0</v>
      </c>
      <c r="AA26" s="62">
        <v>0</v>
      </c>
      <c r="AB26" s="63">
        <v>4</v>
      </c>
      <c r="AC26" s="62">
        <v>5</v>
      </c>
      <c r="AD26" s="62">
        <v>1</v>
      </c>
      <c r="AE26" s="62">
        <v>1</v>
      </c>
      <c r="AF26" s="62">
        <v>2</v>
      </c>
      <c r="AG26" s="62">
        <v>6</v>
      </c>
      <c r="AH26" s="62">
        <v>0</v>
      </c>
      <c r="AI26" s="62">
        <v>0</v>
      </c>
      <c r="AJ26" s="62">
        <v>18</v>
      </c>
      <c r="AK26" s="62"/>
      <c r="AL26" s="62"/>
      <c r="AM26" s="1" t="s">
        <v>282</v>
      </c>
      <c r="AN26" s="78">
        <v>4</v>
      </c>
      <c r="AO26" s="78">
        <v>2</v>
      </c>
      <c r="AP26" s="78">
        <v>1</v>
      </c>
      <c r="AQ26" s="78">
        <v>0</v>
      </c>
      <c r="AR26" s="78">
        <v>1</v>
      </c>
      <c r="AS26" s="78">
        <v>2</v>
      </c>
      <c r="AT26" s="78">
        <v>0</v>
      </c>
      <c r="AU26" s="78">
        <v>0</v>
      </c>
      <c r="AV26" s="76">
        <v>2</v>
      </c>
      <c r="AW26" s="1" t="s">
        <v>424</v>
      </c>
      <c r="AX26" s="78">
        <v>4</v>
      </c>
      <c r="AY26" s="78">
        <v>1</v>
      </c>
      <c r="AZ26" s="78">
        <v>1</v>
      </c>
      <c r="BA26" s="78">
        <v>0</v>
      </c>
      <c r="BB26" s="78">
        <v>0</v>
      </c>
      <c r="BC26" s="78">
        <v>1</v>
      </c>
      <c r="BD26" s="78">
        <v>0</v>
      </c>
      <c r="BE26" s="78">
        <v>0</v>
      </c>
      <c r="BF26" s="76">
        <v>1</v>
      </c>
      <c r="BG26" s="1" t="s">
        <v>417</v>
      </c>
      <c r="BH26" s="78">
        <v>4</v>
      </c>
      <c r="BI26" s="78">
        <v>3</v>
      </c>
      <c r="BJ26" s="78">
        <v>3</v>
      </c>
      <c r="BK26" s="78">
        <v>3</v>
      </c>
      <c r="BL26" s="78">
        <v>1</v>
      </c>
      <c r="BM26" s="78">
        <v>1</v>
      </c>
      <c r="BN26" s="78">
        <v>0</v>
      </c>
      <c r="BO26" s="78">
        <v>0</v>
      </c>
      <c r="BP26" s="76">
        <v>7</v>
      </c>
      <c r="BQ26" s="1" t="s">
        <v>422</v>
      </c>
      <c r="BR26" s="78">
        <v>3</v>
      </c>
      <c r="BS26" s="78">
        <v>1</v>
      </c>
      <c r="BT26" s="78">
        <v>0</v>
      </c>
      <c r="BU26" s="78">
        <v>1</v>
      </c>
      <c r="BV26" s="78">
        <v>1</v>
      </c>
      <c r="BW26" s="78">
        <v>1</v>
      </c>
      <c r="BX26" s="78">
        <v>0</v>
      </c>
      <c r="BY26" s="78">
        <v>1</v>
      </c>
      <c r="BZ26" s="76">
        <v>0</v>
      </c>
      <c r="CA26" s="1" t="s">
        <v>420</v>
      </c>
      <c r="CB26" s="78">
        <v>5</v>
      </c>
      <c r="CC26" s="78">
        <v>2</v>
      </c>
      <c r="CD26" s="78">
        <v>4</v>
      </c>
      <c r="CE26" s="78">
        <v>5</v>
      </c>
      <c r="CF26" s="78">
        <v>0</v>
      </c>
      <c r="CG26" s="78">
        <v>0</v>
      </c>
      <c r="CH26" s="78">
        <v>0</v>
      </c>
      <c r="CI26" s="78">
        <v>0</v>
      </c>
      <c r="CJ26" s="76">
        <v>9</v>
      </c>
      <c r="CK26" s="1" t="s">
        <v>284</v>
      </c>
      <c r="CL26" s="78">
        <v>5</v>
      </c>
      <c r="CM26" s="78">
        <v>0</v>
      </c>
      <c r="CN26" s="78">
        <v>1</v>
      </c>
      <c r="CO26" s="78">
        <v>1</v>
      </c>
      <c r="CP26" s="78">
        <v>0</v>
      </c>
      <c r="CQ26" s="78">
        <v>2</v>
      </c>
      <c r="CR26" s="78">
        <v>0</v>
      </c>
      <c r="CS26" s="78">
        <v>0</v>
      </c>
      <c r="CT26" s="76">
        <v>1</v>
      </c>
      <c r="CU26" s="1" t="s">
        <v>426</v>
      </c>
      <c r="CV26" s="78">
        <v>4</v>
      </c>
      <c r="CW26" s="78">
        <v>0</v>
      </c>
      <c r="CX26" s="78">
        <v>1</v>
      </c>
      <c r="CY26" s="78">
        <v>0</v>
      </c>
      <c r="CZ26" s="78">
        <v>0</v>
      </c>
      <c r="DA26" s="78">
        <v>0</v>
      </c>
      <c r="DB26" s="78">
        <v>0</v>
      </c>
      <c r="DC26" s="78">
        <v>0</v>
      </c>
      <c r="DD26" s="76">
        <v>1</v>
      </c>
      <c r="DE26" s="1" t="s">
        <v>416</v>
      </c>
      <c r="DF26" s="78">
        <v>3</v>
      </c>
      <c r="DG26" s="78">
        <v>0</v>
      </c>
      <c r="DH26" s="78">
        <v>0</v>
      </c>
      <c r="DI26" s="78">
        <v>0</v>
      </c>
      <c r="DJ26" s="78">
        <v>0</v>
      </c>
      <c r="DK26" s="78">
        <v>1</v>
      </c>
      <c r="DL26" s="78">
        <v>1</v>
      </c>
      <c r="DM26" s="78">
        <v>0</v>
      </c>
      <c r="DN26" s="76">
        <v>0</v>
      </c>
      <c r="DO26" s="1" t="s">
        <v>419</v>
      </c>
      <c r="DP26" s="78">
        <v>4</v>
      </c>
      <c r="DQ26" s="78">
        <v>1</v>
      </c>
      <c r="DR26" s="78">
        <v>1</v>
      </c>
      <c r="DS26" s="78">
        <v>0</v>
      </c>
      <c r="DT26" s="78">
        <v>0</v>
      </c>
      <c r="DU26" s="78">
        <v>2</v>
      </c>
      <c r="DV26" s="78">
        <v>0</v>
      </c>
      <c r="DW26" s="78">
        <v>0</v>
      </c>
      <c r="DX26" s="76">
        <v>1</v>
      </c>
      <c r="DY26" s="77">
        <v>1</v>
      </c>
      <c r="DZ26" s="43">
        <v>0</v>
      </c>
      <c r="EA26" s="43">
        <v>0</v>
      </c>
      <c r="EB26" s="45">
        <v>8</v>
      </c>
      <c r="EC26" s="43">
        <v>2</v>
      </c>
      <c r="ED26" s="44">
        <v>0</v>
      </c>
      <c r="EE26" s="71">
        <v>4</v>
      </c>
      <c r="EF26" s="43">
        <v>0</v>
      </c>
      <c r="EG26" s="43">
        <v>0</v>
      </c>
      <c r="EH26" s="43">
        <v>0</v>
      </c>
      <c r="EI26" s="43">
        <v>0</v>
      </c>
      <c r="EJ26" s="43">
        <v>2</v>
      </c>
      <c r="EK26" s="43">
        <v>3</v>
      </c>
      <c r="EL26" s="43">
        <v>0</v>
      </c>
      <c r="EM26" s="43">
        <v>1</v>
      </c>
      <c r="EN26" s="43"/>
      <c r="EO26" s="43"/>
      <c r="EP26" s="43"/>
      <c r="EQ26" s="43"/>
      <c r="ER26" s="44">
        <f t="shared" si="0"/>
        <v>10</v>
      </c>
      <c r="ES26" s="43">
        <v>0</v>
      </c>
      <c r="ET26" s="43">
        <v>0</v>
      </c>
      <c r="EU26" s="43">
        <v>1</v>
      </c>
      <c r="EV26" s="43">
        <v>0</v>
      </c>
      <c r="EW26" s="43">
        <v>3</v>
      </c>
      <c r="EX26" s="43">
        <v>0</v>
      </c>
      <c r="EY26" s="43">
        <v>0</v>
      </c>
      <c r="EZ26" s="43">
        <v>0</v>
      </c>
      <c r="FA26" s="43">
        <v>1</v>
      </c>
      <c r="FB26" s="43"/>
      <c r="FC26" s="43"/>
      <c r="FD26" s="43"/>
      <c r="FE26" s="43"/>
      <c r="FF26" s="43">
        <f t="shared" si="1"/>
        <v>5</v>
      </c>
      <c r="FG26" s="73">
        <f t="shared" ref="FG26:FG32" si="6">((SUM(L26,AD26))-(FF26))</f>
        <v>0</v>
      </c>
      <c r="FH26" s="73">
        <f t="shared" ref="FH26:FH32" si="7">((SUM(AO26,AY26,BI26,BS26,CC26,CM26,CW26,DG26,DQ26))-(ER26))</f>
        <v>0</v>
      </c>
      <c r="FI26" s="38"/>
    </row>
    <row r="27" spans="1:165" x14ac:dyDescent="0.25">
      <c r="A27" s="53">
        <v>40372</v>
      </c>
      <c r="B27" s="53" t="s">
        <v>133</v>
      </c>
      <c r="C27" s="53" t="s">
        <v>131</v>
      </c>
      <c r="D27" s="53" t="s">
        <v>474</v>
      </c>
      <c r="E27" s="54">
        <v>2436</v>
      </c>
      <c r="F27" s="58">
        <v>5</v>
      </c>
      <c r="G27" s="59" t="s">
        <v>410</v>
      </c>
      <c r="H27" s="6">
        <v>0</v>
      </c>
      <c r="I27" s="6">
        <v>0</v>
      </c>
      <c r="J27" s="60">
        <v>3</v>
      </c>
      <c r="K27" s="6">
        <v>5</v>
      </c>
      <c r="L27" s="6">
        <v>2</v>
      </c>
      <c r="M27" s="6">
        <v>2</v>
      </c>
      <c r="N27" s="6">
        <v>1</v>
      </c>
      <c r="O27" s="6">
        <v>1</v>
      </c>
      <c r="P27" s="6">
        <v>0</v>
      </c>
      <c r="Q27" s="6">
        <v>0</v>
      </c>
      <c r="R27" s="6">
        <v>15</v>
      </c>
      <c r="S27" s="6"/>
      <c r="T27" s="6"/>
      <c r="U27" s="6">
        <v>0</v>
      </c>
      <c r="V27" s="61">
        <v>0</v>
      </c>
      <c r="W27" s="62">
        <v>0</v>
      </c>
      <c r="X27" s="62">
        <v>1</v>
      </c>
      <c r="Y27" s="62">
        <v>0</v>
      </c>
      <c r="Z27" s="62">
        <v>0</v>
      </c>
      <c r="AA27" s="62">
        <v>0</v>
      </c>
      <c r="AB27" s="63">
        <v>5</v>
      </c>
      <c r="AC27" s="62">
        <v>4</v>
      </c>
      <c r="AD27" s="62">
        <v>2</v>
      </c>
      <c r="AE27" s="62">
        <v>2</v>
      </c>
      <c r="AF27" s="62">
        <v>2</v>
      </c>
      <c r="AG27" s="62">
        <v>5</v>
      </c>
      <c r="AH27" s="62">
        <v>0</v>
      </c>
      <c r="AI27" s="62">
        <v>0</v>
      </c>
      <c r="AJ27" s="62">
        <v>20</v>
      </c>
      <c r="AK27" s="62"/>
      <c r="AL27" s="62"/>
      <c r="AM27" s="1" t="s">
        <v>282</v>
      </c>
      <c r="AN27" s="78">
        <v>4</v>
      </c>
      <c r="AO27" s="78">
        <v>0</v>
      </c>
      <c r="AP27" s="78">
        <v>1</v>
      </c>
      <c r="AQ27" s="78">
        <v>0</v>
      </c>
      <c r="AR27" s="78">
        <v>0</v>
      </c>
      <c r="AS27" s="78">
        <v>0</v>
      </c>
      <c r="AT27" s="78">
        <v>0</v>
      </c>
      <c r="AU27" s="78">
        <v>0</v>
      </c>
      <c r="AV27" s="76">
        <v>2</v>
      </c>
      <c r="AW27" s="1" t="s">
        <v>421</v>
      </c>
      <c r="AX27" s="78">
        <v>4</v>
      </c>
      <c r="AY27" s="78">
        <v>0</v>
      </c>
      <c r="AZ27" s="78">
        <v>2</v>
      </c>
      <c r="BA27" s="78">
        <v>0</v>
      </c>
      <c r="BB27" s="78">
        <v>0</v>
      </c>
      <c r="BC27" s="78">
        <v>0</v>
      </c>
      <c r="BD27" s="78">
        <v>0</v>
      </c>
      <c r="BE27" s="78">
        <v>0</v>
      </c>
      <c r="BF27" s="76">
        <v>3</v>
      </c>
      <c r="BG27" s="1" t="s">
        <v>417</v>
      </c>
      <c r="BH27" s="78">
        <v>4</v>
      </c>
      <c r="BI27" s="78">
        <v>1</v>
      </c>
      <c r="BJ27" s="78">
        <v>1</v>
      </c>
      <c r="BK27" s="78">
        <v>1</v>
      </c>
      <c r="BL27" s="78">
        <v>0</v>
      </c>
      <c r="BM27" s="78">
        <v>2</v>
      </c>
      <c r="BN27" s="78">
        <v>0</v>
      </c>
      <c r="BO27" s="78">
        <v>0</v>
      </c>
      <c r="BP27" s="76">
        <v>4</v>
      </c>
      <c r="BQ27" s="1" t="s">
        <v>422</v>
      </c>
      <c r="BR27" s="78">
        <v>4</v>
      </c>
      <c r="BS27" s="78">
        <v>0</v>
      </c>
      <c r="BT27" s="78">
        <v>1</v>
      </c>
      <c r="BU27" s="78">
        <v>0</v>
      </c>
      <c r="BV27" s="78">
        <v>0</v>
      </c>
      <c r="BW27" s="78">
        <v>2</v>
      </c>
      <c r="BX27" s="78">
        <v>0</v>
      </c>
      <c r="BY27" s="78">
        <v>0</v>
      </c>
      <c r="BZ27" s="76">
        <v>1</v>
      </c>
      <c r="CA27" s="1" t="s">
        <v>420</v>
      </c>
      <c r="CB27" s="78">
        <v>4</v>
      </c>
      <c r="CC27" s="78">
        <v>1</v>
      </c>
      <c r="CD27" s="78">
        <v>1</v>
      </c>
      <c r="CE27" s="78">
        <v>0</v>
      </c>
      <c r="CF27" s="78">
        <v>0</v>
      </c>
      <c r="CG27" s="78">
        <v>0</v>
      </c>
      <c r="CH27" s="78">
        <v>0</v>
      </c>
      <c r="CI27" s="78">
        <v>0</v>
      </c>
      <c r="CJ27" s="76">
        <v>1</v>
      </c>
      <c r="CK27" s="1" t="s">
        <v>284</v>
      </c>
      <c r="CL27" s="78">
        <v>4</v>
      </c>
      <c r="CM27" s="78">
        <v>0</v>
      </c>
      <c r="CN27" s="78">
        <v>0</v>
      </c>
      <c r="CO27" s="78">
        <v>0</v>
      </c>
      <c r="CP27" s="78">
        <v>0</v>
      </c>
      <c r="CQ27" s="78">
        <v>3</v>
      </c>
      <c r="CR27" s="78">
        <v>0</v>
      </c>
      <c r="CS27" s="78">
        <v>0</v>
      </c>
      <c r="CT27" s="76">
        <v>0</v>
      </c>
      <c r="CU27" s="1" t="s">
        <v>426</v>
      </c>
      <c r="CV27" s="78">
        <v>3</v>
      </c>
      <c r="CW27" s="78">
        <v>0</v>
      </c>
      <c r="CX27" s="78">
        <v>1</v>
      </c>
      <c r="CY27" s="78">
        <v>0</v>
      </c>
      <c r="CZ27" s="78">
        <v>1</v>
      </c>
      <c r="DA27" s="78">
        <v>1</v>
      </c>
      <c r="DB27" s="78">
        <v>0</v>
      </c>
      <c r="DC27" s="78">
        <v>0</v>
      </c>
      <c r="DD27" s="76">
        <v>1</v>
      </c>
      <c r="DE27" s="1" t="s">
        <v>416</v>
      </c>
      <c r="DF27" s="78">
        <v>3</v>
      </c>
      <c r="DG27" s="78">
        <v>0</v>
      </c>
      <c r="DH27" s="78">
        <v>1</v>
      </c>
      <c r="DI27" s="78">
        <v>0</v>
      </c>
      <c r="DJ27" s="78">
        <v>1</v>
      </c>
      <c r="DK27" s="78">
        <v>1</v>
      </c>
      <c r="DL27" s="78">
        <v>0</v>
      </c>
      <c r="DM27" s="78">
        <v>0</v>
      </c>
      <c r="DN27" s="76">
        <v>1</v>
      </c>
      <c r="DO27" s="1" t="s">
        <v>419</v>
      </c>
      <c r="DP27" s="78">
        <v>4</v>
      </c>
      <c r="DQ27" s="78">
        <v>0</v>
      </c>
      <c r="DR27" s="78">
        <v>1</v>
      </c>
      <c r="DS27" s="78">
        <v>0</v>
      </c>
      <c r="DT27" s="78">
        <v>0</v>
      </c>
      <c r="DU27" s="78">
        <v>3</v>
      </c>
      <c r="DV27" s="78">
        <v>0</v>
      </c>
      <c r="DW27" s="78">
        <v>0</v>
      </c>
      <c r="DX27" s="76">
        <v>1</v>
      </c>
      <c r="DY27" s="77">
        <v>0</v>
      </c>
      <c r="DZ27" s="43">
        <v>0</v>
      </c>
      <c r="EA27" s="43">
        <v>0</v>
      </c>
      <c r="EB27" s="45">
        <v>9</v>
      </c>
      <c r="EC27" s="43">
        <v>0</v>
      </c>
      <c r="ED27" s="44">
        <v>1</v>
      </c>
      <c r="EE27" s="71">
        <v>0</v>
      </c>
      <c r="EF27" s="43">
        <v>0</v>
      </c>
      <c r="EG27" s="43">
        <v>0</v>
      </c>
      <c r="EH27" s="43">
        <v>0</v>
      </c>
      <c r="EI27" s="43">
        <v>0</v>
      </c>
      <c r="EJ27" s="43">
        <v>2</v>
      </c>
      <c r="EK27" s="43">
        <v>0</v>
      </c>
      <c r="EL27" s="43">
        <v>0</v>
      </c>
      <c r="EM27" s="43">
        <v>0</v>
      </c>
      <c r="EN27" s="43"/>
      <c r="EO27" s="43"/>
      <c r="EP27" s="43"/>
      <c r="EQ27" s="43"/>
      <c r="ER27" s="44">
        <f t="shared" si="0"/>
        <v>2</v>
      </c>
      <c r="ES27" s="43">
        <v>0</v>
      </c>
      <c r="ET27" s="43">
        <v>1</v>
      </c>
      <c r="EU27" s="43">
        <v>1</v>
      </c>
      <c r="EV27" s="43">
        <v>0</v>
      </c>
      <c r="EW27" s="43">
        <v>0</v>
      </c>
      <c r="EX27" s="43">
        <v>2</v>
      </c>
      <c r="EY27" s="43">
        <v>0</v>
      </c>
      <c r="EZ27" s="43">
        <v>0</v>
      </c>
      <c r="FA27" s="43"/>
      <c r="FB27" s="43"/>
      <c r="FC27" s="43"/>
      <c r="FD27" s="43"/>
      <c r="FE27" s="43"/>
      <c r="FF27" s="43">
        <f t="shared" si="1"/>
        <v>4</v>
      </c>
      <c r="FG27" s="73">
        <f t="shared" si="6"/>
        <v>0</v>
      </c>
      <c r="FH27" s="73">
        <f t="shared" si="7"/>
        <v>0</v>
      </c>
      <c r="FI27" s="38"/>
    </row>
    <row r="28" spans="1:165" x14ac:dyDescent="0.25">
      <c r="A28" s="53">
        <v>40373</v>
      </c>
      <c r="B28" s="53" t="s">
        <v>19</v>
      </c>
      <c r="C28" s="53" t="s">
        <v>131</v>
      </c>
      <c r="D28" s="53" t="s">
        <v>521</v>
      </c>
      <c r="E28" s="54">
        <v>3048</v>
      </c>
      <c r="F28" s="58">
        <v>1</v>
      </c>
      <c r="G28" s="59" t="s">
        <v>286</v>
      </c>
      <c r="H28" s="6">
        <v>0</v>
      </c>
      <c r="I28" s="6">
        <v>1</v>
      </c>
      <c r="J28" s="60">
        <v>4</v>
      </c>
      <c r="K28" s="6">
        <v>3</v>
      </c>
      <c r="L28" s="6">
        <v>2</v>
      </c>
      <c r="M28" s="6">
        <v>1</v>
      </c>
      <c r="N28" s="6">
        <v>1</v>
      </c>
      <c r="O28" s="6">
        <v>3</v>
      </c>
      <c r="P28" s="6">
        <v>0</v>
      </c>
      <c r="Q28" s="6">
        <v>1</v>
      </c>
      <c r="R28" s="6">
        <v>16</v>
      </c>
      <c r="S28" s="6"/>
      <c r="T28" s="6"/>
      <c r="U28" s="6">
        <v>0</v>
      </c>
      <c r="V28" s="61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3">
        <v>5</v>
      </c>
      <c r="AC28" s="62">
        <v>1</v>
      </c>
      <c r="AD28" s="62">
        <v>1</v>
      </c>
      <c r="AE28" s="62">
        <v>0</v>
      </c>
      <c r="AF28" s="62">
        <v>1</v>
      </c>
      <c r="AG28" s="62">
        <v>5</v>
      </c>
      <c r="AH28" s="62">
        <v>0</v>
      </c>
      <c r="AI28" s="62">
        <v>0</v>
      </c>
      <c r="AJ28" s="62">
        <v>16</v>
      </c>
      <c r="AK28" s="62"/>
      <c r="AL28" s="62"/>
      <c r="AM28" s="1" t="s">
        <v>282</v>
      </c>
      <c r="AN28" s="78">
        <v>4</v>
      </c>
      <c r="AO28" s="78">
        <v>0</v>
      </c>
      <c r="AP28" s="78">
        <v>1</v>
      </c>
      <c r="AQ28" s="78">
        <v>0</v>
      </c>
      <c r="AR28" s="78">
        <v>0</v>
      </c>
      <c r="AS28" s="78">
        <v>0</v>
      </c>
      <c r="AT28" s="78">
        <v>0</v>
      </c>
      <c r="AU28" s="78">
        <v>0</v>
      </c>
      <c r="AV28" s="76">
        <v>1</v>
      </c>
      <c r="AW28" s="1" t="s">
        <v>421</v>
      </c>
      <c r="AX28" s="78">
        <v>4</v>
      </c>
      <c r="AY28" s="78">
        <v>0</v>
      </c>
      <c r="AZ28" s="78">
        <v>0</v>
      </c>
      <c r="BA28" s="78">
        <v>0</v>
      </c>
      <c r="BB28" s="78">
        <v>0</v>
      </c>
      <c r="BC28" s="78">
        <v>2</v>
      </c>
      <c r="BD28" s="78">
        <v>0</v>
      </c>
      <c r="BE28" s="78">
        <v>0</v>
      </c>
      <c r="BF28" s="76">
        <v>0</v>
      </c>
      <c r="BG28" s="1" t="s">
        <v>422</v>
      </c>
      <c r="BH28" s="78">
        <v>4</v>
      </c>
      <c r="BI28" s="78">
        <v>0</v>
      </c>
      <c r="BJ28" s="78">
        <v>0</v>
      </c>
      <c r="BK28" s="78">
        <v>0</v>
      </c>
      <c r="BL28" s="78">
        <v>0</v>
      </c>
      <c r="BM28" s="78">
        <v>3</v>
      </c>
      <c r="BN28" s="78">
        <v>0</v>
      </c>
      <c r="BO28" s="78">
        <v>0</v>
      </c>
      <c r="BP28" s="76">
        <v>0</v>
      </c>
      <c r="BQ28" s="1" t="s">
        <v>420</v>
      </c>
      <c r="BR28" s="78">
        <v>4</v>
      </c>
      <c r="BS28" s="78">
        <v>0</v>
      </c>
      <c r="BT28" s="78">
        <v>1</v>
      </c>
      <c r="BU28" s="78">
        <v>0</v>
      </c>
      <c r="BV28" s="78">
        <v>0</v>
      </c>
      <c r="BW28" s="78">
        <v>0</v>
      </c>
      <c r="BX28" s="78">
        <v>0</v>
      </c>
      <c r="BY28" s="78">
        <v>0</v>
      </c>
      <c r="BZ28" s="76">
        <v>1</v>
      </c>
      <c r="CA28" s="1" t="s">
        <v>284</v>
      </c>
      <c r="CB28" s="78">
        <v>4</v>
      </c>
      <c r="CC28" s="78">
        <v>0</v>
      </c>
      <c r="CD28" s="78">
        <v>0</v>
      </c>
      <c r="CE28" s="78">
        <v>0</v>
      </c>
      <c r="CF28" s="78">
        <v>0</v>
      </c>
      <c r="CG28" s="78">
        <v>3</v>
      </c>
      <c r="CH28" s="78">
        <v>0</v>
      </c>
      <c r="CI28" s="78">
        <v>0</v>
      </c>
      <c r="CJ28" s="76">
        <v>0</v>
      </c>
      <c r="CK28" s="1" t="s">
        <v>285</v>
      </c>
      <c r="CL28" s="78">
        <v>3</v>
      </c>
      <c r="CM28" s="78">
        <v>0</v>
      </c>
      <c r="CN28" s="78">
        <v>1</v>
      </c>
      <c r="CO28" s="78">
        <v>0</v>
      </c>
      <c r="CP28" s="78">
        <v>1</v>
      </c>
      <c r="CQ28" s="78">
        <v>0</v>
      </c>
      <c r="CR28" s="78">
        <v>0</v>
      </c>
      <c r="CS28" s="78">
        <v>0</v>
      </c>
      <c r="CT28" s="76">
        <v>1</v>
      </c>
      <c r="CU28" s="1" t="s">
        <v>424</v>
      </c>
      <c r="CV28" s="78">
        <v>3</v>
      </c>
      <c r="CW28" s="78">
        <v>0</v>
      </c>
      <c r="CX28" s="78">
        <v>0</v>
      </c>
      <c r="CY28" s="78">
        <v>0</v>
      </c>
      <c r="CZ28" s="78">
        <v>1</v>
      </c>
      <c r="DA28" s="78">
        <v>1</v>
      </c>
      <c r="DB28" s="78">
        <v>0</v>
      </c>
      <c r="DC28" s="78">
        <v>0</v>
      </c>
      <c r="DD28" s="76">
        <v>0</v>
      </c>
      <c r="DE28" s="1" t="s">
        <v>416</v>
      </c>
      <c r="DF28" s="78">
        <v>3</v>
      </c>
      <c r="DG28" s="78">
        <v>0</v>
      </c>
      <c r="DH28" s="78">
        <v>0</v>
      </c>
      <c r="DI28" s="78">
        <v>0</v>
      </c>
      <c r="DJ28" s="78">
        <v>1</v>
      </c>
      <c r="DK28" s="78">
        <v>2</v>
      </c>
      <c r="DL28" s="78">
        <v>0</v>
      </c>
      <c r="DM28" s="78">
        <v>0</v>
      </c>
      <c r="DN28" s="76">
        <v>0</v>
      </c>
      <c r="DO28" s="1" t="s">
        <v>419</v>
      </c>
      <c r="DP28" s="78">
        <v>3</v>
      </c>
      <c r="DQ28" s="78">
        <v>0</v>
      </c>
      <c r="DR28" s="78">
        <v>1</v>
      </c>
      <c r="DS28" s="78">
        <v>0</v>
      </c>
      <c r="DT28" s="78">
        <v>0</v>
      </c>
      <c r="DU28" s="78">
        <v>0</v>
      </c>
      <c r="DV28" s="78">
        <v>1</v>
      </c>
      <c r="DW28" s="78">
        <v>0</v>
      </c>
      <c r="DX28" s="76">
        <v>2</v>
      </c>
      <c r="DY28" s="77">
        <v>0</v>
      </c>
      <c r="DZ28" s="43">
        <v>0</v>
      </c>
      <c r="EA28" s="43">
        <v>0</v>
      </c>
      <c r="EB28" s="45">
        <v>9</v>
      </c>
      <c r="EC28" s="43">
        <v>4</v>
      </c>
      <c r="ED28" s="44">
        <v>0</v>
      </c>
      <c r="EE28" s="71">
        <v>0</v>
      </c>
      <c r="EF28" s="43">
        <v>0</v>
      </c>
      <c r="EG28" s="43">
        <v>0</v>
      </c>
      <c r="EH28" s="43">
        <v>0</v>
      </c>
      <c r="EI28" s="43">
        <v>0</v>
      </c>
      <c r="EJ28" s="43">
        <v>0</v>
      </c>
      <c r="EK28" s="43">
        <v>0</v>
      </c>
      <c r="EL28" s="43">
        <v>0</v>
      </c>
      <c r="EM28" s="43">
        <v>0</v>
      </c>
      <c r="EN28" s="43"/>
      <c r="EO28" s="43"/>
      <c r="EP28" s="43"/>
      <c r="EQ28" s="43"/>
      <c r="ER28" s="44">
        <f t="shared" si="0"/>
        <v>0</v>
      </c>
      <c r="ES28" s="43">
        <v>0</v>
      </c>
      <c r="ET28" s="43">
        <v>0</v>
      </c>
      <c r="EU28" s="43">
        <v>1</v>
      </c>
      <c r="EV28" s="43">
        <v>1</v>
      </c>
      <c r="EW28" s="43">
        <v>0</v>
      </c>
      <c r="EX28" s="43">
        <v>1</v>
      </c>
      <c r="EY28" s="43">
        <v>0</v>
      </c>
      <c r="EZ28" s="43">
        <v>0</v>
      </c>
      <c r="FA28" s="43">
        <v>0</v>
      </c>
      <c r="FB28" s="43"/>
      <c r="FC28" s="43"/>
      <c r="FD28" s="43"/>
      <c r="FE28" s="43"/>
      <c r="FF28" s="43">
        <f t="shared" si="1"/>
        <v>3</v>
      </c>
      <c r="FG28" s="73">
        <f t="shared" si="6"/>
        <v>0</v>
      </c>
      <c r="FH28" s="73">
        <f t="shared" si="7"/>
        <v>0</v>
      </c>
      <c r="FI28" s="38"/>
    </row>
    <row r="29" spans="1:165" x14ac:dyDescent="0.25">
      <c r="A29" s="91">
        <v>40374</v>
      </c>
      <c r="B29" s="91" t="s">
        <v>19</v>
      </c>
      <c r="C29" s="91" t="s">
        <v>129</v>
      </c>
      <c r="D29" s="91" t="s">
        <v>521</v>
      </c>
      <c r="E29" s="92">
        <v>4252</v>
      </c>
      <c r="F29" s="93">
        <v>2</v>
      </c>
      <c r="G29" s="94" t="s">
        <v>412</v>
      </c>
      <c r="H29" s="95">
        <v>0</v>
      </c>
      <c r="I29" s="95">
        <v>0</v>
      </c>
      <c r="J29" s="96">
        <f>5+1/3</f>
        <v>5.333333333333333</v>
      </c>
      <c r="K29" s="95">
        <v>4</v>
      </c>
      <c r="L29" s="95">
        <v>1</v>
      </c>
      <c r="M29" s="95">
        <v>0</v>
      </c>
      <c r="N29" s="95">
        <v>1</v>
      </c>
      <c r="O29" s="95">
        <v>3</v>
      </c>
      <c r="P29" s="95">
        <v>0</v>
      </c>
      <c r="Q29" s="95">
        <v>0</v>
      </c>
      <c r="R29" s="95">
        <v>20</v>
      </c>
      <c r="S29" s="95"/>
      <c r="T29" s="95"/>
      <c r="U29" s="95">
        <v>2</v>
      </c>
      <c r="V29" s="97">
        <v>0</v>
      </c>
      <c r="W29" s="98">
        <v>1</v>
      </c>
      <c r="X29" s="98">
        <v>0</v>
      </c>
      <c r="Y29" s="98">
        <v>0</v>
      </c>
      <c r="Z29" s="98">
        <v>1</v>
      </c>
      <c r="AA29" s="98">
        <v>0</v>
      </c>
      <c r="AB29" s="99">
        <f>3+2/3</f>
        <v>3.6666666666666665</v>
      </c>
      <c r="AC29" s="98">
        <v>1</v>
      </c>
      <c r="AD29" s="98">
        <v>0</v>
      </c>
      <c r="AE29" s="98">
        <v>0</v>
      </c>
      <c r="AF29" s="98">
        <v>1</v>
      </c>
      <c r="AG29" s="98">
        <v>6</v>
      </c>
      <c r="AH29" s="98">
        <v>0</v>
      </c>
      <c r="AI29" s="98">
        <v>0</v>
      </c>
      <c r="AJ29" s="98">
        <v>12</v>
      </c>
      <c r="AK29" s="98"/>
      <c r="AL29" s="98"/>
      <c r="AM29" s="100" t="s">
        <v>417</v>
      </c>
      <c r="AN29" s="101">
        <v>3</v>
      </c>
      <c r="AO29" s="101">
        <v>1</v>
      </c>
      <c r="AP29" s="101">
        <v>1</v>
      </c>
      <c r="AQ29" s="101">
        <v>2</v>
      </c>
      <c r="AR29" s="101">
        <v>0</v>
      </c>
      <c r="AS29" s="101">
        <v>2</v>
      </c>
      <c r="AT29" s="101">
        <v>0</v>
      </c>
      <c r="AU29" s="101">
        <v>1</v>
      </c>
      <c r="AV29" s="102">
        <v>4</v>
      </c>
      <c r="AW29" s="100" t="s">
        <v>285</v>
      </c>
      <c r="AX29" s="101">
        <v>4</v>
      </c>
      <c r="AY29" s="101">
        <v>0</v>
      </c>
      <c r="AZ29" s="101">
        <v>1</v>
      </c>
      <c r="BA29" s="101">
        <v>0</v>
      </c>
      <c r="BB29" s="101">
        <v>0</v>
      </c>
      <c r="BC29" s="101">
        <v>0</v>
      </c>
      <c r="BD29" s="101">
        <v>0</v>
      </c>
      <c r="BE29" s="101">
        <v>0</v>
      </c>
      <c r="BF29" s="102">
        <v>1</v>
      </c>
      <c r="BG29" s="100" t="s">
        <v>422</v>
      </c>
      <c r="BH29" s="101">
        <v>4</v>
      </c>
      <c r="BI29" s="101">
        <v>0</v>
      </c>
      <c r="BJ29" s="101">
        <v>1</v>
      </c>
      <c r="BK29" s="101">
        <v>0</v>
      </c>
      <c r="BL29" s="101">
        <v>0</v>
      </c>
      <c r="BM29" s="101">
        <v>0</v>
      </c>
      <c r="BN29" s="101">
        <v>0</v>
      </c>
      <c r="BO29" s="101">
        <v>0</v>
      </c>
      <c r="BP29" s="102">
        <v>1</v>
      </c>
      <c r="BQ29" s="100" t="s">
        <v>421</v>
      </c>
      <c r="BR29" s="101">
        <v>3</v>
      </c>
      <c r="BS29" s="101">
        <v>0</v>
      </c>
      <c r="BT29" s="101">
        <v>1</v>
      </c>
      <c r="BU29" s="101">
        <v>0</v>
      </c>
      <c r="BV29" s="101">
        <v>0</v>
      </c>
      <c r="BW29" s="101">
        <v>0</v>
      </c>
      <c r="BX29" s="101">
        <v>0</v>
      </c>
      <c r="BY29" s="101">
        <v>0</v>
      </c>
      <c r="BZ29" s="102">
        <v>1</v>
      </c>
      <c r="CA29" s="100" t="s">
        <v>420</v>
      </c>
      <c r="CB29" s="101">
        <v>2</v>
      </c>
      <c r="CC29" s="101">
        <v>0</v>
      </c>
      <c r="CD29" s="101">
        <v>0</v>
      </c>
      <c r="CE29" s="101">
        <v>0</v>
      </c>
      <c r="CF29" s="101">
        <v>0</v>
      </c>
      <c r="CG29" s="101">
        <v>1</v>
      </c>
      <c r="CH29" s="101">
        <v>0</v>
      </c>
      <c r="CI29" s="101">
        <v>0</v>
      </c>
      <c r="CJ29" s="102">
        <v>0</v>
      </c>
      <c r="CK29" s="100" t="s">
        <v>284</v>
      </c>
      <c r="CL29" s="101">
        <v>3</v>
      </c>
      <c r="CM29" s="101">
        <v>0</v>
      </c>
      <c r="CN29" s="101">
        <v>0</v>
      </c>
      <c r="CO29" s="101">
        <v>0</v>
      </c>
      <c r="CP29" s="101">
        <v>0</v>
      </c>
      <c r="CQ29" s="101">
        <v>0</v>
      </c>
      <c r="CR29" s="101">
        <v>0</v>
      </c>
      <c r="CS29" s="101">
        <v>0</v>
      </c>
      <c r="CT29" s="102">
        <v>0</v>
      </c>
      <c r="CU29" s="100" t="s">
        <v>426</v>
      </c>
      <c r="CV29" s="101">
        <v>3</v>
      </c>
      <c r="CW29" s="101">
        <v>0</v>
      </c>
      <c r="CX29" s="101">
        <v>1</v>
      </c>
      <c r="CY29" s="101">
        <v>0</v>
      </c>
      <c r="CZ29" s="101">
        <v>0</v>
      </c>
      <c r="DA29" s="101">
        <v>0</v>
      </c>
      <c r="DB29" s="101">
        <v>0</v>
      </c>
      <c r="DC29" s="101">
        <v>0</v>
      </c>
      <c r="DD29" s="102">
        <v>2</v>
      </c>
      <c r="DE29" s="100" t="s">
        <v>418</v>
      </c>
      <c r="DF29" s="101">
        <v>3</v>
      </c>
      <c r="DG29" s="101">
        <v>0</v>
      </c>
      <c r="DH29" s="101">
        <v>0</v>
      </c>
      <c r="DI29" s="101">
        <v>0</v>
      </c>
      <c r="DJ29" s="101">
        <v>0</v>
      </c>
      <c r="DK29" s="101">
        <v>1</v>
      </c>
      <c r="DL29" s="101">
        <v>0</v>
      </c>
      <c r="DM29" s="101">
        <v>0</v>
      </c>
      <c r="DN29" s="102">
        <v>0</v>
      </c>
      <c r="DO29" s="100" t="s">
        <v>419</v>
      </c>
      <c r="DP29" s="101">
        <v>3</v>
      </c>
      <c r="DQ29" s="101">
        <v>1</v>
      </c>
      <c r="DR29" s="101">
        <v>1</v>
      </c>
      <c r="DS29" s="101">
        <v>0</v>
      </c>
      <c r="DT29" s="101">
        <v>0</v>
      </c>
      <c r="DU29" s="101">
        <v>0</v>
      </c>
      <c r="DV29" s="101">
        <v>0</v>
      </c>
      <c r="DW29" s="101">
        <v>0</v>
      </c>
      <c r="DX29" s="102">
        <v>1</v>
      </c>
      <c r="DY29" s="103">
        <v>6</v>
      </c>
      <c r="DZ29" s="104">
        <v>1</v>
      </c>
      <c r="EA29" s="104">
        <v>1</v>
      </c>
      <c r="EB29" s="105">
        <v>2</v>
      </c>
      <c r="EC29" s="104">
        <v>0</v>
      </c>
      <c r="ED29" s="106">
        <v>0</v>
      </c>
      <c r="EE29" s="107">
        <v>1</v>
      </c>
      <c r="EF29" s="104">
        <v>0</v>
      </c>
      <c r="EG29" s="104">
        <v>0</v>
      </c>
      <c r="EH29" s="104">
        <v>0</v>
      </c>
      <c r="EI29" s="104">
        <v>0</v>
      </c>
      <c r="EJ29" s="104">
        <v>0</v>
      </c>
      <c r="EK29" s="104">
        <v>0</v>
      </c>
      <c r="EL29" s="104">
        <v>1</v>
      </c>
      <c r="EM29" s="104"/>
      <c r="EN29" s="104"/>
      <c r="EO29" s="104"/>
      <c r="EP29" s="104"/>
      <c r="EQ29" s="104"/>
      <c r="ER29" s="106">
        <f t="shared" si="0"/>
        <v>2</v>
      </c>
      <c r="ES29" s="104">
        <v>0</v>
      </c>
      <c r="ET29" s="104">
        <v>0</v>
      </c>
      <c r="EU29" s="104">
        <v>0</v>
      </c>
      <c r="EV29" s="104">
        <v>0</v>
      </c>
      <c r="EW29" s="104">
        <v>0</v>
      </c>
      <c r="EX29" s="104">
        <v>1</v>
      </c>
      <c r="EY29" s="104">
        <v>0</v>
      </c>
      <c r="EZ29" s="104">
        <v>0</v>
      </c>
      <c r="FA29" s="104">
        <v>0</v>
      </c>
      <c r="FB29" s="104"/>
      <c r="FC29" s="104"/>
      <c r="FD29" s="104"/>
      <c r="FE29" s="104"/>
      <c r="FF29" s="104">
        <f t="shared" si="1"/>
        <v>1</v>
      </c>
      <c r="FG29" s="108">
        <f t="shared" si="6"/>
        <v>0</v>
      </c>
      <c r="FH29" s="108">
        <f t="shared" si="7"/>
        <v>0</v>
      </c>
      <c r="FI29" s="109"/>
    </row>
    <row r="30" spans="1:165" x14ac:dyDescent="0.25">
      <c r="A30" s="204">
        <v>40375</v>
      </c>
      <c r="B30" s="204" t="s">
        <v>19</v>
      </c>
      <c r="C30" s="204" t="s">
        <v>131</v>
      </c>
      <c r="D30" s="204" t="s">
        <v>521</v>
      </c>
      <c r="E30" s="205">
        <v>4686</v>
      </c>
      <c r="F30" s="206">
        <v>3</v>
      </c>
      <c r="G30" s="207" t="s">
        <v>411</v>
      </c>
      <c r="H30" s="208">
        <v>0</v>
      </c>
      <c r="I30" s="208">
        <v>0</v>
      </c>
      <c r="J30" s="209">
        <v>8</v>
      </c>
      <c r="K30" s="208">
        <v>4</v>
      </c>
      <c r="L30" s="208">
        <v>1</v>
      </c>
      <c r="M30" s="208">
        <v>1</v>
      </c>
      <c r="N30" s="208">
        <v>1</v>
      </c>
      <c r="O30" s="208">
        <v>3</v>
      </c>
      <c r="P30" s="208">
        <v>0</v>
      </c>
      <c r="Q30" s="208">
        <v>0</v>
      </c>
      <c r="R30" s="208">
        <v>27</v>
      </c>
      <c r="S30" s="208"/>
      <c r="T30" s="208"/>
      <c r="U30" s="208">
        <v>0</v>
      </c>
      <c r="V30" s="210">
        <v>0</v>
      </c>
      <c r="W30" s="211">
        <v>0</v>
      </c>
      <c r="X30" s="211">
        <v>1</v>
      </c>
      <c r="Y30" s="211">
        <v>0</v>
      </c>
      <c r="Z30" s="211">
        <v>0</v>
      </c>
      <c r="AA30" s="211">
        <v>1</v>
      </c>
      <c r="AB30" s="212">
        <v>2</v>
      </c>
      <c r="AC30" s="211">
        <v>4</v>
      </c>
      <c r="AD30" s="211">
        <v>2</v>
      </c>
      <c r="AE30" s="211">
        <v>1</v>
      </c>
      <c r="AF30" s="211">
        <v>0</v>
      </c>
      <c r="AG30" s="211">
        <v>0</v>
      </c>
      <c r="AH30" s="211">
        <v>0</v>
      </c>
      <c r="AI30" s="211">
        <v>0</v>
      </c>
      <c r="AJ30" s="211">
        <v>10</v>
      </c>
      <c r="AK30" s="211"/>
      <c r="AL30" s="211"/>
      <c r="AM30" s="213" t="s">
        <v>282</v>
      </c>
      <c r="AN30" s="214">
        <v>4</v>
      </c>
      <c r="AO30" s="214">
        <v>0</v>
      </c>
      <c r="AP30" s="214">
        <v>1</v>
      </c>
      <c r="AQ30" s="214">
        <v>2</v>
      </c>
      <c r="AR30" s="214">
        <v>0</v>
      </c>
      <c r="AS30" s="214">
        <v>1</v>
      </c>
      <c r="AT30" s="214">
        <v>1</v>
      </c>
      <c r="AU30" s="214">
        <v>0</v>
      </c>
      <c r="AV30" s="215">
        <v>2</v>
      </c>
      <c r="AW30" s="213" t="s">
        <v>421</v>
      </c>
      <c r="AX30" s="214">
        <v>2</v>
      </c>
      <c r="AY30" s="214">
        <v>0</v>
      </c>
      <c r="AZ30" s="214">
        <v>0</v>
      </c>
      <c r="BA30" s="214">
        <v>0</v>
      </c>
      <c r="BB30" s="214">
        <v>2</v>
      </c>
      <c r="BC30" s="214">
        <v>0</v>
      </c>
      <c r="BD30" s="214">
        <v>0</v>
      </c>
      <c r="BE30" s="214">
        <v>0</v>
      </c>
      <c r="BF30" s="215">
        <v>0</v>
      </c>
      <c r="BG30" s="213" t="s">
        <v>417</v>
      </c>
      <c r="BH30" s="214">
        <v>4</v>
      </c>
      <c r="BI30" s="214">
        <v>0</v>
      </c>
      <c r="BJ30" s="214">
        <v>0</v>
      </c>
      <c r="BK30" s="214">
        <v>0</v>
      </c>
      <c r="BL30" s="214">
        <v>0</v>
      </c>
      <c r="BM30" s="214">
        <v>1</v>
      </c>
      <c r="BN30" s="214">
        <v>0</v>
      </c>
      <c r="BO30" s="214">
        <v>0</v>
      </c>
      <c r="BP30" s="215">
        <v>0</v>
      </c>
      <c r="BQ30" s="213" t="s">
        <v>420</v>
      </c>
      <c r="BR30" s="214">
        <v>4</v>
      </c>
      <c r="BS30" s="214">
        <v>0</v>
      </c>
      <c r="BT30" s="214">
        <v>1</v>
      </c>
      <c r="BU30" s="214">
        <v>0</v>
      </c>
      <c r="BV30" s="214">
        <v>0</v>
      </c>
      <c r="BW30" s="214">
        <v>1</v>
      </c>
      <c r="BX30" s="214">
        <v>0</v>
      </c>
      <c r="BY30" s="214">
        <v>0</v>
      </c>
      <c r="BZ30" s="215">
        <v>1</v>
      </c>
      <c r="CA30" s="213" t="s">
        <v>284</v>
      </c>
      <c r="CB30" s="214">
        <v>4</v>
      </c>
      <c r="CC30" s="214">
        <v>0</v>
      </c>
      <c r="CD30" s="214">
        <v>0</v>
      </c>
      <c r="CE30" s="214">
        <v>0</v>
      </c>
      <c r="CF30" s="214">
        <v>0</v>
      </c>
      <c r="CG30" s="214">
        <v>3</v>
      </c>
      <c r="CH30" s="214">
        <v>0</v>
      </c>
      <c r="CI30" s="214">
        <v>0</v>
      </c>
      <c r="CJ30" s="215">
        <v>0</v>
      </c>
      <c r="CK30" s="213" t="s">
        <v>426</v>
      </c>
      <c r="CL30" s="214">
        <v>4</v>
      </c>
      <c r="CM30" s="214">
        <v>0</v>
      </c>
      <c r="CN30" s="214">
        <v>0</v>
      </c>
      <c r="CO30" s="214">
        <v>0</v>
      </c>
      <c r="CP30" s="214">
        <v>0</v>
      </c>
      <c r="CQ30" s="214">
        <v>1</v>
      </c>
      <c r="CR30" s="214">
        <v>0</v>
      </c>
      <c r="CS30" s="214">
        <v>0</v>
      </c>
      <c r="CT30" s="215">
        <v>0</v>
      </c>
      <c r="CU30" s="213" t="s">
        <v>418</v>
      </c>
      <c r="CV30" s="214">
        <v>4</v>
      </c>
      <c r="CW30" s="214">
        <v>1</v>
      </c>
      <c r="CX30" s="214">
        <v>2</v>
      </c>
      <c r="CY30" s="214">
        <v>0</v>
      </c>
      <c r="CZ30" s="214">
        <v>0</v>
      </c>
      <c r="DA30" s="214">
        <v>2</v>
      </c>
      <c r="DB30" s="214">
        <v>0</v>
      </c>
      <c r="DC30" s="214">
        <v>0</v>
      </c>
      <c r="DD30" s="215">
        <v>3</v>
      </c>
      <c r="DE30" s="213" t="s">
        <v>416</v>
      </c>
      <c r="DF30" s="214">
        <v>3</v>
      </c>
      <c r="DG30" s="214">
        <v>1</v>
      </c>
      <c r="DH30" s="214">
        <v>1</v>
      </c>
      <c r="DI30" s="214">
        <v>0</v>
      </c>
      <c r="DJ30" s="214">
        <v>0</v>
      </c>
      <c r="DK30" s="214">
        <v>1</v>
      </c>
      <c r="DL30" s="214">
        <v>0</v>
      </c>
      <c r="DM30" s="214">
        <v>0</v>
      </c>
      <c r="DN30" s="215">
        <v>1</v>
      </c>
      <c r="DO30" s="213" t="s">
        <v>419</v>
      </c>
      <c r="DP30" s="214">
        <v>3</v>
      </c>
      <c r="DQ30" s="214">
        <v>0</v>
      </c>
      <c r="DR30" s="214">
        <v>0</v>
      </c>
      <c r="DS30" s="214">
        <v>0</v>
      </c>
      <c r="DT30" s="214">
        <v>0</v>
      </c>
      <c r="DU30" s="214">
        <v>1</v>
      </c>
      <c r="DV30" s="214">
        <v>0</v>
      </c>
      <c r="DW30" s="214">
        <v>0</v>
      </c>
      <c r="DX30" s="215">
        <v>0</v>
      </c>
      <c r="DY30" s="216">
        <v>0</v>
      </c>
      <c r="DZ30" s="217">
        <v>0</v>
      </c>
      <c r="EA30" s="217">
        <v>0</v>
      </c>
      <c r="EB30" s="218">
        <v>10</v>
      </c>
      <c r="EC30" s="217">
        <v>2</v>
      </c>
      <c r="ED30" s="219">
        <v>0</v>
      </c>
      <c r="EE30" s="220">
        <v>0</v>
      </c>
      <c r="EF30" s="217">
        <v>0</v>
      </c>
      <c r="EG30" s="217">
        <v>0</v>
      </c>
      <c r="EH30" s="217">
        <v>0</v>
      </c>
      <c r="EI30" s="217">
        <v>2</v>
      </c>
      <c r="EJ30" s="217">
        <v>0</v>
      </c>
      <c r="EK30" s="217">
        <v>0</v>
      </c>
      <c r="EL30" s="217">
        <v>0</v>
      </c>
      <c r="EM30" s="217">
        <v>0</v>
      </c>
      <c r="EN30" s="217">
        <v>0</v>
      </c>
      <c r="EO30" s="217"/>
      <c r="EP30" s="217"/>
      <c r="EQ30" s="217"/>
      <c r="ER30" s="219">
        <f t="shared" si="0"/>
        <v>2</v>
      </c>
      <c r="ES30" s="217">
        <v>0</v>
      </c>
      <c r="ET30" s="217">
        <v>0</v>
      </c>
      <c r="EU30" s="217">
        <v>0</v>
      </c>
      <c r="EV30" s="217">
        <v>0</v>
      </c>
      <c r="EW30" s="217">
        <v>0</v>
      </c>
      <c r="EX30" s="217">
        <v>0</v>
      </c>
      <c r="EY30" s="217">
        <v>0</v>
      </c>
      <c r="EZ30" s="217">
        <v>1</v>
      </c>
      <c r="FA30" s="217">
        <v>1</v>
      </c>
      <c r="FB30" s="217">
        <v>1</v>
      </c>
      <c r="FC30" s="217"/>
      <c r="FD30" s="217"/>
      <c r="FE30" s="217"/>
      <c r="FF30" s="217">
        <f t="shared" si="1"/>
        <v>3</v>
      </c>
      <c r="FG30" s="221">
        <f t="shared" si="6"/>
        <v>0</v>
      </c>
      <c r="FH30" s="221">
        <f t="shared" si="7"/>
        <v>0</v>
      </c>
      <c r="FI30" s="222"/>
    </row>
    <row r="31" spans="1:165" x14ac:dyDescent="0.25">
      <c r="A31" s="204">
        <v>40376</v>
      </c>
      <c r="B31" s="204" t="s">
        <v>19</v>
      </c>
      <c r="C31" s="204" t="s">
        <v>129</v>
      </c>
      <c r="D31" s="204" t="s">
        <v>555</v>
      </c>
      <c r="E31" s="205">
        <v>3831</v>
      </c>
      <c r="F31" s="206">
        <v>4</v>
      </c>
      <c r="G31" s="207" t="s">
        <v>556</v>
      </c>
      <c r="H31" s="208">
        <v>0</v>
      </c>
      <c r="I31" s="208">
        <v>0</v>
      </c>
      <c r="J31" s="209">
        <v>4</v>
      </c>
      <c r="K31" s="208">
        <v>2</v>
      </c>
      <c r="L31" s="208">
        <v>1</v>
      </c>
      <c r="M31" s="208">
        <v>0</v>
      </c>
      <c r="N31" s="208">
        <v>0</v>
      </c>
      <c r="O31" s="208">
        <v>4</v>
      </c>
      <c r="P31" s="208">
        <v>0</v>
      </c>
      <c r="Q31" s="208">
        <v>1</v>
      </c>
      <c r="R31" s="208">
        <v>15</v>
      </c>
      <c r="S31" s="208"/>
      <c r="T31" s="208"/>
      <c r="U31" s="208">
        <v>0</v>
      </c>
      <c r="V31" s="210">
        <v>0</v>
      </c>
      <c r="W31" s="211">
        <v>1</v>
      </c>
      <c r="X31" s="211">
        <v>0</v>
      </c>
      <c r="Y31" s="211">
        <v>0</v>
      </c>
      <c r="Z31" s="211">
        <v>1</v>
      </c>
      <c r="AA31" s="211">
        <v>0</v>
      </c>
      <c r="AB31" s="212">
        <v>5</v>
      </c>
      <c r="AC31" s="211">
        <v>4</v>
      </c>
      <c r="AD31" s="211">
        <v>1</v>
      </c>
      <c r="AE31" s="211">
        <v>1</v>
      </c>
      <c r="AF31" s="211">
        <v>1</v>
      </c>
      <c r="AG31" s="211">
        <v>7</v>
      </c>
      <c r="AH31" s="211">
        <v>0</v>
      </c>
      <c r="AI31" s="211">
        <v>0</v>
      </c>
      <c r="AJ31" s="211">
        <v>19</v>
      </c>
      <c r="AK31" s="211"/>
      <c r="AL31" s="211"/>
      <c r="AM31" s="213" t="s">
        <v>417</v>
      </c>
      <c r="AN31" s="214">
        <v>5</v>
      </c>
      <c r="AO31" s="214">
        <v>2</v>
      </c>
      <c r="AP31" s="214">
        <v>1</v>
      </c>
      <c r="AQ31" s="214">
        <v>1</v>
      </c>
      <c r="AR31" s="214">
        <v>0</v>
      </c>
      <c r="AS31" s="214">
        <v>1</v>
      </c>
      <c r="AT31" s="214">
        <v>0</v>
      </c>
      <c r="AU31" s="214">
        <v>0</v>
      </c>
      <c r="AV31" s="215">
        <v>1</v>
      </c>
      <c r="AW31" s="213" t="s">
        <v>421</v>
      </c>
      <c r="AX31" s="214">
        <v>4</v>
      </c>
      <c r="AY31" s="214">
        <v>1</v>
      </c>
      <c r="AZ31" s="214">
        <v>3</v>
      </c>
      <c r="BA31" s="214">
        <v>3</v>
      </c>
      <c r="BB31" s="214">
        <v>1</v>
      </c>
      <c r="BC31" s="214">
        <v>0</v>
      </c>
      <c r="BD31" s="214">
        <v>0</v>
      </c>
      <c r="BE31" s="214">
        <v>0</v>
      </c>
      <c r="BF31" s="215">
        <v>5</v>
      </c>
      <c r="BG31" s="213" t="s">
        <v>422</v>
      </c>
      <c r="BH31" s="214">
        <v>4</v>
      </c>
      <c r="BI31" s="214">
        <v>1</v>
      </c>
      <c r="BJ31" s="214">
        <v>1</v>
      </c>
      <c r="BK31" s="214">
        <v>1</v>
      </c>
      <c r="BL31" s="214">
        <v>0</v>
      </c>
      <c r="BM31" s="214">
        <v>0</v>
      </c>
      <c r="BN31" s="214">
        <v>0</v>
      </c>
      <c r="BO31" s="214">
        <v>0</v>
      </c>
      <c r="BP31" s="215">
        <v>1</v>
      </c>
      <c r="BQ31" s="213" t="s">
        <v>420</v>
      </c>
      <c r="BR31" s="214">
        <v>4</v>
      </c>
      <c r="BS31" s="214">
        <v>2</v>
      </c>
      <c r="BT31" s="214">
        <v>2</v>
      </c>
      <c r="BU31" s="214">
        <v>2</v>
      </c>
      <c r="BV31" s="214">
        <v>0</v>
      </c>
      <c r="BW31" s="214">
        <v>0</v>
      </c>
      <c r="BX31" s="214">
        <v>0</v>
      </c>
      <c r="BY31" s="214">
        <v>0</v>
      </c>
      <c r="BZ31" s="215">
        <v>5</v>
      </c>
      <c r="CA31" s="213" t="s">
        <v>424</v>
      </c>
      <c r="CB31" s="214">
        <v>3</v>
      </c>
      <c r="CC31" s="214">
        <v>0</v>
      </c>
      <c r="CD31" s="214">
        <v>1</v>
      </c>
      <c r="CE31" s="214">
        <v>1</v>
      </c>
      <c r="CF31" s="214">
        <v>1</v>
      </c>
      <c r="CG31" s="214">
        <v>1</v>
      </c>
      <c r="CH31" s="214">
        <v>0</v>
      </c>
      <c r="CI31" s="214">
        <v>0</v>
      </c>
      <c r="CJ31" s="215">
        <v>1</v>
      </c>
      <c r="CK31" s="213" t="s">
        <v>284</v>
      </c>
      <c r="CL31" s="214">
        <v>4</v>
      </c>
      <c r="CM31" s="214">
        <v>0</v>
      </c>
      <c r="CN31" s="214">
        <v>0</v>
      </c>
      <c r="CO31" s="214">
        <v>0</v>
      </c>
      <c r="CP31" s="214">
        <v>0</v>
      </c>
      <c r="CQ31" s="214">
        <v>2</v>
      </c>
      <c r="CR31" s="214">
        <v>0</v>
      </c>
      <c r="CS31" s="214">
        <v>0</v>
      </c>
      <c r="CT31" s="215">
        <v>0</v>
      </c>
      <c r="CU31" s="213" t="s">
        <v>418</v>
      </c>
      <c r="CV31" s="214">
        <v>4</v>
      </c>
      <c r="CW31" s="214">
        <v>2</v>
      </c>
      <c r="CX31" s="214">
        <v>1</v>
      </c>
      <c r="CY31" s="214">
        <v>0</v>
      </c>
      <c r="CZ31" s="214">
        <v>0</v>
      </c>
      <c r="DA31" s="214">
        <v>2</v>
      </c>
      <c r="DB31" s="214">
        <v>0</v>
      </c>
      <c r="DC31" s="214">
        <v>0</v>
      </c>
      <c r="DD31" s="215">
        <v>1</v>
      </c>
      <c r="DE31" s="213" t="s">
        <v>427</v>
      </c>
      <c r="DF31" s="214">
        <v>3</v>
      </c>
      <c r="DG31" s="214">
        <v>0</v>
      </c>
      <c r="DH31" s="214">
        <v>2</v>
      </c>
      <c r="DI31" s="214">
        <v>1</v>
      </c>
      <c r="DJ31" s="214">
        <v>1</v>
      </c>
      <c r="DK31" s="214">
        <v>0</v>
      </c>
      <c r="DL31" s="214">
        <v>0</v>
      </c>
      <c r="DM31" s="214">
        <v>0</v>
      </c>
      <c r="DN31" s="215">
        <v>3</v>
      </c>
      <c r="DO31" s="213" t="s">
        <v>416</v>
      </c>
      <c r="DP31" s="214">
        <v>3</v>
      </c>
      <c r="DQ31" s="214">
        <v>2</v>
      </c>
      <c r="DR31" s="214">
        <v>0</v>
      </c>
      <c r="DS31" s="214">
        <v>0</v>
      </c>
      <c r="DT31" s="214">
        <v>1</v>
      </c>
      <c r="DU31" s="214">
        <v>1</v>
      </c>
      <c r="DV31" s="214">
        <v>0</v>
      </c>
      <c r="DW31" s="214">
        <v>0</v>
      </c>
      <c r="DX31" s="215">
        <v>0</v>
      </c>
      <c r="DY31" s="216">
        <v>2</v>
      </c>
      <c r="DZ31" s="217">
        <v>1</v>
      </c>
      <c r="EA31" s="217">
        <v>0</v>
      </c>
      <c r="EB31" s="218">
        <v>6</v>
      </c>
      <c r="EC31" s="217">
        <v>1</v>
      </c>
      <c r="ED31" s="219">
        <v>0</v>
      </c>
      <c r="EE31" s="220">
        <v>3</v>
      </c>
      <c r="EF31" s="217">
        <v>2</v>
      </c>
      <c r="EG31" s="217">
        <v>1</v>
      </c>
      <c r="EH31" s="217">
        <v>1</v>
      </c>
      <c r="EI31" s="217">
        <v>0</v>
      </c>
      <c r="EJ31" s="217">
        <v>2</v>
      </c>
      <c r="EK31" s="217">
        <v>0</v>
      </c>
      <c r="EL31" s="217">
        <v>1</v>
      </c>
      <c r="EM31" s="217"/>
      <c r="EN31" s="217"/>
      <c r="EO31" s="217"/>
      <c r="EP31" s="217"/>
      <c r="EQ31" s="217"/>
      <c r="ER31" s="219">
        <f t="shared" si="0"/>
        <v>10</v>
      </c>
      <c r="ES31" s="217">
        <v>0</v>
      </c>
      <c r="ET31" s="217">
        <v>0</v>
      </c>
      <c r="EU31" s="217">
        <v>0</v>
      </c>
      <c r="EV31" s="217">
        <v>1</v>
      </c>
      <c r="EW31" s="217">
        <v>0</v>
      </c>
      <c r="EX31" s="217">
        <v>0</v>
      </c>
      <c r="EY31" s="217">
        <v>1</v>
      </c>
      <c r="EZ31" s="217">
        <v>0</v>
      </c>
      <c r="FA31" s="217">
        <v>0</v>
      </c>
      <c r="FB31" s="217"/>
      <c r="FC31" s="217"/>
      <c r="FD31" s="217"/>
      <c r="FE31" s="217"/>
      <c r="FF31" s="217">
        <f t="shared" si="1"/>
        <v>2</v>
      </c>
      <c r="FG31" s="221">
        <f t="shared" si="6"/>
        <v>0</v>
      </c>
      <c r="FH31" s="221">
        <f t="shared" si="7"/>
        <v>0</v>
      </c>
      <c r="FI31" s="222"/>
    </row>
    <row r="32" spans="1:165" x14ac:dyDescent="0.25">
      <c r="A32" s="204">
        <v>40377</v>
      </c>
      <c r="B32" s="204" t="s">
        <v>19</v>
      </c>
      <c r="C32" s="204" t="s">
        <v>129</v>
      </c>
      <c r="D32" s="204" t="s">
        <v>555</v>
      </c>
      <c r="E32" s="205">
        <v>5264</v>
      </c>
      <c r="F32" s="206">
        <v>5</v>
      </c>
      <c r="G32" s="207" t="s">
        <v>409</v>
      </c>
      <c r="H32" s="208">
        <v>0</v>
      </c>
      <c r="I32" s="208">
        <v>0</v>
      </c>
      <c r="J32" s="209">
        <v>3</v>
      </c>
      <c r="K32" s="208">
        <v>4</v>
      </c>
      <c r="L32" s="208">
        <v>4</v>
      </c>
      <c r="M32" s="208">
        <v>4</v>
      </c>
      <c r="N32" s="208">
        <v>2</v>
      </c>
      <c r="O32" s="208">
        <v>1</v>
      </c>
      <c r="P32" s="208">
        <v>1</v>
      </c>
      <c r="Q32" s="208">
        <v>0</v>
      </c>
      <c r="R32" s="208">
        <v>16</v>
      </c>
      <c r="S32" s="208"/>
      <c r="T32" s="208"/>
      <c r="U32" s="208">
        <v>0</v>
      </c>
      <c r="V32" s="210">
        <v>0</v>
      </c>
      <c r="W32" s="211">
        <v>1</v>
      </c>
      <c r="X32" s="211">
        <v>0</v>
      </c>
      <c r="Y32" s="211">
        <v>0</v>
      </c>
      <c r="Z32" s="211">
        <v>1</v>
      </c>
      <c r="AA32" s="211">
        <v>0</v>
      </c>
      <c r="AB32" s="212">
        <v>6</v>
      </c>
      <c r="AC32" s="211">
        <v>3</v>
      </c>
      <c r="AD32" s="211">
        <v>1</v>
      </c>
      <c r="AE32" s="211">
        <v>1</v>
      </c>
      <c r="AF32" s="211">
        <v>2</v>
      </c>
      <c r="AG32" s="211">
        <v>5</v>
      </c>
      <c r="AH32" s="211">
        <v>0</v>
      </c>
      <c r="AI32" s="211">
        <v>0</v>
      </c>
      <c r="AJ32" s="211">
        <v>23</v>
      </c>
      <c r="AK32" s="211"/>
      <c r="AL32" s="211"/>
      <c r="AM32" s="213" t="s">
        <v>416</v>
      </c>
      <c r="AN32" s="214">
        <v>4</v>
      </c>
      <c r="AO32" s="214">
        <v>2</v>
      </c>
      <c r="AP32" s="214">
        <v>2</v>
      </c>
      <c r="AQ32" s="214">
        <v>3</v>
      </c>
      <c r="AR32" s="214">
        <v>0</v>
      </c>
      <c r="AS32" s="214">
        <v>0</v>
      </c>
      <c r="AT32" s="214">
        <v>0</v>
      </c>
      <c r="AU32" s="214">
        <v>1</v>
      </c>
      <c r="AV32" s="215">
        <v>3</v>
      </c>
      <c r="AW32" s="213" t="s">
        <v>417</v>
      </c>
      <c r="AX32" s="214">
        <v>5</v>
      </c>
      <c r="AY32" s="214">
        <v>1</v>
      </c>
      <c r="AZ32" s="214">
        <v>2</v>
      </c>
      <c r="BA32" s="214">
        <v>1</v>
      </c>
      <c r="BB32" s="214">
        <v>0</v>
      </c>
      <c r="BC32" s="214">
        <v>1</v>
      </c>
      <c r="BD32" s="214">
        <v>0</v>
      </c>
      <c r="BE32" s="214">
        <v>0</v>
      </c>
      <c r="BF32" s="215">
        <v>2</v>
      </c>
      <c r="BG32" s="213" t="s">
        <v>421</v>
      </c>
      <c r="BH32" s="214">
        <v>4</v>
      </c>
      <c r="BI32" s="214">
        <v>1</v>
      </c>
      <c r="BJ32" s="214">
        <v>2</v>
      </c>
      <c r="BK32" s="214">
        <v>0</v>
      </c>
      <c r="BL32" s="214">
        <v>1</v>
      </c>
      <c r="BM32" s="214">
        <v>0</v>
      </c>
      <c r="BN32" s="214">
        <v>0</v>
      </c>
      <c r="BO32" s="214">
        <v>0</v>
      </c>
      <c r="BP32" s="215">
        <v>3</v>
      </c>
      <c r="BQ32" s="213" t="s">
        <v>422</v>
      </c>
      <c r="BR32" s="214">
        <v>5</v>
      </c>
      <c r="BS32" s="214">
        <v>0</v>
      </c>
      <c r="BT32" s="214">
        <v>1</v>
      </c>
      <c r="BU32" s="214">
        <v>1</v>
      </c>
      <c r="BV32" s="214">
        <v>0</v>
      </c>
      <c r="BW32" s="214">
        <v>1</v>
      </c>
      <c r="BX32" s="214">
        <v>0</v>
      </c>
      <c r="BY32" s="214">
        <v>0</v>
      </c>
      <c r="BZ32" s="215">
        <v>2</v>
      </c>
      <c r="CA32" s="213" t="s">
        <v>424</v>
      </c>
      <c r="CB32" s="214">
        <v>5</v>
      </c>
      <c r="CC32" s="214">
        <v>0</v>
      </c>
      <c r="CD32" s="214">
        <v>1</v>
      </c>
      <c r="CE32" s="214">
        <v>1</v>
      </c>
      <c r="CF32" s="214">
        <v>0</v>
      </c>
      <c r="CG32" s="214">
        <v>1</v>
      </c>
      <c r="CH32" s="214">
        <v>0</v>
      </c>
      <c r="CI32" s="214">
        <v>0</v>
      </c>
      <c r="CJ32" s="215">
        <v>1</v>
      </c>
      <c r="CK32" s="213" t="s">
        <v>284</v>
      </c>
      <c r="CL32" s="214">
        <v>4</v>
      </c>
      <c r="CM32" s="214">
        <v>1</v>
      </c>
      <c r="CN32" s="214">
        <v>3</v>
      </c>
      <c r="CO32" s="214">
        <v>0</v>
      </c>
      <c r="CP32" s="214">
        <v>1</v>
      </c>
      <c r="CQ32" s="214">
        <v>0</v>
      </c>
      <c r="CR32" s="214">
        <v>0</v>
      </c>
      <c r="CS32" s="214">
        <v>0</v>
      </c>
      <c r="CT32" s="215">
        <v>4</v>
      </c>
      <c r="CU32" s="213" t="s">
        <v>418</v>
      </c>
      <c r="CV32" s="214">
        <v>4</v>
      </c>
      <c r="CW32" s="214">
        <v>2</v>
      </c>
      <c r="CX32" s="214">
        <v>2</v>
      </c>
      <c r="CY32" s="214">
        <v>0</v>
      </c>
      <c r="CZ32" s="214">
        <v>0</v>
      </c>
      <c r="DA32" s="214">
        <v>1</v>
      </c>
      <c r="DB32" s="214">
        <v>0</v>
      </c>
      <c r="DC32" s="214">
        <v>0</v>
      </c>
      <c r="DD32" s="215">
        <v>2</v>
      </c>
      <c r="DE32" s="213" t="s">
        <v>427</v>
      </c>
      <c r="DF32" s="214">
        <v>3</v>
      </c>
      <c r="DG32" s="214">
        <v>1</v>
      </c>
      <c r="DH32" s="214">
        <v>2</v>
      </c>
      <c r="DI32" s="214">
        <v>0</v>
      </c>
      <c r="DJ32" s="214">
        <v>1</v>
      </c>
      <c r="DK32" s="214">
        <v>0</v>
      </c>
      <c r="DL32" s="214">
        <v>0</v>
      </c>
      <c r="DM32" s="214">
        <v>0</v>
      </c>
      <c r="DN32" s="215">
        <v>2</v>
      </c>
      <c r="DO32" s="213" t="s">
        <v>419</v>
      </c>
      <c r="DP32" s="214">
        <v>2</v>
      </c>
      <c r="DQ32" s="214">
        <v>1</v>
      </c>
      <c r="DR32" s="214">
        <v>1</v>
      </c>
      <c r="DS32" s="214">
        <v>2</v>
      </c>
      <c r="DT32" s="214">
        <v>1</v>
      </c>
      <c r="DU32" s="214">
        <v>0</v>
      </c>
      <c r="DV32" s="214">
        <v>0</v>
      </c>
      <c r="DW32" s="214">
        <v>0</v>
      </c>
      <c r="DX32" s="215">
        <v>1</v>
      </c>
      <c r="DY32" s="216">
        <v>3</v>
      </c>
      <c r="DZ32" s="217">
        <v>0</v>
      </c>
      <c r="EA32" s="217">
        <v>1</v>
      </c>
      <c r="EB32" s="218">
        <v>5</v>
      </c>
      <c r="EC32" s="217">
        <v>2</v>
      </c>
      <c r="ED32" s="219">
        <v>0</v>
      </c>
      <c r="EE32" s="220">
        <v>0</v>
      </c>
      <c r="EF32" s="217">
        <v>6</v>
      </c>
      <c r="EG32" s="217">
        <v>0</v>
      </c>
      <c r="EH32" s="217">
        <v>0</v>
      </c>
      <c r="EI32" s="217">
        <v>1</v>
      </c>
      <c r="EJ32" s="217">
        <v>0</v>
      </c>
      <c r="EK32" s="217">
        <v>0</v>
      </c>
      <c r="EL32" s="217">
        <v>2</v>
      </c>
      <c r="EM32" s="217"/>
      <c r="EN32" s="217"/>
      <c r="EO32" s="217"/>
      <c r="EP32" s="217"/>
      <c r="EQ32" s="217"/>
      <c r="ER32" s="219">
        <f t="shared" si="0"/>
        <v>9</v>
      </c>
      <c r="ES32" s="217">
        <v>0</v>
      </c>
      <c r="ET32" s="217">
        <v>0</v>
      </c>
      <c r="EU32" s="217">
        <v>4</v>
      </c>
      <c r="EV32" s="217">
        <v>1</v>
      </c>
      <c r="EW32" s="217">
        <v>0</v>
      </c>
      <c r="EX32" s="217">
        <v>0</v>
      </c>
      <c r="EY32" s="217">
        <v>0</v>
      </c>
      <c r="EZ32" s="217">
        <v>0</v>
      </c>
      <c r="FA32" s="217">
        <v>0</v>
      </c>
      <c r="FB32" s="217"/>
      <c r="FC32" s="217"/>
      <c r="FD32" s="217"/>
      <c r="FE32" s="217"/>
      <c r="FF32" s="217">
        <f t="shared" si="1"/>
        <v>5</v>
      </c>
      <c r="FG32" s="221">
        <f t="shared" si="6"/>
        <v>0</v>
      </c>
      <c r="FH32" s="221">
        <f t="shared" si="7"/>
        <v>0</v>
      </c>
      <c r="FI32" s="222" t="s">
        <v>576</v>
      </c>
    </row>
    <row r="33" spans="1:165" x14ac:dyDescent="0.25">
      <c r="A33" s="204">
        <v>40379</v>
      </c>
      <c r="B33" s="204" t="s">
        <v>133</v>
      </c>
      <c r="C33" s="204" t="s">
        <v>129</v>
      </c>
      <c r="D33" s="204" t="s">
        <v>289</v>
      </c>
      <c r="E33" s="205">
        <v>2111</v>
      </c>
      <c r="F33" s="206">
        <v>1</v>
      </c>
      <c r="G33" s="207" t="s">
        <v>286</v>
      </c>
      <c r="H33" s="208">
        <v>1</v>
      </c>
      <c r="I33" s="208">
        <v>0</v>
      </c>
      <c r="J33" s="209">
        <v>5</v>
      </c>
      <c r="K33" s="208">
        <v>6</v>
      </c>
      <c r="L33" s="208">
        <v>2</v>
      </c>
      <c r="M33" s="208">
        <v>2</v>
      </c>
      <c r="N33" s="208">
        <v>1</v>
      </c>
      <c r="O33" s="208">
        <v>3</v>
      </c>
      <c r="P33" s="208">
        <v>1</v>
      </c>
      <c r="Q33" s="208">
        <v>0</v>
      </c>
      <c r="R33" s="208">
        <v>21</v>
      </c>
      <c r="S33" s="208"/>
      <c r="T33" s="208"/>
      <c r="U33" s="208">
        <v>0</v>
      </c>
      <c r="V33" s="210">
        <v>0</v>
      </c>
      <c r="W33" s="211">
        <v>0</v>
      </c>
      <c r="X33" s="211">
        <v>0</v>
      </c>
      <c r="Y33" s="211">
        <v>0</v>
      </c>
      <c r="Z33" s="211">
        <v>1</v>
      </c>
      <c r="AA33" s="211">
        <v>0</v>
      </c>
      <c r="AB33" s="212">
        <v>4</v>
      </c>
      <c r="AC33" s="211">
        <v>3</v>
      </c>
      <c r="AD33" s="211">
        <v>0</v>
      </c>
      <c r="AE33" s="211">
        <v>0</v>
      </c>
      <c r="AF33" s="211">
        <v>2</v>
      </c>
      <c r="AG33" s="211">
        <v>2</v>
      </c>
      <c r="AH33" s="211">
        <v>0</v>
      </c>
      <c r="AI33" s="211">
        <v>0</v>
      </c>
      <c r="AJ33" s="211">
        <v>16</v>
      </c>
      <c r="AK33" s="211"/>
      <c r="AL33" s="211"/>
      <c r="AM33" s="213" t="s">
        <v>416</v>
      </c>
      <c r="AN33" s="214">
        <v>5</v>
      </c>
      <c r="AO33" s="214">
        <v>1</v>
      </c>
      <c r="AP33" s="214">
        <v>1</v>
      </c>
      <c r="AQ33" s="214">
        <v>1</v>
      </c>
      <c r="AR33" s="214">
        <v>0</v>
      </c>
      <c r="AS33" s="214">
        <v>2</v>
      </c>
      <c r="AT33" s="214">
        <v>0</v>
      </c>
      <c r="AU33" s="214">
        <v>0</v>
      </c>
      <c r="AV33" s="215">
        <v>1</v>
      </c>
      <c r="AW33" s="213" t="s">
        <v>417</v>
      </c>
      <c r="AX33" s="214">
        <v>5</v>
      </c>
      <c r="AY33" s="214">
        <v>1</v>
      </c>
      <c r="AZ33" s="214">
        <v>1</v>
      </c>
      <c r="BA33" s="214">
        <v>1</v>
      </c>
      <c r="BB33" s="214">
        <v>0</v>
      </c>
      <c r="BC33" s="214">
        <v>1</v>
      </c>
      <c r="BD33" s="214">
        <v>0</v>
      </c>
      <c r="BE33" s="214">
        <v>0</v>
      </c>
      <c r="BF33" s="215">
        <v>2</v>
      </c>
      <c r="BG33" s="213" t="s">
        <v>421</v>
      </c>
      <c r="BH33" s="214">
        <v>5</v>
      </c>
      <c r="BI33" s="214">
        <v>1</v>
      </c>
      <c r="BJ33" s="214">
        <v>2</v>
      </c>
      <c r="BK33" s="214">
        <v>1</v>
      </c>
      <c r="BL33" s="214">
        <v>0</v>
      </c>
      <c r="BM33" s="214">
        <v>1</v>
      </c>
      <c r="BN33" s="214">
        <v>0</v>
      </c>
      <c r="BO33" s="214">
        <v>0</v>
      </c>
      <c r="BP33" s="215">
        <v>2</v>
      </c>
      <c r="BQ33" s="213" t="s">
        <v>422</v>
      </c>
      <c r="BR33" s="214">
        <v>5</v>
      </c>
      <c r="BS33" s="214">
        <v>1</v>
      </c>
      <c r="BT33" s="214">
        <v>2</v>
      </c>
      <c r="BU33" s="214">
        <v>3</v>
      </c>
      <c r="BV33" s="214">
        <v>0</v>
      </c>
      <c r="BW33" s="214">
        <v>1</v>
      </c>
      <c r="BX33" s="214">
        <v>0</v>
      </c>
      <c r="BY33" s="214">
        <v>0</v>
      </c>
      <c r="BZ33" s="215">
        <v>6</v>
      </c>
      <c r="CA33" s="213" t="s">
        <v>420</v>
      </c>
      <c r="CB33" s="214">
        <v>5</v>
      </c>
      <c r="CC33" s="214">
        <v>1</v>
      </c>
      <c r="CD33" s="214">
        <v>1</v>
      </c>
      <c r="CE33" s="214">
        <v>0</v>
      </c>
      <c r="CF33" s="214">
        <v>0</v>
      </c>
      <c r="CG33" s="214">
        <v>0</v>
      </c>
      <c r="CH33" s="214">
        <v>0</v>
      </c>
      <c r="CI33" s="214">
        <v>0</v>
      </c>
      <c r="CJ33" s="215">
        <v>1</v>
      </c>
      <c r="CK33" s="213" t="s">
        <v>284</v>
      </c>
      <c r="CL33" s="214">
        <v>5</v>
      </c>
      <c r="CM33" s="214">
        <v>1</v>
      </c>
      <c r="CN33" s="214">
        <v>1</v>
      </c>
      <c r="CO33" s="214">
        <v>1</v>
      </c>
      <c r="CP33" s="214">
        <v>0</v>
      </c>
      <c r="CQ33" s="214">
        <v>2</v>
      </c>
      <c r="CR33" s="214">
        <v>0</v>
      </c>
      <c r="CS33" s="214">
        <v>0</v>
      </c>
      <c r="CT33" s="215">
        <v>2</v>
      </c>
      <c r="CU33" s="213" t="s">
        <v>418</v>
      </c>
      <c r="CV33" s="214">
        <v>4</v>
      </c>
      <c r="CW33" s="214">
        <v>1</v>
      </c>
      <c r="CX33" s="214">
        <v>1</v>
      </c>
      <c r="CY33" s="214">
        <v>1</v>
      </c>
      <c r="CZ33" s="214">
        <v>0</v>
      </c>
      <c r="DA33" s="214">
        <v>0</v>
      </c>
      <c r="DB33" s="214">
        <v>0</v>
      </c>
      <c r="DC33" s="214">
        <v>0</v>
      </c>
      <c r="DD33" s="215">
        <v>2</v>
      </c>
      <c r="DE33" s="213" t="s">
        <v>426</v>
      </c>
      <c r="DF33" s="214">
        <v>3</v>
      </c>
      <c r="DG33" s="214">
        <v>1</v>
      </c>
      <c r="DH33" s="214">
        <v>1</v>
      </c>
      <c r="DI33" s="214">
        <v>1</v>
      </c>
      <c r="DJ33" s="214">
        <v>1</v>
      </c>
      <c r="DK33" s="214">
        <v>1</v>
      </c>
      <c r="DL33" s="214">
        <v>0</v>
      </c>
      <c r="DM33" s="214">
        <v>0</v>
      </c>
      <c r="DN33" s="215">
        <v>1</v>
      </c>
      <c r="DO33" s="213" t="s">
        <v>419</v>
      </c>
      <c r="DP33" s="214">
        <v>4</v>
      </c>
      <c r="DQ33" s="214">
        <v>1</v>
      </c>
      <c r="DR33" s="214">
        <v>1</v>
      </c>
      <c r="DS33" s="214">
        <v>0</v>
      </c>
      <c r="DT33" s="214">
        <v>0</v>
      </c>
      <c r="DU33" s="214">
        <v>1</v>
      </c>
      <c r="DV33" s="214">
        <v>0</v>
      </c>
      <c r="DW33" s="214">
        <v>0</v>
      </c>
      <c r="DX33" s="215">
        <v>1</v>
      </c>
      <c r="DY33" s="216">
        <f>3+2/3</f>
        <v>3.6666666666666665</v>
      </c>
      <c r="DZ33" s="217">
        <v>0</v>
      </c>
      <c r="EA33" s="217">
        <v>0</v>
      </c>
      <c r="EB33" s="218">
        <f>5+1/3</f>
        <v>5.333333333333333</v>
      </c>
      <c r="EC33" s="217">
        <v>0</v>
      </c>
      <c r="ED33" s="219">
        <v>0</v>
      </c>
      <c r="EE33" s="220">
        <v>0</v>
      </c>
      <c r="EF33" s="217">
        <v>0</v>
      </c>
      <c r="EG33" s="217">
        <v>0</v>
      </c>
      <c r="EH33" s="217">
        <v>9</v>
      </c>
      <c r="EI33" s="217">
        <v>0</v>
      </c>
      <c r="EJ33" s="217">
        <v>0</v>
      </c>
      <c r="EK33" s="217">
        <v>0</v>
      </c>
      <c r="EL33" s="217">
        <v>0</v>
      </c>
      <c r="EM33" s="217">
        <v>0</v>
      </c>
      <c r="EN33" s="217"/>
      <c r="EO33" s="217"/>
      <c r="EP33" s="217"/>
      <c r="EQ33" s="217"/>
      <c r="ER33" s="219">
        <f t="shared" si="0"/>
        <v>9</v>
      </c>
      <c r="ES33" s="217">
        <v>0</v>
      </c>
      <c r="ET33" s="217">
        <v>0</v>
      </c>
      <c r="EU33" s="217">
        <v>0</v>
      </c>
      <c r="EV33" s="217">
        <v>2</v>
      </c>
      <c r="EW33" s="217">
        <v>0</v>
      </c>
      <c r="EX33" s="217">
        <v>0</v>
      </c>
      <c r="EY33" s="217">
        <v>0</v>
      </c>
      <c r="EZ33" s="217">
        <v>0</v>
      </c>
      <c r="FA33" s="217">
        <v>0</v>
      </c>
      <c r="FB33" s="217"/>
      <c r="FC33" s="217"/>
      <c r="FD33" s="217"/>
      <c r="FE33" s="217"/>
      <c r="FF33" s="217">
        <f t="shared" si="1"/>
        <v>2</v>
      </c>
      <c r="FG33" s="221">
        <f t="shared" ref="FG33:FG41" si="8">((SUM(L33,AD33))-(FF33))</f>
        <v>0</v>
      </c>
      <c r="FH33" s="221">
        <f t="shared" ref="FH33:FH41" si="9">((SUM(AO33,AY33,BI33,BS33,CC33,CM33,CW33,DG33,DQ33))-(ER33))</f>
        <v>0</v>
      </c>
      <c r="FI33" s="222" t="s">
        <v>588</v>
      </c>
    </row>
    <row r="34" spans="1:165" x14ac:dyDescent="0.25">
      <c r="A34" s="204">
        <v>40381</v>
      </c>
      <c r="B34" s="204" t="s">
        <v>133</v>
      </c>
      <c r="C34" s="204" t="s">
        <v>129</v>
      </c>
      <c r="D34" s="204" t="s">
        <v>289</v>
      </c>
      <c r="E34" s="205">
        <v>7171</v>
      </c>
      <c r="F34" s="206">
        <v>3</v>
      </c>
      <c r="G34" s="207" t="s">
        <v>411</v>
      </c>
      <c r="H34" s="208">
        <v>0</v>
      </c>
      <c r="I34" s="208">
        <v>0</v>
      </c>
      <c r="J34" s="209">
        <v>4</v>
      </c>
      <c r="K34" s="208">
        <v>6</v>
      </c>
      <c r="L34" s="208">
        <v>2</v>
      </c>
      <c r="M34" s="208">
        <v>2</v>
      </c>
      <c r="N34" s="208">
        <v>1</v>
      </c>
      <c r="O34" s="208">
        <v>5</v>
      </c>
      <c r="P34" s="208">
        <v>1</v>
      </c>
      <c r="Q34" s="208">
        <v>0</v>
      </c>
      <c r="R34" s="208">
        <v>19</v>
      </c>
      <c r="S34" s="208"/>
      <c r="T34" s="208"/>
      <c r="U34" s="208">
        <v>0</v>
      </c>
      <c r="V34" s="210">
        <v>0</v>
      </c>
      <c r="W34" s="211">
        <v>1</v>
      </c>
      <c r="X34" s="211">
        <v>0</v>
      </c>
      <c r="Y34" s="211">
        <v>0</v>
      </c>
      <c r="Z34" s="211">
        <v>1</v>
      </c>
      <c r="AA34" s="211">
        <v>0</v>
      </c>
      <c r="AB34" s="212">
        <v>5</v>
      </c>
      <c r="AC34" s="211">
        <v>3</v>
      </c>
      <c r="AD34" s="211">
        <v>2</v>
      </c>
      <c r="AE34" s="211">
        <v>2</v>
      </c>
      <c r="AF34" s="211">
        <v>4</v>
      </c>
      <c r="AG34" s="211">
        <v>6</v>
      </c>
      <c r="AH34" s="211">
        <v>1</v>
      </c>
      <c r="AI34" s="211">
        <v>0</v>
      </c>
      <c r="AJ34" s="211">
        <v>24</v>
      </c>
      <c r="AK34" s="211"/>
      <c r="AL34" s="211"/>
      <c r="AM34" s="213" t="s">
        <v>282</v>
      </c>
      <c r="AN34" s="214">
        <v>3</v>
      </c>
      <c r="AO34" s="214">
        <v>0</v>
      </c>
      <c r="AP34" s="214">
        <v>1</v>
      </c>
      <c r="AQ34" s="214">
        <v>1</v>
      </c>
      <c r="AR34" s="214">
        <v>0</v>
      </c>
      <c r="AS34" s="214">
        <v>0</v>
      </c>
      <c r="AT34" s="214">
        <v>1</v>
      </c>
      <c r="AU34" s="214">
        <v>0</v>
      </c>
      <c r="AV34" s="215">
        <v>2</v>
      </c>
      <c r="AW34" s="213" t="s">
        <v>421</v>
      </c>
      <c r="AX34" s="214">
        <v>2</v>
      </c>
      <c r="AY34" s="214">
        <v>1</v>
      </c>
      <c r="AZ34" s="214">
        <v>0</v>
      </c>
      <c r="BA34" s="214">
        <v>1</v>
      </c>
      <c r="BB34" s="214">
        <v>1</v>
      </c>
      <c r="BC34" s="214">
        <v>0</v>
      </c>
      <c r="BD34" s="214">
        <v>1</v>
      </c>
      <c r="BE34" s="214">
        <v>1</v>
      </c>
      <c r="BF34" s="215">
        <v>0</v>
      </c>
      <c r="BG34" s="213" t="s">
        <v>417</v>
      </c>
      <c r="BH34" s="214">
        <v>4</v>
      </c>
      <c r="BI34" s="214">
        <v>1</v>
      </c>
      <c r="BJ34" s="214">
        <v>1</v>
      </c>
      <c r="BK34" s="214">
        <v>0</v>
      </c>
      <c r="BL34" s="214">
        <v>1</v>
      </c>
      <c r="BM34" s="214">
        <v>0</v>
      </c>
      <c r="BN34" s="214">
        <v>0</v>
      </c>
      <c r="BO34" s="214">
        <v>0</v>
      </c>
      <c r="BP34" s="215">
        <v>1</v>
      </c>
      <c r="BQ34" s="213" t="s">
        <v>422</v>
      </c>
      <c r="BR34" s="214">
        <v>4</v>
      </c>
      <c r="BS34" s="214">
        <v>1</v>
      </c>
      <c r="BT34" s="214">
        <v>0</v>
      </c>
      <c r="BU34" s="214">
        <v>0</v>
      </c>
      <c r="BV34" s="214">
        <v>1</v>
      </c>
      <c r="BW34" s="214">
        <v>1</v>
      </c>
      <c r="BX34" s="214">
        <v>0</v>
      </c>
      <c r="BY34" s="214">
        <v>0</v>
      </c>
      <c r="BZ34" s="215">
        <v>0</v>
      </c>
      <c r="CA34" s="213" t="s">
        <v>420</v>
      </c>
      <c r="CB34" s="214">
        <v>5</v>
      </c>
      <c r="CC34" s="214">
        <v>1</v>
      </c>
      <c r="CD34" s="214">
        <v>3</v>
      </c>
      <c r="CE34" s="214">
        <v>0</v>
      </c>
      <c r="CF34" s="214">
        <v>0</v>
      </c>
      <c r="CG34" s="214">
        <v>0</v>
      </c>
      <c r="CH34" s="214">
        <v>0</v>
      </c>
      <c r="CI34" s="214">
        <v>0</v>
      </c>
      <c r="CJ34" s="215">
        <v>5</v>
      </c>
      <c r="CK34" s="213" t="s">
        <v>426</v>
      </c>
      <c r="CL34" s="214">
        <v>2</v>
      </c>
      <c r="CM34" s="214">
        <v>0</v>
      </c>
      <c r="CN34" s="214">
        <v>0</v>
      </c>
      <c r="CO34" s="214">
        <v>1</v>
      </c>
      <c r="CP34" s="214">
        <v>2</v>
      </c>
      <c r="CQ34" s="214">
        <v>0</v>
      </c>
      <c r="CR34" s="214">
        <v>0</v>
      </c>
      <c r="CS34" s="214">
        <v>0</v>
      </c>
      <c r="CT34" s="215">
        <v>0</v>
      </c>
      <c r="CU34" s="213" t="s">
        <v>284</v>
      </c>
      <c r="CV34" s="214">
        <v>4</v>
      </c>
      <c r="CW34" s="214">
        <v>1</v>
      </c>
      <c r="CX34" s="214">
        <v>1</v>
      </c>
      <c r="CY34" s="214">
        <v>1</v>
      </c>
      <c r="CZ34" s="214">
        <v>0</v>
      </c>
      <c r="DA34" s="214">
        <v>0</v>
      </c>
      <c r="DB34" s="214">
        <v>0</v>
      </c>
      <c r="DC34" s="214">
        <v>0</v>
      </c>
      <c r="DD34" s="215">
        <v>2</v>
      </c>
      <c r="DE34" s="213" t="s">
        <v>416</v>
      </c>
      <c r="DF34" s="214">
        <v>2</v>
      </c>
      <c r="DG34" s="214">
        <v>1</v>
      </c>
      <c r="DH34" s="214">
        <v>1</v>
      </c>
      <c r="DI34" s="214">
        <v>1</v>
      </c>
      <c r="DJ34" s="214">
        <v>1</v>
      </c>
      <c r="DK34" s="214">
        <v>1</v>
      </c>
      <c r="DL34" s="214">
        <v>0</v>
      </c>
      <c r="DM34" s="214">
        <v>0</v>
      </c>
      <c r="DN34" s="215">
        <v>1</v>
      </c>
      <c r="DO34" s="213" t="s">
        <v>419</v>
      </c>
      <c r="DP34" s="214">
        <v>3</v>
      </c>
      <c r="DQ34" s="214">
        <v>1</v>
      </c>
      <c r="DR34" s="214">
        <v>0</v>
      </c>
      <c r="DS34" s="214">
        <v>0</v>
      </c>
      <c r="DT34" s="214">
        <v>1</v>
      </c>
      <c r="DU34" s="214">
        <v>1</v>
      </c>
      <c r="DV34" s="214">
        <v>0</v>
      </c>
      <c r="DW34" s="214">
        <v>0</v>
      </c>
      <c r="DX34" s="215">
        <v>0</v>
      </c>
      <c r="DY34" s="216">
        <v>0</v>
      </c>
      <c r="DZ34" s="217">
        <v>0</v>
      </c>
      <c r="EA34" s="217">
        <v>0</v>
      </c>
      <c r="EB34" s="218">
        <v>9</v>
      </c>
      <c r="EC34" s="217">
        <v>1</v>
      </c>
      <c r="ED34" s="219">
        <v>1</v>
      </c>
      <c r="EE34" s="220">
        <v>0</v>
      </c>
      <c r="EF34" s="217">
        <v>0</v>
      </c>
      <c r="EG34" s="217">
        <v>2</v>
      </c>
      <c r="EH34" s="217">
        <v>2</v>
      </c>
      <c r="EI34" s="217">
        <v>2</v>
      </c>
      <c r="EJ34" s="217">
        <v>1</v>
      </c>
      <c r="EK34" s="217">
        <v>0</v>
      </c>
      <c r="EL34" s="217">
        <v>0</v>
      </c>
      <c r="EM34" s="217">
        <v>0</v>
      </c>
      <c r="EN34" s="217"/>
      <c r="EO34" s="217"/>
      <c r="EP34" s="217"/>
      <c r="EQ34" s="217"/>
      <c r="ER34" s="219">
        <f t="shared" si="0"/>
        <v>7</v>
      </c>
      <c r="ES34" s="217">
        <v>0</v>
      </c>
      <c r="ET34" s="217">
        <v>1</v>
      </c>
      <c r="EU34" s="217">
        <v>1</v>
      </c>
      <c r="EV34" s="217">
        <v>0</v>
      </c>
      <c r="EW34" s="217">
        <v>0</v>
      </c>
      <c r="EX34" s="217">
        <v>1</v>
      </c>
      <c r="EY34" s="217">
        <v>1</v>
      </c>
      <c r="EZ34" s="217">
        <v>0</v>
      </c>
      <c r="FA34" s="217">
        <v>0</v>
      </c>
      <c r="FB34" s="217"/>
      <c r="FC34" s="217"/>
      <c r="FD34" s="217"/>
      <c r="FE34" s="217"/>
      <c r="FF34" s="217">
        <f t="shared" si="1"/>
        <v>4</v>
      </c>
      <c r="FG34" s="221">
        <f t="shared" si="8"/>
        <v>0</v>
      </c>
      <c r="FH34" s="221">
        <f t="shared" si="9"/>
        <v>0</v>
      </c>
      <c r="FI34" s="222"/>
    </row>
    <row r="35" spans="1:165" x14ac:dyDescent="0.25">
      <c r="A35" s="204">
        <v>40382</v>
      </c>
      <c r="B35" s="204" t="s">
        <v>133</v>
      </c>
      <c r="C35" s="204" t="s">
        <v>129</v>
      </c>
      <c r="D35" s="204" t="s">
        <v>287</v>
      </c>
      <c r="E35" s="205">
        <v>6530</v>
      </c>
      <c r="F35" s="206">
        <v>4</v>
      </c>
      <c r="G35" s="207" t="s">
        <v>556</v>
      </c>
      <c r="H35" s="208">
        <v>1</v>
      </c>
      <c r="I35" s="208">
        <v>0</v>
      </c>
      <c r="J35" s="209">
        <v>5</v>
      </c>
      <c r="K35" s="208">
        <v>3</v>
      </c>
      <c r="L35" s="208">
        <v>0</v>
      </c>
      <c r="M35" s="208">
        <v>0</v>
      </c>
      <c r="N35" s="208">
        <v>0</v>
      </c>
      <c r="O35" s="208">
        <v>3</v>
      </c>
      <c r="P35" s="208">
        <v>0</v>
      </c>
      <c r="Q35" s="208">
        <v>0</v>
      </c>
      <c r="R35" s="208">
        <v>17</v>
      </c>
      <c r="S35" s="208"/>
      <c r="T35" s="208"/>
      <c r="U35" s="208">
        <v>0</v>
      </c>
      <c r="V35" s="210">
        <v>0</v>
      </c>
      <c r="W35" s="211">
        <v>0</v>
      </c>
      <c r="X35" s="211">
        <v>0</v>
      </c>
      <c r="Y35" s="211">
        <v>1</v>
      </c>
      <c r="Z35" s="211">
        <v>1</v>
      </c>
      <c r="AA35" s="211">
        <v>0</v>
      </c>
      <c r="AB35" s="212">
        <v>4</v>
      </c>
      <c r="AC35" s="211">
        <v>3</v>
      </c>
      <c r="AD35" s="211">
        <v>2</v>
      </c>
      <c r="AE35" s="211">
        <v>0</v>
      </c>
      <c r="AF35" s="211">
        <v>2</v>
      </c>
      <c r="AG35" s="211">
        <v>3</v>
      </c>
      <c r="AH35" s="211">
        <v>0</v>
      </c>
      <c r="AI35" s="211">
        <v>0</v>
      </c>
      <c r="AJ35" s="211">
        <v>18</v>
      </c>
      <c r="AK35" s="211"/>
      <c r="AL35" s="211"/>
      <c r="AM35" s="213" t="s">
        <v>282</v>
      </c>
      <c r="AN35" s="214">
        <v>4</v>
      </c>
      <c r="AO35" s="214">
        <v>1</v>
      </c>
      <c r="AP35" s="214">
        <v>1</v>
      </c>
      <c r="AQ35" s="214">
        <v>0</v>
      </c>
      <c r="AR35" s="214">
        <v>1</v>
      </c>
      <c r="AS35" s="214">
        <v>0</v>
      </c>
      <c r="AT35" s="214">
        <v>0</v>
      </c>
      <c r="AU35" s="214">
        <v>0</v>
      </c>
      <c r="AV35" s="215">
        <v>1</v>
      </c>
      <c r="AW35" s="213" t="s">
        <v>285</v>
      </c>
      <c r="AX35" s="214">
        <v>5</v>
      </c>
      <c r="AY35" s="214">
        <v>0</v>
      </c>
      <c r="AZ35" s="214">
        <v>0</v>
      </c>
      <c r="BA35" s="214">
        <v>1</v>
      </c>
      <c r="BB35" s="214">
        <v>0</v>
      </c>
      <c r="BC35" s="214">
        <v>2</v>
      </c>
      <c r="BD35" s="214">
        <v>0</v>
      </c>
      <c r="BE35" s="214">
        <v>0</v>
      </c>
      <c r="BF35" s="215">
        <v>0</v>
      </c>
      <c r="BG35" s="213" t="s">
        <v>421</v>
      </c>
      <c r="BH35" s="214">
        <v>4</v>
      </c>
      <c r="BI35" s="214">
        <v>0</v>
      </c>
      <c r="BJ35" s="214">
        <v>1</v>
      </c>
      <c r="BK35" s="214">
        <v>0</v>
      </c>
      <c r="BL35" s="214">
        <v>0</v>
      </c>
      <c r="BM35" s="214">
        <v>1</v>
      </c>
      <c r="BN35" s="214">
        <v>1</v>
      </c>
      <c r="BO35" s="214">
        <v>0</v>
      </c>
      <c r="BP35" s="215">
        <v>1</v>
      </c>
      <c r="BQ35" s="213" t="s">
        <v>422</v>
      </c>
      <c r="BR35" s="214">
        <v>4</v>
      </c>
      <c r="BS35" s="214">
        <v>0</v>
      </c>
      <c r="BT35" s="214">
        <v>0</v>
      </c>
      <c r="BU35" s="214">
        <v>0</v>
      </c>
      <c r="BV35" s="214">
        <v>0</v>
      </c>
      <c r="BW35" s="214">
        <v>3</v>
      </c>
      <c r="BX35" s="214">
        <v>0</v>
      </c>
      <c r="BY35" s="214">
        <v>0</v>
      </c>
      <c r="BZ35" s="215">
        <v>0</v>
      </c>
      <c r="CA35" s="213" t="s">
        <v>420</v>
      </c>
      <c r="CB35" s="214">
        <v>4</v>
      </c>
      <c r="CC35" s="214">
        <v>1</v>
      </c>
      <c r="CD35" s="214">
        <v>2</v>
      </c>
      <c r="CE35" s="214">
        <v>1</v>
      </c>
      <c r="CF35" s="214">
        <v>0</v>
      </c>
      <c r="CG35" s="214">
        <v>1</v>
      </c>
      <c r="CH35" s="214">
        <v>0</v>
      </c>
      <c r="CI35" s="214">
        <v>0</v>
      </c>
      <c r="CJ35" s="215">
        <v>2</v>
      </c>
      <c r="CK35" s="213" t="s">
        <v>426</v>
      </c>
      <c r="CL35" s="214">
        <v>3</v>
      </c>
      <c r="CM35" s="214">
        <v>1</v>
      </c>
      <c r="CN35" s="214">
        <v>0</v>
      </c>
      <c r="CO35" s="214">
        <v>0</v>
      </c>
      <c r="CP35" s="214">
        <v>1</v>
      </c>
      <c r="CQ35" s="214">
        <v>0</v>
      </c>
      <c r="CR35" s="214">
        <v>0</v>
      </c>
      <c r="CS35" s="214">
        <v>0</v>
      </c>
      <c r="CT35" s="215">
        <v>0</v>
      </c>
      <c r="CU35" s="213" t="s">
        <v>284</v>
      </c>
      <c r="CV35" s="214">
        <v>4</v>
      </c>
      <c r="CW35" s="214">
        <v>0</v>
      </c>
      <c r="CX35" s="214">
        <v>1</v>
      </c>
      <c r="CY35" s="214">
        <v>0</v>
      </c>
      <c r="CZ35" s="214">
        <v>0</v>
      </c>
      <c r="DA35" s="214">
        <v>1</v>
      </c>
      <c r="DB35" s="214">
        <v>0</v>
      </c>
      <c r="DC35" s="214">
        <v>0</v>
      </c>
      <c r="DD35" s="215">
        <v>1</v>
      </c>
      <c r="DE35" s="213" t="s">
        <v>427</v>
      </c>
      <c r="DF35" s="214">
        <v>3</v>
      </c>
      <c r="DG35" s="214">
        <v>1</v>
      </c>
      <c r="DH35" s="214">
        <v>1</v>
      </c>
      <c r="DI35" s="214">
        <v>0</v>
      </c>
      <c r="DJ35" s="214">
        <v>1</v>
      </c>
      <c r="DK35" s="214">
        <v>0</v>
      </c>
      <c r="DL35" s="214">
        <v>0</v>
      </c>
      <c r="DM35" s="214">
        <v>0</v>
      </c>
      <c r="DN35" s="215">
        <v>1</v>
      </c>
      <c r="DO35" s="213" t="s">
        <v>419</v>
      </c>
      <c r="DP35" s="214">
        <v>4</v>
      </c>
      <c r="DQ35" s="214">
        <v>1</v>
      </c>
      <c r="DR35" s="214">
        <v>2</v>
      </c>
      <c r="DS35" s="214">
        <v>1</v>
      </c>
      <c r="DT35" s="214">
        <v>0</v>
      </c>
      <c r="DU35" s="214">
        <v>1</v>
      </c>
      <c r="DV35" s="214">
        <v>0</v>
      </c>
      <c r="DW35" s="214">
        <v>0</v>
      </c>
      <c r="DX35" s="215">
        <v>2</v>
      </c>
      <c r="DY35" s="216">
        <v>2</v>
      </c>
      <c r="DZ35" s="217">
        <v>0</v>
      </c>
      <c r="EA35" s="217">
        <v>0</v>
      </c>
      <c r="EB35" s="218">
        <v>7</v>
      </c>
      <c r="EC35" s="217">
        <v>3</v>
      </c>
      <c r="ED35" s="219">
        <v>0</v>
      </c>
      <c r="EE35" s="220">
        <v>1</v>
      </c>
      <c r="EF35" s="217">
        <v>0</v>
      </c>
      <c r="EG35" s="217">
        <v>0</v>
      </c>
      <c r="EH35" s="217">
        <v>4</v>
      </c>
      <c r="EI35" s="217">
        <v>0</v>
      </c>
      <c r="EJ35" s="217">
        <v>0</v>
      </c>
      <c r="EK35" s="217">
        <v>0</v>
      </c>
      <c r="EL35" s="217">
        <v>0</v>
      </c>
      <c r="EM35" s="217">
        <v>0</v>
      </c>
      <c r="EN35" s="217"/>
      <c r="EO35" s="217"/>
      <c r="EP35" s="217"/>
      <c r="EQ35" s="217"/>
      <c r="ER35" s="219">
        <f t="shared" si="0"/>
        <v>5</v>
      </c>
      <c r="ES35" s="217">
        <v>0</v>
      </c>
      <c r="ET35" s="217">
        <v>0</v>
      </c>
      <c r="EU35" s="217">
        <v>0</v>
      </c>
      <c r="EV35" s="217">
        <v>0</v>
      </c>
      <c r="EW35" s="217">
        <v>0</v>
      </c>
      <c r="EX35" s="217">
        <v>2</v>
      </c>
      <c r="EY35" s="217">
        <v>0</v>
      </c>
      <c r="EZ35" s="217">
        <v>0</v>
      </c>
      <c r="FA35" s="217">
        <v>0</v>
      </c>
      <c r="FB35" s="217"/>
      <c r="FC35" s="217"/>
      <c r="FD35" s="217"/>
      <c r="FE35" s="217"/>
      <c r="FF35" s="217">
        <f t="shared" si="1"/>
        <v>2</v>
      </c>
      <c r="FG35" s="221">
        <f t="shared" si="8"/>
        <v>0</v>
      </c>
      <c r="FH35" s="221">
        <f t="shared" si="9"/>
        <v>0</v>
      </c>
      <c r="FI35" s="222"/>
    </row>
    <row r="36" spans="1:165" x14ac:dyDescent="0.25">
      <c r="A36" s="204">
        <v>40383</v>
      </c>
      <c r="B36" s="204" t="s">
        <v>133</v>
      </c>
      <c r="C36" s="204" t="s">
        <v>131</v>
      </c>
      <c r="D36" s="204" t="s">
        <v>287</v>
      </c>
      <c r="E36" s="205">
        <v>6565</v>
      </c>
      <c r="F36" s="206">
        <v>5</v>
      </c>
      <c r="G36" s="207" t="s">
        <v>409</v>
      </c>
      <c r="H36" s="208">
        <v>0</v>
      </c>
      <c r="I36" s="208">
        <v>0</v>
      </c>
      <c r="J36" s="209">
        <v>5</v>
      </c>
      <c r="K36" s="208">
        <v>6</v>
      </c>
      <c r="L36" s="208">
        <v>3</v>
      </c>
      <c r="M36" s="208">
        <v>3</v>
      </c>
      <c r="N36" s="208">
        <v>1</v>
      </c>
      <c r="O36" s="208">
        <v>5</v>
      </c>
      <c r="P36" s="208">
        <v>0</v>
      </c>
      <c r="Q36" s="208">
        <v>0</v>
      </c>
      <c r="R36" s="208">
        <v>21</v>
      </c>
      <c r="S36" s="208"/>
      <c r="T36" s="208"/>
      <c r="U36" s="208">
        <v>0</v>
      </c>
      <c r="V36" s="210">
        <v>0</v>
      </c>
      <c r="W36" s="211">
        <v>0</v>
      </c>
      <c r="X36" s="211">
        <v>1</v>
      </c>
      <c r="Y36" s="211">
        <v>0</v>
      </c>
      <c r="Z36" s="211">
        <v>0</v>
      </c>
      <c r="AA36" s="211">
        <v>0</v>
      </c>
      <c r="AB36" s="212">
        <v>3</v>
      </c>
      <c r="AC36" s="211">
        <v>4</v>
      </c>
      <c r="AD36" s="211">
        <v>2</v>
      </c>
      <c r="AE36" s="211">
        <v>2</v>
      </c>
      <c r="AF36" s="211">
        <v>0</v>
      </c>
      <c r="AG36" s="211">
        <v>3</v>
      </c>
      <c r="AH36" s="211">
        <v>0</v>
      </c>
      <c r="AI36" s="211">
        <v>0</v>
      </c>
      <c r="AJ36" s="211">
        <v>13</v>
      </c>
      <c r="AK36" s="211"/>
      <c r="AL36" s="211"/>
      <c r="AM36" s="213" t="s">
        <v>282</v>
      </c>
      <c r="AN36" s="214">
        <v>3</v>
      </c>
      <c r="AO36" s="214">
        <v>1</v>
      </c>
      <c r="AP36" s="214">
        <v>1</v>
      </c>
      <c r="AQ36" s="214">
        <v>0</v>
      </c>
      <c r="AR36" s="214">
        <v>1</v>
      </c>
      <c r="AS36" s="214">
        <v>0</v>
      </c>
      <c r="AT36" s="214">
        <v>1</v>
      </c>
      <c r="AU36" s="214">
        <v>0</v>
      </c>
      <c r="AV36" s="215">
        <v>1</v>
      </c>
      <c r="AW36" s="213" t="s">
        <v>421</v>
      </c>
      <c r="AX36" s="214">
        <v>4</v>
      </c>
      <c r="AY36" s="214">
        <v>1</v>
      </c>
      <c r="AZ36" s="214">
        <v>2</v>
      </c>
      <c r="BA36" s="214">
        <v>1</v>
      </c>
      <c r="BB36" s="214">
        <v>0</v>
      </c>
      <c r="BC36" s="214">
        <v>1</v>
      </c>
      <c r="BD36" s="214">
        <v>0</v>
      </c>
      <c r="BE36" s="214">
        <v>0</v>
      </c>
      <c r="BF36" s="215">
        <v>2</v>
      </c>
      <c r="BG36" s="213" t="s">
        <v>417</v>
      </c>
      <c r="BH36" s="214">
        <v>4</v>
      </c>
      <c r="BI36" s="214">
        <v>0</v>
      </c>
      <c r="BJ36" s="214">
        <v>2</v>
      </c>
      <c r="BK36" s="214">
        <v>0</v>
      </c>
      <c r="BL36" s="214">
        <v>0</v>
      </c>
      <c r="BM36" s="214">
        <v>0</v>
      </c>
      <c r="BN36" s="214">
        <v>0</v>
      </c>
      <c r="BO36" s="214">
        <v>0</v>
      </c>
      <c r="BP36" s="215">
        <v>2</v>
      </c>
      <c r="BQ36" s="213" t="s">
        <v>422</v>
      </c>
      <c r="BR36" s="214">
        <v>4</v>
      </c>
      <c r="BS36" s="214">
        <v>0</v>
      </c>
      <c r="BT36" s="214">
        <v>1</v>
      </c>
      <c r="BU36" s="214">
        <v>1</v>
      </c>
      <c r="BV36" s="214">
        <v>0</v>
      </c>
      <c r="BW36" s="214">
        <v>0</v>
      </c>
      <c r="BX36" s="214">
        <v>0</v>
      </c>
      <c r="BY36" s="214">
        <v>0</v>
      </c>
      <c r="BZ36" s="215">
        <v>1</v>
      </c>
      <c r="CA36" s="213" t="s">
        <v>420</v>
      </c>
      <c r="CB36" s="214">
        <v>4</v>
      </c>
      <c r="CC36" s="214">
        <v>1</v>
      </c>
      <c r="CD36" s="214">
        <v>1</v>
      </c>
      <c r="CE36" s="214">
        <v>1</v>
      </c>
      <c r="CF36" s="214">
        <v>0</v>
      </c>
      <c r="CG36" s="214">
        <v>0</v>
      </c>
      <c r="CH36" s="214">
        <v>0</v>
      </c>
      <c r="CI36" s="214">
        <v>0</v>
      </c>
      <c r="CJ36" s="215">
        <v>4</v>
      </c>
      <c r="CK36" s="213" t="s">
        <v>424</v>
      </c>
      <c r="CL36" s="214">
        <v>4</v>
      </c>
      <c r="CM36" s="214">
        <v>0</v>
      </c>
      <c r="CN36" s="214">
        <v>0</v>
      </c>
      <c r="CO36" s="214">
        <v>0</v>
      </c>
      <c r="CP36" s="214">
        <v>0</v>
      </c>
      <c r="CQ36" s="214">
        <v>1</v>
      </c>
      <c r="CR36" s="214">
        <v>0</v>
      </c>
      <c r="CS36" s="214">
        <v>0</v>
      </c>
      <c r="CT36" s="215">
        <v>0</v>
      </c>
      <c r="CU36" s="213" t="s">
        <v>284</v>
      </c>
      <c r="CV36" s="214">
        <v>4</v>
      </c>
      <c r="CW36" s="214">
        <v>0</v>
      </c>
      <c r="CX36" s="214">
        <v>1</v>
      </c>
      <c r="CY36" s="214">
        <v>0</v>
      </c>
      <c r="CZ36" s="214">
        <v>0</v>
      </c>
      <c r="DA36" s="214">
        <v>1</v>
      </c>
      <c r="DB36" s="214">
        <v>0</v>
      </c>
      <c r="DC36" s="214">
        <v>0</v>
      </c>
      <c r="DD36" s="215">
        <v>1</v>
      </c>
      <c r="DE36" s="213" t="s">
        <v>285</v>
      </c>
      <c r="DF36" s="214">
        <v>3</v>
      </c>
      <c r="DG36" s="214">
        <v>0</v>
      </c>
      <c r="DH36" s="214">
        <v>0</v>
      </c>
      <c r="DI36" s="214">
        <v>0</v>
      </c>
      <c r="DJ36" s="214">
        <v>0</v>
      </c>
      <c r="DK36" s="214">
        <v>0</v>
      </c>
      <c r="DL36" s="214">
        <v>0</v>
      </c>
      <c r="DM36" s="214">
        <v>0</v>
      </c>
      <c r="DN36" s="215">
        <v>0</v>
      </c>
      <c r="DO36" s="213" t="s">
        <v>419</v>
      </c>
      <c r="DP36" s="214">
        <v>3</v>
      </c>
      <c r="DQ36" s="214">
        <v>1</v>
      </c>
      <c r="DR36" s="214">
        <v>0</v>
      </c>
      <c r="DS36" s="214">
        <v>0</v>
      </c>
      <c r="DT36" s="214">
        <v>1</v>
      </c>
      <c r="DU36" s="214">
        <v>1</v>
      </c>
      <c r="DV36" s="214">
        <v>0</v>
      </c>
      <c r="DW36" s="214">
        <v>0</v>
      </c>
      <c r="DX36" s="215">
        <v>0</v>
      </c>
      <c r="DY36" s="216">
        <f>3+1/3</f>
        <v>3.3333333333333335</v>
      </c>
      <c r="DZ36" s="217">
        <v>0</v>
      </c>
      <c r="EA36" s="217">
        <v>0</v>
      </c>
      <c r="EB36" s="218">
        <f>5+2/3</f>
        <v>5.666666666666667</v>
      </c>
      <c r="EC36" s="217">
        <v>4</v>
      </c>
      <c r="ED36" s="219">
        <v>0</v>
      </c>
      <c r="EE36" s="220">
        <v>0</v>
      </c>
      <c r="EF36" s="217">
        <v>0</v>
      </c>
      <c r="EG36" s="217">
        <v>2</v>
      </c>
      <c r="EH36" s="217">
        <v>1</v>
      </c>
      <c r="EI36" s="217">
        <v>0</v>
      </c>
      <c r="EJ36" s="217">
        <v>0</v>
      </c>
      <c r="EK36" s="217">
        <v>0</v>
      </c>
      <c r="EL36" s="217">
        <v>1</v>
      </c>
      <c r="EM36" s="217">
        <v>0</v>
      </c>
      <c r="EN36" s="217"/>
      <c r="EO36" s="217"/>
      <c r="EP36" s="217"/>
      <c r="EQ36" s="217"/>
      <c r="ER36" s="219">
        <f t="shared" ref="ER36:ER52" si="10">SUM(EE36:EQ36)</f>
        <v>4</v>
      </c>
      <c r="ES36" s="217">
        <v>0</v>
      </c>
      <c r="ET36" s="217">
        <v>0</v>
      </c>
      <c r="EU36" s="217">
        <v>3</v>
      </c>
      <c r="EV36" s="217">
        <v>0</v>
      </c>
      <c r="EW36" s="217">
        <v>0</v>
      </c>
      <c r="EX36" s="217">
        <v>0</v>
      </c>
      <c r="EY36" s="217">
        <v>2</v>
      </c>
      <c r="EZ36" s="217">
        <v>0</v>
      </c>
      <c r="FA36" s="217"/>
      <c r="FB36" s="217"/>
      <c r="FC36" s="217"/>
      <c r="FD36" s="217"/>
      <c r="FE36" s="217"/>
      <c r="FF36" s="217">
        <f t="shared" ref="FF36:FF52" si="11">SUM(ES36:FE36)</f>
        <v>5</v>
      </c>
      <c r="FG36" s="221">
        <f t="shared" si="8"/>
        <v>0</v>
      </c>
      <c r="FH36" s="221">
        <f t="shared" si="9"/>
        <v>0</v>
      </c>
      <c r="FI36" s="222"/>
    </row>
    <row r="37" spans="1:165" x14ac:dyDescent="0.25">
      <c r="A37" s="204">
        <v>40384</v>
      </c>
      <c r="B37" s="204" t="s">
        <v>19</v>
      </c>
      <c r="C37" s="204" t="s">
        <v>131</v>
      </c>
      <c r="D37" s="204" t="s">
        <v>287</v>
      </c>
      <c r="E37" s="205">
        <v>3778</v>
      </c>
      <c r="F37" s="206">
        <v>1</v>
      </c>
      <c r="G37" s="207" t="s">
        <v>286</v>
      </c>
      <c r="H37" s="208">
        <v>0</v>
      </c>
      <c r="I37" s="208">
        <v>1</v>
      </c>
      <c r="J37" s="209">
        <f>3+1/3</f>
        <v>3.3333333333333335</v>
      </c>
      <c r="K37" s="208">
        <v>6</v>
      </c>
      <c r="L37" s="208">
        <v>4</v>
      </c>
      <c r="M37" s="208">
        <v>4</v>
      </c>
      <c r="N37" s="208">
        <v>2</v>
      </c>
      <c r="O37" s="208">
        <v>1</v>
      </c>
      <c r="P37" s="208">
        <v>1</v>
      </c>
      <c r="Q37" s="208">
        <v>0</v>
      </c>
      <c r="R37" s="208">
        <v>18</v>
      </c>
      <c r="S37" s="208"/>
      <c r="T37" s="208"/>
      <c r="U37" s="208">
        <v>2</v>
      </c>
      <c r="V37" s="210">
        <v>0</v>
      </c>
      <c r="W37" s="211">
        <v>0</v>
      </c>
      <c r="X37" s="211">
        <v>0</v>
      </c>
      <c r="Y37" s="211">
        <v>0</v>
      </c>
      <c r="Z37" s="211">
        <v>0</v>
      </c>
      <c r="AA37" s="211">
        <v>0</v>
      </c>
      <c r="AB37" s="212">
        <f>5+2/3</f>
        <v>5.666666666666667</v>
      </c>
      <c r="AC37" s="211">
        <v>3</v>
      </c>
      <c r="AD37" s="211">
        <v>1</v>
      </c>
      <c r="AE37" s="211">
        <v>1</v>
      </c>
      <c r="AF37" s="211">
        <v>0</v>
      </c>
      <c r="AG37" s="211">
        <v>8</v>
      </c>
      <c r="AH37" s="211">
        <v>0</v>
      </c>
      <c r="AI37" s="211">
        <v>0</v>
      </c>
      <c r="AJ37" s="211">
        <v>19</v>
      </c>
      <c r="AK37" s="211"/>
      <c r="AL37" s="211"/>
      <c r="AM37" s="213" t="s">
        <v>282</v>
      </c>
      <c r="AN37" s="214">
        <v>3</v>
      </c>
      <c r="AO37" s="214">
        <v>1</v>
      </c>
      <c r="AP37" s="214">
        <v>2</v>
      </c>
      <c r="AQ37" s="214">
        <v>0</v>
      </c>
      <c r="AR37" s="214">
        <v>1</v>
      </c>
      <c r="AS37" s="214">
        <v>0</v>
      </c>
      <c r="AT37" s="214">
        <v>1</v>
      </c>
      <c r="AU37" s="214">
        <v>0</v>
      </c>
      <c r="AV37" s="215">
        <v>2</v>
      </c>
      <c r="AW37" s="213" t="s">
        <v>421</v>
      </c>
      <c r="AX37" s="214">
        <v>4</v>
      </c>
      <c r="AY37" s="214">
        <v>1</v>
      </c>
      <c r="AZ37" s="214">
        <v>1</v>
      </c>
      <c r="BA37" s="214">
        <v>0</v>
      </c>
      <c r="BB37" s="214">
        <v>1</v>
      </c>
      <c r="BC37" s="214">
        <v>0</v>
      </c>
      <c r="BD37" s="214">
        <v>0</v>
      </c>
      <c r="BE37" s="214">
        <v>0</v>
      </c>
      <c r="BF37" s="215">
        <v>1</v>
      </c>
      <c r="BG37" s="213" t="s">
        <v>417</v>
      </c>
      <c r="BH37" s="214">
        <v>2</v>
      </c>
      <c r="BI37" s="214">
        <v>0</v>
      </c>
      <c r="BJ37" s="214">
        <v>1</v>
      </c>
      <c r="BK37" s="214">
        <v>0</v>
      </c>
      <c r="BL37" s="214">
        <v>1</v>
      </c>
      <c r="BM37" s="214">
        <v>0</v>
      </c>
      <c r="BN37" s="214">
        <v>1</v>
      </c>
      <c r="BO37" s="214">
        <v>0</v>
      </c>
      <c r="BP37" s="215">
        <v>1</v>
      </c>
      <c r="BQ37" s="213" t="s">
        <v>422</v>
      </c>
      <c r="BR37" s="214">
        <v>4</v>
      </c>
      <c r="BS37" s="214">
        <v>0</v>
      </c>
      <c r="BT37" s="214">
        <v>1</v>
      </c>
      <c r="BU37" s="214">
        <v>0</v>
      </c>
      <c r="BV37" s="214">
        <v>0</v>
      </c>
      <c r="BW37" s="214">
        <v>2</v>
      </c>
      <c r="BX37" s="214">
        <v>0</v>
      </c>
      <c r="BY37" s="214">
        <v>0</v>
      </c>
      <c r="BZ37" s="215">
        <v>1</v>
      </c>
      <c r="CA37" s="213" t="s">
        <v>420</v>
      </c>
      <c r="CB37" s="214">
        <v>4</v>
      </c>
      <c r="CC37" s="214">
        <v>0</v>
      </c>
      <c r="CD37" s="214">
        <v>1</v>
      </c>
      <c r="CE37" s="214">
        <v>2</v>
      </c>
      <c r="CF37" s="214">
        <v>0</v>
      </c>
      <c r="CG37" s="214">
        <v>2</v>
      </c>
      <c r="CH37" s="214">
        <v>0</v>
      </c>
      <c r="CI37" s="214">
        <v>0</v>
      </c>
      <c r="CJ37" s="215">
        <v>2</v>
      </c>
      <c r="CK37" s="213" t="s">
        <v>426</v>
      </c>
      <c r="CL37" s="214">
        <v>4</v>
      </c>
      <c r="CM37" s="214">
        <v>0</v>
      </c>
      <c r="CN37" s="214">
        <v>0</v>
      </c>
      <c r="CO37" s="214">
        <v>0</v>
      </c>
      <c r="CP37" s="214">
        <v>0</v>
      </c>
      <c r="CQ37" s="214">
        <v>0</v>
      </c>
      <c r="CR37" s="214">
        <v>0</v>
      </c>
      <c r="CS37" s="214">
        <v>0</v>
      </c>
      <c r="CT37" s="215">
        <v>0</v>
      </c>
      <c r="CU37" s="213" t="s">
        <v>284</v>
      </c>
      <c r="CV37" s="214">
        <v>4</v>
      </c>
      <c r="CW37" s="214">
        <v>0</v>
      </c>
      <c r="CX37" s="214">
        <v>1</v>
      </c>
      <c r="CY37" s="214">
        <v>0</v>
      </c>
      <c r="CZ37" s="214">
        <v>0</v>
      </c>
      <c r="DA37" s="214">
        <v>1</v>
      </c>
      <c r="DB37" s="214">
        <v>0</v>
      </c>
      <c r="DC37" s="214">
        <v>0</v>
      </c>
      <c r="DD37" s="215">
        <v>1</v>
      </c>
      <c r="DE37" s="213" t="s">
        <v>418</v>
      </c>
      <c r="DF37" s="214">
        <v>4</v>
      </c>
      <c r="DG37" s="214">
        <v>0</v>
      </c>
      <c r="DH37" s="214">
        <v>0</v>
      </c>
      <c r="DI37" s="214">
        <v>0</v>
      </c>
      <c r="DJ37" s="214">
        <v>0</v>
      </c>
      <c r="DK37" s="214">
        <v>2</v>
      </c>
      <c r="DL37" s="214">
        <v>0</v>
      </c>
      <c r="DM37" s="214">
        <v>0</v>
      </c>
      <c r="DN37" s="215">
        <v>0</v>
      </c>
      <c r="DO37" s="213" t="s">
        <v>416</v>
      </c>
      <c r="DP37" s="214">
        <v>4</v>
      </c>
      <c r="DQ37" s="214">
        <v>0</v>
      </c>
      <c r="DR37" s="214">
        <v>0</v>
      </c>
      <c r="DS37" s="214">
        <v>0</v>
      </c>
      <c r="DT37" s="214">
        <v>0</v>
      </c>
      <c r="DU37" s="214">
        <v>2</v>
      </c>
      <c r="DV37" s="214">
        <v>0</v>
      </c>
      <c r="DW37" s="214">
        <v>0</v>
      </c>
      <c r="DX37" s="215">
        <v>0</v>
      </c>
      <c r="DY37" s="216">
        <f>1+1/3</f>
        <v>1.3333333333333333</v>
      </c>
      <c r="DZ37" s="217">
        <v>0</v>
      </c>
      <c r="EA37" s="217">
        <v>0</v>
      </c>
      <c r="EB37" s="218">
        <f>7+2/3</f>
        <v>7.666666666666667</v>
      </c>
      <c r="EC37" s="217">
        <v>2</v>
      </c>
      <c r="ED37" s="219">
        <v>0</v>
      </c>
      <c r="EE37" s="220">
        <v>0</v>
      </c>
      <c r="EF37" s="217">
        <v>0</v>
      </c>
      <c r="EG37" s="217">
        <v>0</v>
      </c>
      <c r="EH37" s="217">
        <v>0</v>
      </c>
      <c r="EI37" s="217">
        <v>0</v>
      </c>
      <c r="EJ37" s="217">
        <v>0</v>
      </c>
      <c r="EK37" s="217">
        <v>0</v>
      </c>
      <c r="EL37" s="217">
        <v>2</v>
      </c>
      <c r="EM37" s="217">
        <v>0</v>
      </c>
      <c r="EN37" s="217"/>
      <c r="EO37" s="217"/>
      <c r="EP37" s="217"/>
      <c r="EQ37" s="217"/>
      <c r="ER37" s="219">
        <f t="shared" si="10"/>
        <v>2</v>
      </c>
      <c r="ES37" s="217">
        <v>0</v>
      </c>
      <c r="ET37" s="217">
        <v>2</v>
      </c>
      <c r="EU37" s="217">
        <v>0</v>
      </c>
      <c r="EV37" s="217">
        <v>2</v>
      </c>
      <c r="EW37" s="217">
        <v>0</v>
      </c>
      <c r="EX37" s="217">
        <v>0</v>
      </c>
      <c r="EY37" s="217">
        <v>0</v>
      </c>
      <c r="EZ37" s="217">
        <v>0</v>
      </c>
      <c r="FA37" s="217">
        <v>1</v>
      </c>
      <c r="FB37" s="217"/>
      <c r="FC37" s="217"/>
      <c r="FD37" s="217"/>
      <c r="FE37" s="217"/>
      <c r="FF37" s="217">
        <f t="shared" si="11"/>
        <v>5</v>
      </c>
      <c r="FG37" s="221">
        <f t="shared" si="8"/>
        <v>0</v>
      </c>
      <c r="FH37" s="221">
        <f t="shared" si="9"/>
        <v>0</v>
      </c>
      <c r="FI37" s="222"/>
    </row>
    <row r="38" spans="1:165" x14ac:dyDescent="0.25">
      <c r="A38" s="204">
        <v>40385</v>
      </c>
      <c r="B38" s="204" t="s">
        <v>19</v>
      </c>
      <c r="C38" s="204" t="s">
        <v>131</v>
      </c>
      <c r="D38" s="204" t="s">
        <v>287</v>
      </c>
      <c r="E38" s="205">
        <v>4908</v>
      </c>
      <c r="F38" s="206">
        <v>2</v>
      </c>
      <c r="G38" s="207" t="s">
        <v>412</v>
      </c>
      <c r="H38" s="208">
        <v>0</v>
      </c>
      <c r="I38" s="208">
        <v>0</v>
      </c>
      <c r="J38" s="209">
        <v>3</v>
      </c>
      <c r="K38" s="208">
        <v>4</v>
      </c>
      <c r="L38" s="208">
        <v>1</v>
      </c>
      <c r="M38" s="208">
        <v>1</v>
      </c>
      <c r="N38" s="208">
        <v>1</v>
      </c>
      <c r="O38" s="208">
        <v>4</v>
      </c>
      <c r="P38" s="208">
        <v>1</v>
      </c>
      <c r="Q38" s="208">
        <v>0</v>
      </c>
      <c r="R38" s="208">
        <v>13</v>
      </c>
      <c r="S38" s="208"/>
      <c r="T38" s="208"/>
      <c r="U38" s="208">
        <v>0</v>
      </c>
      <c r="V38" s="210">
        <v>0</v>
      </c>
      <c r="W38" s="211">
        <v>0</v>
      </c>
      <c r="X38" s="211">
        <v>1</v>
      </c>
      <c r="Y38" s="211">
        <v>0</v>
      </c>
      <c r="Z38" s="211">
        <v>0</v>
      </c>
      <c r="AA38" s="211">
        <v>0</v>
      </c>
      <c r="AB38" s="212">
        <v>6</v>
      </c>
      <c r="AC38" s="211">
        <v>7</v>
      </c>
      <c r="AD38" s="211">
        <v>4</v>
      </c>
      <c r="AE38" s="211">
        <v>4</v>
      </c>
      <c r="AF38" s="211">
        <v>4</v>
      </c>
      <c r="AG38" s="211">
        <v>6</v>
      </c>
      <c r="AH38" s="211">
        <v>0</v>
      </c>
      <c r="AI38" s="211">
        <v>0</v>
      </c>
      <c r="AJ38" s="211">
        <v>29</v>
      </c>
      <c r="AK38" s="211"/>
      <c r="AL38" s="211"/>
      <c r="AM38" s="213" t="s">
        <v>282</v>
      </c>
      <c r="AN38" s="214">
        <v>5</v>
      </c>
      <c r="AO38" s="214">
        <v>0</v>
      </c>
      <c r="AP38" s="214">
        <v>2</v>
      </c>
      <c r="AQ38" s="214">
        <v>2</v>
      </c>
      <c r="AR38" s="214">
        <v>0</v>
      </c>
      <c r="AS38" s="214">
        <v>1</v>
      </c>
      <c r="AT38" s="214">
        <v>0</v>
      </c>
      <c r="AU38" s="214">
        <v>0</v>
      </c>
      <c r="AV38" s="215">
        <v>4</v>
      </c>
      <c r="AW38" s="213" t="s">
        <v>417</v>
      </c>
      <c r="AX38" s="214">
        <v>5</v>
      </c>
      <c r="AY38" s="214">
        <v>0</v>
      </c>
      <c r="AZ38" s="214">
        <v>1</v>
      </c>
      <c r="BA38" s="214">
        <v>1</v>
      </c>
      <c r="BB38" s="214">
        <v>0</v>
      </c>
      <c r="BC38" s="214">
        <v>2</v>
      </c>
      <c r="BD38" s="214">
        <v>0</v>
      </c>
      <c r="BE38" s="214">
        <v>0</v>
      </c>
      <c r="BF38" s="215">
        <v>1</v>
      </c>
      <c r="BG38" s="213" t="s">
        <v>421</v>
      </c>
      <c r="BH38" s="214">
        <v>4</v>
      </c>
      <c r="BI38" s="214">
        <v>0</v>
      </c>
      <c r="BJ38" s="214">
        <v>0</v>
      </c>
      <c r="BK38" s="214">
        <v>0</v>
      </c>
      <c r="BL38" s="214">
        <v>1</v>
      </c>
      <c r="BM38" s="214">
        <v>1</v>
      </c>
      <c r="BN38" s="214">
        <v>0</v>
      </c>
      <c r="BO38" s="214">
        <v>0</v>
      </c>
      <c r="BP38" s="215">
        <v>0</v>
      </c>
      <c r="BQ38" s="213" t="s">
        <v>422</v>
      </c>
      <c r="BR38" s="214">
        <v>5</v>
      </c>
      <c r="BS38" s="214">
        <v>0</v>
      </c>
      <c r="BT38" s="214">
        <v>1</v>
      </c>
      <c r="BU38" s="214">
        <v>0</v>
      </c>
      <c r="BV38" s="214">
        <v>0</v>
      </c>
      <c r="BW38" s="214">
        <v>2</v>
      </c>
      <c r="BX38" s="214">
        <v>0</v>
      </c>
      <c r="BY38" s="214">
        <v>0</v>
      </c>
      <c r="BZ38" s="215">
        <v>1</v>
      </c>
      <c r="CA38" s="213" t="s">
        <v>420</v>
      </c>
      <c r="CB38" s="214">
        <v>4</v>
      </c>
      <c r="CC38" s="214">
        <v>0</v>
      </c>
      <c r="CD38" s="214">
        <v>1</v>
      </c>
      <c r="CE38" s="214">
        <v>0</v>
      </c>
      <c r="CF38" s="214">
        <v>0</v>
      </c>
      <c r="CG38" s="214">
        <v>0</v>
      </c>
      <c r="CH38" s="214">
        <v>0</v>
      </c>
      <c r="CI38" s="214">
        <v>0</v>
      </c>
      <c r="CJ38" s="215">
        <v>1</v>
      </c>
      <c r="CK38" s="213" t="s">
        <v>426</v>
      </c>
      <c r="CL38" s="214">
        <v>4</v>
      </c>
      <c r="CM38" s="214">
        <v>0</v>
      </c>
      <c r="CN38" s="214">
        <v>2</v>
      </c>
      <c r="CO38" s="214">
        <v>0</v>
      </c>
      <c r="CP38" s="214">
        <v>0</v>
      </c>
      <c r="CQ38" s="214">
        <v>1</v>
      </c>
      <c r="CR38" s="214">
        <v>0</v>
      </c>
      <c r="CS38" s="214">
        <v>0</v>
      </c>
      <c r="CT38" s="215">
        <v>2</v>
      </c>
      <c r="CU38" s="213" t="s">
        <v>284</v>
      </c>
      <c r="CV38" s="214">
        <v>4</v>
      </c>
      <c r="CW38" s="214">
        <v>0</v>
      </c>
      <c r="CX38" s="214">
        <v>0</v>
      </c>
      <c r="CY38" s="214">
        <v>0</v>
      </c>
      <c r="CZ38" s="214">
        <v>0</v>
      </c>
      <c r="DA38" s="214">
        <v>1</v>
      </c>
      <c r="DB38" s="214">
        <v>0</v>
      </c>
      <c r="DC38" s="214">
        <v>0</v>
      </c>
      <c r="DD38" s="215">
        <v>0</v>
      </c>
      <c r="DE38" s="213" t="s">
        <v>427</v>
      </c>
      <c r="DF38" s="214">
        <v>3</v>
      </c>
      <c r="DG38" s="214">
        <v>2</v>
      </c>
      <c r="DH38" s="214">
        <v>2</v>
      </c>
      <c r="DI38" s="214">
        <v>0</v>
      </c>
      <c r="DJ38" s="214">
        <v>1</v>
      </c>
      <c r="DK38" s="214">
        <v>1</v>
      </c>
      <c r="DL38" s="214">
        <v>0</v>
      </c>
      <c r="DM38" s="214">
        <v>0</v>
      </c>
      <c r="DN38" s="215">
        <v>4</v>
      </c>
      <c r="DO38" s="213" t="s">
        <v>419</v>
      </c>
      <c r="DP38" s="214">
        <v>4</v>
      </c>
      <c r="DQ38" s="214">
        <v>1</v>
      </c>
      <c r="DR38" s="214">
        <v>1</v>
      </c>
      <c r="DS38" s="214">
        <v>0</v>
      </c>
      <c r="DT38" s="214">
        <v>0</v>
      </c>
      <c r="DU38" s="214">
        <v>2</v>
      </c>
      <c r="DV38" s="214">
        <v>0</v>
      </c>
      <c r="DW38" s="214">
        <v>0</v>
      </c>
      <c r="DX38" s="215">
        <v>1</v>
      </c>
      <c r="DY38" s="216">
        <v>7</v>
      </c>
      <c r="DZ38" s="217">
        <v>0</v>
      </c>
      <c r="EA38" s="217">
        <v>0</v>
      </c>
      <c r="EB38" s="218">
        <v>2</v>
      </c>
      <c r="EC38" s="217">
        <v>0</v>
      </c>
      <c r="ED38" s="219">
        <v>0</v>
      </c>
      <c r="EE38" s="220">
        <v>0</v>
      </c>
      <c r="EF38" s="217">
        <v>0</v>
      </c>
      <c r="EG38" s="217">
        <v>1</v>
      </c>
      <c r="EH38" s="217">
        <v>0</v>
      </c>
      <c r="EI38" s="217">
        <v>1</v>
      </c>
      <c r="EJ38" s="217">
        <v>0</v>
      </c>
      <c r="EK38" s="217">
        <v>0</v>
      </c>
      <c r="EL38" s="217">
        <v>0</v>
      </c>
      <c r="EM38" s="217">
        <v>1</v>
      </c>
      <c r="EN38" s="217"/>
      <c r="EO38" s="217"/>
      <c r="EP38" s="217"/>
      <c r="EQ38" s="217"/>
      <c r="ER38" s="219">
        <f t="shared" si="10"/>
        <v>3</v>
      </c>
      <c r="ES38" s="217">
        <v>0</v>
      </c>
      <c r="ET38" s="217">
        <v>1</v>
      </c>
      <c r="EU38" s="217">
        <v>0</v>
      </c>
      <c r="EV38" s="217">
        <v>1</v>
      </c>
      <c r="EW38" s="217">
        <v>0</v>
      </c>
      <c r="EX38" s="217">
        <v>0</v>
      </c>
      <c r="EY38" s="217">
        <v>0</v>
      </c>
      <c r="EZ38" s="217">
        <v>3</v>
      </c>
      <c r="FA38" s="217">
        <v>0</v>
      </c>
      <c r="FB38" s="217"/>
      <c r="FC38" s="217"/>
      <c r="FD38" s="217"/>
      <c r="FE38" s="217"/>
      <c r="FF38" s="217">
        <f t="shared" si="11"/>
        <v>5</v>
      </c>
      <c r="FG38" s="221">
        <f t="shared" si="8"/>
        <v>0</v>
      </c>
      <c r="FH38" s="221">
        <f t="shared" si="9"/>
        <v>0</v>
      </c>
      <c r="FI38" s="222"/>
    </row>
    <row r="39" spans="1:165" x14ac:dyDescent="0.25">
      <c r="A39" s="204">
        <v>40387</v>
      </c>
      <c r="B39" s="204" t="s">
        <v>133</v>
      </c>
      <c r="C39" s="204" t="s">
        <v>129</v>
      </c>
      <c r="D39" s="204" t="s">
        <v>634</v>
      </c>
      <c r="E39" s="205">
        <v>1908</v>
      </c>
      <c r="F39" s="206">
        <v>3</v>
      </c>
      <c r="G39" s="207" t="s">
        <v>411</v>
      </c>
      <c r="H39" s="208">
        <v>1</v>
      </c>
      <c r="I39" s="208">
        <v>0</v>
      </c>
      <c r="J39" s="209">
        <v>5</v>
      </c>
      <c r="K39" s="208">
        <v>3</v>
      </c>
      <c r="L39" s="208">
        <v>2</v>
      </c>
      <c r="M39" s="208">
        <v>2</v>
      </c>
      <c r="N39" s="208">
        <v>3</v>
      </c>
      <c r="O39" s="208">
        <v>9</v>
      </c>
      <c r="P39" s="208">
        <v>0</v>
      </c>
      <c r="Q39" s="208">
        <v>0</v>
      </c>
      <c r="R39" s="208">
        <v>21</v>
      </c>
      <c r="S39" s="208"/>
      <c r="T39" s="208"/>
      <c r="U39" s="208">
        <v>0</v>
      </c>
      <c r="V39" s="210">
        <v>0</v>
      </c>
      <c r="W39" s="211">
        <v>0</v>
      </c>
      <c r="X39" s="211">
        <v>0</v>
      </c>
      <c r="Y39" s="211">
        <v>0</v>
      </c>
      <c r="Z39" s="211">
        <v>0</v>
      </c>
      <c r="AA39" s="211">
        <v>0</v>
      </c>
      <c r="AB39" s="212">
        <v>4</v>
      </c>
      <c r="AC39" s="211">
        <v>4</v>
      </c>
      <c r="AD39" s="211">
        <v>0</v>
      </c>
      <c r="AE39" s="211">
        <v>0</v>
      </c>
      <c r="AF39" s="211">
        <v>0</v>
      </c>
      <c r="AG39" s="211">
        <v>8</v>
      </c>
      <c r="AH39" s="211">
        <v>0</v>
      </c>
      <c r="AI39" s="211">
        <v>0</v>
      </c>
      <c r="AJ39" s="211">
        <v>16</v>
      </c>
      <c r="AK39" s="211"/>
      <c r="AL39" s="211"/>
      <c r="AM39" s="213" t="s">
        <v>282</v>
      </c>
      <c r="AN39" s="214">
        <v>5</v>
      </c>
      <c r="AO39" s="214">
        <v>1</v>
      </c>
      <c r="AP39" s="214">
        <v>1</v>
      </c>
      <c r="AQ39" s="214">
        <v>2</v>
      </c>
      <c r="AR39" s="214">
        <v>1</v>
      </c>
      <c r="AS39" s="214">
        <v>1</v>
      </c>
      <c r="AT39" s="214">
        <v>0</v>
      </c>
      <c r="AU39" s="214">
        <v>0</v>
      </c>
      <c r="AV39" s="215">
        <v>2</v>
      </c>
      <c r="AW39" s="213" t="s">
        <v>417</v>
      </c>
      <c r="AX39" s="214">
        <v>5</v>
      </c>
      <c r="AY39" s="214">
        <v>2</v>
      </c>
      <c r="AZ39" s="214">
        <v>2</v>
      </c>
      <c r="BA39" s="214">
        <v>2</v>
      </c>
      <c r="BB39" s="214">
        <v>0</v>
      </c>
      <c r="BC39" s="214">
        <v>0</v>
      </c>
      <c r="BD39" s="214">
        <v>1</v>
      </c>
      <c r="BE39" s="214">
        <v>0</v>
      </c>
      <c r="BF39" s="215">
        <v>2</v>
      </c>
      <c r="BG39" s="213" t="s">
        <v>421</v>
      </c>
      <c r="BH39" s="214">
        <v>5</v>
      </c>
      <c r="BI39" s="214">
        <v>2</v>
      </c>
      <c r="BJ39" s="214">
        <v>2</v>
      </c>
      <c r="BK39" s="214">
        <v>0</v>
      </c>
      <c r="BL39" s="214">
        <v>0</v>
      </c>
      <c r="BM39" s="214">
        <v>1</v>
      </c>
      <c r="BN39" s="214">
        <v>1</v>
      </c>
      <c r="BO39" s="214">
        <v>0</v>
      </c>
      <c r="BP39" s="215">
        <v>2</v>
      </c>
      <c r="BQ39" s="213" t="s">
        <v>422</v>
      </c>
      <c r="BR39" s="214">
        <v>6</v>
      </c>
      <c r="BS39" s="214">
        <v>2</v>
      </c>
      <c r="BT39" s="214">
        <v>2</v>
      </c>
      <c r="BU39" s="214">
        <v>1</v>
      </c>
      <c r="BV39" s="214">
        <v>0</v>
      </c>
      <c r="BW39" s="214">
        <v>2</v>
      </c>
      <c r="BX39" s="214">
        <v>0</v>
      </c>
      <c r="BY39" s="214">
        <v>0</v>
      </c>
      <c r="BZ39" s="215">
        <v>3</v>
      </c>
      <c r="CA39" s="213" t="s">
        <v>420</v>
      </c>
      <c r="CB39" s="214">
        <v>5</v>
      </c>
      <c r="CC39" s="214">
        <v>2</v>
      </c>
      <c r="CD39" s="214">
        <v>2</v>
      </c>
      <c r="CE39" s="214">
        <v>1</v>
      </c>
      <c r="CF39" s="214">
        <v>0</v>
      </c>
      <c r="CG39" s="214">
        <v>3</v>
      </c>
      <c r="CH39" s="214">
        <v>1</v>
      </c>
      <c r="CI39" s="214">
        <v>0</v>
      </c>
      <c r="CJ39" s="215">
        <v>2</v>
      </c>
      <c r="CK39" s="213" t="s">
        <v>418</v>
      </c>
      <c r="CL39" s="214">
        <v>4</v>
      </c>
      <c r="CM39" s="214">
        <v>2</v>
      </c>
      <c r="CN39" s="214">
        <v>3</v>
      </c>
      <c r="CO39" s="214">
        <v>2</v>
      </c>
      <c r="CP39" s="214">
        <v>1</v>
      </c>
      <c r="CQ39" s="214">
        <v>1</v>
      </c>
      <c r="CR39" s="214">
        <v>0</v>
      </c>
      <c r="CS39" s="214">
        <v>0</v>
      </c>
      <c r="CT39" s="215">
        <v>3</v>
      </c>
      <c r="CU39" s="213" t="s">
        <v>284</v>
      </c>
      <c r="CV39" s="214">
        <v>5</v>
      </c>
      <c r="CW39" s="214">
        <v>1</v>
      </c>
      <c r="CX39" s="214">
        <v>4</v>
      </c>
      <c r="CY39" s="214">
        <v>3</v>
      </c>
      <c r="CZ39" s="214">
        <v>0</v>
      </c>
      <c r="DA39" s="214">
        <v>0</v>
      </c>
      <c r="DB39" s="214">
        <v>0</v>
      </c>
      <c r="DC39" s="214">
        <v>0</v>
      </c>
      <c r="DD39" s="215">
        <v>5</v>
      </c>
      <c r="DE39" s="213" t="s">
        <v>424</v>
      </c>
      <c r="DF39" s="214">
        <v>4</v>
      </c>
      <c r="DG39" s="214">
        <v>1</v>
      </c>
      <c r="DH39" s="214">
        <v>1</v>
      </c>
      <c r="DI39" s="214">
        <v>2</v>
      </c>
      <c r="DJ39" s="214">
        <v>0</v>
      </c>
      <c r="DK39" s="214">
        <v>0</v>
      </c>
      <c r="DL39" s="214">
        <v>0</v>
      </c>
      <c r="DM39" s="214">
        <v>1</v>
      </c>
      <c r="DN39" s="215">
        <v>1</v>
      </c>
      <c r="DO39" s="213" t="s">
        <v>419</v>
      </c>
      <c r="DP39" s="214">
        <v>4</v>
      </c>
      <c r="DQ39" s="214">
        <v>1</v>
      </c>
      <c r="DR39" s="214">
        <v>0</v>
      </c>
      <c r="DS39" s="214">
        <v>0</v>
      </c>
      <c r="DT39" s="214">
        <v>0</v>
      </c>
      <c r="DU39" s="214">
        <v>2</v>
      </c>
      <c r="DV39" s="214">
        <v>1</v>
      </c>
      <c r="DW39" s="214">
        <v>0</v>
      </c>
      <c r="DX39" s="215">
        <v>0</v>
      </c>
      <c r="DY39" s="216">
        <v>0</v>
      </c>
      <c r="DZ39" s="217">
        <v>0</v>
      </c>
      <c r="EA39" s="217">
        <v>0</v>
      </c>
      <c r="EB39" s="218">
        <v>9</v>
      </c>
      <c r="EC39" s="217">
        <v>1</v>
      </c>
      <c r="ED39" s="219">
        <v>0</v>
      </c>
      <c r="EE39" s="220">
        <v>0</v>
      </c>
      <c r="EF39" s="217">
        <v>8</v>
      </c>
      <c r="EG39" s="217">
        <v>0</v>
      </c>
      <c r="EH39" s="217">
        <v>4</v>
      </c>
      <c r="EI39" s="217">
        <v>2</v>
      </c>
      <c r="EJ39" s="217">
        <v>0</v>
      </c>
      <c r="EK39" s="217">
        <v>0</v>
      </c>
      <c r="EL39" s="217">
        <v>0</v>
      </c>
      <c r="EM39" s="217">
        <v>0</v>
      </c>
      <c r="EN39" s="217"/>
      <c r="EO39" s="217"/>
      <c r="EP39" s="217"/>
      <c r="EQ39" s="217"/>
      <c r="ER39" s="219">
        <f t="shared" si="10"/>
        <v>14</v>
      </c>
      <c r="ES39" s="217">
        <v>0</v>
      </c>
      <c r="ET39" s="217">
        <v>1</v>
      </c>
      <c r="EU39" s="217">
        <v>1</v>
      </c>
      <c r="EV39" s="217">
        <v>0</v>
      </c>
      <c r="EW39" s="217">
        <v>0</v>
      </c>
      <c r="EX39" s="217">
        <v>0</v>
      </c>
      <c r="EY39" s="217">
        <v>0</v>
      </c>
      <c r="EZ39" s="217">
        <v>0</v>
      </c>
      <c r="FA39" s="217">
        <v>0</v>
      </c>
      <c r="FB39" s="217"/>
      <c r="FC39" s="217"/>
      <c r="FD39" s="217"/>
      <c r="FE39" s="217"/>
      <c r="FF39" s="217">
        <f t="shared" si="11"/>
        <v>2</v>
      </c>
      <c r="FG39" s="221">
        <f t="shared" si="8"/>
        <v>0</v>
      </c>
      <c r="FH39" s="221">
        <f t="shared" si="9"/>
        <v>0</v>
      </c>
      <c r="FI39" s="222"/>
    </row>
    <row r="40" spans="1:165" x14ac:dyDescent="0.25">
      <c r="A40" s="204">
        <v>40388</v>
      </c>
      <c r="B40" s="204" t="s">
        <v>133</v>
      </c>
      <c r="C40" s="204" t="s">
        <v>129</v>
      </c>
      <c r="D40" s="204" t="s">
        <v>634</v>
      </c>
      <c r="E40" s="205">
        <v>3442</v>
      </c>
      <c r="F40" s="206">
        <v>4</v>
      </c>
      <c r="G40" s="207" t="s">
        <v>556</v>
      </c>
      <c r="H40" s="208">
        <v>0</v>
      </c>
      <c r="I40" s="208">
        <v>0</v>
      </c>
      <c r="J40" s="209">
        <v>5</v>
      </c>
      <c r="K40" s="208">
        <v>5</v>
      </c>
      <c r="L40" s="208">
        <v>1</v>
      </c>
      <c r="M40" s="208">
        <v>1</v>
      </c>
      <c r="N40" s="208">
        <v>0</v>
      </c>
      <c r="O40" s="208">
        <v>3</v>
      </c>
      <c r="P40" s="208">
        <v>0</v>
      </c>
      <c r="Q40" s="208">
        <v>0</v>
      </c>
      <c r="R40" s="208">
        <v>18</v>
      </c>
      <c r="S40" s="208"/>
      <c r="T40" s="208"/>
      <c r="U40" s="208">
        <v>0</v>
      </c>
      <c r="V40" s="210">
        <v>0</v>
      </c>
      <c r="W40" s="211">
        <v>1</v>
      </c>
      <c r="X40" s="211">
        <v>0</v>
      </c>
      <c r="Y40" s="211">
        <v>2</v>
      </c>
      <c r="Z40" s="211">
        <v>1</v>
      </c>
      <c r="AA40" s="211">
        <v>0</v>
      </c>
      <c r="AB40" s="212">
        <v>4</v>
      </c>
      <c r="AC40" s="211">
        <v>3</v>
      </c>
      <c r="AD40" s="211">
        <v>0</v>
      </c>
      <c r="AE40" s="211">
        <v>0</v>
      </c>
      <c r="AF40" s="211">
        <v>2</v>
      </c>
      <c r="AG40" s="211">
        <v>8</v>
      </c>
      <c r="AH40" s="211">
        <v>0</v>
      </c>
      <c r="AI40" s="211">
        <v>0</v>
      </c>
      <c r="AJ40" s="211">
        <v>17</v>
      </c>
      <c r="AK40" s="211"/>
      <c r="AL40" s="211"/>
      <c r="AM40" s="213" t="s">
        <v>285</v>
      </c>
      <c r="AN40" s="214">
        <v>5</v>
      </c>
      <c r="AO40" s="214">
        <v>0</v>
      </c>
      <c r="AP40" s="214">
        <v>2</v>
      </c>
      <c r="AQ40" s="214">
        <v>1</v>
      </c>
      <c r="AR40" s="214">
        <v>0</v>
      </c>
      <c r="AS40" s="214">
        <v>1</v>
      </c>
      <c r="AT40" s="214">
        <v>0</v>
      </c>
      <c r="AU40" s="214">
        <v>0</v>
      </c>
      <c r="AV40" s="215">
        <v>2</v>
      </c>
      <c r="AW40" s="213" t="s">
        <v>421</v>
      </c>
      <c r="AX40" s="214">
        <v>5</v>
      </c>
      <c r="AY40" s="214">
        <v>0</v>
      </c>
      <c r="AZ40" s="214">
        <v>1</v>
      </c>
      <c r="BA40" s="214">
        <v>0</v>
      </c>
      <c r="BB40" s="214">
        <v>0</v>
      </c>
      <c r="BC40" s="214">
        <v>2</v>
      </c>
      <c r="BD40" s="214">
        <v>0</v>
      </c>
      <c r="BE40" s="214">
        <v>0</v>
      </c>
      <c r="BF40" s="215">
        <v>1</v>
      </c>
      <c r="BG40" s="213" t="s">
        <v>422</v>
      </c>
      <c r="BH40" s="214">
        <v>4</v>
      </c>
      <c r="BI40" s="214">
        <v>0</v>
      </c>
      <c r="BJ40" s="214">
        <v>1</v>
      </c>
      <c r="BK40" s="214">
        <v>0</v>
      </c>
      <c r="BL40" s="214">
        <v>0</v>
      </c>
      <c r="BM40" s="214">
        <v>1</v>
      </c>
      <c r="BN40" s="214">
        <v>0</v>
      </c>
      <c r="BO40" s="214">
        <v>0</v>
      </c>
      <c r="BP40" s="215">
        <v>1</v>
      </c>
      <c r="BQ40" s="213" t="s">
        <v>420</v>
      </c>
      <c r="BR40" s="214">
        <v>3</v>
      </c>
      <c r="BS40" s="214">
        <v>1</v>
      </c>
      <c r="BT40" s="214">
        <v>0</v>
      </c>
      <c r="BU40" s="214">
        <v>0</v>
      </c>
      <c r="BV40" s="214">
        <v>0</v>
      </c>
      <c r="BW40" s="214">
        <v>0</v>
      </c>
      <c r="BX40" s="214">
        <v>1</v>
      </c>
      <c r="BY40" s="214">
        <v>0</v>
      </c>
      <c r="BZ40" s="215">
        <v>0</v>
      </c>
      <c r="CA40" s="213" t="s">
        <v>427</v>
      </c>
      <c r="CB40" s="214">
        <v>3</v>
      </c>
      <c r="CC40" s="214">
        <v>0</v>
      </c>
      <c r="CD40" s="214">
        <v>0</v>
      </c>
      <c r="CE40" s="214">
        <v>0</v>
      </c>
      <c r="CF40" s="214">
        <v>1</v>
      </c>
      <c r="CG40" s="214">
        <v>2</v>
      </c>
      <c r="CH40" s="214">
        <v>0</v>
      </c>
      <c r="CI40" s="214">
        <v>0</v>
      </c>
      <c r="CJ40" s="215">
        <v>0</v>
      </c>
      <c r="CK40" s="213" t="s">
        <v>426</v>
      </c>
      <c r="CL40" s="214">
        <v>3</v>
      </c>
      <c r="CM40" s="214">
        <v>0</v>
      </c>
      <c r="CN40" s="214">
        <v>2</v>
      </c>
      <c r="CO40" s="214">
        <v>1</v>
      </c>
      <c r="CP40" s="214">
        <v>1</v>
      </c>
      <c r="CQ40" s="214">
        <v>0</v>
      </c>
      <c r="CR40" s="214">
        <v>0</v>
      </c>
      <c r="CS40" s="214">
        <v>0</v>
      </c>
      <c r="CT40" s="215">
        <v>2</v>
      </c>
      <c r="CU40" s="213" t="s">
        <v>284</v>
      </c>
      <c r="CV40" s="214">
        <v>4</v>
      </c>
      <c r="CW40" s="214">
        <v>0</v>
      </c>
      <c r="CX40" s="214">
        <v>1</v>
      </c>
      <c r="CY40" s="214">
        <v>0</v>
      </c>
      <c r="CZ40" s="214">
        <v>0</v>
      </c>
      <c r="DA40" s="214">
        <v>3</v>
      </c>
      <c r="DB40" s="214">
        <v>0</v>
      </c>
      <c r="DC40" s="214">
        <v>0</v>
      </c>
      <c r="DD40" s="215">
        <v>1</v>
      </c>
      <c r="DE40" s="213" t="s">
        <v>418</v>
      </c>
      <c r="DF40" s="214">
        <v>4</v>
      </c>
      <c r="DG40" s="214">
        <v>0</v>
      </c>
      <c r="DH40" s="214">
        <v>1</v>
      </c>
      <c r="DI40" s="214">
        <v>0</v>
      </c>
      <c r="DJ40" s="214">
        <v>0</v>
      </c>
      <c r="DK40" s="214">
        <v>1</v>
      </c>
      <c r="DL40" s="214">
        <v>0</v>
      </c>
      <c r="DM40" s="214">
        <v>0</v>
      </c>
      <c r="DN40" s="215">
        <v>1</v>
      </c>
      <c r="DO40" s="213" t="s">
        <v>419</v>
      </c>
      <c r="DP40" s="214">
        <v>4</v>
      </c>
      <c r="DQ40" s="214">
        <v>1</v>
      </c>
      <c r="DR40" s="214">
        <v>0</v>
      </c>
      <c r="DS40" s="214">
        <v>0</v>
      </c>
      <c r="DT40" s="214">
        <v>0</v>
      </c>
      <c r="DU40" s="214">
        <v>0</v>
      </c>
      <c r="DV40" s="214">
        <v>0</v>
      </c>
      <c r="DW40" s="214">
        <v>0</v>
      </c>
      <c r="DX40" s="215">
        <v>0</v>
      </c>
      <c r="DY40" s="216">
        <f>7+1/3</f>
        <v>7.333333333333333</v>
      </c>
      <c r="DZ40" s="217">
        <v>2</v>
      </c>
      <c r="EA40" s="217">
        <v>0</v>
      </c>
      <c r="EB40" s="218">
        <f>1+2/3</f>
        <v>1.6666666666666665</v>
      </c>
      <c r="EC40" s="217">
        <v>0</v>
      </c>
      <c r="ED40" s="219">
        <v>0</v>
      </c>
      <c r="EE40" s="220">
        <v>0</v>
      </c>
      <c r="EF40" s="217">
        <v>0</v>
      </c>
      <c r="EG40" s="217">
        <v>0</v>
      </c>
      <c r="EH40" s="217">
        <v>1</v>
      </c>
      <c r="EI40" s="217">
        <v>0</v>
      </c>
      <c r="EJ40" s="217">
        <v>0</v>
      </c>
      <c r="EK40" s="217">
        <v>1</v>
      </c>
      <c r="EL40" s="217">
        <v>0</v>
      </c>
      <c r="EM40" s="217">
        <v>0</v>
      </c>
      <c r="EN40" s="217"/>
      <c r="EO40" s="217"/>
      <c r="EP40" s="217"/>
      <c r="EQ40" s="217"/>
      <c r="ER40" s="219">
        <f t="shared" si="10"/>
        <v>2</v>
      </c>
      <c r="ES40" s="217">
        <v>0</v>
      </c>
      <c r="ET40" s="217">
        <v>0</v>
      </c>
      <c r="EU40" s="217">
        <v>0</v>
      </c>
      <c r="EV40" s="217">
        <v>0</v>
      </c>
      <c r="EW40" s="217">
        <v>1</v>
      </c>
      <c r="EX40" s="217">
        <v>0</v>
      </c>
      <c r="EY40" s="217">
        <v>0</v>
      </c>
      <c r="EZ40" s="217">
        <v>0</v>
      </c>
      <c r="FA40" s="217">
        <v>0</v>
      </c>
      <c r="FB40" s="217"/>
      <c r="FC40" s="217"/>
      <c r="FD40" s="217"/>
      <c r="FE40" s="217"/>
      <c r="FF40" s="217">
        <f t="shared" si="11"/>
        <v>1</v>
      </c>
      <c r="FG40" s="221">
        <f t="shared" si="8"/>
        <v>0</v>
      </c>
      <c r="FH40" s="221">
        <f t="shared" si="9"/>
        <v>0</v>
      </c>
      <c r="FI40" s="222"/>
    </row>
    <row r="41" spans="1:165" x14ac:dyDescent="0.25">
      <c r="A41" s="204">
        <v>40389</v>
      </c>
      <c r="B41" s="204" t="s">
        <v>133</v>
      </c>
      <c r="C41" s="204" t="s">
        <v>131</v>
      </c>
      <c r="D41" s="204" t="s">
        <v>634</v>
      </c>
      <c r="E41" s="205">
        <v>2913</v>
      </c>
      <c r="F41" s="206">
        <v>5</v>
      </c>
      <c r="G41" s="207" t="s">
        <v>409</v>
      </c>
      <c r="H41" s="208">
        <v>0</v>
      </c>
      <c r="I41" s="208">
        <v>1</v>
      </c>
      <c r="J41" s="209">
        <v>4</v>
      </c>
      <c r="K41" s="208">
        <v>7</v>
      </c>
      <c r="L41" s="208">
        <v>6</v>
      </c>
      <c r="M41" s="208">
        <v>6</v>
      </c>
      <c r="N41" s="208">
        <v>0</v>
      </c>
      <c r="O41" s="208">
        <v>3</v>
      </c>
      <c r="P41" s="208">
        <v>2</v>
      </c>
      <c r="Q41" s="208">
        <v>0</v>
      </c>
      <c r="R41" s="208">
        <v>19</v>
      </c>
      <c r="S41" s="208"/>
      <c r="T41" s="208"/>
      <c r="U41" s="208">
        <v>2</v>
      </c>
      <c r="V41" s="210">
        <v>2</v>
      </c>
      <c r="W41" s="211">
        <v>0</v>
      </c>
      <c r="X41" s="211">
        <v>0</v>
      </c>
      <c r="Y41" s="211">
        <v>0</v>
      </c>
      <c r="Z41" s="211">
        <v>0</v>
      </c>
      <c r="AA41" s="211">
        <v>0</v>
      </c>
      <c r="AB41" s="212">
        <v>4</v>
      </c>
      <c r="AC41" s="211">
        <v>6</v>
      </c>
      <c r="AD41" s="211">
        <v>4</v>
      </c>
      <c r="AE41" s="211">
        <v>4</v>
      </c>
      <c r="AF41" s="211">
        <v>3</v>
      </c>
      <c r="AG41" s="211">
        <v>4</v>
      </c>
      <c r="AH41" s="211">
        <v>0</v>
      </c>
      <c r="AI41" s="211">
        <v>0</v>
      </c>
      <c r="AJ41" s="211">
        <v>21</v>
      </c>
      <c r="AK41" s="211"/>
      <c r="AL41" s="211"/>
      <c r="AM41" s="213" t="s">
        <v>282</v>
      </c>
      <c r="AN41" s="214">
        <v>4</v>
      </c>
      <c r="AO41" s="214">
        <v>0</v>
      </c>
      <c r="AP41" s="214">
        <v>0</v>
      </c>
      <c r="AQ41" s="214">
        <v>0</v>
      </c>
      <c r="AR41" s="214">
        <v>0</v>
      </c>
      <c r="AS41" s="214">
        <v>0</v>
      </c>
      <c r="AT41" s="214">
        <v>0</v>
      </c>
      <c r="AU41" s="214">
        <v>0</v>
      </c>
      <c r="AV41" s="215">
        <v>0</v>
      </c>
      <c r="AW41" s="213" t="s">
        <v>417</v>
      </c>
      <c r="AX41" s="214">
        <v>4</v>
      </c>
      <c r="AY41" s="214">
        <v>1</v>
      </c>
      <c r="AZ41" s="214">
        <v>2</v>
      </c>
      <c r="BA41" s="214">
        <v>0</v>
      </c>
      <c r="BB41" s="214">
        <v>0</v>
      </c>
      <c r="BC41" s="214">
        <v>1</v>
      </c>
      <c r="BD41" s="214">
        <v>0</v>
      </c>
      <c r="BE41" s="214">
        <v>0</v>
      </c>
      <c r="BF41" s="215">
        <v>2</v>
      </c>
      <c r="BG41" s="213" t="s">
        <v>421</v>
      </c>
      <c r="BH41" s="214">
        <v>4</v>
      </c>
      <c r="BI41" s="214">
        <v>0</v>
      </c>
      <c r="BJ41" s="214">
        <v>2</v>
      </c>
      <c r="BK41" s="214">
        <v>0</v>
      </c>
      <c r="BL41" s="214">
        <v>0</v>
      </c>
      <c r="BM41" s="214">
        <v>1</v>
      </c>
      <c r="BN41" s="214">
        <v>0</v>
      </c>
      <c r="BO41" s="214">
        <v>0</v>
      </c>
      <c r="BP41" s="215">
        <v>2</v>
      </c>
      <c r="BQ41" s="213" t="s">
        <v>422</v>
      </c>
      <c r="BR41" s="214">
        <v>4</v>
      </c>
      <c r="BS41" s="214">
        <v>0</v>
      </c>
      <c r="BT41" s="214">
        <v>1</v>
      </c>
      <c r="BU41" s="214">
        <v>1</v>
      </c>
      <c r="BV41" s="214">
        <v>0</v>
      </c>
      <c r="BW41" s="214">
        <v>1</v>
      </c>
      <c r="BX41" s="214">
        <v>0</v>
      </c>
      <c r="BY41" s="214">
        <v>0</v>
      </c>
      <c r="BZ41" s="215">
        <v>1</v>
      </c>
      <c r="CA41" s="213" t="s">
        <v>420</v>
      </c>
      <c r="CB41" s="214">
        <v>4</v>
      </c>
      <c r="CC41" s="214">
        <v>0</v>
      </c>
      <c r="CD41" s="214">
        <v>0</v>
      </c>
      <c r="CE41" s="214">
        <v>0</v>
      </c>
      <c r="CF41" s="214">
        <v>0</v>
      </c>
      <c r="CG41" s="214">
        <v>4</v>
      </c>
      <c r="CH41" s="214">
        <v>0</v>
      </c>
      <c r="CI41" s="214">
        <v>0</v>
      </c>
      <c r="CJ41" s="215">
        <v>0</v>
      </c>
      <c r="CK41" s="213" t="s">
        <v>426</v>
      </c>
      <c r="CL41" s="214">
        <v>4</v>
      </c>
      <c r="CM41" s="214">
        <v>0</v>
      </c>
      <c r="CN41" s="214">
        <v>0</v>
      </c>
      <c r="CO41" s="214">
        <v>0</v>
      </c>
      <c r="CP41" s="214">
        <v>0</v>
      </c>
      <c r="CQ41" s="214">
        <v>1</v>
      </c>
      <c r="CR41" s="214">
        <v>0</v>
      </c>
      <c r="CS41" s="214">
        <v>0</v>
      </c>
      <c r="CT41" s="215">
        <v>0</v>
      </c>
      <c r="CU41" s="213" t="s">
        <v>284</v>
      </c>
      <c r="CV41" s="214">
        <v>3</v>
      </c>
      <c r="CW41" s="214">
        <v>0</v>
      </c>
      <c r="CX41" s="214">
        <v>1</v>
      </c>
      <c r="CY41" s="214">
        <v>0</v>
      </c>
      <c r="CZ41" s="214">
        <v>0</v>
      </c>
      <c r="DA41" s="214">
        <v>1</v>
      </c>
      <c r="DB41" s="214">
        <v>0</v>
      </c>
      <c r="DC41" s="214">
        <v>0</v>
      </c>
      <c r="DD41" s="215">
        <v>1</v>
      </c>
      <c r="DE41" s="213" t="s">
        <v>285</v>
      </c>
      <c r="DF41" s="214">
        <v>3</v>
      </c>
      <c r="DG41" s="214">
        <v>0</v>
      </c>
      <c r="DH41" s="214">
        <v>1</v>
      </c>
      <c r="DI41" s="214">
        <v>0</v>
      </c>
      <c r="DJ41" s="214">
        <v>0</v>
      </c>
      <c r="DK41" s="214">
        <v>1</v>
      </c>
      <c r="DL41" s="214">
        <v>0</v>
      </c>
      <c r="DM41" s="214">
        <v>0</v>
      </c>
      <c r="DN41" s="215">
        <v>1</v>
      </c>
      <c r="DO41" s="213" t="s">
        <v>419</v>
      </c>
      <c r="DP41" s="214">
        <v>3</v>
      </c>
      <c r="DQ41" s="214">
        <v>0</v>
      </c>
      <c r="DR41" s="214">
        <v>0</v>
      </c>
      <c r="DS41" s="214">
        <v>0</v>
      </c>
      <c r="DT41" s="214">
        <v>0</v>
      </c>
      <c r="DU41" s="214">
        <v>2</v>
      </c>
      <c r="DV41" s="214">
        <v>0</v>
      </c>
      <c r="DW41" s="214">
        <v>0</v>
      </c>
      <c r="DX41" s="215">
        <v>0</v>
      </c>
      <c r="DY41" s="216">
        <f>2+1/3</f>
        <v>2.3333333333333335</v>
      </c>
      <c r="DZ41" s="217">
        <v>0</v>
      </c>
      <c r="EA41" s="217">
        <v>0</v>
      </c>
      <c r="EB41" s="218">
        <f>6+2/3</f>
        <v>6.666666666666667</v>
      </c>
      <c r="EC41" s="217">
        <v>0</v>
      </c>
      <c r="ED41" s="219">
        <v>0</v>
      </c>
      <c r="EE41" s="220">
        <v>1</v>
      </c>
      <c r="EF41" s="217">
        <v>0</v>
      </c>
      <c r="EG41" s="217">
        <v>0</v>
      </c>
      <c r="EH41" s="217">
        <v>0</v>
      </c>
      <c r="EI41" s="217">
        <v>0</v>
      </c>
      <c r="EJ41" s="217">
        <v>0</v>
      </c>
      <c r="EK41" s="217">
        <v>0</v>
      </c>
      <c r="EL41" s="217">
        <v>0</v>
      </c>
      <c r="EM41" s="217">
        <v>0</v>
      </c>
      <c r="EN41" s="217"/>
      <c r="EO41" s="217"/>
      <c r="EP41" s="217"/>
      <c r="EQ41" s="217"/>
      <c r="ER41" s="219">
        <f t="shared" si="10"/>
        <v>1</v>
      </c>
      <c r="ES41" s="217">
        <v>2</v>
      </c>
      <c r="ET41" s="217">
        <v>1</v>
      </c>
      <c r="EU41" s="217">
        <v>0</v>
      </c>
      <c r="EV41" s="217">
        <v>0</v>
      </c>
      <c r="EW41" s="217">
        <v>7</v>
      </c>
      <c r="EX41" s="217">
        <v>0</v>
      </c>
      <c r="EY41" s="217">
        <v>0</v>
      </c>
      <c r="EZ41" s="217">
        <v>0</v>
      </c>
      <c r="FA41" s="217"/>
      <c r="FB41" s="217"/>
      <c r="FC41" s="217"/>
      <c r="FD41" s="217"/>
      <c r="FE41" s="217"/>
      <c r="FF41" s="217">
        <f t="shared" si="11"/>
        <v>10</v>
      </c>
      <c r="FG41" s="221">
        <f t="shared" si="8"/>
        <v>0</v>
      </c>
      <c r="FH41" s="221">
        <f t="shared" si="9"/>
        <v>0</v>
      </c>
      <c r="FI41" s="222"/>
    </row>
    <row r="42" spans="1:165" x14ac:dyDescent="0.25">
      <c r="A42" s="53">
        <v>40390</v>
      </c>
      <c r="B42" s="53" t="s">
        <v>19</v>
      </c>
      <c r="C42" s="53" t="s">
        <v>129</v>
      </c>
      <c r="D42" s="53" t="s">
        <v>287</v>
      </c>
      <c r="E42" s="54">
        <v>4385</v>
      </c>
      <c r="F42" s="58">
        <v>1</v>
      </c>
      <c r="G42" s="59" t="s">
        <v>286</v>
      </c>
      <c r="H42" s="6">
        <v>0</v>
      </c>
      <c r="I42" s="6">
        <v>0</v>
      </c>
      <c r="J42" s="60">
        <v>5</v>
      </c>
      <c r="K42" s="6">
        <v>6</v>
      </c>
      <c r="L42" s="6">
        <v>1</v>
      </c>
      <c r="M42" s="6">
        <v>1</v>
      </c>
      <c r="N42" s="6">
        <v>2</v>
      </c>
      <c r="O42" s="6">
        <v>2</v>
      </c>
      <c r="P42" s="6">
        <v>0</v>
      </c>
      <c r="Q42" s="6">
        <v>0</v>
      </c>
      <c r="R42" s="6">
        <v>21</v>
      </c>
      <c r="S42" s="6"/>
      <c r="T42" s="6"/>
      <c r="U42" s="6">
        <v>0</v>
      </c>
      <c r="V42" s="61">
        <v>0</v>
      </c>
      <c r="W42" s="62">
        <v>1</v>
      </c>
      <c r="X42" s="62">
        <v>0</v>
      </c>
      <c r="Y42" s="62">
        <v>0</v>
      </c>
      <c r="Z42" s="62">
        <v>0</v>
      </c>
      <c r="AA42" s="62">
        <v>0</v>
      </c>
      <c r="AB42" s="63">
        <v>4</v>
      </c>
      <c r="AC42" s="62">
        <v>0</v>
      </c>
      <c r="AD42" s="62">
        <v>0</v>
      </c>
      <c r="AE42" s="62">
        <v>0</v>
      </c>
      <c r="AF42" s="62">
        <v>0</v>
      </c>
      <c r="AG42" s="62">
        <v>3</v>
      </c>
      <c r="AH42" s="62">
        <v>0</v>
      </c>
      <c r="AI42" s="62">
        <v>0</v>
      </c>
      <c r="AJ42" s="62">
        <v>12</v>
      </c>
      <c r="AK42" s="62"/>
      <c r="AL42" s="62"/>
      <c r="AM42" s="1" t="s">
        <v>282</v>
      </c>
      <c r="AN42" s="78">
        <v>4</v>
      </c>
      <c r="AO42" s="78">
        <v>0</v>
      </c>
      <c r="AP42" s="78">
        <v>0</v>
      </c>
      <c r="AQ42" s="78">
        <v>0</v>
      </c>
      <c r="AR42" s="78">
        <v>0</v>
      </c>
      <c r="AS42" s="78">
        <v>1</v>
      </c>
      <c r="AT42" s="78">
        <v>0</v>
      </c>
      <c r="AU42" s="78">
        <v>0</v>
      </c>
      <c r="AV42" s="76">
        <v>0</v>
      </c>
      <c r="AW42" s="1" t="s">
        <v>417</v>
      </c>
      <c r="AX42" s="78">
        <v>4</v>
      </c>
      <c r="AY42" s="78">
        <v>1</v>
      </c>
      <c r="AZ42" s="78">
        <v>1</v>
      </c>
      <c r="BA42" s="78">
        <v>0</v>
      </c>
      <c r="BB42" s="78">
        <v>0</v>
      </c>
      <c r="BC42" s="78">
        <v>2</v>
      </c>
      <c r="BD42" s="78">
        <v>0</v>
      </c>
      <c r="BE42" s="78">
        <v>0</v>
      </c>
      <c r="BF42" s="76">
        <v>3</v>
      </c>
      <c r="BG42" s="1" t="s">
        <v>421</v>
      </c>
      <c r="BH42" s="78">
        <v>4</v>
      </c>
      <c r="BI42" s="78">
        <v>1</v>
      </c>
      <c r="BJ42" s="78">
        <v>2</v>
      </c>
      <c r="BK42" s="78">
        <v>1</v>
      </c>
      <c r="BL42" s="78">
        <v>0</v>
      </c>
      <c r="BM42" s="78">
        <v>0</v>
      </c>
      <c r="BN42" s="78">
        <v>0</v>
      </c>
      <c r="BO42" s="78">
        <v>0</v>
      </c>
      <c r="BP42" s="76">
        <v>3</v>
      </c>
      <c r="BQ42" s="1" t="s">
        <v>422</v>
      </c>
      <c r="BR42" s="78">
        <v>4</v>
      </c>
      <c r="BS42" s="78">
        <v>0</v>
      </c>
      <c r="BT42" s="78">
        <v>1</v>
      </c>
      <c r="BU42" s="78">
        <v>0</v>
      </c>
      <c r="BV42" s="78">
        <v>0</v>
      </c>
      <c r="BW42" s="78">
        <v>2</v>
      </c>
      <c r="BX42" s="78">
        <v>0</v>
      </c>
      <c r="BY42" s="78">
        <v>0</v>
      </c>
      <c r="BZ42" s="76">
        <v>1</v>
      </c>
      <c r="CA42" s="1" t="s">
        <v>420</v>
      </c>
      <c r="CB42" s="78">
        <v>3</v>
      </c>
      <c r="CC42" s="78">
        <v>0</v>
      </c>
      <c r="CD42" s="78">
        <v>1</v>
      </c>
      <c r="CE42" s="78">
        <v>0</v>
      </c>
      <c r="CF42" s="78">
        <v>1</v>
      </c>
      <c r="CG42" s="78">
        <v>0</v>
      </c>
      <c r="CH42" s="78">
        <v>0</v>
      </c>
      <c r="CI42" s="78">
        <v>0</v>
      </c>
      <c r="CJ42" s="76">
        <v>2</v>
      </c>
      <c r="CK42" s="1" t="s">
        <v>426</v>
      </c>
      <c r="CL42" s="78">
        <v>2</v>
      </c>
      <c r="CM42" s="78">
        <v>0</v>
      </c>
      <c r="CN42" s="78">
        <v>0</v>
      </c>
      <c r="CO42" s="78">
        <v>0</v>
      </c>
      <c r="CP42" s="78">
        <v>2</v>
      </c>
      <c r="CQ42" s="78">
        <v>0</v>
      </c>
      <c r="CR42" s="78">
        <v>0</v>
      </c>
      <c r="CS42" s="78">
        <v>0</v>
      </c>
      <c r="CT42" s="76">
        <v>0</v>
      </c>
      <c r="CU42" s="1" t="s">
        <v>284</v>
      </c>
      <c r="CV42" s="78">
        <v>4</v>
      </c>
      <c r="CW42" s="78">
        <v>0</v>
      </c>
      <c r="CX42" s="78">
        <v>0</v>
      </c>
      <c r="CY42" s="78">
        <v>0</v>
      </c>
      <c r="CZ42" s="78">
        <v>0</v>
      </c>
      <c r="DA42" s="78">
        <v>2</v>
      </c>
      <c r="DB42" s="78">
        <v>0</v>
      </c>
      <c r="DC42" s="78">
        <v>0</v>
      </c>
      <c r="DD42" s="76">
        <v>0</v>
      </c>
      <c r="DE42" s="1" t="s">
        <v>418</v>
      </c>
      <c r="DF42" s="78">
        <v>3</v>
      </c>
      <c r="DG42" s="78">
        <v>0</v>
      </c>
      <c r="DH42" s="78">
        <v>1</v>
      </c>
      <c r="DI42" s="78">
        <v>0</v>
      </c>
      <c r="DJ42" s="78">
        <v>0</v>
      </c>
      <c r="DK42" s="78">
        <v>0</v>
      </c>
      <c r="DL42" s="78">
        <v>0</v>
      </c>
      <c r="DM42" s="78">
        <v>0</v>
      </c>
      <c r="DN42" s="76">
        <v>2</v>
      </c>
      <c r="DO42" s="1" t="s">
        <v>419</v>
      </c>
      <c r="DP42" s="78">
        <v>2</v>
      </c>
      <c r="DQ42" s="78">
        <v>0</v>
      </c>
      <c r="DR42" s="78">
        <v>0</v>
      </c>
      <c r="DS42" s="78">
        <v>0</v>
      </c>
      <c r="DT42" s="78">
        <v>1</v>
      </c>
      <c r="DU42" s="78">
        <v>1</v>
      </c>
      <c r="DV42" s="78">
        <v>0</v>
      </c>
      <c r="DW42" s="78">
        <v>0</v>
      </c>
      <c r="DX42" s="76">
        <v>0</v>
      </c>
      <c r="DY42" s="77">
        <v>0</v>
      </c>
      <c r="DZ42" s="43">
        <v>0</v>
      </c>
      <c r="EA42" s="43">
        <v>0</v>
      </c>
      <c r="EB42" s="45">
        <v>8</v>
      </c>
      <c r="EC42" s="43">
        <v>0</v>
      </c>
      <c r="ED42" s="44">
        <v>0</v>
      </c>
      <c r="EE42" s="71">
        <v>0</v>
      </c>
      <c r="EF42" s="43">
        <v>0</v>
      </c>
      <c r="EG42" s="43">
        <v>0</v>
      </c>
      <c r="EH42" s="43">
        <v>0</v>
      </c>
      <c r="EI42" s="43">
        <v>0</v>
      </c>
      <c r="EJ42" s="43">
        <v>2</v>
      </c>
      <c r="EK42" s="43">
        <v>0</v>
      </c>
      <c r="EL42" s="43">
        <v>0</v>
      </c>
      <c r="EM42" s="43"/>
      <c r="EN42" s="43"/>
      <c r="EO42" s="43"/>
      <c r="EP42" s="43"/>
      <c r="EQ42" s="43"/>
      <c r="ER42" s="44">
        <f t="shared" si="10"/>
        <v>2</v>
      </c>
      <c r="ES42" s="43">
        <v>1</v>
      </c>
      <c r="ET42" s="43">
        <v>0</v>
      </c>
      <c r="EU42" s="43">
        <v>0</v>
      </c>
      <c r="EV42" s="43">
        <v>0</v>
      </c>
      <c r="EW42" s="43">
        <v>0</v>
      </c>
      <c r="EX42" s="43">
        <v>0</v>
      </c>
      <c r="EY42" s="43">
        <v>0</v>
      </c>
      <c r="EZ42" s="43">
        <v>0</v>
      </c>
      <c r="FA42" s="43">
        <v>0</v>
      </c>
      <c r="FB42" s="43"/>
      <c r="FC42" s="43"/>
      <c r="FD42" s="43"/>
      <c r="FE42" s="43"/>
      <c r="FF42" s="43">
        <f t="shared" si="11"/>
        <v>1</v>
      </c>
      <c r="FG42" s="73">
        <f t="shared" ref="FG42:FG49" si="12">((SUM(L42,AD42))-(FF42))</f>
        <v>0</v>
      </c>
      <c r="FH42" s="73">
        <f t="shared" ref="FH42:FH49" si="13">((SUM(AO42,AY42,BI42,BS42,CC42,CM42,CW42,DG42,DQ42))-(ER42))</f>
        <v>0</v>
      </c>
      <c r="FI42" s="38"/>
    </row>
    <row r="43" spans="1:165" x14ac:dyDescent="0.25">
      <c r="A43" s="53">
        <v>40391</v>
      </c>
      <c r="B43" s="53" t="s">
        <v>19</v>
      </c>
      <c r="C43" s="53" t="s">
        <v>129</v>
      </c>
      <c r="D43" s="53" t="s">
        <v>287</v>
      </c>
      <c r="E43" s="54">
        <v>4007</v>
      </c>
      <c r="F43" s="58">
        <v>2</v>
      </c>
      <c r="G43" s="59" t="s">
        <v>522</v>
      </c>
      <c r="H43" s="6">
        <v>0</v>
      </c>
      <c r="I43" s="6">
        <v>0</v>
      </c>
      <c r="J43" s="60">
        <f>4+2/3</f>
        <v>4.666666666666667</v>
      </c>
      <c r="K43" s="6">
        <v>4</v>
      </c>
      <c r="L43" s="6">
        <v>4</v>
      </c>
      <c r="M43" s="6">
        <v>3</v>
      </c>
      <c r="N43" s="6">
        <v>2</v>
      </c>
      <c r="O43" s="6">
        <v>4</v>
      </c>
      <c r="P43" s="6">
        <v>0</v>
      </c>
      <c r="Q43" s="6">
        <v>0</v>
      </c>
      <c r="R43" s="6">
        <v>20</v>
      </c>
      <c r="S43" s="6"/>
      <c r="T43" s="6"/>
      <c r="U43" s="6">
        <v>2</v>
      </c>
      <c r="V43" s="61">
        <v>1</v>
      </c>
      <c r="W43" s="62">
        <v>1</v>
      </c>
      <c r="X43" s="62">
        <v>0</v>
      </c>
      <c r="Y43" s="62">
        <v>0</v>
      </c>
      <c r="Z43" s="62">
        <v>0</v>
      </c>
      <c r="AA43" s="62">
        <v>0</v>
      </c>
      <c r="AB43" s="63">
        <f>4+1/3</f>
        <v>4.333333333333333</v>
      </c>
      <c r="AC43" s="62">
        <v>2</v>
      </c>
      <c r="AD43" s="62">
        <v>0</v>
      </c>
      <c r="AE43" s="62">
        <v>0</v>
      </c>
      <c r="AF43" s="62">
        <v>0</v>
      </c>
      <c r="AG43" s="62">
        <v>7</v>
      </c>
      <c r="AH43" s="62">
        <v>0</v>
      </c>
      <c r="AI43" s="62">
        <v>0</v>
      </c>
      <c r="AJ43" s="62">
        <v>16</v>
      </c>
      <c r="AK43" s="62"/>
      <c r="AL43" s="62"/>
      <c r="AM43" s="1" t="s">
        <v>282</v>
      </c>
      <c r="AN43" s="78">
        <v>4</v>
      </c>
      <c r="AO43" s="78">
        <v>1</v>
      </c>
      <c r="AP43" s="78">
        <v>2</v>
      </c>
      <c r="AQ43" s="78">
        <v>1</v>
      </c>
      <c r="AR43" s="78">
        <v>2</v>
      </c>
      <c r="AS43" s="78">
        <v>0</v>
      </c>
      <c r="AT43" s="78">
        <v>0</v>
      </c>
      <c r="AU43" s="78">
        <v>0</v>
      </c>
      <c r="AV43" s="76">
        <v>2</v>
      </c>
      <c r="AW43" s="1" t="s">
        <v>417</v>
      </c>
      <c r="AX43" s="78">
        <v>4</v>
      </c>
      <c r="AY43" s="78">
        <v>3</v>
      </c>
      <c r="AZ43" s="78">
        <v>3</v>
      </c>
      <c r="BA43" s="78">
        <v>3</v>
      </c>
      <c r="BB43" s="78">
        <v>1</v>
      </c>
      <c r="BC43" s="78">
        <v>0</v>
      </c>
      <c r="BD43" s="78">
        <v>0</v>
      </c>
      <c r="BE43" s="78">
        <v>1</v>
      </c>
      <c r="BF43" s="76">
        <v>7</v>
      </c>
      <c r="BG43" s="1" t="s">
        <v>421</v>
      </c>
      <c r="BH43" s="78">
        <v>2</v>
      </c>
      <c r="BI43" s="78">
        <v>0</v>
      </c>
      <c r="BJ43" s="78">
        <v>1</v>
      </c>
      <c r="BK43" s="78">
        <v>2</v>
      </c>
      <c r="BL43" s="78">
        <v>2</v>
      </c>
      <c r="BM43" s="78">
        <v>0</v>
      </c>
      <c r="BN43" s="78">
        <v>1</v>
      </c>
      <c r="BO43" s="78">
        <v>0</v>
      </c>
      <c r="BP43" s="76">
        <v>1</v>
      </c>
      <c r="BQ43" s="1" t="s">
        <v>422</v>
      </c>
      <c r="BR43" s="78">
        <v>5</v>
      </c>
      <c r="BS43" s="78">
        <v>1</v>
      </c>
      <c r="BT43" s="78">
        <v>1</v>
      </c>
      <c r="BU43" s="78">
        <v>0</v>
      </c>
      <c r="BV43" s="78">
        <v>0</v>
      </c>
      <c r="BW43" s="78">
        <v>1</v>
      </c>
      <c r="BX43" s="78">
        <v>0</v>
      </c>
      <c r="BY43" s="78">
        <v>0</v>
      </c>
      <c r="BZ43" s="76">
        <v>1</v>
      </c>
      <c r="CA43" s="1" t="s">
        <v>420</v>
      </c>
      <c r="CB43" s="78">
        <v>4</v>
      </c>
      <c r="CC43" s="78">
        <v>0</v>
      </c>
      <c r="CD43" s="78">
        <v>1</v>
      </c>
      <c r="CE43" s="78">
        <v>1</v>
      </c>
      <c r="CF43" s="78">
        <v>0</v>
      </c>
      <c r="CG43" s="78">
        <v>1</v>
      </c>
      <c r="CH43" s="78">
        <v>0</v>
      </c>
      <c r="CI43" s="78">
        <v>1</v>
      </c>
      <c r="CJ43" s="76">
        <v>1</v>
      </c>
      <c r="CK43" s="1" t="s">
        <v>418</v>
      </c>
      <c r="CL43" s="78">
        <v>5</v>
      </c>
      <c r="CM43" s="78">
        <v>2</v>
      </c>
      <c r="CN43" s="78">
        <v>2</v>
      </c>
      <c r="CO43" s="78">
        <v>1</v>
      </c>
      <c r="CP43" s="78">
        <v>0</v>
      </c>
      <c r="CQ43" s="78">
        <v>3</v>
      </c>
      <c r="CR43" s="78">
        <v>0</v>
      </c>
      <c r="CS43" s="78">
        <v>0</v>
      </c>
      <c r="CT43" s="76">
        <v>2</v>
      </c>
      <c r="CU43" s="1" t="s">
        <v>284</v>
      </c>
      <c r="CV43" s="78">
        <v>5</v>
      </c>
      <c r="CW43" s="78">
        <v>1</v>
      </c>
      <c r="CX43" s="78">
        <v>2</v>
      </c>
      <c r="CY43" s="78">
        <v>1</v>
      </c>
      <c r="CZ43" s="78">
        <v>0</v>
      </c>
      <c r="DA43" s="78">
        <v>1</v>
      </c>
      <c r="DB43" s="78">
        <v>0</v>
      </c>
      <c r="DC43" s="78">
        <v>0</v>
      </c>
      <c r="DD43" s="76">
        <v>4</v>
      </c>
      <c r="DE43" s="1" t="s">
        <v>424</v>
      </c>
      <c r="DF43" s="78">
        <v>4</v>
      </c>
      <c r="DG43" s="78">
        <v>3</v>
      </c>
      <c r="DH43" s="78">
        <v>3</v>
      </c>
      <c r="DI43" s="78">
        <v>2</v>
      </c>
      <c r="DJ43" s="78">
        <v>1</v>
      </c>
      <c r="DK43" s="78">
        <v>0</v>
      </c>
      <c r="DL43" s="78">
        <v>0</v>
      </c>
      <c r="DM43" s="78">
        <v>0</v>
      </c>
      <c r="DN43" s="76">
        <v>4</v>
      </c>
      <c r="DO43" s="1" t="s">
        <v>416</v>
      </c>
      <c r="DP43" s="78">
        <v>4</v>
      </c>
      <c r="DQ43" s="78">
        <v>1</v>
      </c>
      <c r="DR43" s="78">
        <v>1</v>
      </c>
      <c r="DS43" s="78">
        <v>0</v>
      </c>
      <c r="DT43" s="78">
        <v>1</v>
      </c>
      <c r="DU43" s="78">
        <v>1</v>
      </c>
      <c r="DV43" s="78">
        <v>0</v>
      </c>
      <c r="DW43" s="78">
        <v>0</v>
      </c>
      <c r="DX43" s="76">
        <v>1</v>
      </c>
      <c r="DY43" s="77">
        <v>6</v>
      </c>
      <c r="DZ43" s="43">
        <v>0</v>
      </c>
      <c r="EA43" s="43">
        <v>0</v>
      </c>
      <c r="EB43" s="45">
        <v>2</v>
      </c>
      <c r="EC43" s="43">
        <v>1</v>
      </c>
      <c r="ED43" s="44">
        <v>0</v>
      </c>
      <c r="EE43" s="71">
        <v>1</v>
      </c>
      <c r="EF43" s="43">
        <v>3</v>
      </c>
      <c r="EG43" s="43">
        <v>0</v>
      </c>
      <c r="EH43" s="43">
        <v>0</v>
      </c>
      <c r="EI43" s="43">
        <v>1</v>
      </c>
      <c r="EJ43" s="43">
        <v>4</v>
      </c>
      <c r="EK43" s="43">
        <v>1</v>
      </c>
      <c r="EL43" s="43">
        <v>2</v>
      </c>
      <c r="EM43" s="43"/>
      <c r="EN43" s="43"/>
      <c r="EO43" s="43"/>
      <c r="EP43" s="43"/>
      <c r="EQ43" s="43"/>
      <c r="ER43" s="44">
        <f t="shared" si="10"/>
        <v>12</v>
      </c>
      <c r="ES43" s="43">
        <v>0</v>
      </c>
      <c r="ET43" s="43">
        <v>0</v>
      </c>
      <c r="EU43" s="43">
        <v>0</v>
      </c>
      <c r="EV43" s="43">
        <v>0</v>
      </c>
      <c r="EW43" s="43">
        <v>4</v>
      </c>
      <c r="EX43" s="43">
        <v>0</v>
      </c>
      <c r="EY43" s="43">
        <v>0</v>
      </c>
      <c r="EZ43" s="43">
        <v>0</v>
      </c>
      <c r="FA43" s="43">
        <v>0</v>
      </c>
      <c r="FB43" s="43"/>
      <c r="FC43" s="43"/>
      <c r="FD43" s="43"/>
      <c r="FE43" s="43"/>
      <c r="FF43" s="43">
        <f t="shared" si="11"/>
        <v>4</v>
      </c>
      <c r="FG43" s="73">
        <f t="shared" si="12"/>
        <v>0</v>
      </c>
      <c r="FH43" s="73">
        <f t="shared" si="13"/>
        <v>0</v>
      </c>
      <c r="FI43" s="38"/>
    </row>
    <row r="44" spans="1:165" x14ac:dyDescent="0.25">
      <c r="A44" s="325">
        <v>40392</v>
      </c>
      <c r="B44" s="325" t="s">
        <v>133</v>
      </c>
      <c r="C44" s="325" t="s">
        <v>129</v>
      </c>
      <c r="D44" s="325" t="s">
        <v>288</v>
      </c>
      <c r="E44" s="322">
        <v>5693</v>
      </c>
      <c r="F44" s="307">
        <v>3</v>
      </c>
      <c r="G44" s="308" t="s">
        <v>411</v>
      </c>
      <c r="H44" s="309">
        <v>1</v>
      </c>
      <c r="I44" s="309">
        <v>0</v>
      </c>
      <c r="J44" s="310">
        <v>5</v>
      </c>
      <c r="K44" s="309">
        <v>3</v>
      </c>
      <c r="L44" s="309">
        <v>1</v>
      </c>
      <c r="M44" s="309">
        <v>0</v>
      </c>
      <c r="N44" s="309">
        <v>2</v>
      </c>
      <c r="O44" s="309">
        <v>2</v>
      </c>
      <c r="P44" s="309">
        <v>0</v>
      </c>
      <c r="Q44" s="309">
        <v>1</v>
      </c>
      <c r="R44" s="309">
        <v>19</v>
      </c>
      <c r="S44" s="309"/>
      <c r="T44" s="309"/>
      <c r="U44" s="309">
        <v>0</v>
      </c>
      <c r="V44" s="311">
        <v>0</v>
      </c>
      <c r="W44" s="323">
        <v>0</v>
      </c>
      <c r="X44" s="323">
        <v>0</v>
      </c>
      <c r="Y44" s="323">
        <v>2</v>
      </c>
      <c r="Z44" s="323">
        <v>1</v>
      </c>
      <c r="AA44" s="323">
        <v>0</v>
      </c>
      <c r="AB44" s="324">
        <v>4</v>
      </c>
      <c r="AC44" s="323">
        <v>4</v>
      </c>
      <c r="AD44" s="323">
        <v>1</v>
      </c>
      <c r="AE44" s="323">
        <v>0</v>
      </c>
      <c r="AF44" s="323">
        <v>2</v>
      </c>
      <c r="AG44" s="323">
        <v>5</v>
      </c>
      <c r="AH44" s="323">
        <v>0</v>
      </c>
      <c r="AI44" s="323">
        <v>0</v>
      </c>
      <c r="AJ44" s="323">
        <v>18</v>
      </c>
      <c r="AK44" s="323"/>
      <c r="AL44" s="323"/>
      <c r="AM44" s="312" t="s">
        <v>282</v>
      </c>
      <c r="AN44" s="313">
        <v>4</v>
      </c>
      <c r="AO44" s="313">
        <v>0</v>
      </c>
      <c r="AP44" s="313">
        <v>2</v>
      </c>
      <c r="AQ44" s="313">
        <v>0</v>
      </c>
      <c r="AR44" s="313">
        <v>0</v>
      </c>
      <c r="AS44" s="313">
        <v>0</v>
      </c>
      <c r="AT44" s="313">
        <v>0</v>
      </c>
      <c r="AU44" s="313">
        <v>0</v>
      </c>
      <c r="AV44" s="314">
        <v>3</v>
      </c>
      <c r="AW44" s="312" t="s">
        <v>285</v>
      </c>
      <c r="AX44" s="313">
        <v>5</v>
      </c>
      <c r="AY44" s="313">
        <v>0</v>
      </c>
      <c r="AZ44" s="313">
        <v>0</v>
      </c>
      <c r="BA44" s="313">
        <v>0</v>
      </c>
      <c r="BB44" s="313">
        <v>0</v>
      </c>
      <c r="BC44" s="313">
        <v>1</v>
      </c>
      <c r="BD44" s="313">
        <v>0</v>
      </c>
      <c r="BE44" s="313">
        <v>0</v>
      </c>
      <c r="BF44" s="314">
        <v>0</v>
      </c>
      <c r="BG44" s="312" t="s">
        <v>421</v>
      </c>
      <c r="BH44" s="313">
        <v>4</v>
      </c>
      <c r="BI44" s="313">
        <v>0</v>
      </c>
      <c r="BJ44" s="313">
        <v>1</v>
      </c>
      <c r="BK44" s="313">
        <v>0</v>
      </c>
      <c r="BL44" s="313">
        <v>0</v>
      </c>
      <c r="BM44" s="313">
        <v>2</v>
      </c>
      <c r="BN44" s="313">
        <v>0</v>
      </c>
      <c r="BO44" s="313">
        <v>0</v>
      </c>
      <c r="BP44" s="314">
        <v>1</v>
      </c>
      <c r="BQ44" s="312" t="s">
        <v>422</v>
      </c>
      <c r="BR44" s="313">
        <v>4</v>
      </c>
      <c r="BS44" s="313">
        <v>0</v>
      </c>
      <c r="BT44" s="313">
        <v>0</v>
      </c>
      <c r="BU44" s="313">
        <v>0</v>
      </c>
      <c r="BV44" s="313">
        <v>0</v>
      </c>
      <c r="BW44" s="313">
        <v>0</v>
      </c>
      <c r="BX44" s="313">
        <v>0</v>
      </c>
      <c r="BY44" s="313">
        <v>0</v>
      </c>
      <c r="BZ44" s="314">
        <v>0</v>
      </c>
      <c r="CA44" s="312" t="s">
        <v>420</v>
      </c>
      <c r="CB44" s="313">
        <v>4</v>
      </c>
      <c r="CC44" s="313">
        <v>1</v>
      </c>
      <c r="CD44" s="313">
        <v>3</v>
      </c>
      <c r="CE44" s="313">
        <v>0</v>
      </c>
      <c r="CF44" s="313">
        <v>0</v>
      </c>
      <c r="CG44" s="313">
        <v>0</v>
      </c>
      <c r="CH44" s="313">
        <v>0</v>
      </c>
      <c r="CI44" s="313">
        <v>0</v>
      </c>
      <c r="CJ44" s="314">
        <v>3</v>
      </c>
      <c r="CK44" s="312" t="s">
        <v>426</v>
      </c>
      <c r="CL44" s="313">
        <v>4</v>
      </c>
      <c r="CM44" s="313">
        <v>1</v>
      </c>
      <c r="CN44" s="313">
        <v>1</v>
      </c>
      <c r="CO44" s="313">
        <v>2</v>
      </c>
      <c r="CP44" s="313">
        <v>0</v>
      </c>
      <c r="CQ44" s="313">
        <v>1</v>
      </c>
      <c r="CR44" s="313">
        <v>0</v>
      </c>
      <c r="CS44" s="313">
        <v>0</v>
      </c>
      <c r="CT44" s="314">
        <v>4</v>
      </c>
      <c r="CU44" s="312" t="s">
        <v>284</v>
      </c>
      <c r="CV44" s="313">
        <v>4</v>
      </c>
      <c r="CW44" s="313">
        <v>0</v>
      </c>
      <c r="CX44" s="313">
        <v>1</v>
      </c>
      <c r="CY44" s="313">
        <v>0</v>
      </c>
      <c r="CZ44" s="313">
        <v>0</v>
      </c>
      <c r="DA44" s="313">
        <v>3</v>
      </c>
      <c r="DB44" s="313">
        <v>0</v>
      </c>
      <c r="DC44" s="313">
        <v>0</v>
      </c>
      <c r="DD44" s="314">
        <v>1</v>
      </c>
      <c r="DE44" s="312" t="s">
        <v>418</v>
      </c>
      <c r="DF44" s="313">
        <v>3</v>
      </c>
      <c r="DG44" s="313">
        <v>1</v>
      </c>
      <c r="DH44" s="313">
        <v>1</v>
      </c>
      <c r="DI44" s="313">
        <v>0</v>
      </c>
      <c r="DJ44" s="313">
        <v>1</v>
      </c>
      <c r="DK44" s="313">
        <v>0</v>
      </c>
      <c r="DL44" s="313">
        <v>0</v>
      </c>
      <c r="DM44" s="313">
        <v>0</v>
      </c>
      <c r="DN44" s="314">
        <v>1</v>
      </c>
      <c r="DO44" s="312" t="s">
        <v>419</v>
      </c>
      <c r="DP44" s="313">
        <v>4</v>
      </c>
      <c r="DQ44" s="313">
        <v>0</v>
      </c>
      <c r="DR44" s="313">
        <v>1</v>
      </c>
      <c r="DS44" s="313">
        <v>0</v>
      </c>
      <c r="DT44" s="313">
        <v>0</v>
      </c>
      <c r="DU44" s="313">
        <v>0</v>
      </c>
      <c r="DV44" s="313">
        <v>0</v>
      </c>
      <c r="DW44" s="313">
        <v>0</v>
      </c>
      <c r="DX44" s="314">
        <v>1</v>
      </c>
      <c r="DY44" s="315">
        <v>0</v>
      </c>
      <c r="DZ44" s="316">
        <v>0</v>
      </c>
      <c r="EA44" s="316">
        <v>0</v>
      </c>
      <c r="EB44" s="317">
        <v>9</v>
      </c>
      <c r="EC44" s="316">
        <v>0</v>
      </c>
      <c r="ED44" s="318">
        <v>0</v>
      </c>
      <c r="EE44" s="319">
        <v>0</v>
      </c>
      <c r="EF44" s="316">
        <v>0</v>
      </c>
      <c r="EG44" s="316">
        <v>0</v>
      </c>
      <c r="EH44" s="316">
        <v>0</v>
      </c>
      <c r="EI44" s="316">
        <v>0</v>
      </c>
      <c r="EJ44" s="316">
        <v>2</v>
      </c>
      <c r="EK44" s="316">
        <v>1</v>
      </c>
      <c r="EL44" s="316">
        <v>0</v>
      </c>
      <c r="EM44" s="316">
        <v>0</v>
      </c>
      <c r="EN44" s="316"/>
      <c r="EO44" s="316"/>
      <c r="EP44" s="316"/>
      <c r="EQ44" s="316"/>
      <c r="ER44" s="318">
        <f t="shared" si="10"/>
        <v>3</v>
      </c>
      <c r="ES44" s="316">
        <v>0</v>
      </c>
      <c r="ET44" s="316">
        <v>0</v>
      </c>
      <c r="EU44" s="316">
        <v>1</v>
      </c>
      <c r="EV44" s="316">
        <v>0</v>
      </c>
      <c r="EW44" s="316">
        <v>0</v>
      </c>
      <c r="EX44" s="316">
        <v>0</v>
      </c>
      <c r="EY44" s="316">
        <v>0</v>
      </c>
      <c r="EZ44" s="316">
        <v>0</v>
      </c>
      <c r="FA44" s="316">
        <v>1</v>
      </c>
      <c r="FB44" s="316"/>
      <c r="FC44" s="316"/>
      <c r="FD44" s="316"/>
      <c r="FE44" s="316"/>
      <c r="FF44" s="316">
        <f t="shared" si="11"/>
        <v>2</v>
      </c>
      <c r="FG44" s="320">
        <f t="shared" si="12"/>
        <v>0</v>
      </c>
      <c r="FH44" s="320">
        <f t="shared" si="13"/>
        <v>0</v>
      </c>
      <c r="FI44" s="321"/>
    </row>
    <row r="45" spans="1:165" x14ac:dyDescent="0.25">
      <c r="A45" s="325">
        <v>40393</v>
      </c>
      <c r="B45" s="325" t="s">
        <v>19</v>
      </c>
      <c r="C45" s="325" t="s">
        <v>129</v>
      </c>
      <c r="D45" s="325" t="s">
        <v>288</v>
      </c>
      <c r="E45" s="322">
        <v>4164</v>
      </c>
      <c r="F45" s="307">
        <v>4</v>
      </c>
      <c r="G45" s="308" t="s">
        <v>556</v>
      </c>
      <c r="H45" s="309">
        <v>1</v>
      </c>
      <c r="I45" s="309">
        <v>0</v>
      </c>
      <c r="J45" s="310">
        <v>5</v>
      </c>
      <c r="K45" s="309">
        <v>2</v>
      </c>
      <c r="L45" s="309">
        <v>0</v>
      </c>
      <c r="M45" s="309">
        <v>0</v>
      </c>
      <c r="N45" s="309">
        <v>0</v>
      </c>
      <c r="O45" s="309">
        <v>3</v>
      </c>
      <c r="P45" s="309">
        <v>0</v>
      </c>
      <c r="Q45" s="309">
        <v>0</v>
      </c>
      <c r="R45" s="309">
        <v>17</v>
      </c>
      <c r="S45" s="309"/>
      <c r="T45" s="309"/>
      <c r="U45" s="309">
        <v>0</v>
      </c>
      <c r="V45" s="311">
        <v>0</v>
      </c>
      <c r="W45" s="323">
        <v>0</v>
      </c>
      <c r="X45" s="323">
        <v>0</v>
      </c>
      <c r="Y45" s="323">
        <v>1</v>
      </c>
      <c r="Z45" s="323">
        <v>0</v>
      </c>
      <c r="AA45" s="323">
        <v>0</v>
      </c>
      <c r="AB45" s="324">
        <v>4</v>
      </c>
      <c r="AC45" s="323">
        <v>4</v>
      </c>
      <c r="AD45" s="323">
        <v>1</v>
      </c>
      <c r="AE45" s="323">
        <v>1</v>
      </c>
      <c r="AF45" s="323">
        <v>1</v>
      </c>
      <c r="AG45" s="323">
        <v>2</v>
      </c>
      <c r="AH45" s="323">
        <v>1</v>
      </c>
      <c r="AI45" s="323">
        <v>0</v>
      </c>
      <c r="AJ45" s="323">
        <v>16</v>
      </c>
      <c r="AK45" s="323"/>
      <c r="AL45" s="323"/>
      <c r="AM45" s="312" t="s">
        <v>282</v>
      </c>
      <c r="AN45" s="313">
        <v>4</v>
      </c>
      <c r="AO45" s="313">
        <v>1</v>
      </c>
      <c r="AP45" s="313">
        <v>2</v>
      </c>
      <c r="AQ45" s="313">
        <v>1</v>
      </c>
      <c r="AR45" s="313">
        <v>1</v>
      </c>
      <c r="AS45" s="313">
        <v>0</v>
      </c>
      <c r="AT45" s="313">
        <v>0</v>
      </c>
      <c r="AU45" s="313">
        <v>0</v>
      </c>
      <c r="AV45" s="314">
        <v>2</v>
      </c>
      <c r="AW45" s="312" t="s">
        <v>285</v>
      </c>
      <c r="AX45" s="313">
        <v>4</v>
      </c>
      <c r="AY45" s="313">
        <v>1</v>
      </c>
      <c r="AZ45" s="313">
        <v>3</v>
      </c>
      <c r="BA45" s="313">
        <v>4</v>
      </c>
      <c r="BB45" s="313">
        <v>0</v>
      </c>
      <c r="BC45" s="313">
        <v>1</v>
      </c>
      <c r="BD45" s="313">
        <v>0</v>
      </c>
      <c r="BE45" s="313">
        <v>1</v>
      </c>
      <c r="BF45" s="314">
        <v>5</v>
      </c>
      <c r="BG45" s="312" t="s">
        <v>421</v>
      </c>
      <c r="BH45" s="313">
        <v>5</v>
      </c>
      <c r="BI45" s="313">
        <v>1</v>
      </c>
      <c r="BJ45" s="313">
        <v>2</v>
      </c>
      <c r="BK45" s="313">
        <v>0</v>
      </c>
      <c r="BL45" s="313">
        <v>0</v>
      </c>
      <c r="BM45" s="313">
        <v>0</v>
      </c>
      <c r="BN45" s="313">
        <v>0</v>
      </c>
      <c r="BO45" s="313">
        <v>0</v>
      </c>
      <c r="BP45" s="314">
        <v>2</v>
      </c>
      <c r="BQ45" s="312" t="s">
        <v>422</v>
      </c>
      <c r="BR45" s="313">
        <v>4</v>
      </c>
      <c r="BS45" s="313">
        <v>0</v>
      </c>
      <c r="BT45" s="313">
        <v>1</v>
      </c>
      <c r="BU45" s="313">
        <v>1</v>
      </c>
      <c r="BV45" s="313">
        <v>0</v>
      </c>
      <c r="BW45" s="313">
        <v>1</v>
      </c>
      <c r="BX45" s="313">
        <v>0</v>
      </c>
      <c r="BY45" s="313">
        <v>1</v>
      </c>
      <c r="BZ45" s="314">
        <v>1</v>
      </c>
      <c r="CA45" s="312" t="s">
        <v>420</v>
      </c>
      <c r="CB45" s="313">
        <v>5</v>
      </c>
      <c r="CC45" s="313">
        <v>0</v>
      </c>
      <c r="CD45" s="313">
        <v>2</v>
      </c>
      <c r="CE45" s="313">
        <v>1</v>
      </c>
      <c r="CF45" s="313">
        <v>0</v>
      </c>
      <c r="CG45" s="313">
        <v>1</v>
      </c>
      <c r="CH45" s="313">
        <v>0</v>
      </c>
      <c r="CI45" s="313">
        <v>0</v>
      </c>
      <c r="CJ45" s="314">
        <v>3</v>
      </c>
      <c r="CK45" s="312" t="s">
        <v>426</v>
      </c>
      <c r="CL45" s="313">
        <v>4</v>
      </c>
      <c r="CM45" s="313">
        <v>0</v>
      </c>
      <c r="CN45" s="313">
        <v>0</v>
      </c>
      <c r="CO45" s="313">
        <v>0</v>
      </c>
      <c r="CP45" s="313">
        <v>0</v>
      </c>
      <c r="CQ45" s="313">
        <v>1</v>
      </c>
      <c r="CR45" s="313">
        <v>0</v>
      </c>
      <c r="CS45" s="313">
        <v>0</v>
      </c>
      <c r="CT45" s="314">
        <v>0</v>
      </c>
      <c r="CU45" s="312" t="s">
        <v>284</v>
      </c>
      <c r="CV45" s="313">
        <v>3</v>
      </c>
      <c r="CW45" s="313">
        <v>2</v>
      </c>
      <c r="CX45" s="313">
        <v>1</v>
      </c>
      <c r="CY45" s="313">
        <v>1</v>
      </c>
      <c r="CZ45" s="313">
        <v>1</v>
      </c>
      <c r="DA45" s="313">
        <v>0</v>
      </c>
      <c r="DB45" s="313">
        <v>0</v>
      </c>
      <c r="DC45" s="313">
        <v>0</v>
      </c>
      <c r="DD45" s="314">
        <v>4</v>
      </c>
      <c r="DE45" s="312" t="s">
        <v>416</v>
      </c>
      <c r="DF45" s="313">
        <v>3</v>
      </c>
      <c r="DG45" s="313">
        <v>2</v>
      </c>
      <c r="DH45" s="313">
        <v>1</v>
      </c>
      <c r="DI45" s="313">
        <v>0</v>
      </c>
      <c r="DJ45" s="313">
        <v>1</v>
      </c>
      <c r="DK45" s="313">
        <v>1</v>
      </c>
      <c r="DL45" s="313">
        <v>0</v>
      </c>
      <c r="DM45" s="313">
        <v>0</v>
      </c>
      <c r="DN45" s="314">
        <v>1</v>
      </c>
      <c r="DO45" s="312" t="s">
        <v>419</v>
      </c>
      <c r="DP45" s="313">
        <v>3</v>
      </c>
      <c r="DQ45" s="313">
        <v>2</v>
      </c>
      <c r="DR45" s="313">
        <v>2</v>
      </c>
      <c r="DS45" s="313">
        <v>0</v>
      </c>
      <c r="DT45" s="313">
        <v>0</v>
      </c>
      <c r="DU45" s="313">
        <v>1</v>
      </c>
      <c r="DV45" s="313">
        <v>1</v>
      </c>
      <c r="DW45" s="313">
        <v>0</v>
      </c>
      <c r="DX45" s="314">
        <v>2</v>
      </c>
      <c r="DY45" s="315">
        <v>7</v>
      </c>
      <c r="DZ45" s="316">
        <v>0</v>
      </c>
      <c r="EA45" s="316">
        <v>0</v>
      </c>
      <c r="EB45" s="317">
        <v>1</v>
      </c>
      <c r="EC45" s="316">
        <v>1</v>
      </c>
      <c r="ED45" s="318">
        <v>0</v>
      </c>
      <c r="EE45" s="319">
        <v>1</v>
      </c>
      <c r="EF45" s="316">
        <v>0</v>
      </c>
      <c r="EG45" s="316">
        <v>1</v>
      </c>
      <c r="EH45" s="316">
        <v>2</v>
      </c>
      <c r="EI45" s="316">
        <v>0</v>
      </c>
      <c r="EJ45" s="316">
        <v>0</v>
      </c>
      <c r="EK45" s="316">
        <v>1</v>
      </c>
      <c r="EL45" s="316">
        <v>4</v>
      </c>
      <c r="EM45" s="316"/>
      <c r="EN45" s="316"/>
      <c r="EO45" s="316"/>
      <c r="EP45" s="316"/>
      <c r="EQ45" s="316"/>
      <c r="ER45" s="318">
        <f t="shared" si="10"/>
        <v>9</v>
      </c>
      <c r="ES45" s="316">
        <v>0</v>
      </c>
      <c r="ET45" s="316">
        <v>0</v>
      </c>
      <c r="EU45" s="316">
        <v>0</v>
      </c>
      <c r="EV45" s="316">
        <v>0</v>
      </c>
      <c r="EW45" s="316">
        <v>0</v>
      </c>
      <c r="EX45" s="316">
        <v>0</v>
      </c>
      <c r="EY45" s="316">
        <v>0</v>
      </c>
      <c r="EZ45" s="316">
        <v>1</v>
      </c>
      <c r="FA45" s="316">
        <v>0</v>
      </c>
      <c r="FB45" s="316"/>
      <c r="FC45" s="316"/>
      <c r="FD45" s="316"/>
      <c r="FE45" s="316"/>
      <c r="FF45" s="316">
        <f t="shared" si="11"/>
        <v>1</v>
      </c>
      <c r="FG45" s="320">
        <f t="shared" si="12"/>
        <v>0</v>
      </c>
      <c r="FH45" s="320">
        <f t="shared" si="13"/>
        <v>0</v>
      </c>
      <c r="FI45" s="321"/>
    </row>
    <row r="46" spans="1:165" x14ac:dyDescent="0.25">
      <c r="A46" s="325">
        <v>40394</v>
      </c>
      <c r="B46" s="325" t="s">
        <v>133</v>
      </c>
      <c r="C46" s="325" t="s">
        <v>131</v>
      </c>
      <c r="D46" s="325" t="s">
        <v>555</v>
      </c>
      <c r="E46" s="322">
        <v>899</v>
      </c>
      <c r="F46" s="307">
        <v>5</v>
      </c>
      <c r="G46" s="308" t="s">
        <v>409</v>
      </c>
      <c r="H46" s="309">
        <v>0</v>
      </c>
      <c r="I46" s="309">
        <v>1</v>
      </c>
      <c r="J46" s="310">
        <f>4+1/3</f>
        <v>4.333333333333333</v>
      </c>
      <c r="K46" s="309">
        <v>5</v>
      </c>
      <c r="L46" s="309">
        <v>2</v>
      </c>
      <c r="M46" s="309">
        <v>2</v>
      </c>
      <c r="N46" s="309">
        <v>1</v>
      </c>
      <c r="O46" s="309">
        <v>3</v>
      </c>
      <c r="P46" s="309">
        <v>0</v>
      </c>
      <c r="Q46" s="309">
        <v>0</v>
      </c>
      <c r="R46" s="309">
        <v>18</v>
      </c>
      <c r="S46" s="309"/>
      <c r="T46" s="309"/>
      <c r="U46" s="309">
        <v>2</v>
      </c>
      <c r="V46" s="311">
        <v>0</v>
      </c>
      <c r="W46" s="323">
        <v>0</v>
      </c>
      <c r="X46" s="323">
        <v>0</v>
      </c>
      <c r="Y46" s="323">
        <v>0</v>
      </c>
      <c r="Z46" s="323">
        <v>0</v>
      </c>
      <c r="AA46" s="323">
        <v>0</v>
      </c>
      <c r="AB46" s="324">
        <f>1+2/3</f>
        <v>1.6666666666666665</v>
      </c>
      <c r="AC46" s="323">
        <v>0</v>
      </c>
      <c r="AD46" s="323">
        <v>0</v>
      </c>
      <c r="AE46" s="323">
        <v>0</v>
      </c>
      <c r="AF46" s="323">
        <v>0</v>
      </c>
      <c r="AG46" s="323">
        <v>3</v>
      </c>
      <c r="AH46" s="323">
        <v>0</v>
      </c>
      <c r="AI46" s="323">
        <v>0</v>
      </c>
      <c r="AJ46" s="323">
        <v>5</v>
      </c>
      <c r="AK46" s="323"/>
      <c r="AL46" s="323"/>
      <c r="AM46" s="312" t="s">
        <v>282</v>
      </c>
      <c r="AN46" s="313">
        <v>2</v>
      </c>
      <c r="AO46" s="313">
        <v>0</v>
      </c>
      <c r="AP46" s="313">
        <v>1</v>
      </c>
      <c r="AQ46" s="313">
        <v>0</v>
      </c>
      <c r="AR46" s="313">
        <v>1</v>
      </c>
      <c r="AS46" s="313">
        <v>0</v>
      </c>
      <c r="AT46" s="313">
        <v>0</v>
      </c>
      <c r="AU46" s="313">
        <v>0</v>
      </c>
      <c r="AV46" s="314">
        <v>2</v>
      </c>
      <c r="AW46" s="312" t="s">
        <v>285</v>
      </c>
      <c r="AX46" s="313">
        <v>3</v>
      </c>
      <c r="AY46" s="313">
        <v>0</v>
      </c>
      <c r="AZ46" s="313">
        <v>0</v>
      </c>
      <c r="BA46" s="313">
        <v>0</v>
      </c>
      <c r="BB46" s="313">
        <v>0</v>
      </c>
      <c r="BC46" s="313">
        <v>0</v>
      </c>
      <c r="BD46" s="313">
        <v>0</v>
      </c>
      <c r="BE46" s="313">
        <v>0</v>
      </c>
      <c r="BF46" s="314">
        <v>0</v>
      </c>
      <c r="BG46" s="312" t="s">
        <v>421</v>
      </c>
      <c r="BH46" s="313">
        <v>1</v>
      </c>
      <c r="BI46" s="313">
        <v>0</v>
      </c>
      <c r="BJ46" s="313">
        <v>1</v>
      </c>
      <c r="BK46" s="313">
        <v>0</v>
      </c>
      <c r="BL46" s="313">
        <v>2</v>
      </c>
      <c r="BM46" s="313">
        <v>0</v>
      </c>
      <c r="BN46" s="313">
        <v>0</v>
      </c>
      <c r="BO46" s="313">
        <v>0</v>
      </c>
      <c r="BP46" s="314">
        <v>1</v>
      </c>
      <c r="BQ46" s="312" t="s">
        <v>422</v>
      </c>
      <c r="BR46" s="313">
        <v>3</v>
      </c>
      <c r="BS46" s="313">
        <v>0</v>
      </c>
      <c r="BT46" s="313">
        <v>0</v>
      </c>
      <c r="BU46" s="313">
        <v>0</v>
      </c>
      <c r="BV46" s="313">
        <v>0</v>
      </c>
      <c r="BW46" s="313">
        <v>0</v>
      </c>
      <c r="BX46" s="313">
        <v>0</v>
      </c>
      <c r="BY46" s="313">
        <v>0</v>
      </c>
      <c r="BZ46" s="314">
        <v>0</v>
      </c>
      <c r="CA46" s="312" t="s">
        <v>420</v>
      </c>
      <c r="CB46" s="313">
        <v>3</v>
      </c>
      <c r="CC46" s="313">
        <v>0</v>
      </c>
      <c r="CD46" s="313">
        <v>0</v>
      </c>
      <c r="CE46" s="313">
        <v>0</v>
      </c>
      <c r="CF46" s="313">
        <v>0</v>
      </c>
      <c r="CG46" s="313">
        <v>1</v>
      </c>
      <c r="CH46" s="313">
        <v>0</v>
      </c>
      <c r="CI46" s="313">
        <v>0</v>
      </c>
      <c r="CJ46" s="314">
        <v>0</v>
      </c>
      <c r="CK46" s="312" t="s">
        <v>426</v>
      </c>
      <c r="CL46" s="313">
        <v>2</v>
      </c>
      <c r="CM46" s="313">
        <v>1</v>
      </c>
      <c r="CN46" s="313">
        <v>1</v>
      </c>
      <c r="CO46" s="313">
        <v>0</v>
      </c>
      <c r="CP46" s="313">
        <v>1</v>
      </c>
      <c r="CQ46" s="313">
        <v>0</v>
      </c>
      <c r="CR46" s="313">
        <v>0</v>
      </c>
      <c r="CS46" s="313">
        <v>0</v>
      </c>
      <c r="CT46" s="314">
        <v>2</v>
      </c>
      <c r="CU46" s="312" t="s">
        <v>284</v>
      </c>
      <c r="CV46" s="313">
        <v>2</v>
      </c>
      <c r="CW46" s="313">
        <v>0</v>
      </c>
      <c r="CX46" s="313">
        <v>0</v>
      </c>
      <c r="CY46" s="313">
        <v>0</v>
      </c>
      <c r="CZ46" s="313">
        <v>0</v>
      </c>
      <c r="DA46" s="313">
        <v>1</v>
      </c>
      <c r="DB46" s="313">
        <v>0</v>
      </c>
      <c r="DC46" s="313">
        <v>0</v>
      </c>
      <c r="DD46" s="314">
        <v>0</v>
      </c>
      <c r="DE46" s="312" t="s">
        <v>460</v>
      </c>
      <c r="DF46" s="313">
        <v>3</v>
      </c>
      <c r="DG46" s="313">
        <v>0</v>
      </c>
      <c r="DH46" s="313">
        <v>1</v>
      </c>
      <c r="DI46" s="313">
        <v>1</v>
      </c>
      <c r="DJ46" s="313">
        <v>0</v>
      </c>
      <c r="DK46" s="313">
        <v>0</v>
      </c>
      <c r="DL46" s="313">
        <v>0</v>
      </c>
      <c r="DM46" s="313">
        <v>0</v>
      </c>
      <c r="DN46" s="314">
        <v>1</v>
      </c>
      <c r="DO46" s="312" t="s">
        <v>416</v>
      </c>
      <c r="DP46" s="313">
        <v>3</v>
      </c>
      <c r="DQ46" s="313">
        <v>0</v>
      </c>
      <c r="DR46" s="313">
        <v>1</v>
      </c>
      <c r="DS46" s="313">
        <v>0</v>
      </c>
      <c r="DT46" s="313">
        <v>0</v>
      </c>
      <c r="DU46" s="313">
        <v>2</v>
      </c>
      <c r="DV46" s="313">
        <v>0</v>
      </c>
      <c r="DW46" s="313">
        <v>0</v>
      </c>
      <c r="DX46" s="314">
        <v>1</v>
      </c>
      <c r="DY46" s="315">
        <v>2</v>
      </c>
      <c r="DZ46" s="316">
        <v>0</v>
      </c>
      <c r="EA46" s="316">
        <v>0</v>
      </c>
      <c r="EB46" s="317">
        <v>5</v>
      </c>
      <c r="EC46" s="316">
        <v>1</v>
      </c>
      <c r="ED46" s="318">
        <v>0</v>
      </c>
      <c r="EE46" s="319">
        <v>0</v>
      </c>
      <c r="EF46" s="316">
        <v>0</v>
      </c>
      <c r="EG46" s="316">
        <v>0</v>
      </c>
      <c r="EH46" s="316">
        <v>0</v>
      </c>
      <c r="EI46" s="316">
        <v>1</v>
      </c>
      <c r="EJ46" s="316">
        <v>0</v>
      </c>
      <c r="EK46" s="316">
        <v>0</v>
      </c>
      <c r="EL46" s="316"/>
      <c r="EM46" s="316"/>
      <c r="EN46" s="316"/>
      <c r="EO46" s="316"/>
      <c r="EP46" s="316"/>
      <c r="EQ46" s="316"/>
      <c r="ER46" s="318">
        <f t="shared" si="10"/>
        <v>1</v>
      </c>
      <c r="ES46" s="316">
        <v>0</v>
      </c>
      <c r="ET46" s="316">
        <v>0</v>
      </c>
      <c r="EU46" s="316">
        <v>0</v>
      </c>
      <c r="EV46" s="316">
        <v>2</v>
      </c>
      <c r="EW46" s="316">
        <v>0</v>
      </c>
      <c r="EX46" s="316">
        <v>0</v>
      </c>
      <c r="EY46" s="316"/>
      <c r="EZ46" s="316"/>
      <c r="FA46" s="316"/>
      <c r="FB46" s="316"/>
      <c r="FC46" s="316"/>
      <c r="FD46" s="316"/>
      <c r="FE46" s="316"/>
      <c r="FF46" s="316">
        <f t="shared" si="11"/>
        <v>2</v>
      </c>
      <c r="FG46" s="320">
        <f t="shared" si="12"/>
        <v>0</v>
      </c>
      <c r="FH46" s="320">
        <f t="shared" si="13"/>
        <v>0</v>
      </c>
      <c r="FI46" s="321" t="s">
        <v>475</v>
      </c>
    </row>
    <row r="47" spans="1:165" x14ac:dyDescent="0.25">
      <c r="A47" s="325">
        <v>40394</v>
      </c>
      <c r="B47" s="325" t="s">
        <v>133</v>
      </c>
      <c r="C47" s="325" t="s">
        <v>131</v>
      </c>
      <c r="D47" s="325" t="s">
        <v>555</v>
      </c>
      <c r="E47" s="322"/>
      <c r="F47" s="307" t="s">
        <v>523</v>
      </c>
      <c r="G47" s="308" t="s">
        <v>643</v>
      </c>
      <c r="H47" s="309">
        <v>0</v>
      </c>
      <c r="I47" s="309">
        <v>1</v>
      </c>
      <c r="J47" s="310">
        <v>4</v>
      </c>
      <c r="K47" s="309">
        <v>3</v>
      </c>
      <c r="L47" s="309">
        <v>2</v>
      </c>
      <c r="M47" s="309">
        <v>0</v>
      </c>
      <c r="N47" s="309">
        <v>1</v>
      </c>
      <c r="O47" s="309">
        <v>4</v>
      </c>
      <c r="P47" s="309">
        <v>0</v>
      </c>
      <c r="Q47" s="309">
        <v>0</v>
      </c>
      <c r="R47" s="309">
        <v>16</v>
      </c>
      <c r="S47" s="309"/>
      <c r="T47" s="309"/>
      <c r="U47" s="309">
        <v>0</v>
      </c>
      <c r="V47" s="311">
        <v>0</v>
      </c>
      <c r="W47" s="323">
        <v>0</v>
      </c>
      <c r="X47" s="323">
        <v>0</v>
      </c>
      <c r="Y47" s="323">
        <v>0</v>
      </c>
      <c r="Z47" s="323">
        <v>0</v>
      </c>
      <c r="AA47" s="323">
        <v>0</v>
      </c>
      <c r="AB47" s="324">
        <v>2</v>
      </c>
      <c r="AC47" s="323">
        <v>0</v>
      </c>
      <c r="AD47" s="323">
        <v>0</v>
      </c>
      <c r="AE47" s="323">
        <v>0</v>
      </c>
      <c r="AF47" s="323">
        <v>0</v>
      </c>
      <c r="AG47" s="323">
        <v>3</v>
      </c>
      <c r="AH47" s="323">
        <v>0</v>
      </c>
      <c r="AI47" s="323">
        <v>0</v>
      </c>
      <c r="AJ47" s="323">
        <v>6</v>
      </c>
      <c r="AK47" s="323"/>
      <c r="AL47" s="323"/>
      <c r="AM47" s="312" t="s">
        <v>282</v>
      </c>
      <c r="AN47" s="313">
        <v>3</v>
      </c>
      <c r="AO47" s="313">
        <v>0</v>
      </c>
      <c r="AP47" s="313">
        <v>2</v>
      </c>
      <c r="AQ47" s="313">
        <v>0</v>
      </c>
      <c r="AR47" s="313">
        <v>0</v>
      </c>
      <c r="AS47" s="313">
        <v>0</v>
      </c>
      <c r="AT47" s="313">
        <v>1</v>
      </c>
      <c r="AU47" s="313">
        <v>0</v>
      </c>
      <c r="AV47" s="314">
        <v>2</v>
      </c>
      <c r="AW47" s="312" t="s">
        <v>285</v>
      </c>
      <c r="AX47" s="313">
        <v>2</v>
      </c>
      <c r="AY47" s="313">
        <v>0</v>
      </c>
      <c r="AZ47" s="313">
        <v>0</v>
      </c>
      <c r="BA47" s="313">
        <v>0</v>
      </c>
      <c r="BB47" s="313">
        <v>0</v>
      </c>
      <c r="BC47" s="313">
        <v>0</v>
      </c>
      <c r="BD47" s="313">
        <v>0</v>
      </c>
      <c r="BE47" s="313">
        <v>0</v>
      </c>
      <c r="BF47" s="314">
        <v>0</v>
      </c>
      <c r="BG47" s="312" t="s">
        <v>421</v>
      </c>
      <c r="BH47" s="313">
        <v>3</v>
      </c>
      <c r="BI47" s="313">
        <v>0</v>
      </c>
      <c r="BJ47" s="313">
        <v>0</v>
      </c>
      <c r="BK47" s="313">
        <v>0</v>
      </c>
      <c r="BL47" s="313">
        <v>0</v>
      </c>
      <c r="BM47" s="313">
        <v>3</v>
      </c>
      <c r="BN47" s="313">
        <v>0</v>
      </c>
      <c r="BO47" s="313">
        <v>0</v>
      </c>
      <c r="BP47" s="314">
        <v>0</v>
      </c>
      <c r="BQ47" s="312" t="s">
        <v>422</v>
      </c>
      <c r="BR47" s="313">
        <v>3</v>
      </c>
      <c r="BS47" s="313">
        <v>1</v>
      </c>
      <c r="BT47" s="313">
        <v>2</v>
      </c>
      <c r="BU47" s="313">
        <v>0</v>
      </c>
      <c r="BV47" s="313">
        <v>0</v>
      </c>
      <c r="BW47" s="313">
        <v>0</v>
      </c>
      <c r="BX47" s="313">
        <v>0</v>
      </c>
      <c r="BY47" s="313">
        <v>0</v>
      </c>
      <c r="BZ47" s="314">
        <v>2</v>
      </c>
      <c r="CA47" s="312" t="s">
        <v>420</v>
      </c>
      <c r="CB47" s="313">
        <v>2</v>
      </c>
      <c r="CC47" s="313">
        <v>0</v>
      </c>
      <c r="CD47" s="313">
        <v>0</v>
      </c>
      <c r="CE47" s="313">
        <v>0</v>
      </c>
      <c r="CF47" s="313">
        <v>0</v>
      </c>
      <c r="CG47" s="313">
        <v>1</v>
      </c>
      <c r="CH47" s="313">
        <v>1</v>
      </c>
      <c r="CI47" s="313">
        <v>0</v>
      </c>
      <c r="CJ47" s="314">
        <v>0</v>
      </c>
      <c r="CK47" s="312" t="s">
        <v>418</v>
      </c>
      <c r="CL47" s="313">
        <v>3</v>
      </c>
      <c r="CM47" s="313">
        <v>0</v>
      </c>
      <c r="CN47" s="313">
        <v>1</v>
      </c>
      <c r="CO47" s="313">
        <v>1</v>
      </c>
      <c r="CP47" s="313">
        <v>0</v>
      </c>
      <c r="CQ47" s="313">
        <v>0</v>
      </c>
      <c r="CR47" s="313">
        <v>0</v>
      </c>
      <c r="CS47" s="313">
        <v>0</v>
      </c>
      <c r="CT47" s="314">
        <v>1</v>
      </c>
      <c r="CU47" s="312" t="s">
        <v>284</v>
      </c>
      <c r="CV47" s="313">
        <v>3</v>
      </c>
      <c r="CW47" s="313">
        <v>0</v>
      </c>
      <c r="CX47" s="313">
        <v>0</v>
      </c>
      <c r="CY47" s="313">
        <v>0</v>
      </c>
      <c r="CZ47" s="313">
        <v>0</v>
      </c>
      <c r="DA47" s="313">
        <v>1</v>
      </c>
      <c r="DB47" s="313">
        <v>0</v>
      </c>
      <c r="DC47" s="313">
        <v>0</v>
      </c>
      <c r="DD47" s="314">
        <v>0</v>
      </c>
      <c r="DE47" s="312" t="s">
        <v>424</v>
      </c>
      <c r="DF47" s="313">
        <v>3</v>
      </c>
      <c r="DG47" s="313">
        <v>0</v>
      </c>
      <c r="DH47" s="313">
        <v>1</v>
      </c>
      <c r="DI47" s="313">
        <v>0</v>
      </c>
      <c r="DJ47" s="313">
        <v>0</v>
      </c>
      <c r="DK47" s="313">
        <v>1</v>
      </c>
      <c r="DL47" s="313">
        <v>0</v>
      </c>
      <c r="DM47" s="313">
        <v>0</v>
      </c>
      <c r="DN47" s="314">
        <v>2</v>
      </c>
      <c r="DO47" s="312" t="s">
        <v>419</v>
      </c>
      <c r="DP47" s="313">
        <v>3</v>
      </c>
      <c r="DQ47" s="313">
        <v>0</v>
      </c>
      <c r="DR47" s="313">
        <v>0</v>
      </c>
      <c r="DS47" s="313">
        <v>0</v>
      </c>
      <c r="DT47" s="313">
        <v>0</v>
      </c>
      <c r="DU47" s="313">
        <v>1</v>
      </c>
      <c r="DV47" s="313">
        <v>0</v>
      </c>
      <c r="DW47" s="313">
        <v>0</v>
      </c>
      <c r="DX47" s="314">
        <v>0</v>
      </c>
      <c r="DY47" s="315">
        <v>0</v>
      </c>
      <c r="DZ47" s="316">
        <v>0</v>
      </c>
      <c r="EA47" s="316">
        <v>0</v>
      </c>
      <c r="EB47" s="317">
        <v>7</v>
      </c>
      <c r="EC47" s="316">
        <v>1</v>
      </c>
      <c r="ED47" s="318">
        <v>0</v>
      </c>
      <c r="EE47" s="319">
        <v>0</v>
      </c>
      <c r="EF47" s="316">
        <v>1</v>
      </c>
      <c r="EG47" s="316">
        <v>0</v>
      </c>
      <c r="EH47" s="316">
        <v>0</v>
      </c>
      <c r="EI47" s="316">
        <v>0</v>
      </c>
      <c r="EJ47" s="316">
        <v>0</v>
      </c>
      <c r="EK47" s="316">
        <v>0</v>
      </c>
      <c r="EL47" s="316"/>
      <c r="EM47" s="316"/>
      <c r="EN47" s="316"/>
      <c r="EO47" s="316"/>
      <c r="EP47" s="316"/>
      <c r="EQ47" s="316"/>
      <c r="ER47" s="318">
        <f t="shared" si="10"/>
        <v>1</v>
      </c>
      <c r="ES47" s="316">
        <v>1</v>
      </c>
      <c r="ET47" s="316">
        <v>0</v>
      </c>
      <c r="EU47" s="316">
        <v>0</v>
      </c>
      <c r="EV47" s="316">
        <v>1</v>
      </c>
      <c r="EW47" s="316">
        <v>0</v>
      </c>
      <c r="EX47" s="316">
        <v>0</v>
      </c>
      <c r="EY47" s="316"/>
      <c r="EZ47" s="316"/>
      <c r="FA47" s="316"/>
      <c r="FB47" s="316"/>
      <c r="FC47" s="316"/>
      <c r="FD47" s="316"/>
      <c r="FE47" s="316"/>
      <c r="FF47" s="316">
        <f t="shared" si="11"/>
        <v>2</v>
      </c>
      <c r="FG47" s="320">
        <f t="shared" si="12"/>
        <v>0</v>
      </c>
      <c r="FH47" s="320">
        <f t="shared" si="13"/>
        <v>0</v>
      </c>
      <c r="FI47" s="321" t="s">
        <v>378</v>
      </c>
    </row>
    <row r="48" spans="1:165" x14ac:dyDescent="0.25">
      <c r="A48" s="325">
        <v>40395</v>
      </c>
      <c r="B48" s="325" t="s">
        <v>133</v>
      </c>
      <c r="C48" s="325" t="s">
        <v>131</v>
      </c>
      <c r="D48" s="325" t="s">
        <v>555</v>
      </c>
      <c r="E48" s="322">
        <v>1322</v>
      </c>
      <c r="F48" s="307">
        <v>1</v>
      </c>
      <c r="G48" s="308" t="s">
        <v>644</v>
      </c>
      <c r="H48" s="309">
        <v>0</v>
      </c>
      <c r="I48" s="309">
        <v>0</v>
      </c>
      <c r="J48" s="310">
        <v>4</v>
      </c>
      <c r="K48" s="309">
        <v>3</v>
      </c>
      <c r="L48" s="309">
        <v>1</v>
      </c>
      <c r="M48" s="309">
        <v>1</v>
      </c>
      <c r="N48" s="309">
        <v>1</v>
      </c>
      <c r="O48" s="309">
        <v>3</v>
      </c>
      <c r="P48" s="309">
        <v>0</v>
      </c>
      <c r="Q48" s="309">
        <v>1</v>
      </c>
      <c r="R48" s="309">
        <v>17</v>
      </c>
      <c r="S48" s="309"/>
      <c r="T48" s="309"/>
      <c r="U48" s="309">
        <v>0</v>
      </c>
      <c r="V48" s="311">
        <v>0</v>
      </c>
      <c r="W48" s="323">
        <v>0</v>
      </c>
      <c r="X48" s="323">
        <v>1</v>
      </c>
      <c r="Y48" s="323">
        <v>0</v>
      </c>
      <c r="Z48" s="323">
        <v>0</v>
      </c>
      <c r="AA48" s="323">
        <v>0</v>
      </c>
      <c r="AB48" s="324">
        <v>4</v>
      </c>
      <c r="AC48" s="323">
        <v>7</v>
      </c>
      <c r="AD48" s="323">
        <v>2</v>
      </c>
      <c r="AE48" s="323">
        <v>2</v>
      </c>
      <c r="AF48" s="323">
        <v>3</v>
      </c>
      <c r="AG48" s="323">
        <v>2</v>
      </c>
      <c r="AH48" s="323">
        <v>0</v>
      </c>
      <c r="AI48" s="323">
        <v>0</v>
      </c>
      <c r="AJ48" s="323">
        <v>21</v>
      </c>
      <c r="AK48" s="323"/>
      <c r="AL48" s="323"/>
      <c r="AM48" s="312" t="s">
        <v>282</v>
      </c>
      <c r="AN48" s="313">
        <v>4</v>
      </c>
      <c r="AO48" s="313">
        <v>0</v>
      </c>
      <c r="AP48" s="313">
        <v>0</v>
      </c>
      <c r="AQ48" s="313">
        <v>0</v>
      </c>
      <c r="AR48" s="313">
        <v>1</v>
      </c>
      <c r="AS48" s="313">
        <v>1</v>
      </c>
      <c r="AT48" s="313">
        <v>0</v>
      </c>
      <c r="AU48" s="313">
        <v>0</v>
      </c>
      <c r="AV48" s="314">
        <v>0</v>
      </c>
      <c r="AW48" s="312" t="s">
        <v>285</v>
      </c>
      <c r="AX48" s="313">
        <v>5</v>
      </c>
      <c r="AY48" s="313">
        <v>0</v>
      </c>
      <c r="AZ48" s="313">
        <v>0</v>
      </c>
      <c r="BA48" s="313">
        <v>0</v>
      </c>
      <c r="BB48" s="313">
        <v>0</v>
      </c>
      <c r="BC48" s="313">
        <v>0</v>
      </c>
      <c r="BD48" s="313">
        <v>0</v>
      </c>
      <c r="BE48" s="313">
        <v>0</v>
      </c>
      <c r="BF48" s="314">
        <v>0</v>
      </c>
      <c r="BG48" s="312" t="s">
        <v>421</v>
      </c>
      <c r="BH48" s="313">
        <v>4</v>
      </c>
      <c r="BI48" s="313">
        <v>0</v>
      </c>
      <c r="BJ48" s="313">
        <v>0</v>
      </c>
      <c r="BK48" s="313">
        <v>0</v>
      </c>
      <c r="BL48" s="313">
        <v>1</v>
      </c>
      <c r="BM48" s="313">
        <v>0</v>
      </c>
      <c r="BN48" s="313">
        <v>0</v>
      </c>
      <c r="BO48" s="313">
        <v>0</v>
      </c>
      <c r="BP48" s="314">
        <v>0</v>
      </c>
      <c r="BQ48" s="312" t="s">
        <v>420</v>
      </c>
      <c r="BR48" s="313">
        <v>4</v>
      </c>
      <c r="BS48" s="313">
        <v>0</v>
      </c>
      <c r="BT48" s="313">
        <v>1</v>
      </c>
      <c r="BU48" s="313">
        <v>0</v>
      </c>
      <c r="BV48" s="313">
        <v>1</v>
      </c>
      <c r="BW48" s="313">
        <v>1</v>
      </c>
      <c r="BX48" s="313">
        <v>0</v>
      </c>
      <c r="BY48" s="313">
        <v>0</v>
      </c>
      <c r="BZ48" s="314">
        <v>1</v>
      </c>
      <c r="CA48" s="312" t="s">
        <v>418</v>
      </c>
      <c r="CB48" s="313">
        <v>2</v>
      </c>
      <c r="CC48" s="313">
        <v>2</v>
      </c>
      <c r="CD48" s="313">
        <v>0</v>
      </c>
      <c r="CE48" s="313">
        <v>0</v>
      </c>
      <c r="CF48" s="313">
        <v>2</v>
      </c>
      <c r="CG48" s="313">
        <v>0</v>
      </c>
      <c r="CH48" s="313">
        <v>0</v>
      </c>
      <c r="CI48" s="313">
        <v>0</v>
      </c>
      <c r="CJ48" s="314">
        <v>0</v>
      </c>
      <c r="CK48" s="312" t="s">
        <v>460</v>
      </c>
      <c r="CL48" s="313">
        <v>4</v>
      </c>
      <c r="CM48" s="313">
        <v>0</v>
      </c>
      <c r="CN48" s="313">
        <v>0</v>
      </c>
      <c r="CO48" s="313">
        <v>0</v>
      </c>
      <c r="CP48" s="313">
        <v>0</v>
      </c>
      <c r="CQ48" s="313">
        <v>2</v>
      </c>
      <c r="CR48" s="313">
        <v>0</v>
      </c>
      <c r="CS48" s="313">
        <v>0</v>
      </c>
      <c r="CT48" s="314">
        <v>0</v>
      </c>
      <c r="CU48" s="312" t="s">
        <v>424</v>
      </c>
      <c r="CV48" s="313">
        <v>4</v>
      </c>
      <c r="CW48" s="313">
        <v>0</v>
      </c>
      <c r="CX48" s="313">
        <v>2</v>
      </c>
      <c r="CY48" s="313">
        <v>1</v>
      </c>
      <c r="CZ48" s="313">
        <v>0</v>
      </c>
      <c r="DA48" s="313">
        <v>1</v>
      </c>
      <c r="DB48" s="313">
        <v>0</v>
      </c>
      <c r="DC48" s="313">
        <v>0</v>
      </c>
      <c r="DD48" s="314">
        <v>2</v>
      </c>
      <c r="DE48" s="312" t="s">
        <v>416</v>
      </c>
      <c r="DF48" s="313">
        <v>3</v>
      </c>
      <c r="DG48" s="313">
        <v>0</v>
      </c>
      <c r="DH48" s="313">
        <v>0</v>
      </c>
      <c r="DI48" s="313">
        <v>0</v>
      </c>
      <c r="DJ48" s="313">
        <v>1</v>
      </c>
      <c r="DK48" s="313">
        <v>1</v>
      </c>
      <c r="DL48" s="313">
        <v>0</v>
      </c>
      <c r="DM48" s="313">
        <v>0</v>
      </c>
      <c r="DN48" s="314">
        <v>0</v>
      </c>
      <c r="DO48" s="312" t="s">
        <v>419</v>
      </c>
      <c r="DP48" s="313">
        <v>3</v>
      </c>
      <c r="DQ48" s="313">
        <v>0</v>
      </c>
      <c r="DR48" s="313">
        <v>1</v>
      </c>
      <c r="DS48" s="313">
        <v>0</v>
      </c>
      <c r="DT48" s="313">
        <v>1</v>
      </c>
      <c r="DU48" s="313">
        <v>1</v>
      </c>
      <c r="DV48" s="313">
        <v>0</v>
      </c>
      <c r="DW48" s="313">
        <v>0</v>
      </c>
      <c r="DX48" s="314">
        <v>1</v>
      </c>
      <c r="DY48" s="315">
        <v>5</v>
      </c>
      <c r="DZ48" s="316">
        <v>1</v>
      </c>
      <c r="EA48" s="316">
        <v>0</v>
      </c>
      <c r="EB48" s="317">
        <v>4</v>
      </c>
      <c r="EC48" s="316">
        <v>0</v>
      </c>
      <c r="ED48" s="318">
        <v>0</v>
      </c>
      <c r="EE48" s="319">
        <v>0</v>
      </c>
      <c r="EF48" s="316">
        <v>1</v>
      </c>
      <c r="EG48" s="316">
        <v>0</v>
      </c>
      <c r="EH48" s="316">
        <v>0</v>
      </c>
      <c r="EI48" s="316">
        <v>0</v>
      </c>
      <c r="EJ48" s="316">
        <v>0</v>
      </c>
      <c r="EK48" s="316">
        <v>0</v>
      </c>
      <c r="EL48" s="316">
        <v>1</v>
      </c>
      <c r="EM48" s="316">
        <v>0</v>
      </c>
      <c r="EN48" s="316"/>
      <c r="EO48" s="316"/>
      <c r="EP48" s="316"/>
      <c r="EQ48" s="316"/>
      <c r="ER48" s="318">
        <f t="shared" si="10"/>
        <v>2</v>
      </c>
      <c r="ES48" s="316">
        <v>0</v>
      </c>
      <c r="ET48" s="316">
        <v>0</v>
      </c>
      <c r="EU48" s="316">
        <v>0</v>
      </c>
      <c r="EV48" s="316">
        <v>1</v>
      </c>
      <c r="EW48" s="316">
        <v>1</v>
      </c>
      <c r="EX48" s="316">
        <v>0</v>
      </c>
      <c r="EY48" s="316">
        <v>0</v>
      </c>
      <c r="EZ48" s="316">
        <v>1</v>
      </c>
      <c r="FA48" s="316"/>
      <c r="FB48" s="316"/>
      <c r="FC48" s="316"/>
      <c r="FD48" s="316"/>
      <c r="FE48" s="316"/>
      <c r="FF48" s="316">
        <f t="shared" si="11"/>
        <v>3</v>
      </c>
      <c r="FG48" s="320">
        <f t="shared" si="12"/>
        <v>0</v>
      </c>
      <c r="FH48" s="320">
        <f t="shared" si="13"/>
        <v>0</v>
      </c>
      <c r="FI48" s="321"/>
    </row>
    <row r="49" spans="1:165" x14ac:dyDescent="0.25">
      <c r="A49" s="325">
        <v>40396</v>
      </c>
      <c r="B49" s="325" t="s">
        <v>133</v>
      </c>
      <c r="C49" s="325" t="s">
        <v>129</v>
      </c>
      <c r="D49" s="325" t="s">
        <v>555</v>
      </c>
      <c r="E49" s="322">
        <v>2125</v>
      </c>
      <c r="F49" s="307">
        <v>2</v>
      </c>
      <c r="G49" s="308" t="s">
        <v>522</v>
      </c>
      <c r="H49" s="309">
        <v>1</v>
      </c>
      <c r="I49" s="309">
        <v>0</v>
      </c>
      <c r="J49" s="310">
        <v>6</v>
      </c>
      <c r="K49" s="309">
        <v>1</v>
      </c>
      <c r="L49" s="309">
        <v>0</v>
      </c>
      <c r="M49" s="309">
        <v>0</v>
      </c>
      <c r="N49" s="309">
        <v>0</v>
      </c>
      <c r="O49" s="309">
        <v>6</v>
      </c>
      <c r="P49" s="309">
        <v>0</v>
      </c>
      <c r="Q49" s="309">
        <v>0</v>
      </c>
      <c r="R49" s="309">
        <v>19</v>
      </c>
      <c r="S49" s="309"/>
      <c r="T49" s="309"/>
      <c r="U49" s="309">
        <v>0</v>
      </c>
      <c r="V49" s="311">
        <v>0</v>
      </c>
      <c r="W49" s="323">
        <v>0</v>
      </c>
      <c r="X49" s="323">
        <v>0</v>
      </c>
      <c r="Y49" s="323">
        <v>0</v>
      </c>
      <c r="Z49" s="323">
        <v>1</v>
      </c>
      <c r="AA49" s="323">
        <v>0</v>
      </c>
      <c r="AB49" s="324">
        <v>3</v>
      </c>
      <c r="AC49" s="323">
        <v>1</v>
      </c>
      <c r="AD49" s="323">
        <v>0</v>
      </c>
      <c r="AE49" s="323">
        <v>0</v>
      </c>
      <c r="AF49" s="323">
        <v>0</v>
      </c>
      <c r="AG49" s="323">
        <v>2</v>
      </c>
      <c r="AH49" s="323">
        <v>0</v>
      </c>
      <c r="AI49" s="323">
        <v>0</v>
      </c>
      <c r="AJ49" s="323">
        <v>10</v>
      </c>
      <c r="AK49" s="323"/>
      <c r="AL49" s="323"/>
      <c r="AM49" s="312" t="s">
        <v>282</v>
      </c>
      <c r="AN49" s="313">
        <v>4</v>
      </c>
      <c r="AO49" s="313">
        <v>1</v>
      </c>
      <c r="AP49" s="313">
        <v>1</v>
      </c>
      <c r="AQ49" s="313">
        <v>2</v>
      </c>
      <c r="AR49" s="313">
        <v>2</v>
      </c>
      <c r="AS49" s="313">
        <v>0</v>
      </c>
      <c r="AT49" s="313">
        <v>0</v>
      </c>
      <c r="AU49" s="313">
        <v>0</v>
      </c>
      <c r="AV49" s="314">
        <v>1</v>
      </c>
      <c r="AW49" s="312" t="s">
        <v>418</v>
      </c>
      <c r="AX49" s="313">
        <v>6</v>
      </c>
      <c r="AY49" s="313">
        <v>2</v>
      </c>
      <c r="AZ49" s="313">
        <v>4</v>
      </c>
      <c r="BA49" s="313">
        <v>2</v>
      </c>
      <c r="BB49" s="313">
        <v>0</v>
      </c>
      <c r="BC49" s="313">
        <v>0</v>
      </c>
      <c r="BD49" s="313">
        <v>0</v>
      </c>
      <c r="BE49" s="313">
        <v>0</v>
      </c>
      <c r="BF49" s="314">
        <v>8</v>
      </c>
      <c r="BG49" s="312" t="s">
        <v>422</v>
      </c>
      <c r="BH49" s="313">
        <v>5</v>
      </c>
      <c r="BI49" s="313">
        <v>2</v>
      </c>
      <c r="BJ49" s="313">
        <v>2</v>
      </c>
      <c r="BK49" s="313">
        <v>3</v>
      </c>
      <c r="BL49" s="313">
        <v>0</v>
      </c>
      <c r="BM49" s="313">
        <v>0</v>
      </c>
      <c r="BN49" s="313">
        <v>0</v>
      </c>
      <c r="BO49" s="313">
        <v>1</v>
      </c>
      <c r="BP49" s="314">
        <v>5</v>
      </c>
      <c r="BQ49" s="312" t="s">
        <v>420</v>
      </c>
      <c r="BR49" s="313">
        <v>5</v>
      </c>
      <c r="BS49" s="313">
        <v>2</v>
      </c>
      <c r="BT49" s="313">
        <v>3</v>
      </c>
      <c r="BU49" s="313">
        <v>2</v>
      </c>
      <c r="BV49" s="313">
        <v>0</v>
      </c>
      <c r="BW49" s="313">
        <v>2</v>
      </c>
      <c r="BX49" s="313">
        <v>0</v>
      </c>
      <c r="BY49" s="313">
        <v>0</v>
      </c>
      <c r="BZ49" s="314">
        <v>5</v>
      </c>
      <c r="CA49" s="312" t="s">
        <v>421</v>
      </c>
      <c r="CB49" s="313">
        <v>1</v>
      </c>
      <c r="CC49" s="313">
        <v>2</v>
      </c>
      <c r="CD49" s="313">
        <v>0</v>
      </c>
      <c r="CE49" s="313">
        <v>0</v>
      </c>
      <c r="CF49" s="313">
        <v>4</v>
      </c>
      <c r="CG49" s="313">
        <v>0</v>
      </c>
      <c r="CH49" s="313">
        <v>0</v>
      </c>
      <c r="CI49" s="313">
        <v>0</v>
      </c>
      <c r="CJ49" s="314">
        <v>0</v>
      </c>
      <c r="CK49" s="312" t="s">
        <v>426</v>
      </c>
      <c r="CL49" s="313">
        <v>4</v>
      </c>
      <c r="CM49" s="313">
        <v>1</v>
      </c>
      <c r="CN49" s="313">
        <v>1</v>
      </c>
      <c r="CO49" s="313">
        <v>0</v>
      </c>
      <c r="CP49" s="313">
        <v>1</v>
      </c>
      <c r="CQ49" s="313">
        <v>0</v>
      </c>
      <c r="CR49" s="313">
        <v>0</v>
      </c>
      <c r="CS49" s="313">
        <v>0</v>
      </c>
      <c r="CT49" s="314">
        <v>2</v>
      </c>
      <c r="CU49" s="312" t="s">
        <v>284</v>
      </c>
      <c r="CV49" s="313">
        <v>3</v>
      </c>
      <c r="CW49" s="313">
        <v>2</v>
      </c>
      <c r="CX49" s="313">
        <v>0</v>
      </c>
      <c r="CY49" s="313">
        <v>2</v>
      </c>
      <c r="CZ49" s="313">
        <v>2</v>
      </c>
      <c r="DA49" s="313">
        <v>0</v>
      </c>
      <c r="DB49" s="313">
        <v>0</v>
      </c>
      <c r="DC49" s="313">
        <v>0</v>
      </c>
      <c r="DD49" s="314">
        <v>0</v>
      </c>
      <c r="DE49" s="312" t="s">
        <v>285</v>
      </c>
      <c r="DF49" s="313">
        <v>2</v>
      </c>
      <c r="DG49" s="313">
        <v>0</v>
      </c>
      <c r="DH49" s="313">
        <v>1</v>
      </c>
      <c r="DI49" s="313">
        <v>0</v>
      </c>
      <c r="DJ49" s="313">
        <v>2</v>
      </c>
      <c r="DK49" s="313">
        <v>0</v>
      </c>
      <c r="DL49" s="313">
        <v>0</v>
      </c>
      <c r="DM49" s="313">
        <v>0</v>
      </c>
      <c r="DN49" s="314">
        <v>1</v>
      </c>
      <c r="DO49" s="312" t="s">
        <v>416</v>
      </c>
      <c r="DP49" s="313">
        <v>4</v>
      </c>
      <c r="DQ49" s="313">
        <v>0</v>
      </c>
      <c r="DR49" s="313">
        <v>0</v>
      </c>
      <c r="DS49" s="313">
        <v>0</v>
      </c>
      <c r="DT49" s="313">
        <v>1</v>
      </c>
      <c r="DU49" s="313">
        <v>3</v>
      </c>
      <c r="DV49" s="313">
        <v>0</v>
      </c>
      <c r="DW49" s="313">
        <v>0</v>
      </c>
      <c r="DX49" s="314">
        <v>0</v>
      </c>
      <c r="DY49" s="315">
        <v>1</v>
      </c>
      <c r="DZ49" s="316">
        <v>0</v>
      </c>
      <c r="EA49" s="316">
        <v>0</v>
      </c>
      <c r="EB49" s="317">
        <v>8</v>
      </c>
      <c r="EC49" s="316">
        <v>1</v>
      </c>
      <c r="ED49" s="318">
        <v>1</v>
      </c>
      <c r="EE49" s="319">
        <v>0</v>
      </c>
      <c r="EF49" s="316">
        <v>0</v>
      </c>
      <c r="EG49" s="316">
        <v>1</v>
      </c>
      <c r="EH49" s="316">
        <v>0</v>
      </c>
      <c r="EI49" s="316">
        <v>0</v>
      </c>
      <c r="EJ49" s="316">
        <v>3</v>
      </c>
      <c r="EK49" s="316">
        <v>3</v>
      </c>
      <c r="EL49" s="316">
        <v>0</v>
      </c>
      <c r="EM49" s="316">
        <v>5</v>
      </c>
      <c r="EN49" s="316"/>
      <c r="EO49" s="316"/>
      <c r="EP49" s="316"/>
      <c r="EQ49" s="316"/>
      <c r="ER49" s="318">
        <f t="shared" si="10"/>
        <v>12</v>
      </c>
      <c r="ES49" s="316">
        <v>0</v>
      </c>
      <c r="ET49" s="316">
        <v>0</v>
      </c>
      <c r="EU49" s="316">
        <v>0</v>
      </c>
      <c r="EV49" s="316">
        <v>0</v>
      </c>
      <c r="EW49" s="316">
        <v>0</v>
      </c>
      <c r="EX49" s="316">
        <v>0</v>
      </c>
      <c r="EY49" s="316">
        <v>0</v>
      </c>
      <c r="EZ49" s="316">
        <v>0</v>
      </c>
      <c r="FA49" s="316">
        <v>0</v>
      </c>
      <c r="FB49" s="316"/>
      <c r="FC49" s="316"/>
      <c r="FD49" s="316"/>
      <c r="FE49" s="316"/>
      <c r="FF49" s="316">
        <f t="shared" si="11"/>
        <v>0</v>
      </c>
      <c r="FG49" s="320">
        <f t="shared" si="12"/>
        <v>0</v>
      </c>
      <c r="FH49" s="320">
        <f t="shared" si="13"/>
        <v>0</v>
      </c>
      <c r="FI49" s="321"/>
    </row>
    <row r="50" spans="1:165" x14ac:dyDescent="0.25">
      <c r="A50" s="325">
        <v>40397</v>
      </c>
      <c r="B50" s="325" t="s">
        <v>19</v>
      </c>
      <c r="C50" s="325" t="s">
        <v>129</v>
      </c>
      <c r="D50" s="325" t="s">
        <v>645</v>
      </c>
      <c r="E50" s="322">
        <v>4557</v>
      </c>
      <c r="F50" s="307">
        <v>3</v>
      </c>
      <c r="G50" s="308" t="s">
        <v>411</v>
      </c>
      <c r="H50" s="309">
        <v>0</v>
      </c>
      <c r="I50" s="309">
        <v>0</v>
      </c>
      <c r="J50" s="310">
        <f>4+2/3</f>
        <v>4.666666666666667</v>
      </c>
      <c r="K50" s="309">
        <v>3</v>
      </c>
      <c r="L50" s="309">
        <v>3</v>
      </c>
      <c r="M50" s="309">
        <v>1</v>
      </c>
      <c r="N50" s="309">
        <v>0</v>
      </c>
      <c r="O50" s="309">
        <v>7</v>
      </c>
      <c r="P50" s="309">
        <v>0</v>
      </c>
      <c r="Q50" s="309">
        <v>0</v>
      </c>
      <c r="R50" s="309">
        <v>18</v>
      </c>
      <c r="S50" s="309"/>
      <c r="T50" s="309"/>
      <c r="U50" s="309">
        <v>0</v>
      </c>
      <c r="V50" s="311">
        <v>0</v>
      </c>
      <c r="W50" s="323">
        <v>1</v>
      </c>
      <c r="X50" s="323">
        <v>0</v>
      </c>
      <c r="Y50" s="323">
        <v>0</v>
      </c>
      <c r="Z50" s="323">
        <v>0</v>
      </c>
      <c r="AA50" s="323">
        <v>0</v>
      </c>
      <c r="AB50" s="324">
        <f>5+1/3</f>
        <v>5.333333333333333</v>
      </c>
      <c r="AC50" s="323">
        <v>3</v>
      </c>
      <c r="AD50" s="323">
        <v>0</v>
      </c>
      <c r="AE50" s="323">
        <v>0</v>
      </c>
      <c r="AF50" s="323">
        <v>0</v>
      </c>
      <c r="AG50" s="323">
        <v>6</v>
      </c>
      <c r="AH50" s="323">
        <v>0</v>
      </c>
      <c r="AI50" s="323">
        <v>0</v>
      </c>
      <c r="AJ50" s="323">
        <v>18</v>
      </c>
      <c r="AK50" s="323"/>
      <c r="AL50" s="323"/>
      <c r="AM50" s="312" t="s">
        <v>285</v>
      </c>
      <c r="AN50" s="313">
        <v>4</v>
      </c>
      <c r="AO50" s="313">
        <v>2</v>
      </c>
      <c r="AP50" s="313">
        <v>1</v>
      </c>
      <c r="AQ50" s="313">
        <v>0</v>
      </c>
      <c r="AR50" s="313">
        <v>1</v>
      </c>
      <c r="AS50" s="313">
        <v>2</v>
      </c>
      <c r="AT50" s="313">
        <v>0</v>
      </c>
      <c r="AU50" s="313">
        <v>0</v>
      </c>
      <c r="AV50" s="314">
        <v>1</v>
      </c>
      <c r="AW50" s="312" t="s">
        <v>418</v>
      </c>
      <c r="AX50" s="313">
        <v>5</v>
      </c>
      <c r="AY50" s="313">
        <v>0</v>
      </c>
      <c r="AZ50" s="313">
        <v>0</v>
      </c>
      <c r="BA50" s="313">
        <v>0</v>
      </c>
      <c r="BB50" s="313">
        <v>0</v>
      </c>
      <c r="BC50" s="313">
        <v>1</v>
      </c>
      <c r="BD50" s="313">
        <v>0</v>
      </c>
      <c r="BE50" s="313">
        <v>0</v>
      </c>
      <c r="BF50" s="314">
        <v>0</v>
      </c>
      <c r="BG50" s="312" t="s">
        <v>422</v>
      </c>
      <c r="BH50" s="313">
        <v>4</v>
      </c>
      <c r="BI50" s="313">
        <v>0</v>
      </c>
      <c r="BJ50" s="313">
        <v>1</v>
      </c>
      <c r="BK50" s="313">
        <v>1</v>
      </c>
      <c r="BL50" s="313">
        <v>0</v>
      </c>
      <c r="BM50" s="313">
        <v>0</v>
      </c>
      <c r="BN50" s="313">
        <v>0</v>
      </c>
      <c r="BO50" s="313">
        <v>1</v>
      </c>
      <c r="BP50" s="314">
        <v>1</v>
      </c>
      <c r="BQ50" s="312" t="s">
        <v>420</v>
      </c>
      <c r="BR50" s="313">
        <v>3</v>
      </c>
      <c r="BS50" s="313">
        <v>0</v>
      </c>
      <c r="BT50" s="313">
        <v>0</v>
      </c>
      <c r="BU50" s="313">
        <v>0</v>
      </c>
      <c r="BV50" s="313">
        <v>1</v>
      </c>
      <c r="BW50" s="313">
        <v>0</v>
      </c>
      <c r="BX50" s="313">
        <v>0</v>
      </c>
      <c r="BY50" s="313">
        <v>0</v>
      </c>
      <c r="BZ50" s="314">
        <v>0</v>
      </c>
      <c r="CA50" s="312" t="s">
        <v>421</v>
      </c>
      <c r="CB50" s="313">
        <v>4</v>
      </c>
      <c r="CC50" s="313">
        <v>0</v>
      </c>
      <c r="CD50" s="313">
        <v>1</v>
      </c>
      <c r="CE50" s="313">
        <v>0</v>
      </c>
      <c r="CF50" s="313">
        <v>0</v>
      </c>
      <c r="CG50" s="313">
        <v>2</v>
      </c>
      <c r="CH50" s="313">
        <v>0</v>
      </c>
      <c r="CI50" s="313">
        <v>0</v>
      </c>
      <c r="CJ50" s="314">
        <v>1</v>
      </c>
      <c r="CK50" s="312" t="s">
        <v>426</v>
      </c>
      <c r="CL50" s="313">
        <v>4</v>
      </c>
      <c r="CM50" s="313">
        <v>1</v>
      </c>
      <c r="CN50" s="313">
        <v>2</v>
      </c>
      <c r="CO50" s="313">
        <v>1</v>
      </c>
      <c r="CP50" s="313">
        <v>0</v>
      </c>
      <c r="CQ50" s="313">
        <v>1</v>
      </c>
      <c r="CR50" s="313">
        <v>0</v>
      </c>
      <c r="CS50" s="313">
        <v>0</v>
      </c>
      <c r="CT50" s="314">
        <v>5</v>
      </c>
      <c r="CU50" s="312" t="s">
        <v>284</v>
      </c>
      <c r="CV50" s="313">
        <v>3</v>
      </c>
      <c r="CW50" s="313">
        <v>1</v>
      </c>
      <c r="CX50" s="313">
        <v>1</v>
      </c>
      <c r="CY50" s="313">
        <v>0</v>
      </c>
      <c r="CZ50" s="313">
        <v>1</v>
      </c>
      <c r="DA50" s="313">
        <v>0</v>
      </c>
      <c r="DB50" s="313">
        <v>0</v>
      </c>
      <c r="DC50" s="313">
        <v>0</v>
      </c>
      <c r="DD50" s="314">
        <v>1</v>
      </c>
      <c r="DE50" s="312" t="s">
        <v>646</v>
      </c>
      <c r="DF50" s="313">
        <v>4</v>
      </c>
      <c r="DG50" s="313">
        <v>0</v>
      </c>
      <c r="DH50" s="313">
        <v>0</v>
      </c>
      <c r="DI50" s="313">
        <v>0</v>
      </c>
      <c r="DJ50" s="313">
        <v>0</v>
      </c>
      <c r="DK50" s="313">
        <v>2</v>
      </c>
      <c r="DL50" s="313">
        <v>0</v>
      </c>
      <c r="DM50" s="313">
        <v>0</v>
      </c>
      <c r="DN50" s="314">
        <v>0</v>
      </c>
      <c r="DO50" s="312" t="s">
        <v>419</v>
      </c>
      <c r="DP50" s="313">
        <v>4</v>
      </c>
      <c r="DQ50" s="313">
        <v>0</v>
      </c>
      <c r="DR50" s="313">
        <v>2</v>
      </c>
      <c r="DS50" s="313">
        <v>1</v>
      </c>
      <c r="DT50" s="313">
        <v>0</v>
      </c>
      <c r="DU50" s="313">
        <v>2</v>
      </c>
      <c r="DV50" s="313">
        <v>0</v>
      </c>
      <c r="DW50" s="313">
        <v>0</v>
      </c>
      <c r="DX50" s="314">
        <v>2</v>
      </c>
      <c r="DY50" s="315">
        <v>1</v>
      </c>
      <c r="DZ50" s="316">
        <v>1</v>
      </c>
      <c r="EA50" s="316">
        <v>0</v>
      </c>
      <c r="EB50" s="317">
        <f>8+2/3</f>
        <v>8.6666666666666661</v>
      </c>
      <c r="EC50" s="316">
        <v>0</v>
      </c>
      <c r="ED50" s="318">
        <v>0</v>
      </c>
      <c r="EE50" s="319">
        <v>0</v>
      </c>
      <c r="EF50" s="316">
        <v>0</v>
      </c>
      <c r="EG50" s="316">
        <v>0</v>
      </c>
      <c r="EH50" s="316">
        <v>0</v>
      </c>
      <c r="EI50" s="316">
        <v>0</v>
      </c>
      <c r="EJ50" s="316">
        <v>1</v>
      </c>
      <c r="EK50" s="316">
        <v>2</v>
      </c>
      <c r="EL50" s="316">
        <v>0</v>
      </c>
      <c r="EM50" s="316">
        <v>0</v>
      </c>
      <c r="EN50" s="316">
        <v>1</v>
      </c>
      <c r="EO50" s="316"/>
      <c r="EP50" s="316"/>
      <c r="EQ50" s="316"/>
      <c r="ER50" s="318">
        <f t="shared" si="10"/>
        <v>4</v>
      </c>
      <c r="ES50" s="316">
        <v>0</v>
      </c>
      <c r="ET50" s="316">
        <v>0</v>
      </c>
      <c r="EU50" s="316">
        <v>0</v>
      </c>
      <c r="EV50" s="316">
        <v>1</v>
      </c>
      <c r="EW50" s="316">
        <v>2</v>
      </c>
      <c r="EX50" s="316">
        <v>0</v>
      </c>
      <c r="EY50" s="316">
        <v>0</v>
      </c>
      <c r="EZ50" s="316">
        <v>0</v>
      </c>
      <c r="FA50" s="316">
        <v>0</v>
      </c>
      <c r="FB50" s="316">
        <v>0</v>
      </c>
      <c r="FC50" s="316"/>
      <c r="FD50" s="316"/>
      <c r="FE50" s="316"/>
      <c r="FF50" s="316">
        <f t="shared" si="11"/>
        <v>3</v>
      </c>
      <c r="FG50" s="320">
        <f t="shared" ref="FG50:FG55" si="14">((SUM(L50,AD50))-(FF50))</f>
        <v>0</v>
      </c>
      <c r="FH50" s="320">
        <f t="shared" ref="FH50:FH55" si="15">((SUM(AO50,AY50,BI50,BS50,CC50,CM50,CW50,DG50,DQ50))-(ER50))</f>
        <v>0</v>
      </c>
      <c r="FI50" s="321"/>
    </row>
    <row r="51" spans="1:165" x14ac:dyDescent="0.25">
      <c r="A51" s="325">
        <v>40398</v>
      </c>
      <c r="B51" s="325" t="s">
        <v>19</v>
      </c>
      <c r="C51" s="325" t="s">
        <v>131</v>
      </c>
      <c r="D51" s="325" t="s">
        <v>645</v>
      </c>
      <c r="E51" s="322">
        <v>4610</v>
      </c>
      <c r="F51" s="307">
        <v>4</v>
      </c>
      <c r="G51" s="308" t="s">
        <v>556</v>
      </c>
      <c r="H51" s="309">
        <v>0</v>
      </c>
      <c r="I51" s="309">
        <v>0</v>
      </c>
      <c r="J51" s="310">
        <v>5</v>
      </c>
      <c r="K51" s="309">
        <v>3</v>
      </c>
      <c r="L51" s="309">
        <v>1</v>
      </c>
      <c r="M51" s="309">
        <v>0</v>
      </c>
      <c r="N51" s="309">
        <v>0</v>
      </c>
      <c r="O51" s="309">
        <v>2</v>
      </c>
      <c r="P51" s="309">
        <v>0</v>
      </c>
      <c r="Q51" s="309">
        <v>0</v>
      </c>
      <c r="R51" s="309">
        <v>19</v>
      </c>
      <c r="S51" s="309"/>
      <c r="T51" s="309"/>
      <c r="U51" s="309">
        <v>0</v>
      </c>
      <c r="V51" s="311">
        <v>0</v>
      </c>
      <c r="W51" s="323">
        <v>0</v>
      </c>
      <c r="X51" s="323">
        <v>1</v>
      </c>
      <c r="Y51" s="323">
        <v>0</v>
      </c>
      <c r="Z51" s="323">
        <v>0</v>
      </c>
      <c r="AA51" s="323">
        <v>1</v>
      </c>
      <c r="AB51" s="324">
        <v>4</v>
      </c>
      <c r="AC51" s="323">
        <v>6</v>
      </c>
      <c r="AD51" s="323">
        <v>2</v>
      </c>
      <c r="AE51" s="323">
        <v>2</v>
      </c>
      <c r="AF51" s="323">
        <v>2</v>
      </c>
      <c r="AG51" s="323">
        <v>2</v>
      </c>
      <c r="AH51" s="323">
        <v>0</v>
      </c>
      <c r="AI51" s="323">
        <v>0</v>
      </c>
      <c r="AJ51" s="323">
        <v>19</v>
      </c>
      <c r="AK51" s="323"/>
      <c r="AL51" s="323"/>
      <c r="AM51" s="312" t="s">
        <v>282</v>
      </c>
      <c r="AN51" s="313">
        <v>4</v>
      </c>
      <c r="AO51" s="313">
        <v>0</v>
      </c>
      <c r="AP51" s="313">
        <v>0</v>
      </c>
      <c r="AQ51" s="313">
        <v>0</v>
      </c>
      <c r="AR51" s="313">
        <v>0</v>
      </c>
      <c r="AS51" s="313">
        <v>0</v>
      </c>
      <c r="AT51" s="313">
        <v>0</v>
      </c>
      <c r="AU51" s="313">
        <v>0</v>
      </c>
      <c r="AV51" s="314">
        <v>0</v>
      </c>
      <c r="AW51" s="312" t="s">
        <v>421</v>
      </c>
      <c r="AX51" s="313">
        <v>4</v>
      </c>
      <c r="AY51" s="313">
        <v>1</v>
      </c>
      <c r="AZ51" s="313">
        <v>1</v>
      </c>
      <c r="BA51" s="313">
        <v>1</v>
      </c>
      <c r="BB51" s="313">
        <v>0</v>
      </c>
      <c r="BC51" s="313">
        <v>0</v>
      </c>
      <c r="BD51" s="313">
        <v>0</v>
      </c>
      <c r="BE51" s="313">
        <v>0</v>
      </c>
      <c r="BF51" s="314">
        <v>4</v>
      </c>
      <c r="BG51" s="312" t="s">
        <v>422</v>
      </c>
      <c r="BH51" s="313">
        <v>4</v>
      </c>
      <c r="BI51" s="313">
        <v>0</v>
      </c>
      <c r="BJ51" s="313">
        <v>1</v>
      </c>
      <c r="BK51" s="313">
        <v>0</v>
      </c>
      <c r="BL51" s="313">
        <v>0</v>
      </c>
      <c r="BM51" s="313">
        <v>2</v>
      </c>
      <c r="BN51" s="313">
        <v>0</v>
      </c>
      <c r="BO51" s="313">
        <v>0</v>
      </c>
      <c r="BP51" s="314">
        <v>1</v>
      </c>
      <c r="BQ51" s="312" t="s">
        <v>420</v>
      </c>
      <c r="BR51" s="313">
        <v>4</v>
      </c>
      <c r="BS51" s="313">
        <v>0</v>
      </c>
      <c r="BT51" s="313">
        <v>1</v>
      </c>
      <c r="BU51" s="313">
        <v>0</v>
      </c>
      <c r="BV51" s="313">
        <v>0</v>
      </c>
      <c r="BW51" s="313">
        <v>1</v>
      </c>
      <c r="BX51" s="313">
        <v>0</v>
      </c>
      <c r="BY51" s="313">
        <v>0</v>
      </c>
      <c r="BZ51" s="314">
        <v>2</v>
      </c>
      <c r="CA51" s="312" t="s">
        <v>426</v>
      </c>
      <c r="CB51" s="313">
        <v>3</v>
      </c>
      <c r="CC51" s="313">
        <v>0</v>
      </c>
      <c r="CD51" s="313">
        <v>0</v>
      </c>
      <c r="CE51" s="313">
        <v>0</v>
      </c>
      <c r="CF51" s="313">
        <v>0</v>
      </c>
      <c r="CG51" s="313">
        <v>0</v>
      </c>
      <c r="CH51" s="313">
        <v>0</v>
      </c>
      <c r="CI51" s="313">
        <v>0</v>
      </c>
      <c r="CJ51" s="314">
        <v>0</v>
      </c>
      <c r="CK51" s="312" t="s">
        <v>284</v>
      </c>
      <c r="CL51" s="313">
        <v>3</v>
      </c>
      <c r="CM51" s="313">
        <v>0</v>
      </c>
      <c r="CN51" s="313">
        <v>0</v>
      </c>
      <c r="CO51" s="313">
        <v>0</v>
      </c>
      <c r="CP51" s="313">
        <v>0</v>
      </c>
      <c r="CQ51" s="313">
        <v>0</v>
      </c>
      <c r="CR51" s="313">
        <v>0</v>
      </c>
      <c r="CS51" s="313">
        <v>0</v>
      </c>
      <c r="CT51" s="314">
        <v>0</v>
      </c>
      <c r="CU51" s="312" t="s">
        <v>285</v>
      </c>
      <c r="CV51" s="313">
        <v>3</v>
      </c>
      <c r="CW51" s="313">
        <v>0</v>
      </c>
      <c r="CX51" s="313">
        <v>0</v>
      </c>
      <c r="CY51" s="313">
        <v>0</v>
      </c>
      <c r="CZ51" s="313">
        <v>0</v>
      </c>
      <c r="DA51" s="313">
        <v>0</v>
      </c>
      <c r="DB51" s="313">
        <v>0</v>
      </c>
      <c r="DC51" s="313">
        <v>0</v>
      </c>
      <c r="DD51" s="314">
        <v>0</v>
      </c>
      <c r="DE51" s="312" t="s">
        <v>416</v>
      </c>
      <c r="DF51" s="313">
        <v>3</v>
      </c>
      <c r="DG51" s="313">
        <v>1</v>
      </c>
      <c r="DH51" s="313">
        <v>1</v>
      </c>
      <c r="DI51" s="313">
        <v>0</v>
      </c>
      <c r="DJ51" s="313">
        <v>0</v>
      </c>
      <c r="DK51" s="313">
        <v>0</v>
      </c>
      <c r="DL51" s="313">
        <v>0</v>
      </c>
      <c r="DM51" s="313">
        <v>0</v>
      </c>
      <c r="DN51" s="314">
        <v>2</v>
      </c>
      <c r="DO51" s="312" t="s">
        <v>419</v>
      </c>
      <c r="DP51" s="313">
        <v>3</v>
      </c>
      <c r="DQ51" s="313">
        <v>0</v>
      </c>
      <c r="DR51" s="313">
        <v>2</v>
      </c>
      <c r="DS51" s="313">
        <v>0</v>
      </c>
      <c r="DT51" s="313">
        <v>0</v>
      </c>
      <c r="DU51" s="313">
        <v>0</v>
      </c>
      <c r="DV51" s="313">
        <v>0</v>
      </c>
      <c r="DW51" s="313">
        <v>0</v>
      </c>
      <c r="DX51" s="314">
        <v>3</v>
      </c>
      <c r="DY51" s="315">
        <v>0</v>
      </c>
      <c r="DZ51" s="316">
        <v>0</v>
      </c>
      <c r="EA51" s="316">
        <v>0</v>
      </c>
      <c r="EB51" s="317">
        <v>9</v>
      </c>
      <c r="EC51" s="316">
        <v>0</v>
      </c>
      <c r="ED51" s="318">
        <v>1</v>
      </c>
      <c r="EE51" s="319">
        <v>0</v>
      </c>
      <c r="EF51" s="316">
        <v>0</v>
      </c>
      <c r="EG51" s="316">
        <v>0</v>
      </c>
      <c r="EH51" s="316">
        <v>1</v>
      </c>
      <c r="EI51" s="316">
        <v>1</v>
      </c>
      <c r="EJ51" s="316">
        <v>0</v>
      </c>
      <c r="EK51" s="316">
        <v>0</v>
      </c>
      <c r="EL51" s="316">
        <v>0</v>
      </c>
      <c r="EM51" s="316">
        <v>0</v>
      </c>
      <c r="EN51" s="316"/>
      <c r="EO51" s="316"/>
      <c r="EP51" s="316"/>
      <c r="EQ51" s="316"/>
      <c r="ER51" s="318">
        <f t="shared" si="10"/>
        <v>2</v>
      </c>
      <c r="ES51" s="316">
        <v>0</v>
      </c>
      <c r="ET51" s="316">
        <v>0</v>
      </c>
      <c r="EU51" s="316">
        <v>1</v>
      </c>
      <c r="EV51" s="316">
        <v>0</v>
      </c>
      <c r="EW51" s="316">
        <v>0</v>
      </c>
      <c r="EX51" s="316">
        <v>1</v>
      </c>
      <c r="EY51" s="316">
        <v>0</v>
      </c>
      <c r="EZ51" s="316">
        <v>1</v>
      </c>
      <c r="FA51" s="316">
        <v>0</v>
      </c>
      <c r="FB51" s="316"/>
      <c r="FC51" s="316"/>
      <c r="FD51" s="316"/>
      <c r="FE51" s="316"/>
      <c r="FF51" s="316">
        <f t="shared" si="11"/>
        <v>3</v>
      </c>
      <c r="FG51" s="320">
        <f t="shared" si="14"/>
        <v>0</v>
      </c>
      <c r="FH51" s="320">
        <f t="shared" si="15"/>
        <v>0</v>
      </c>
      <c r="FI51" s="321"/>
    </row>
    <row r="52" spans="1:165" x14ac:dyDescent="0.25">
      <c r="A52" s="325">
        <v>40399</v>
      </c>
      <c r="B52" s="325" t="s">
        <v>19</v>
      </c>
      <c r="C52" s="325" t="s">
        <v>129</v>
      </c>
      <c r="D52" s="325" t="s">
        <v>645</v>
      </c>
      <c r="E52" s="322">
        <v>3493</v>
      </c>
      <c r="F52" s="307">
        <v>5</v>
      </c>
      <c r="G52" s="308" t="s">
        <v>409</v>
      </c>
      <c r="H52" s="309">
        <v>0</v>
      </c>
      <c r="I52" s="309">
        <v>0</v>
      </c>
      <c r="J52" s="310">
        <f>5+1/3</f>
        <v>5.333333333333333</v>
      </c>
      <c r="K52" s="309">
        <v>3</v>
      </c>
      <c r="L52" s="309">
        <v>2</v>
      </c>
      <c r="M52" s="309">
        <v>1</v>
      </c>
      <c r="N52" s="309">
        <v>1</v>
      </c>
      <c r="O52" s="309">
        <v>7</v>
      </c>
      <c r="P52" s="309">
        <v>1</v>
      </c>
      <c r="Q52" s="309">
        <v>0</v>
      </c>
      <c r="R52" s="309">
        <v>20</v>
      </c>
      <c r="S52" s="309"/>
      <c r="T52" s="309"/>
      <c r="U52" s="309">
        <v>2</v>
      </c>
      <c r="V52" s="311">
        <v>1</v>
      </c>
      <c r="W52" s="323">
        <v>1</v>
      </c>
      <c r="X52" s="323">
        <v>0</v>
      </c>
      <c r="Y52" s="323">
        <v>0</v>
      </c>
      <c r="Z52" s="323">
        <v>0</v>
      </c>
      <c r="AA52" s="323">
        <v>0</v>
      </c>
      <c r="AB52" s="324">
        <f>7+2/3</f>
        <v>7.666666666666667</v>
      </c>
      <c r="AC52" s="323">
        <v>3</v>
      </c>
      <c r="AD52" s="323">
        <v>0</v>
      </c>
      <c r="AE52" s="323">
        <v>0</v>
      </c>
      <c r="AF52" s="323">
        <v>4</v>
      </c>
      <c r="AG52" s="323">
        <v>2</v>
      </c>
      <c r="AH52" s="323">
        <v>0</v>
      </c>
      <c r="AI52" s="323">
        <v>0</v>
      </c>
      <c r="AJ52" s="323">
        <v>28</v>
      </c>
      <c r="AK52" s="323"/>
      <c r="AL52" s="323"/>
      <c r="AM52" s="312" t="s">
        <v>282</v>
      </c>
      <c r="AN52" s="313">
        <v>6</v>
      </c>
      <c r="AO52" s="313">
        <v>0</v>
      </c>
      <c r="AP52" s="313">
        <v>1</v>
      </c>
      <c r="AQ52" s="313">
        <v>0</v>
      </c>
      <c r="AR52" s="313">
        <v>0</v>
      </c>
      <c r="AS52" s="313">
        <v>1</v>
      </c>
      <c r="AT52" s="313">
        <v>0</v>
      </c>
      <c r="AU52" s="313">
        <v>0</v>
      </c>
      <c r="AV52" s="314">
        <v>1</v>
      </c>
      <c r="AW52" s="312" t="s">
        <v>421</v>
      </c>
      <c r="AX52" s="313">
        <v>5</v>
      </c>
      <c r="AY52" s="313">
        <v>0</v>
      </c>
      <c r="AZ52" s="313">
        <v>0</v>
      </c>
      <c r="BA52" s="313">
        <v>1</v>
      </c>
      <c r="BB52" s="313">
        <v>0</v>
      </c>
      <c r="BC52" s="313">
        <v>0</v>
      </c>
      <c r="BD52" s="313">
        <v>0</v>
      </c>
      <c r="BE52" s="313">
        <v>1</v>
      </c>
      <c r="BF52" s="314">
        <v>0</v>
      </c>
      <c r="BG52" s="312" t="s">
        <v>422</v>
      </c>
      <c r="BH52" s="313">
        <v>6</v>
      </c>
      <c r="BI52" s="313">
        <v>0</v>
      </c>
      <c r="BJ52" s="313">
        <v>2</v>
      </c>
      <c r="BK52" s="313">
        <v>0</v>
      </c>
      <c r="BL52" s="313">
        <v>0</v>
      </c>
      <c r="BM52" s="313">
        <v>2</v>
      </c>
      <c r="BN52" s="313">
        <v>0</v>
      </c>
      <c r="BO52" s="313">
        <v>0</v>
      </c>
      <c r="BP52" s="314">
        <v>2</v>
      </c>
      <c r="BQ52" s="312" t="s">
        <v>420</v>
      </c>
      <c r="BR52" s="313">
        <v>5</v>
      </c>
      <c r="BS52" s="313">
        <v>0</v>
      </c>
      <c r="BT52" s="313">
        <v>1</v>
      </c>
      <c r="BU52" s="313">
        <v>0</v>
      </c>
      <c r="BV52" s="313">
        <v>1</v>
      </c>
      <c r="BW52" s="313">
        <v>1</v>
      </c>
      <c r="BX52" s="313">
        <v>0</v>
      </c>
      <c r="BY52" s="313">
        <v>0</v>
      </c>
      <c r="BZ52" s="314">
        <v>1</v>
      </c>
      <c r="CA52" s="312" t="s">
        <v>424</v>
      </c>
      <c r="CB52" s="313">
        <v>6</v>
      </c>
      <c r="CC52" s="313">
        <v>0</v>
      </c>
      <c r="CD52" s="313">
        <v>2</v>
      </c>
      <c r="CE52" s="313">
        <v>0</v>
      </c>
      <c r="CF52" s="313">
        <v>0</v>
      </c>
      <c r="CG52" s="313">
        <v>1</v>
      </c>
      <c r="CH52" s="313">
        <v>0</v>
      </c>
      <c r="CI52" s="313">
        <v>0</v>
      </c>
      <c r="CJ52" s="314">
        <v>2</v>
      </c>
      <c r="CK52" s="312" t="s">
        <v>284</v>
      </c>
      <c r="CL52" s="313">
        <v>6</v>
      </c>
      <c r="CM52" s="313">
        <v>1</v>
      </c>
      <c r="CN52" s="313">
        <v>1</v>
      </c>
      <c r="CO52" s="313">
        <v>0</v>
      </c>
      <c r="CP52" s="313">
        <v>0</v>
      </c>
      <c r="CQ52" s="313">
        <v>3</v>
      </c>
      <c r="CR52" s="313">
        <v>0</v>
      </c>
      <c r="CS52" s="313">
        <v>0</v>
      </c>
      <c r="CT52" s="314">
        <v>2</v>
      </c>
      <c r="CU52" s="312" t="s">
        <v>285</v>
      </c>
      <c r="CV52" s="313">
        <v>6</v>
      </c>
      <c r="CW52" s="313">
        <v>1</v>
      </c>
      <c r="CX52" s="313">
        <v>2</v>
      </c>
      <c r="CY52" s="313">
        <v>0</v>
      </c>
      <c r="CZ52" s="313">
        <v>0</v>
      </c>
      <c r="DA52" s="313">
        <v>0</v>
      </c>
      <c r="DB52" s="313">
        <v>0</v>
      </c>
      <c r="DC52" s="313">
        <v>0</v>
      </c>
      <c r="DD52" s="314">
        <v>3</v>
      </c>
      <c r="DE52" s="312" t="s">
        <v>460</v>
      </c>
      <c r="DF52" s="313">
        <v>6</v>
      </c>
      <c r="DG52" s="313">
        <v>0</v>
      </c>
      <c r="DH52" s="313">
        <v>2</v>
      </c>
      <c r="DI52" s="313">
        <v>2</v>
      </c>
      <c r="DJ52" s="313">
        <v>0</v>
      </c>
      <c r="DK52" s="313">
        <v>2</v>
      </c>
      <c r="DL52" s="313">
        <v>0</v>
      </c>
      <c r="DM52" s="313">
        <v>0</v>
      </c>
      <c r="DN52" s="314">
        <v>2</v>
      </c>
      <c r="DO52" s="312" t="s">
        <v>419</v>
      </c>
      <c r="DP52" s="313">
        <v>5</v>
      </c>
      <c r="DQ52" s="313">
        <v>1</v>
      </c>
      <c r="DR52" s="313">
        <v>2</v>
      </c>
      <c r="DS52" s="313">
        <v>0</v>
      </c>
      <c r="DT52" s="313">
        <v>0</v>
      </c>
      <c r="DU52" s="313">
        <v>2</v>
      </c>
      <c r="DV52" s="313">
        <v>0</v>
      </c>
      <c r="DW52" s="313">
        <v>0</v>
      </c>
      <c r="DX52" s="314">
        <v>4</v>
      </c>
      <c r="DY52" s="315">
        <f>8+2/3</f>
        <v>8.6666666666666661</v>
      </c>
      <c r="DZ52" s="316">
        <v>0</v>
      </c>
      <c r="EA52" s="316">
        <v>0</v>
      </c>
      <c r="EB52" s="317">
        <v>4</v>
      </c>
      <c r="EC52" s="316">
        <v>1</v>
      </c>
      <c r="ED52" s="318">
        <v>0</v>
      </c>
      <c r="EE52" s="319">
        <v>0</v>
      </c>
      <c r="EF52" s="316">
        <v>0</v>
      </c>
      <c r="EG52" s="316">
        <v>1</v>
      </c>
      <c r="EH52" s="316">
        <v>0</v>
      </c>
      <c r="EI52" s="316">
        <v>0</v>
      </c>
      <c r="EJ52" s="316">
        <v>0</v>
      </c>
      <c r="EK52" s="316">
        <v>1</v>
      </c>
      <c r="EL52" s="316">
        <v>0</v>
      </c>
      <c r="EM52" s="316">
        <v>0</v>
      </c>
      <c r="EN52" s="316">
        <v>0</v>
      </c>
      <c r="EO52" s="316">
        <v>0</v>
      </c>
      <c r="EP52" s="316">
        <v>0</v>
      </c>
      <c r="EQ52" s="316">
        <v>1</v>
      </c>
      <c r="ER52" s="318">
        <f t="shared" si="10"/>
        <v>3</v>
      </c>
      <c r="ES52" s="316">
        <v>0</v>
      </c>
      <c r="ET52" s="316">
        <v>0</v>
      </c>
      <c r="EU52" s="316">
        <v>0</v>
      </c>
      <c r="EV52" s="316">
        <v>0</v>
      </c>
      <c r="EW52" s="316">
        <v>1</v>
      </c>
      <c r="EX52" s="316">
        <v>1</v>
      </c>
      <c r="EY52" s="316">
        <v>0</v>
      </c>
      <c r="EZ52" s="316">
        <v>0</v>
      </c>
      <c r="FA52" s="316">
        <v>0</v>
      </c>
      <c r="FB52" s="316">
        <v>0</v>
      </c>
      <c r="FC52" s="316">
        <v>0</v>
      </c>
      <c r="FD52" s="316">
        <v>0</v>
      </c>
      <c r="FE52" s="316">
        <v>0</v>
      </c>
      <c r="FF52" s="316">
        <f t="shared" si="11"/>
        <v>2</v>
      </c>
      <c r="FG52" s="320">
        <f t="shared" si="14"/>
        <v>0</v>
      </c>
      <c r="FH52" s="320">
        <f t="shared" si="15"/>
        <v>0</v>
      </c>
      <c r="FI52" s="321"/>
    </row>
    <row r="53" spans="1:165" x14ac:dyDescent="0.25">
      <c r="A53" s="325">
        <v>40400</v>
      </c>
      <c r="B53" s="325" t="s">
        <v>19</v>
      </c>
      <c r="C53" s="325" t="s">
        <v>129</v>
      </c>
      <c r="D53" s="325" t="s">
        <v>634</v>
      </c>
      <c r="E53" s="322">
        <v>3444</v>
      </c>
      <c r="F53" s="307">
        <v>1</v>
      </c>
      <c r="G53" s="308" t="s">
        <v>644</v>
      </c>
      <c r="H53" s="309">
        <v>1</v>
      </c>
      <c r="I53" s="309">
        <v>0</v>
      </c>
      <c r="J53" s="310">
        <v>5</v>
      </c>
      <c r="K53" s="309">
        <v>4</v>
      </c>
      <c r="L53" s="309">
        <v>0</v>
      </c>
      <c r="M53" s="309">
        <v>0</v>
      </c>
      <c r="N53" s="309">
        <v>1</v>
      </c>
      <c r="O53" s="309">
        <v>4</v>
      </c>
      <c r="P53" s="309">
        <v>0</v>
      </c>
      <c r="Q53" s="309">
        <v>0</v>
      </c>
      <c r="R53" s="309">
        <v>18</v>
      </c>
      <c r="S53" s="309"/>
      <c r="T53" s="309"/>
      <c r="U53" s="309">
        <v>0</v>
      </c>
      <c r="V53" s="311">
        <v>0</v>
      </c>
      <c r="W53" s="323">
        <v>0</v>
      </c>
      <c r="X53" s="323">
        <v>0</v>
      </c>
      <c r="Y53" s="323">
        <v>1</v>
      </c>
      <c r="Z53" s="323">
        <v>1</v>
      </c>
      <c r="AA53" s="323">
        <v>0</v>
      </c>
      <c r="AB53" s="324">
        <v>4</v>
      </c>
      <c r="AC53" s="323">
        <v>5</v>
      </c>
      <c r="AD53" s="323">
        <v>3</v>
      </c>
      <c r="AE53" s="323">
        <v>3</v>
      </c>
      <c r="AF53" s="323">
        <v>2</v>
      </c>
      <c r="AG53" s="323">
        <v>2</v>
      </c>
      <c r="AH53" s="323">
        <v>0</v>
      </c>
      <c r="AI53" s="323">
        <v>0</v>
      </c>
      <c r="AJ53" s="323">
        <v>17</v>
      </c>
      <c r="AK53" s="323"/>
      <c r="AL53" s="323"/>
      <c r="AM53" s="312" t="s">
        <v>282</v>
      </c>
      <c r="AN53" s="313">
        <v>3</v>
      </c>
      <c r="AO53" s="313">
        <v>1</v>
      </c>
      <c r="AP53" s="313">
        <v>0</v>
      </c>
      <c r="AQ53" s="313">
        <v>0</v>
      </c>
      <c r="AR53" s="313">
        <v>1</v>
      </c>
      <c r="AS53" s="313">
        <v>0</v>
      </c>
      <c r="AT53" s="313">
        <v>1</v>
      </c>
      <c r="AU53" s="313">
        <v>0</v>
      </c>
      <c r="AV53" s="314">
        <v>0</v>
      </c>
      <c r="AW53" s="312" t="s">
        <v>285</v>
      </c>
      <c r="AX53" s="313">
        <v>4</v>
      </c>
      <c r="AY53" s="313">
        <v>1</v>
      </c>
      <c r="AZ53" s="313">
        <v>2</v>
      </c>
      <c r="BA53" s="313">
        <v>0</v>
      </c>
      <c r="BB53" s="313">
        <v>0</v>
      </c>
      <c r="BC53" s="313">
        <v>0</v>
      </c>
      <c r="BD53" s="313">
        <v>0</v>
      </c>
      <c r="BE53" s="313">
        <v>0</v>
      </c>
      <c r="BF53" s="314">
        <v>2</v>
      </c>
      <c r="BG53" s="312" t="s">
        <v>422</v>
      </c>
      <c r="BH53" s="313">
        <v>4</v>
      </c>
      <c r="BI53" s="313">
        <v>0</v>
      </c>
      <c r="BJ53" s="313">
        <v>1</v>
      </c>
      <c r="BK53" s="313">
        <v>0</v>
      </c>
      <c r="BL53" s="313">
        <v>0</v>
      </c>
      <c r="BM53" s="313">
        <v>3</v>
      </c>
      <c r="BN53" s="313">
        <v>0</v>
      </c>
      <c r="BO53" s="313">
        <v>0</v>
      </c>
      <c r="BP53" s="314">
        <v>2</v>
      </c>
      <c r="BQ53" s="312" t="s">
        <v>420</v>
      </c>
      <c r="BR53" s="313">
        <v>4</v>
      </c>
      <c r="BS53" s="313">
        <v>1</v>
      </c>
      <c r="BT53" s="313">
        <v>1</v>
      </c>
      <c r="BU53" s="313">
        <v>1</v>
      </c>
      <c r="BV53" s="313">
        <v>0</v>
      </c>
      <c r="BW53" s="313">
        <v>0</v>
      </c>
      <c r="BX53" s="313">
        <v>0</v>
      </c>
      <c r="BY53" s="313">
        <v>0</v>
      </c>
      <c r="BZ53" s="314">
        <v>1</v>
      </c>
      <c r="CA53" s="312" t="s">
        <v>426</v>
      </c>
      <c r="CB53" s="313">
        <v>3</v>
      </c>
      <c r="CC53" s="313">
        <v>1</v>
      </c>
      <c r="CD53" s="313">
        <v>0</v>
      </c>
      <c r="CE53" s="313">
        <v>0</v>
      </c>
      <c r="CF53" s="313">
        <v>1</v>
      </c>
      <c r="CG53" s="313">
        <v>1</v>
      </c>
      <c r="CH53" s="313">
        <v>0</v>
      </c>
      <c r="CI53" s="313">
        <v>0</v>
      </c>
      <c r="CJ53" s="314">
        <v>0</v>
      </c>
      <c r="CK53" s="312" t="s">
        <v>284</v>
      </c>
      <c r="CL53" s="313">
        <v>3</v>
      </c>
      <c r="CM53" s="313">
        <v>0</v>
      </c>
      <c r="CN53" s="313">
        <v>1</v>
      </c>
      <c r="CO53" s="313">
        <v>0</v>
      </c>
      <c r="CP53" s="313">
        <v>0</v>
      </c>
      <c r="CQ53" s="313">
        <v>0</v>
      </c>
      <c r="CR53" s="313">
        <v>1</v>
      </c>
      <c r="CS53" s="313">
        <v>0</v>
      </c>
      <c r="CT53" s="314">
        <v>1</v>
      </c>
      <c r="CU53" s="312" t="s">
        <v>418</v>
      </c>
      <c r="CV53" s="313">
        <v>3</v>
      </c>
      <c r="CW53" s="313">
        <v>0</v>
      </c>
      <c r="CX53" s="313">
        <v>1</v>
      </c>
      <c r="CY53" s="313">
        <v>1</v>
      </c>
      <c r="CZ53" s="313">
        <v>1</v>
      </c>
      <c r="DA53" s="313">
        <v>0</v>
      </c>
      <c r="DB53" s="313">
        <v>0</v>
      </c>
      <c r="DC53" s="313">
        <v>0</v>
      </c>
      <c r="DD53" s="314">
        <v>1</v>
      </c>
      <c r="DE53" s="312" t="s">
        <v>460</v>
      </c>
      <c r="DF53" s="313">
        <v>3</v>
      </c>
      <c r="DG53" s="313">
        <v>0</v>
      </c>
      <c r="DH53" s="313">
        <v>1</v>
      </c>
      <c r="DI53" s="313">
        <v>1</v>
      </c>
      <c r="DJ53" s="313">
        <v>1</v>
      </c>
      <c r="DK53" s="313">
        <v>1</v>
      </c>
      <c r="DL53" s="313">
        <v>0</v>
      </c>
      <c r="DM53" s="313">
        <v>0</v>
      </c>
      <c r="DN53" s="314">
        <v>1</v>
      </c>
      <c r="DO53" s="312" t="s">
        <v>416</v>
      </c>
      <c r="DP53" s="313">
        <v>4</v>
      </c>
      <c r="DQ53" s="313">
        <v>0</v>
      </c>
      <c r="DR53" s="313">
        <v>0</v>
      </c>
      <c r="DS53" s="313">
        <v>0</v>
      </c>
      <c r="DT53" s="313">
        <v>0</v>
      </c>
      <c r="DU53" s="313">
        <v>1</v>
      </c>
      <c r="DV53" s="313">
        <v>0</v>
      </c>
      <c r="DW53" s="313">
        <v>0</v>
      </c>
      <c r="DX53" s="314">
        <v>0</v>
      </c>
      <c r="DY53" s="315">
        <f>0+1/3</f>
        <v>0.33333333333333331</v>
      </c>
      <c r="DZ53" s="316">
        <v>0</v>
      </c>
      <c r="EA53" s="316">
        <v>0</v>
      </c>
      <c r="EB53" s="317">
        <f>7+2/3</f>
        <v>7.666666666666667</v>
      </c>
      <c r="EC53" s="316">
        <v>2</v>
      </c>
      <c r="ED53" s="318">
        <v>0</v>
      </c>
      <c r="EE53" s="319">
        <v>4</v>
      </c>
      <c r="EF53" s="316">
        <v>0</v>
      </c>
      <c r="EG53" s="316">
        <v>0</v>
      </c>
      <c r="EH53" s="316">
        <v>0</v>
      </c>
      <c r="EI53" s="316">
        <v>0</v>
      </c>
      <c r="EJ53" s="316">
        <v>0</v>
      </c>
      <c r="EK53" s="316">
        <v>0</v>
      </c>
      <c r="EL53" s="316">
        <v>0</v>
      </c>
      <c r="EM53" s="316"/>
      <c r="EN53" s="316"/>
      <c r="EO53" s="316"/>
      <c r="EP53" s="316"/>
      <c r="EQ53" s="316"/>
      <c r="ER53" s="318">
        <f t="shared" ref="ER53:ER62" si="16">SUM(EE53:EQ53)</f>
        <v>4</v>
      </c>
      <c r="ES53" s="316">
        <v>0</v>
      </c>
      <c r="ET53" s="316">
        <v>0</v>
      </c>
      <c r="EU53" s="316">
        <v>0</v>
      </c>
      <c r="EV53" s="316">
        <v>0</v>
      </c>
      <c r="EW53" s="316">
        <v>0</v>
      </c>
      <c r="EX53" s="316">
        <v>2</v>
      </c>
      <c r="EY53" s="316">
        <v>0</v>
      </c>
      <c r="EZ53" s="316">
        <v>0</v>
      </c>
      <c r="FA53" s="316">
        <v>1</v>
      </c>
      <c r="FB53" s="316"/>
      <c r="FC53" s="316"/>
      <c r="FD53" s="316"/>
      <c r="FE53" s="316"/>
      <c r="FF53" s="316">
        <f t="shared" ref="FF53:FF62" si="17">SUM(ES53:FE53)</f>
        <v>3</v>
      </c>
      <c r="FG53" s="320">
        <f t="shared" si="14"/>
        <v>0</v>
      </c>
      <c r="FH53" s="320">
        <f t="shared" si="15"/>
        <v>0</v>
      </c>
      <c r="FI53" s="321"/>
    </row>
    <row r="54" spans="1:165" x14ac:dyDescent="0.25">
      <c r="A54" s="325">
        <v>40401</v>
      </c>
      <c r="B54" s="325" t="s">
        <v>19</v>
      </c>
      <c r="C54" s="325" t="s">
        <v>131</v>
      </c>
      <c r="D54" s="325" t="s">
        <v>634</v>
      </c>
      <c r="E54" s="322">
        <v>5011</v>
      </c>
      <c r="F54" s="307">
        <v>2</v>
      </c>
      <c r="G54" s="308" t="s">
        <v>522</v>
      </c>
      <c r="H54" s="309">
        <v>0</v>
      </c>
      <c r="I54" s="309">
        <v>0</v>
      </c>
      <c r="J54" s="310">
        <v>2</v>
      </c>
      <c r="K54" s="309">
        <v>3</v>
      </c>
      <c r="L54" s="309">
        <v>3</v>
      </c>
      <c r="M54" s="309">
        <v>3</v>
      </c>
      <c r="N54" s="309">
        <v>2</v>
      </c>
      <c r="O54" s="309">
        <v>0</v>
      </c>
      <c r="P54" s="309">
        <v>0</v>
      </c>
      <c r="Q54" s="309">
        <v>0</v>
      </c>
      <c r="R54" s="309">
        <v>11</v>
      </c>
      <c r="S54" s="309"/>
      <c r="T54" s="309"/>
      <c r="U54" s="309">
        <v>0</v>
      </c>
      <c r="V54" s="311">
        <v>0</v>
      </c>
      <c r="W54" s="323">
        <v>0</v>
      </c>
      <c r="X54" s="323">
        <v>1</v>
      </c>
      <c r="Y54" s="323">
        <v>0</v>
      </c>
      <c r="Z54" s="323">
        <v>0</v>
      </c>
      <c r="AA54" s="323">
        <v>0</v>
      </c>
      <c r="AB54" s="324">
        <v>7</v>
      </c>
      <c r="AC54" s="323">
        <v>10</v>
      </c>
      <c r="AD54" s="323">
        <v>9</v>
      </c>
      <c r="AE54" s="323">
        <v>6</v>
      </c>
      <c r="AF54" s="323">
        <v>6</v>
      </c>
      <c r="AG54" s="323">
        <v>7</v>
      </c>
      <c r="AH54" s="323">
        <v>1</v>
      </c>
      <c r="AI54" s="323">
        <v>0</v>
      </c>
      <c r="AJ54" s="323">
        <v>35</v>
      </c>
      <c r="AK54" s="323"/>
      <c r="AL54" s="323"/>
      <c r="AM54" s="312" t="s">
        <v>282</v>
      </c>
      <c r="AN54" s="313">
        <v>4</v>
      </c>
      <c r="AO54" s="313">
        <v>1</v>
      </c>
      <c r="AP54" s="313">
        <v>0</v>
      </c>
      <c r="AQ54" s="313">
        <v>0</v>
      </c>
      <c r="AR54" s="313">
        <v>0</v>
      </c>
      <c r="AS54" s="313">
        <v>0</v>
      </c>
      <c r="AT54" s="313">
        <v>1</v>
      </c>
      <c r="AU54" s="313">
        <v>0</v>
      </c>
      <c r="AV54" s="314">
        <v>0</v>
      </c>
      <c r="AW54" s="312" t="s">
        <v>285</v>
      </c>
      <c r="AX54" s="313">
        <v>5</v>
      </c>
      <c r="AY54" s="313">
        <v>1</v>
      </c>
      <c r="AZ54" s="313">
        <v>2</v>
      </c>
      <c r="BA54" s="313">
        <v>0</v>
      </c>
      <c r="BB54" s="313">
        <v>0</v>
      </c>
      <c r="BC54" s="313">
        <v>1</v>
      </c>
      <c r="BD54" s="313">
        <v>0</v>
      </c>
      <c r="BE54" s="313">
        <v>0</v>
      </c>
      <c r="BF54" s="314">
        <v>2</v>
      </c>
      <c r="BG54" s="312" t="s">
        <v>420</v>
      </c>
      <c r="BH54" s="313">
        <v>4</v>
      </c>
      <c r="BI54" s="313">
        <v>1</v>
      </c>
      <c r="BJ54" s="313">
        <v>2</v>
      </c>
      <c r="BK54" s="313">
        <v>2</v>
      </c>
      <c r="BL54" s="313">
        <v>0</v>
      </c>
      <c r="BM54" s="313">
        <v>0</v>
      </c>
      <c r="BN54" s="313">
        <v>0</v>
      </c>
      <c r="BO54" s="313">
        <v>0</v>
      </c>
      <c r="BP54" s="314">
        <v>5</v>
      </c>
      <c r="BQ54" s="312" t="s">
        <v>421</v>
      </c>
      <c r="BR54" s="313">
        <v>4</v>
      </c>
      <c r="BS54" s="313">
        <v>1</v>
      </c>
      <c r="BT54" s="313">
        <v>1</v>
      </c>
      <c r="BU54" s="313">
        <v>0</v>
      </c>
      <c r="BV54" s="313">
        <v>0</v>
      </c>
      <c r="BW54" s="313">
        <v>0</v>
      </c>
      <c r="BX54" s="313">
        <v>0</v>
      </c>
      <c r="BY54" s="313">
        <v>0</v>
      </c>
      <c r="BZ54" s="314">
        <v>1</v>
      </c>
      <c r="CA54" s="312" t="s">
        <v>426</v>
      </c>
      <c r="CB54" s="313">
        <v>4</v>
      </c>
      <c r="CC54" s="313">
        <v>0</v>
      </c>
      <c r="CD54" s="313">
        <v>2</v>
      </c>
      <c r="CE54" s="313">
        <v>0</v>
      </c>
      <c r="CF54" s="313">
        <v>0</v>
      </c>
      <c r="CG54" s="313">
        <v>1</v>
      </c>
      <c r="CH54" s="313">
        <v>0</v>
      </c>
      <c r="CI54" s="313">
        <v>0</v>
      </c>
      <c r="CJ54" s="314">
        <v>2</v>
      </c>
      <c r="CK54" s="312" t="s">
        <v>284</v>
      </c>
      <c r="CL54" s="313">
        <v>4</v>
      </c>
      <c r="CM54" s="313">
        <v>0</v>
      </c>
      <c r="CN54" s="313">
        <v>3</v>
      </c>
      <c r="CO54" s="313">
        <v>2</v>
      </c>
      <c r="CP54" s="313">
        <v>0</v>
      </c>
      <c r="CQ54" s="313">
        <v>0</v>
      </c>
      <c r="CR54" s="313">
        <v>0</v>
      </c>
      <c r="CS54" s="313">
        <v>0</v>
      </c>
      <c r="CT54" s="314">
        <v>4</v>
      </c>
      <c r="CU54" s="312" t="s">
        <v>418</v>
      </c>
      <c r="CV54" s="313">
        <v>4</v>
      </c>
      <c r="CW54" s="313">
        <v>0</v>
      </c>
      <c r="CX54" s="313">
        <v>1</v>
      </c>
      <c r="CY54" s="313">
        <v>0</v>
      </c>
      <c r="CZ54" s="313">
        <v>0</v>
      </c>
      <c r="DA54" s="313">
        <v>1</v>
      </c>
      <c r="DB54" s="313">
        <v>0</v>
      </c>
      <c r="DC54" s="313">
        <v>0</v>
      </c>
      <c r="DD54" s="314">
        <v>2</v>
      </c>
      <c r="DE54" s="312" t="s">
        <v>460</v>
      </c>
      <c r="DF54" s="313">
        <v>3</v>
      </c>
      <c r="DG54" s="313">
        <v>0</v>
      </c>
      <c r="DH54" s="313">
        <v>0</v>
      </c>
      <c r="DI54" s="313">
        <v>0</v>
      </c>
      <c r="DJ54" s="313">
        <v>0</v>
      </c>
      <c r="DK54" s="313">
        <v>2</v>
      </c>
      <c r="DL54" s="313">
        <v>0</v>
      </c>
      <c r="DM54" s="313">
        <v>0</v>
      </c>
      <c r="DN54" s="314">
        <v>0</v>
      </c>
      <c r="DO54" s="312" t="s">
        <v>419</v>
      </c>
      <c r="DP54" s="313">
        <v>4</v>
      </c>
      <c r="DQ54" s="313">
        <v>0</v>
      </c>
      <c r="DR54" s="313">
        <v>1</v>
      </c>
      <c r="DS54" s="313">
        <v>0</v>
      </c>
      <c r="DT54" s="313">
        <v>0</v>
      </c>
      <c r="DU54" s="313">
        <v>3</v>
      </c>
      <c r="DV54" s="313">
        <v>0</v>
      </c>
      <c r="DW54" s="313">
        <v>0</v>
      </c>
      <c r="DX54" s="314">
        <v>1</v>
      </c>
      <c r="DY54" s="315">
        <v>2</v>
      </c>
      <c r="DZ54" s="316">
        <v>0</v>
      </c>
      <c r="EA54" s="316">
        <v>0</v>
      </c>
      <c r="EB54" s="317">
        <v>7</v>
      </c>
      <c r="EC54" s="316">
        <v>0</v>
      </c>
      <c r="ED54" s="318">
        <v>0</v>
      </c>
      <c r="EE54" s="319">
        <v>2</v>
      </c>
      <c r="EF54" s="316">
        <v>0</v>
      </c>
      <c r="EG54" s="316">
        <v>1</v>
      </c>
      <c r="EH54" s="316">
        <v>0</v>
      </c>
      <c r="EI54" s="316">
        <v>0</v>
      </c>
      <c r="EJ54" s="316">
        <v>0</v>
      </c>
      <c r="EK54" s="316">
        <v>1</v>
      </c>
      <c r="EL54" s="316">
        <v>0</v>
      </c>
      <c r="EM54" s="316">
        <v>0</v>
      </c>
      <c r="EN54" s="316"/>
      <c r="EO54" s="316"/>
      <c r="EP54" s="316"/>
      <c r="EQ54" s="316"/>
      <c r="ER54" s="318">
        <f t="shared" si="16"/>
        <v>4</v>
      </c>
      <c r="ES54" s="316">
        <v>0</v>
      </c>
      <c r="ET54" s="316">
        <v>3</v>
      </c>
      <c r="EU54" s="316">
        <v>0</v>
      </c>
      <c r="EV54" s="316">
        <v>0</v>
      </c>
      <c r="EW54" s="316">
        <v>0</v>
      </c>
      <c r="EX54" s="316">
        <v>0</v>
      </c>
      <c r="EY54" s="316">
        <v>4</v>
      </c>
      <c r="EZ54" s="316">
        <v>5</v>
      </c>
      <c r="FA54" s="316">
        <v>0</v>
      </c>
      <c r="FB54" s="316"/>
      <c r="FC54" s="316"/>
      <c r="FD54" s="316"/>
      <c r="FE54" s="316"/>
      <c r="FF54" s="316">
        <f t="shared" si="17"/>
        <v>12</v>
      </c>
      <c r="FG54" s="320">
        <f t="shared" si="14"/>
        <v>0</v>
      </c>
      <c r="FH54" s="320">
        <f t="shared" si="15"/>
        <v>0</v>
      </c>
      <c r="FI54" s="321"/>
    </row>
    <row r="55" spans="1:165" x14ac:dyDescent="0.25">
      <c r="A55" s="380">
        <v>40402</v>
      </c>
      <c r="B55" s="380" t="s">
        <v>19</v>
      </c>
      <c r="C55" s="380" t="s">
        <v>129</v>
      </c>
      <c r="D55" s="380" t="s">
        <v>634</v>
      </c>
      <c r="E55" s="374">
        <v>4119</v>
      </c>
      <c r="F55" s="358">
        <v>3</v>
      </c>
      <c r="G55" s="359" t="s">
        <v>411</v>
      </c>
      <c r="H55" s="360">
        <v>1</v>
      </c>
      <c r="I55" s="360">
        <v>0</v>
      </c>
      <c r="J55" s="361">
        <f>6+1/3</f>
        <v>6.333333333333333</v>
      </c>
      <c r="K55" s="360">
        <v>3</v>
      </c>
      <c r="L55" s="360">
        <v>0</v>
      </c>
      <c r="M55" s="360">
        <v>0</v>
      </c>
      <c r="N55" s="360">
        <v>0</v>
      </c>
      <c r="O55" s="360">
        <v>8</v>
      </c>
      <c r="P55" s="360">
        <v>0</v>
      </c>
      <c r="Q55" s="360">
        <v>0</v>
      </c>
      <c r="R55" s="360">
        <v>20</v>
      </c>
      <c r="S55" s="360"/>
      <c r="T55" s="360"/>
      <c r="U55" s="360">
        <v>0</v>
      </c>
      <c r="V55" s="362">
        <v>0</v>
      </c>
      <c r="W55" s="376">
        <v>0</v>
      </c>
      <c r="X55" s="376">
        <v>0</v>
      </c>
      <c r="Y55" s="376">
        <v>0</v>
      </c>
      <c r="Z55" s="376">
        <v>0</v>
      </c>
      <c r="AA55" s="376">
        <v>0</v>
      </c>
      <c r="AB55" s="377">
        <f>2+2/3</f>
        <v>2.6666666666666665</v>
      </c>
      <c r="AC55" s="376">
        <v>5</v>
      </c>
      <c r="AD55" s="376">
        <v>2</v>
      </c>
      <c r="AE55" s="376">
        <v>2</v>
      </c>
      <c r="AF55" s="376">
        <v>1</v>
      </c>
      <c r="AG55" s="376">
        <v>4</v>
      </c>
      <c r="AH55" s="376">
        <v>0</v>
      </c>
      <c r="AI55" s="376">
        <v>1</v>
      </c>
      <c r="AJ55" s="376">
        <v>15</v>
      </c>
      <c r="AK55" s="376"/>
      <c r="AL55" s="376"/>
      <c r="AM55" s="363" t="s">
        <v>282</v>
      </c>
      <c r="AN55" s="364">
        <v>3</v>
      </c>
      <c r="AO55" s="364">
        <v>2</v>
      </c>
      <c r="AP55" s="364">
        <v>2</v>
      </c>
      <c r="AQ55" s="364">
        <v>3</v>
      </c>
      <c r="AR55" s="364">
        <v>0</v>
      </c>
      <c r="AS55" s="364">
        <v>0</v>
      </c>
      <c r="AT55" s="364">
        <v>1</v>
      </c>
      <c r="AU55" s="364">
        <v>1</v>
      </c>
      <c r="AV55" s="365">
        <v>3</v>
      </c>
      <c r="AW55" s="363" t="s">
        <v>285</v>
      </c>
      <c r="AX55" s="364">
        <v>3</v>
      </c>
      <c r="AY55" s="364">
        <v>1</v>
      </c>
      <c r="AZ55" s="364">
        <v>1</v>
      </c>
      <c r="BA55" s="364">
        <v>0</v>
      </c>
      <c r="BB55" s="364">
        <v>0</v>
      </c>
      <c r="BC55" s="364">
        <v>1</v>
      </c>
      <c r="BD55" s="364">
        <v>0</v>
      </c>
      <c r="BE55" s="364">
        <v>0</v>
      </c>
      <c r="BF55" s="365">
        <v>1</v>
      </c>
      <c r="BG55" s="363" t="s">
        <v>420</v>
      </c>
      <c r="BH55" s="364">
        <v>4</v>
      </c>
      <c r="BI55" s="364">
        <v>1</v>
      </c>
      <c r="BJ55" s="364">
        <v>1</v>
      </c>
      <c r="BK55" s="364">
        <v>1</v>
      </c>
      <c r="BL55" s="364">
        <v>0</v>
      </c>
      <c r="BM55" s="364">
        <v>1</v>
      </c>
      <c r="BN55" s="364">
        <v>0</v>
      </c>
      <c r="BO55" s="364">
        <v>0</v>
      </c>
      <c r="BP55" s="365">
        <v>1</v>
      </c>
      <c r="BQ55" s="363" t="s">
        <v>421</v>
      </c>
      <c r="BR55" s="364">
        <v>3</v>
      </c>
      <c r="BS55" s="364">
        <v>0</v>
      </c>
      <c r="BT55" s="364">
        <v>1</v>
      </c>
      <c r="BU55" s="364">
        <v>2</v>
      </c>
      <c r="BV55" s="364">
        <v>0</v>
      </c>
      <c r="BW55" s="364">
        <v>1</v>
      </c>
      <c r="BX55" s="364">
        <v>0</v>
      </c>
      <c r="BY55" s="364">
        <v>1</v>
      </c>
      <c r="BZ55" s="365">
        <v>1</v>
      </c>
      <c r="CA55" s="363" t="s">
        <v>426</v>
      </c>
      <c r="CB55" s="364">
        <v>4</v>
      </c>
      <c r="CC55" s="364">
        <v>1</v>
      </c>
      <c r="CD55" s="364">
        <v>1</v>
      </c>
      <c r="CE55" s="364">
        <v>0</v>
      </c>
      <c r="CF55" s="364">
        <v>0</v>
      </c>
      <c r="CG55" s="364">
        <v>1</v>
      </c>
      <c r="CH55" s="364">
        <v>0</v>
      </c>
      <c r="CI55" s="364">
        <v>0</v>
      </c>
      <c r="CJ55" s="365">
        <v>1</v>
      </c>
      <c r="CK55" s="363" t="s">
        <v>284</v>
      </c>
      <c r="CL55" s="364">
        <v>4</v>
      </c>
      <c r="CM55" s="364">
        <v>0</v>
      </c>
      <c r="CN55" s="364">
        <v>1</v>
      </c>
      <c r="CO55" s="364">
        <v>2</v>
      </c>
      <c r="CP55" s="364">
        <v>0</v>
      </c>
      <c r="CQ55" s="364">
        <v>1</v>
      </c>
      <c r="CR55" s="364">
        <v>0</v>
      </c>
      <c r="CS55" s="364">
        <v>0</v>
      </c>
      <c r="CT55" s="365">
        <v>3</v>
      </c>
      <c r="CU55" s="363" t="s">
        <v>418</v>
      </c>
      <c r="CV55" s="364">
        <v>4</v>
      </c>
      <c r="CW55" s="364">
        <v>0</v>
      </c>
      <c r="CX55" s="364">
        <v>1</v>
      </c>
      <c r="CY55" s="364">
        <v>0</v>
      </c>
      <c r="CZ55" s="364">
        <v>0</v>
      </c>
      <c r="DA55" s="364">
        <v>2</v>
      </c>
      <c r="DB55" s="364">
        <v>0</v>
      </c>
      <c r="DC55" s="364">
        <v>0</v>
      </c>
      <c r="DD55" s="365">
        <v>1</v>
      </c>
      <c r="DE55" s="363" t="s">
        <v>416</v>
      </c>
      <c r="DF55" s="364">
        <v>3</v>
      </c>
      <c r="DG55" s="364">
        <v>2</v>
      </c>
      <c r="DH55" s="364">
        <v>2</v>
      </c>
      <c r="DI55" s="364">
        <v>0</v>
      </c>
      <c r="DJ55" s="364">
        <v>0</v>
      </c>
      <c r="DK55" s="364">
        <v>1</v>
      </c>
      <c r="DL55" s="364">
        <v>1</v>
      </c>
      <c r="DM55" s="364">
        <v>0</v>
      </c>
      <c r="DN55" s="365">
        <v>2</v>
      </c>
      <c r="DO55" s="363" t="s">
        <v>419</v>
      </c>
      <c r="DP55" s="364">
        <v>3</v>
      </c>
      <c r="DQ55" s="364">
        <v>1</v>
      </c>
      <c r="DR55" s="364">
        <v>0</v>
      </c>
      <c r="DS55" s="364">
        <v>0</v>
      </c>
      <c r="DT55" s="364">
        <v>0</v>
      </c>
      <c r="DU55" s="364">
        <v>3</v>
      </c>
      <c r="DV55" s="364">
        <v>1</v>
      </c>
      <c r="DW55" s="364">
        <v>0</v>
      </c>
      <c r="DX55" s="365">
        <v>0</v>
      </c>
      <c r="DY55" s="366">
        <v>0</v>
      </c>
      <c r="DZ55" s="367">
        <v>0</v>
      </c>
      <c r="EA55" s="367">
        <v>0</v>
      </c>
      <c r="EB55" s="368">
        <v>8</v>
      </c>
      <c r="EC55" s="367">
        <v>0</v>
      </c>
      <c r="ED55" s="369">
        <v>1</v>
      </c>
      <c r="EE55" s="370">
        <v>0</v>
      </c>
      <c r="EF55" s="367">
        <v>0</v>
      </c>
      <c r="EG55" s="367">
        <v>3</v>
      </c>
      <c r="EH55" s="367">
        <v>0</v>
      </c>
      <c r="EI55" s="367">
        <v>4</v>
      </c>
      <c r="EJ55" s="367">
        <v>1</v>
      </c>
      <c r="EK55" s="367">
        <v>0</v>
      </c>
      <c r="EL55" s="367">
        <v>0</v>
      </c>
      <c r="EM55" s="367"/>
      <c r="EN55" s="367"/>
      <c r="EO55" s="367"/>
      <c r="EP55" s="367"/>
      <c r="EQ55" s="367"/>
      <c r="ER55" s="369">
        <f t="shared" si="16"/>
        <v>8</v>
      </c>
      <c r="ES55" s="367">
        <v>0</v>
      </c>
      <c r="ET55" s="367">
        <v>0</v>
      </c>
      <c r="EU55" s="367">
        <v>0</v>
      </c>
      <c r="EV55" s="367">
        <v>0</v>
      </c>
      <c r="EW55" s="367">
        <v>0</v>
      </c>
      <c r="EX55" s="367">
        <v>0</v>
      </c>
      <c r="EY55" s="367">
        <v>0</v>
      </c>
      <c r="EZ55" s="367">
        <v>0</v>
      </c>
      <c r="FA55" s="367">
        <v>2</v>
      </c>
      <c r="FB55" s="367"/>
      <c r="FC55" s="367"/>
      <c r="FD55" s="367"/>
      <c r="FE55" s="367"/>
      <c r="FF55" s="367">
        <f t="shared" si="17"/>
        <v>2</v>
      </c>
      <c r="FG55" s="371">
        <f t="shared" si="14"/>
        <v>0</v>
      </c>
      <c r="FH55" s="371">
        <f t="shared" si="15"/>
        <v>0</v>
      </c>
      <c r="FI55" s="372"/>
    </row>
    <row r="56" spans="1:165" x14ac:dyDescent="0.25">
      <c r="A56" s="380">
        <v>40403</v>
      </c>
      <c r="B56" s="380" t="s">
        <v>133</v>
      </c>
      <c r="C56" s="380" t="s">
        <v>131</v>
      </c>
      <c r="D56" s="380" t="s">
        <v>667</v>
      </c>
      <c r="E56" s="374">
        <v>1333</v>
      </c>
      <c r="F56" s="358">
        <v>4</v>
      </c>
      <c r="G56" s="359" t="s">
        <v>556</v>
      </c>
      <c r="H56" s="360">
        <v>0</v>
      </c>
      <c r="I56" s="360">
        <v>1</v>
      </c>
      <c r="J56" s="361">
        <v>4</v>
      </c>
      <c r="K56" s="360">
        <v>6</v>
      </c>
      <c r="L56" s="360">
        <v>6</v>
      </c>
      <c r="M56" s="360">
        <v>4</v>
      </c>
      <c r="N56" s="360">
        <v>2</v>
      </c>
      <c r="O56" s="360">
        <v>3</v>
      </c>
      <c r="P56" s="360">
        <v>0</v>
      </c>
      <c r="Q56" s="360">
        <v>0</v>
      </c>
      <c r="R56" s="360">
        <v>18</v>
      </c>
      <c r="S56" s="360"/>
      <c r="T56" s="360"/>
      <c r="U56" s="360">
        <v>0</v>
      </c>
      <c r="V56" s="362">
        <v>0</v>
      </c>
      <c r="W56" s="376">
        <v>0</v>
      </c>
      <c r="X56" s="376">
        <v>0</v>
      </c>
      <c r="Y56" s="376">
        <v>0</v>
      </c>
      <c r="Z56" s="376">
        <v>0</v>
      </c>
      <c r="AA56" s="376">
        <v>0</v>
      </c>
      <c r="AB56" s="377">
        <v>4</v>
      </c>
      <c r="AC56" s="376">
        <v>4</v>
      </c>
      <c r="AD56" s="376">
        <v>3</v>
      </c>
      <c r="AE56" s="376">
        <v>3</v>
      </c>
      <c r="AF56" s="376">
        <v>1</v>
      </c>
      <c r="AG56" s="376">
        <v>2</v>
      </c>
      <c r="AH56" s="376">
        <v>0</v>
      </c>
      <c r="AI56" s="376">
        <v>0</v>
      </c>
      <c r="AJ56" s="376">
        <v>18</v>
      </c>
      <c r="AK56" s="376"/>
      <c r="AL56" s="376"/>
      <c r="AM56" s="363" t="s">
        <v>282</v>
      </c>
      <c r="AN56" s="364">
        <v>3</v>
      </c>
      <c r="AO56" s="364">
        <v>0</v>
      </c>
      <c r="AP56" s="364">
        <v>0</v>
      </c>
      <c r="AQ56" s="364">
        <v>0</v>
      </c>
      <c r="AR56" s="364">
        <v>1</v>
      </c>
      <c r="AS56" s="364">
        <v>2</v>
      </c>
      <c r="AT56" s="364">
        <v>0</v>
      </c>
      <c r="AU56" s="364">
        <v>0</v>
      </c>
      <c r="AV56" s="365">
        <v>0</v>
      </c>
      <c r="AW56" s="363" t="s">
        <v>285</v>
      </c>
      <c r="AX56" s="364">
        <v>4</v>
      </c>
      <c r="AY56" s="364">
        <v>0</v>
      </c>
      <c r="AZ56" s="364">
        <v>0</v>
      </c>
      <c r="BA56" s="364">
        <v>0</v>
      </c>
      <c r="BB56" s="364">
        <v>0</v>
      </c>
      <c r="BC56" s="364">
        <v>2</v>
      </c>
      <c r="BD56" s="364">
        <v>0</v>
      </c>
      <c r="BE56" s="364">
        <v>0</v>
      </c>
      <c r="BF56" s="365">
        <v>0</v>
      </c>
      <c r="BG56" s="363" t="s">
        <v>420</v>
      </c>
      <c r="BH56" s="364">
        <v>3</v>
      </c>
      <c r="BI56" s="364">
        <v>1</v>
      </c>
      <c r="BJ56" s="364">
        <v>1</v>
      </c>
      <c r="BK56" s="364">
        <v>0</v>
      </c>
      <c r="BL56" s="364">
        <v>1</v>
      </c>
      <c r="BM56" s="364">
        <v>2</v>
      </c>
      <c r="BN56" s="364">
        <v>0</v>
      </c>
      <c r="BO56" s="364">
        <v>0</v>
      </c>
      <c r="BP56" s="365">
        <v>1</v>
      </c>
      <c r="BQ56" s="363" t="s">
        <v>421</v>
      </c>
      <c r="BR56" s="364">
        <v>3</v>
      </c>
      <c r="BS56" s="364">
        <v>0</v>
      </c>
      <c r="BT56" s="364">
        <v>0</v>
      </c>
      <c r="BU56" s="364">
        <v>0</v>
      </c>
      <c r="BV56" s="364">
        <v>1</v>
      </c>
      <c r="BW56" s="364">
        <v>2</v>
      </c>
      <c r="BX56" s="364">
        <v>0</v>
      </c>
      <c r="BY56" s="364">
        <v>0</v>
      </c>
      <c r="BZ56" s="365">
        <v>0</v>
      </c>
      <c r="CA56" s="363" t="s">
        <v>424</v>
      </c>
      <c r="CB56" s="364">
        <v>4</v>
      </c>
      <c r="CC56" s="364">
        <v>1</v>
      </c>
      <c r="CD56" s="364">
        <v>2</v>
      </c>
      <c r="CE56" s="364">
        <v>0</v>
      </c>
      <c r="CF56" s="364">
        <v>0</v>
      </c>
      <c r="CG56" s="364">
        <v>0</v>
      </c>
      <c r="CH56" s="364">
        <v>0</v>
      </c>
      <c r="CI56" s="364">
        <v>0</v>
      </c>
      <c r="CJ56" s="365">
        <v>2</v>
      </c>
      <c r="CK56" s="363" t="s">
        <v>284</v>
      </c>
      <c r="CL56" s="364">
        <v>3</v>
      </c>
      <c r="CM56" s="364">
        <v>1</v>
      </c>
      <c r="CN56" s="364">
        <v>1</v>
      </c>
      <c r="CO56" s="364">
        <v>2</v>
      </c>
      <c r="CP56" s="364">
        <v>0</v>
      </c>
      <c r="CQ56" s="364">
        <v>1</v>
      </c>
      <c r="CR56" s="364">
        <v>1</v>
      </c>
      <c r="CS56" s="364">
        <v>0</v>
      </c>
      <c r="CT56" s="365">
        <v>4</v>
      </c>
      <c r="CU56" s="363" t="s">
        <v>418</v>
      </c>
      <c r="CV56" s="364">
        <v>4</v>
      </c>
      <c r="CW56" s="364">
        <v>0</v>
      </c>
      <c r="CX56" s="364">
        <v>2</v>
      </c>
      <c r="CY56" s="364">
        <v>1</v>
      </c>
      <c r="CZ56" s="364">
        <v>0</v>
      </c>
      <c r="DA56" s="364">
        <v>2</v>
      </c>
      <c r="DB56" s="364">
        <v>0</v>
      </c>
      <c r="DC56" s="364">
        <v>0</v>
      </c>
      <c r="DD56" s="365">
        <v>2</v>
      </c>
      <c r="DE56" s="363" t="s">
        <v>460</v>
      </c>
      <c r="DF56" s="364">
        <v>4</v>
      </c>
      <c r="DG56" s="364">
        <v>0</v>
      </c>
      <c r="DH56" s="364">
        <v>0</v>
      </c>
      <c r="DI56" s="364">
        <v>0</v>
      </c>
      <c r="DJ56" s="364">
        <v>0</v>
      </c>
      <c r="DK56" s="364">
        <v>2</v>
      </c>
      <c r="DL56" s="364">
        <v>0</v>
      </c>
      <c r="DM56" s="364">
        <v>0</v>
      </c>
      <c r="DN56" s="365">
        <v>0</v>
      </c>
      <c r="DO56" s="363" t="s">
        <v>419</v>
      </c>
      <c r="DP56" s="364">
        <v>3</v>
      </c>
      <c r="DQ56" s="364">
        <v>0</v>
      </c>
      <c r="DR56" s="364">
        <v>0</v>
      </c>
      <c r="DS56" s="364">
        <v>0</v>
      </c>
      <c r="DT56" s="364">
        <v>0</v>
      </c>
      <c r="DU56" s="364">
        <v>2</v>
      </c>
      <c r="DV56" s="364">
        <v>0</v>
      </c>
      <c r="DW56" s="364">
        <v>0</v>
      </c>
      <c r="DX56" s="365">
        <v>0</v>
      </c>
      <c r="DY56" s="366">
        <v>6</v>
      </c>
      <c r="DZ56" s="367">
        <v>0</v>
      </c>
      <c r="EA56" s="367">
        <v>0</v>
      </c>
      <c r="EB56" s="368">
        <v>3</v>
      </c>
      <c r="EC56" s="367">
        <v>0</v>
      </c>
      <c r="ED56" s="369">
        <v>0</v>
      </c>
      <c r="EE56" s="370">
        <v>0</v>
      </c>
      <c r="EF56" s="367">
        <v>0</v>
      </c>
      <c r="EG56" s="367">
        <v>0</v>
      </c>
      <c r="EH56" s="367">
        <v>0</v>
      </c>
      <c r="EI56" s="367">
        <v>0</v>
      </c>
      <c r="EJ56" s="367">
        <v>0</v>
      </c>
      <c r="EK56" s="367">
        <v>2</v>
      </c>
      <c r="EL56" s="367">
        <v>0</v>
      </c>
      <c r="EM56" s="367">
        <v>1</v>
      </c>
      <c r="EN56" s="367"/>
      <c r="EO56" s="367"/>
      <c r="EP56" s="367"/>
      <c r="EQ56" s="367"/>
      <c r="ER56" s="369">
        <f t="shared" si="16"/>
        <v>3</v>
      </c>
      <c r="ES56" s="367">
        <v>0</v>
      </c>
      <c r="ET56" s="367">
        <v>2</v>
      </c>
      <c r="EU56" s="367">
        <v>4</v>
      </c>
      <c r="EV56" s="367">
        <v>0</v>
      </c>
      <c r="EW56" s="367">
        <v>0</v>
      </c>
      <c r="EX56" s="367">
        <v>0</v>
      </c>
      <c r="EY56" s="367">
        <v>3</v>
      </c>
      <c r="EZ56" s="367">
        <v>0</v>
      </c>
      <c r="FA56" s="367"/>
      <c r="FB56" s="367"/>
      <c r="FC56" s="367"/>
      <c r="FD56" s="367"/>
      <c r="FE56" s="367"/>
      <c r="FF56" s="367">
        <f t="shared" si="17"/>
        <v>9</v>
      </c>
      <c r="FG56" s="371">
        <f t="shared" ref="FG56:FG62" si="18">((SUM(L56,AD56))-(FF56))</f>
        <v>0</v>
      </c>
      <c r="FH56" s="371">
        <f t="shared" ref="FH56:FH62" si="19">((SUM(AO56,AY56,BI56,BS56,CC56,CM56,CW56,DG56,DQ56))-(ER56))</f>
        <v>0</v>
      </c>
      <c r="FI56" s="372"/>
    </row>
    <row r="57" spans="1:165" x14ac:dyDescent="0.25">
      <c r="A57" s="380">
        <v>40404</v>
      </c>
      <c r="B57" s="380" t="s">
        <v>133</v>
      </c>
      <c r="C57" s="380" t="s">
        <v>131</v>
      </c>
      <c r="D57" s="380" t="s">
        <v>667</v>
      </c>
      <c r="E57" s="374">
        <v>853</v>
      </c>
      <c r="F57" s="358">
        <v>5</v>
      </c>
      <c r="G57" s="359" t="s">
        <v>409</v>
      </c>
      <c r="H57" s="360">
        <v>0</v>
      </c>
      <c r="I57" s="360">
        <v>1</v>
      </c>
      <c r="J57" s="361">
        <v>2</v>
      </c>
      <c r="K57" s="360">
        <v>3</v>
      </c>
      <c r="L57" s="360">
        <v>2</v>
      </c>
      <c r="M57" s="360">
        <v>2</v>
      </c>
      <c r="N57" s="360">
        <v>0</v>
      </c>
      <c r="O57" s="360">
        <v>1</v>
      </c>
      <c r="P57" s="360">
        <v>0</v>
      </c>
      <c r="Q57" s="360">
        <v>0</v>
      </c>
      <c r="R57" s="360">
        <v>9</v>
      </c>
      <c r="S57" s="360"/>
      <c r="T57" s="360"/>
      <c r="U57" s="360">
        <v>0</v>
      </c>
      <c r="V57" s="362">
        <v>0</v>
      </c>
      <c r="W57" s="376">
        <v>0</v>
      </c>
      <c r="X57" s="376">
        <v>0</v>
      </c>
      <c r="Y57" s="376">
        <v>0</v>
      </c>
      <c r="Z57" s="376">
        <v>0</v>
      </c>
      <c r="AA57" s="376">
        <v>0</v>
      </c>
      <c r="AB57" s="377">
        <v>6</v>
      </c>
      <c r="AC57" s="376">
        <v>6</v>
      </c>
      <c r="AD57" s="376">
        <v>5</v>
      </c>
      <c r="AE57" s="376">
        <v>3</v>
      </c>
      <c r="AF57" s="376">
        <v>2</v>
      </c>
      <c r="AG57" s="376">
        <v>7</v>
      </c>
      <c r="AH57" s="376">
        <v>0</v>
      </c>
      <c r="AI57" s="376">
        <v>0</v>
      </c>
      <c r="AJ57" s="376">
        <v>28</v>
      </c>
      <c r="AK57" s="376"/>
      <c r="AL57" s="376"/>
      <c r="AM57" s="363" t="s">
        <v>282</v>
      </c>
      <c r="AN57" s="364">
        <v>3</v>
      </c>
      <c r="AO57" s="364">
        <v>0</v>
      </c>
      <c r="AP57" s="364">
        <v>0</v>
      </c>
      <c r="AQ57" s="364">
        <v>0</v>
      </c>
      <c r="AR57" s="364">
        <v>1</v>
      </c>
      <c r="AS57" s="364">
        <v>1</v>
      </c>
      <c r="AT57" s="364">
        <v>1</v>
      </c>
      <c r="AU57" s="364">
        <v>0</v>
      </c>
      <c r="AV57" s="365">
        <v>0</v>
      </c>
      <c r="AW57" s="363" t="s">
        <v>418</v>
      </c>
      <c r="AX57" s="364">
        <v>5</v>
      </c>
      <c r="AY57" s="364">
        <v>0</v>
      </c>
      <c r="AZ57" s="364">
        <v>0</v>
      </c>
      <c r="BA57" s="364">
        <v>0</v>
      </c>
      <c r="BB57" s="364">
        <v>0</v>
      </c>
      <c r="BC57" s="364">
        <v>2</v>
      </c>
      <c r="BD57" s="364">
        <v>0</v>
      </c>
      <c r="BE57" s="364">
        <v>0</v>
      </c>
      <c r="BF57" s="365">
        <v>0</v>
      </c>
      <c r="BG57" s="363" t="s">
        <v>420</v>
      </c>
      <c r="BH57" s="364">
        <v>4</v>
      </c>
      <c r="BI57" s="364">
        <v>1</v>
      </c>
      <c r="BJ57" s="364">
        <v>3</v>
      </c>
      <c r="BK57" s="364">
        <v>0</v>
      </c>
      <c r="BL57" s="364">
        <v>1</v>
      </c>
      <c r="BM57" s="364">
        <v>0</v>
      </c>
      <c r="BN57" s="364">
        <v>0</v>
      </c>
      <c r="BO57" s="364">
        <v>0</v>
      </c>
      <c r="BP57" s="365">
        <v>5</v>
      </c>
      <c r="BQ57" s="363" t="s">
        <v>421</v>
      </c>
      <c r="BR57" s="364">
        <v>4</v>
      </c>
      <c r="BS57" s="364">
        <v>1</v>
      </c>
      <c r="BT57" s="364">
        <v>1</v>
      </c>
      <c r="BU57" s="364">
        <v>0</v>
      </c>
      <c r="BV57" s="364">
        <v>0</v>
      </c>
      <c r="BW57" s="364">
        <v>2</v>
      </c>
      <c r="BX57" s="364">
        <v>1</v>
      </c>
      <c r="BY57" s="364">
        <v>0</v>
      </c>
      <c r="BZ57" s="365">
        <v>2</v>
      </c>
      <c r="CA57" s="363" t="s">
        <v>422</v>
      </c>
      <c r="CB57" s="364">
        <v>5</v>
      </c>
      <c r="CC57" s="364">
        <v>0</v>
      </c>
      <c r="CD57" s="364">
        <v>1</v>
      </c>
      <c r="CE57" s="364">
        <v>1</v>
      </c>
      <c r="CF57" s="364">
        <v>0</v>
      </c>
      <c r="CG57" s="364">
        <v>1</v>
      </c>
      <c r="CH57" s="364">
        <v>0</v>
      </c>
      <c r="CI57" s="364">
        <v>0</v>
      </c>
      <c r="CJ57" s="365">
        <v>1</v>
      </c>
      <c r="CK57" s="363" t="s">
        <v>284</v>
      </c>
      <c r="CL57" s="364">
        <v>4</v>
      </c>
      <c r="CM57" s="364">
        <v>1</v>
      </c>
      <c r="CN57" s="364">
        <v>1</v>
      </c>
      <c r="CO57" s="364">
        <v>1</v>
      </c>
      <c r="CP57" s="364">
        <v>0</v>
      </c>
      <c r="CQ57" s="364">
        <v>0</v>
      </c>
      <c r="CR57" s="364">
        <v>0</v>
      </c>
      <c r="CS57" s="364">
        <v>0</v>
      </c>
      <c r="CT57" s="365">
        <v>3</v>
      </c>
      <c r="CU57" s="363" t="s">
        <v>285</v>
      </c>
      <c r="CV57" s="364">
        <v>4</v>
      </c>
      <c r="CW57" s="364">
        <v>0</v>
      </c>
      <c r="CX57" s="364">
        <v>1</v>
      </c>
      <c r="CY57" s="364">
        <v>1</v>
      </c>
      <c r="CZ57" s="364">
        <v>0</v>
      </c>
      <c r="DA57" s="364">
        <v>1</v>
      </c>
      <c r="DB57" s="364">
        <v>0</v>
      </c>
      <c r="DC57" s="364">
        <v>0</v>
      </c>
      <c r="DD57" s="365">
        <v>2</v>
      </c>
      <c r="DE57" s="363" t="s">
        <v>426</v>
      </c>
      <c r="DF57" s="364">
        <v>4</v>
      </c>
      <c r="DG57" s="364">
        <v>1</v>
      </c>
      <c r="DH57" s="364">
        <v>1</v>
      </c>
      <c r="DI57" s="364">
        <v>1</v>
      </c>
      <c r="DJ57" s="364">
        <v>0</v>
      </c>
      <c r="DK57" s="364">
        <v>1</v>
      </c>
      <c r="DL57" s="364">
        <v>0</v>
      </c>
      <c r="DM57" s="364">
        <v>0</v>
      </c>
      <c r="DN57" s="365">
        <v>4</v>
      </c>
      <c r="DO57" s="363" t="s">
        <v>416</v>
      </c>
      <c r="DP57" s="364">
        <v>3</v>
      </c>
      <c r="DQ57" s="364">
        <v>0</v>
      </c>
      <c r="DR57" s="364">
        <v>1</v>
      </c>
      <c r="DS57" s="364">
        <v>0</v>
      </c>
      <c r="DT57" s="364">
        <v>1</v>
      </c>
      <c r="DU57" s="364">
        <v>0</v>
      </c>
      <c r="DV57" s="364">
        <v>0</v>
      </c>
      <c r="DW57" s="364">
        <v>0</v>
      </c>
      <c r="DX57" s="365">
        <v>1</v>
      </c>
      <c r="DY57" s="366">
        <v>0</v>
      </c>
      <c r="DZ57" s="367">
        <v>0</v>
      </c>
      <c r="EA57" s="367">
        <v>0</v>
      </c>
      <c r="EB57" s="368">
        <v>9</v>
      </c>
      <c r="EC57" s="367">
        <v>0</v>
      </c>
      <c r="ED57" s="369">
        <v>1</v>
      </c>
      <c r="EE57" s="370">
        <v>0</v>
      </c>
      <c r="EF57" s="367">
        <v>0</v>
      </c>
      <c r="EG57" s="367">
        <v>1</v>
      </c>
      <c r="EH57" s="367">
        <v>0</v>
      </c>
      <c r="EI57" s="367">
        <v>0</v>
      </c>
      <c r="EJ57" s="367">
        <v>0</v>
      </c>
      <c r="EK57" s="367">
        <v>0</v>
      </c>
      <c r="EL57" s="367">
        <v>3</v>
      </c>
      <c r="EM57" s="367">
        <v>0</v>
      </c>
      <c r="EN57" s="367"/>
      <c r="EO57" s="367"/>
      <c r="EP57" s="367"/>
      <c r="EQ57" s="367"/>
      <c r="ER57" s="369">
        <f t="shared" si="16"/>
        <v>4</v>
      </c>
      <c r="ES57" s="367">
        <v>1</v>
      </c>
      <c r="ET57" s="367">
        <v>1</v>
      </c>
      <c r="EU57" s="367">
        <v>0</v>
      </c>
      <c r="EV57" s="367">
        <v>0</v>
      </c>
      <c r="EW57" s="367">
        <v>2</v>
      </c>
      <c r="EX57" s="367">
        <v>2</v>
      </c>
      <c r="EY57" s="367">
        <v>1</v>
      </c>
      <c r="EZ57" s="367">
        <v>0</v>
      </c>
      <c r="FA57" s="367"/>
      <c r="FB57" s="367"/>
      <c r="FC57" s="367"/>
      <c r="FD57" s="367"/>
      <c r="FE57" s="367"/>
      <c r="FF57" s="367">
        <f t="shared" si="17"/>
        <v>7</v>
      </c>
      <c r="FG57" s="371">
        <f t="shared" si="18"/>
        <v>0</v>
      </c>
      <c r="FH57" s="371">
        <f t="shared" si="19"/>
        <v>0</v>
      </c>
      <c r="FI57" s="372"/>
    </row>
    <row r="58" spans="1:165" x14ac:dyDescent="0.25">
      <c r="A58" s="380">
        <v>40405</v>
      </c>
      <c r="B58" s="380" t="s">
        <v>133</v>
      </c>
      <c r="C58" s="380" t="s">
        <v>129</v>
      </c>
      <c r="D58" s="380" t="s">
        <v>667</v>
      </c>
      <c r="E58" s="374">
        <v>507</v>
      </c>
      <c r="F58" s="358">
        <v>1</v>
      </c>
      <c r="G58" s="359" t="s">
        <v>644</v>
      </c>
      <c r="H58" s="360">
        <v>0</v>
      </c>
      <c r="I58" s="360">
        <v>0</v>
      </c>
      <c r="J58" s="361">
        <v>5</v>
      </c>
      <c r="K58" s="360">
        <v>4</v>
      </c>
      <c r="L58" s="360">
        <v>1</v>
      </c>
      <c r="M58" s="360">
        <v>1</v>
      </c>
      <c r="N58" s="360">
        <v>0</v>
      </c>
      <c r="O58" s="360">
        <v>4</v>
      </c>
      <c r="P58" s="360">
        <v>1</v>
      </c>
      <c r="Q58" s="360">
        <v>1</v>
      </c>
      <c r="R58" s="360">
        <v>18</v>
      </c>
      <c r="S58" s="360"/>
      <c r="T58" s="360"/>
      <c r="U58" s="360">
        <v>0</v>
      </c>
      <c r="V58" s="362">
        <v>0</v>
      </c>
      <c r="W58" s="376">
        <v>1</v>
      </c>
      <c r="X58" s="376">
        <v>0</v>
      </c>
      <c r="Y58" s="376">
        <v>0</v>
      </c>
      <c r="Z58" s="376">
        <v>1</v>
      </c>
      <c r="AA58" s="376">
        <v>1</v>
      </c>
      <c r="AB58" s="377">
        <v>4</v>
      </c>
      <c r="AC58" s="376">
        <v>8</v>
      </c>
      <c r="AD58" s="376">
        <v>5</v>
      </c>
      <c r="AE58" s="376">
        <v>5</v>
      </c>
      <c r="AF58" s="376">
        <v>2</v>
      </c>
      <c r="AG58" s="376">
        <v>3</v>
      </c>
      <c r="AH58" s="376">
        <v>0</v>
      </c>
      <c r="AI58" s="376">
        <v>0</v>
      </c>
      <c r="AJ58" s="376">
        <v>22</v>
      </c>
      <c r="AK58" s="376"/>
      <c r="AL58" s="376"/>
      <c r="AM58" s="363" t="s">
        <v>282</v>
      </c>
      <c r="AN58" s="364">
        <v>2</v>
      </c>
      <c r="AO58" s="364">
        <v>3</v>
      </c>
      <c r="AP58" s="364">
        <v>2</v>
      </c>
      <c r="AQ58" s="364">
        <v>0</v>
      </c>
      <c r="AR58" s="364">
        <v>1</v>
      </c>
      <c r="AS58" s="364">
        <v>0</v>
      </c>
      <c r="AT58" s="364">
        <v>2</v>
      </c>
      <c r="AU58" s="364">
        <v>0</v>
      </c>
      <c r="AV58" s="365">
        <v>2</v>
      </c>
      <c r="AW58" s="363" t="s">
        <v>285</v>
      </c>
      <c r="AX58" s="364">
        <v>4</v>
      </c>
      <c r="AY58" s="364">
        <v>1</v>
      </c>
      <c r="AZ58" s="364">
        <v>2</v>
      </c>
      <c r="BA58" s="364">
        <v>0</v>
      </c>
      <c r="BB58" s="364">
        <v>0</v>
      </c>
      <c r="BC58" s="364">
        <v>1</v>
      </c>
      <c r="BD58" s="364">
        <v>0</v>
      </c>
      <c r="BE58" s="364">
        <v>0</v>
      </c>
      <c r="BF58" s="365">
        <v>2</v>
      </c>
      <c r="BG58" s="363" t="s">
        <v>420</v>
      </c>
      <c r="BH58" s="364">
        <v>4</v>
      </c>
      <c r="BI58" s="364">
        <v>0</v>
      </c>
      <c r="BJ58" s="364">
        <v>2</v>
      </c>
      <c r="BK58" s="364">
        <v>2</v>
      </c>
      <c r="BL58" s="364">
        <v>1</v>
      </c>
      <c r="BM58" s="364">
        <v>0</v>
      </c>
      <c r="BN58" s="364">
        <v>0</v>
      </c>
      <c r="BO58" s="364">
        <v>0</v>
      </c>
      <c r="BP58" s="365">
        <v>2</v>
      </c>
      <c r="BQ58" s="363" t="s">
        <v>421</v>
      </c>
      <c r="BR58" s="364">
        <v>4</v>
      </c>
      <c r="BS58" s="364">
        <v>1</v>
      </c>
      <c r="BT58" s="364">
        <v>1</v>
      </c>
      <c r="BU58" s="364">
        <v>2</v>
      </c>
      <c r="BV58" s="364">
        <v>1</v>
      </c>
      <c r="BW58" s="364">
        <v>0</v>
      </c>
      <c r="BX58" s="364">
        <v>0</v>
      </c>
      <c r="BY58" s="364">
        <v>0</v>
      </c>
      <c r="BZ58" s="365">
        <v>2</v>
      </c>
      <c r="CA58" s="363" t="s">
        <v>422</v>
      </c>
      <c r="CB58" s="364">
        <v>3</v>
      </c>
      <c r="CC58" s="364">
        <v>0</v>
      </c>
      <c r="CD58" s="364">
        <v>3</v>
      </c>
      <c r="CE58" s="364">
        <v>2</v>
      </c>
      <c r="CF58" s="364">
        <v>2</v>
      </c>
      <c r="CG58" s="364">
        <v>0</v>
      </c>
      <c r="CH58" s="364">
        <v>0</v>
      </c>
      <c r="CI58" s="364">
        <v>0</v>
      </c>
      <c r="CJ58" s="365">
        <v>3</v>
      </c>
      <c r="CK58" s="363" t="s">
        <v>284</v>
      </c>
      <c r="CL58" s="364">
        <v>5</v>
      </c>
      <c r="CM58" s="364">
        <v>0</v>
      </c>
      <c r="CN58" s="364">
        <v>0</v>
      </c>
      <c r="CO58" s="364">
        <v>0</v>
      </c>
      <c r="CP58" s="364">
        <v>0</v>
      </c>
      <c r="CQ58" s="364">
        <v>1</v>
      </c>
      <c r="CR58" s="364">
        <v>0</v>
      </c>
      <c r="CS58" s="364">
        <v>0</v>
      </c>
      <c r="CT58" s="365">
        <v>0</v>
      </c>
      <c r="CU58" s="363" t="s">
        <v>424</v>
      </c>
      <c r="CV58" s="364">
        <v>5</v>
      </c>
      <c r="CW58" s="364">
        <v>0</v>
      </c>
      <c r="CX58" s="364">
        <v>0</v>
      </c>
      <c r="CY58" s="364">
        <v>0</v>
      </c>
      <c r="CZ58" s="364">
        <v>0</v>
      </c>
      <c r="DA58" s="364">
        <v>1</v>
      </c>
      <c r="DB58" s="364">
        <v>0</v>
      </c>
      <c r="DC58" s="364">
        <v>0</v>
      </c>
      <c r="DD58" s="365">
        <v>0</v>
      </c>
      <c r="DE58" s="363" t="s">
        <v>426</v>
      </c>
      <c r="DF58" s="364">
        <v>5</v>
      </c>
      <c r="DG58" s="364">
        <v>2</v>
      </c>
      <c r="DH58" s="364">
        <v>2</v>
      </c>
      <c r="DI58" s="364">
        <v>1</v>
      </c>
      <c r="DJ58" s="364">
        <v>0</v>
      </c>
      <c r="DK58" s="364">
        <v>1</v>
      </c>
      <c r="DL58" s="364">
        <v>0</v>
      </c>
      <c r="DM58" s="364">
        <v>0</v>
      </c>
      <c r="DN58" s="365">
        <v>6</v>
      </c>
      <c r="DO58" s="363" t="s">
        <v>416</v>
      </c>
      <c r="DP58" s="364">
        <v>5</v>
      </c>
      <c r="DQ58" s="364">
        <v>1</v>
      </c>
      <c r="DR58" s="364">
        <v>2</v>
      </c>
      <c r="DS58" s="364">
        <v>1</v>
      </c>
      <c r="DT58" s="364">
        <v>0</v>
      </c>
      <c r="DU58" s="364">
        <v>2</v>
      </c>
      <c r="DV58" s="364">
        <v>0</v>
      </c>
      <c r="DW58" s="364">
        <v>0</v>
      </c>
      <c r="DX58" s="365">
        <v>3</v>
      </c>
      <c r="DY58" s="366">
        <f>4+1/3</f>
        <v>4.333333333333333</v>
      </c>
      <c r="DZ58" s="367">
        <v>0</v>
      </c>
      <c r="EA58" s="367">
        <v>1</v>
      </c>
      <c r="EB58" s="368">
        <f>4+2/3</f>
        <v>4.666666666666667</v>
      </c>
      <c r="EC58" s="367">
        <v>2</v>
      </c>
      <c r="ED58" s="369">
        <v>0</v>
      </c>
      <c r="EE58" s="370">
        <v>2</v>
      </c>
      <c r="EF58" s="367">
        <v>0</v>
      </c>
      <c r="EG58" s="367">
        <v>0</v>
      </c>
      <c r="EH58" s="367">
        <v>0</v>
      </c>
      <c r="EI58" s="367">
        <v>3</v>
      </c>
      <c r="EJ58" s="367">
        <v>0</v>
      </c>
      <c r="EK58" s="367">
        <v>0</v>
      </c>
      <c r="EL58" s="367">
        <v>3</v>
      </c>
      <c r="EM58" s="367">
        <v>0</v>
      </c>
      <c r="EN58" s="367"/>
      <c r="EO58" s="367"/>
      <c r="EP58" s="367"/>
      <c r="EQ58" s="367"/>
      <c r="ER58" s="369">
        <f t="shared" si="16"/>
        <v>8</v>
      </c>
      <c r="ES58" s="367">
        <v>0</v>
      </c>
      <c r="ET58" s="367">
        <v>1</v>
      </c>
      <c r="EU58" s="367">
        <v>0</v>
      </c>
      <c r="EV58" s="367">
        <v>0</v>
      </c>
      <c r="EW58" s="367">
        <v>0</v>
      </c>
      <c r="EX58" s="367">
        <v>4</v>
      </c>
      <c r="EY58" s="367">
        <v>0</v>
      </c>
      <c r="EZ58" s="367">
        <v>1</v>
      </c>
      <c r="FA58" s="367">
        <v>0</v>
      </c>
      <c r="FB58" s="367"/>
      <c r="FC58" s="367"/>
      <c r="FD58" s="367"/>
      <c r="FE58" s="367"/>
      <c r="FF58" s="367">
        <f t="shared" si="17"/>
        <v>6</v>
      </c>
      <c r="FG58" s="371">
        <f t="shared" si="18"/>
        <v>0</v>
      </c>
      <c r="FH58" s="371">
        <f t="shared" si="19"/>
        <v>0</v>
      </c>
      <c r="FI58" s="372"/>
    </row>
    <row r="59" spans="1:165" x14ac:dyDescent="0.25">
      <c r="A59" s="380">
        <v>40408</v>
      </c>
      <c r="B59" s="380" t="s">
        <v>133</v>
      </c>
      <c r="C59" s="380" t="s">
        <v>131</v>
      </c>
      <c r="D59" s="380" t="s">
        <v>287</v>
      </c>
      <c r="E59" s="374">
        <v>6498</v>
      </c>
      <c r="F59" s="358">
        <v>2</v>
      </c>
      <c r="G59" s="359" t="s">
        <v>522</v>
      </c>
      <c r="H59" s="360">
        <v>0</v>
      </c>
      <c r="I59" s="360">
        <v>0</v>
      </c>
      <c r="J59" s="361">
        <v>3</v>
      </c>
      <c r="K59" s="360">
        <v>4</v>
      </c>
      <c r="L59" s="360">
        <v>3</v>
      </c>
      <c r="M59" s="360">
        <v>2</v>
      </c>
      <c r="N59" s="360">
        <v>1</v>
      </c>
      <c r="O59" s="360">
        <v>1</v>
      </c>
      <c r="P59" s="360">
        <v>0</v>
      </c>
      <c r="Q59" s="360">
        <v>0</v>
      </c>
      <c r="R59" s="360">
        <v>14</v>
      </c>
      <c r="S59" s="360"/>
      <c r="T59" s="360"/>
      <c r="U59" s="360">
        <v>0</v>
      </c>
      <c r="V59" s="362">
        <v>0</v>
      </c>
      <c r="W59" s="376">
        <v>0</v>
      </c>
      <c r="X59" s="376">
        <v>1</v>
      </c>
      <c r="Y59" s="376">
        <v>1</v>
      </c>
      <c r="Z59" s="376">
        <v>0</v>
      </c>
      <c r="AA59" s="376">
        <v>1</v>
      </c>
      <c r="AB59" s="377">
        <f>5+2/3</f>
        <v>5.666666666666667</v>
      </c>
      <c r="AC59" s="376">
        <v>9</v>
      </c>
      <c r="AD59" s="376">
        <v>4</v>
      </c>
      <c r="AE59" s="376">
        <v>4</v>
      </c>
      <c r="AF59" s="376">
        <v>0</v>
      </c>
      <c r="AG59" s="376">
        <v>7</v>
      </c>
      <c r="AH59" s="376">
        <v>1</v>
      </c>
      <c r="AI59" s="376">
        <v>0</v>
      </c>
      <c r="AJ59" s="376">
        <v>26</v>
      </c>
      <c r="AK59" s="376"/>
      <c r="AL59" s="376"/>
      <c r="AM59" s="363" t="s">
        <v>282</v>
      </c>
      <c r="AN59" s="364">
        <v>3</v>
      </c>
      <c r="AO59" s="364">
        <v>0</v>
      </c>
      <c r="AP59" s="364">
        <v>1</v>
      </c>
      <c r="AQ59" s="364">
        <v>0</v>
      </c>
      <c r="AR59" s="364">
        <v>2</v>
      </c>
      <c r="AS59" s="364">
        <v>0</v>
      </c>
      <c r="AT59" s="364">
        <v>0</v>
      </c>
      <c r="AU59" s="364">
        <v>0</v>
      </c>
      <c r="AV59" s="365">
        <v>1</v>
      </c>
      <c r="AW59" s="363" t="s">
        <v>285</v>
      </c>
      <c r="AX59" s="364">
        <v>4</v>
      </c>
      <c r="AY59" s="364">
        <v>0</v>
      </c>
      <c r="AZ59" s="364">
        <v>1</v>
      </c>
      <c r="BA59" s="364">
        <v>2</v>
      </c>
      <c r="BB59" s="364">
        <v>0</v>
      </c>
      <c r="BC59" s="364">
        <v>1</v>
      </c>
      <c r="BD59" s="364">
        <v>0</v>
      </c>
      <c r="BE59" s="364">
        <v>0</v>
      </c>
      <c r="BF59" s="365">
        <v>1</v>
      </c>
      <c r="BG59" s="363" t="s">
        <v>420</v>
      </c>
      <c r="BH59" s="364">
        <v>4</v>
      </c>
      <c r="BI59" s="364">
        <v>0</v>
      </c>
      <c r="BJ59" s="364">
        <v>2</v>
      </c>
      <c r="BK59" s="364">
        <v>1</v>
      </c>
      <c r="BL59" s="364">
        <v>0</v>
      </c>
      <c r="BM59" s="364">
        <v>1</v>
      </c>
      <c r="BN59" s="364">
        <v>1</v>
      </c>
      <c r="BO59" s="364">
        <v>0</v>
      </c>
      <c r="BP59" s="365">
        <v>4</v>
      </c>
      <c r="BQ59" s="363" t="s">
        <v>421</v>
      </c>
      <c r="BR59" s="364">
        <v>4</v>
      </c>
      <c r="BS59" s="364">
        <v>0</v>
      </c>
      <c r="BT59" s="364">
        <v>1</v>
      </c>
      <c r="BU59" s="364">
        <v>0</v>
      </c>
      <c r="BV59" s="364">
        <v>1</v>
      </c>
      <c r="BW59" s="364">
        <v>1</v>
      </c>
      <c r="BX59" s="364">
        <v>0</v>
      </c>
      <c r="BY59" s="364">
        <v>0</v>
      </c>
      <c r="BZ59" s="365">
        <v>1</v>
      </c>
      <c r="CA59" s="363" t="s">
        <v>422</v>
      </c>
      <c r="CB59" s="364">
        <v>4</v>
      </c>
      <c r="CC59" s="364">
        <v>0</v>
      </c>
      <c r="CD59" s="364">
        <v>0</v>
      </c>
      <c r="CE59" s="364">
        <v>0</v>
      </c>
      <c r="CF59" s="364">
        <v>0</v>
      </c>
      <c r="CG59" s="364">
        <v>1</v>
      </c>
      <c r="CH59" s="364">
        <v>0</v>
      </c>
      <c r="CI59" s="364">
        <v>0</v>
      </c>
      <c r="CJ59" s="365">
        <v>0</v>
      </c>
      <c r="CK59" s="363" t="s">
        <v>284</v>
      </c>
      <c r="CL59" s="364">
        <v>3</v>
      </c>
      <c r="CM59" s="364">
        <v>1</v>
      </c>
      <c r="CN59" s="364">
        <v>1</v>
      </c>
      <c r="CO59" s="364">
        <v>0</v>
      </c>
      <c r="CP59" s="364">
        <v>1</v>
      </c>
      <c r="CQ59" s="364">
        <v>1</v>
      </c>
      <c r="CR59" s="364">
        <v>0</v>
      </c>
      <c r="CS59" s="364">
        <v>0</v>
      </c>
      <c r="CT59" s="365">
        <v>1</v>
      </c>
      <c r="CU59" s="363" t="s">
        <v>418</v>
      </c>
      <c r="CV59" s="364">
        <v>3</v>
      </c>
      <c r="CW59" s="364">
        <v>2</v>
      </c>
      <c r="CX59" s="364">
        <v>1</v>
      </c>
      <c r="CY59" s="364">
        <v>0</v>
      </c>
      <c r="CZ59" s="364">
        <v>1</v>
      </c>
      <c r="DA59" s="364">
        <v>1</v>
      </c>
      <c r="DB59" s="364">
        <v>0</v>
      </c>
      <c r="DC59" s="364">
        <v>0</v>
      </c>
      <c r="DD59" s="365">
        <v>1</v>
      </c>
      <c r="DE59" s="363" t="s">
        <v>426</v>
      </c>
      <c r="DF59" s="364">
        <v>4</v>
      </c>
      <c r="DG59" s="364">
        <v>2</v>
      </c>
      <c r="DH59" s="364">
        <v>2</v>
      </c>
      <c r="DI59" s="364">
        <v>1</v>
      </c>
      <c r="DJ59" s="364">
        <v>0</v>
      </c>
      <c r="DK59" s="364">
        <v>1</v>
      </c>
      <c r="DL59" s="364">
        <v>0</v>
      </c>
      <c r="DM59" s="364">
        <v>0</v>
      </c>
      <c r="DN59" s="365">
        <v>3</v>
      </c>
      <c r="DO59" s="363" t="s">
        <v>416</v>
      </c>
      <c r="DP59" s="364">
        <v>3</v>
      </c>
      <c r="DQ59" s="364">
        <v>1</v>
      </c>
      <c r="DR59" s="364">
        <v>0</v>
      </c>
      <c r="DS59" s="364">
        <v>1</v>
      </c>
      <c r="DT59" s="364">
        <v>0</v>
      </c>
      <c r="DU59" s="364">
        <v>1</v>
      </c>
      <c r="DV59" s="364">
        <v>0</v>
      </c>
      <c r="DW59" s="364">
        <v>0</v>
      </c>
      <c r="DX59" s="365">
        <v>0</v>
      </c>
      <c r="DY59" s="366">
        <f>1+1/3</f>
        <v>1.3333333333333333</v>
      </c>
      <c r="DZ59" s="367">
        <v>0</v>
      </c>
      <c r="EA59" s="367">
        <v>0</v>
      </c>
      <c r="EB59" s="368">
        <f>7+2/3</f>
        <v>7.666666666666667</v>
      </c>
      <c r="EC59" s="367">
        <v>3</v>
      </c>
      <c r="ED59" s="369">
        <v>1</v>
      </c>
      <c r="EE59" s="370">
        <v>0</v>
      </c>
      <c r="EF59" s="367">
        <v>0</v>
      </c>
      <c r="EG59" s="367">
        <v>0</v>
      </c>
      <c r="EH59" s="367">
        <v>0</v>
      </c>
      <c r="EI59" s="367">
        <v>4</v>
      </c>
      <c r="EJ59" s="367">
        <v>2</v>
      </c>
      <c r="EK59" s="367">
        <v>0</v>
      </c>
      <c r="EL59" s="367">
        <v>0</v>
      </c>
      <c r="EM59" s="367">
        <v>0</v>
      </c>
      <c r="EN59" s="367"/>
      <c r="EO59" s="367"/>
      <c r="EP59" s="367"/>
      <c r="EQ59" s="367"/>
      <c r="ER59" s="369">
        <f t="shared" si="16"/>
        <v>6</v>
      </c>
      <c r="ES59" s="367">
        <v>0</v>
      </c>
      <c r="ET59" s="367">
        <v>1</v>
      </c>
      <c r="EU59" s="367">
        <v>2</v>
      </c>
      <c r="EV59" s="367">
        <v>0</v>
      </c>
      <c r="EW59" s="367">
        <v>0</v>
      </c>
      <c r="EX59" s="367">
        <v>1</v>
      </c>
      <c r="EY59" s="367">
        <v>0</v>
      </c>
      <c r="EZ59" s="367">
        <v>1</v>
      </c>
      <c r="FA59" s="367">
        <v>2</v>
      </c>
      <c r="FB59" s="367"/>
      <c r="FC59" s="367"/>
      <c r="FD59" s="367"/>
      <c r="FE59" s="367"/>
      <c r="FF59" s="367">
        <f t="shared" si="17"/>
        <v>7</v>
      </c>
      <c r="FG59" s="371">
        <f t="shared" si="18"/>
        <v>0</v>
      </c>
      <c r="FH59" s="371">
        <f t="shared" si="19"/>
        <v>0</v>
      </c>
      <c r="FI59" s="372"/>
    </row>
    <row r="60" spans="1:165" x14ac:dyDescent="0.25">
      <c r="A60" s="380">
        <v>40409</v>
      </c>
      <c r="B60" s="380" t="s">
        <v>133</v>
      </c>
      <c r="C60" s="380" t="s">
        <v>131</v>
      </c>
      <c r="D60" s="380" t="s">
        <v>287</v>
      </c>
      <c r="E60" s="374">
        <v>6555</v>
      </c>
      <c r="F60" s="358">
        <v>3</v>
      </c>
      <c r="G60" s="359" t="s">
        <v>409</v>
      </c>
      <c r="H60" s="360">
        <v>0</v>
      </c>
      <c r="I60" s="360">
        <v>0</v>
      </c>
      <c r="J60" s="361">
        <f>5+1/3</f>
        <v>5.333333333333333</v>
      </c>
      <c r="K60" s="360">
        <v>7</v>
      </c>
      <c r="L60" s="360">
        <v>1</v>
      </c>
      <c r="M60" s="360">
        <v>1</v>
      </c>
      <c r="N60" s="360">
        <v>0</v>
      </c>
      <c r="O60" s="360">
        <v>3</v>
      </c>
      <c r="P60" s="360">
        <v>0</v>
      </c>
      <c r="Q60" s="360">
        <v>1</v>
      </c>
      <c r="R60" s="360">
        <v>25</v>
      </c>
      <c r="S60" s="360"/>
      <c r="T60" s="360"/>
      <c r="U60" s="360">
        <v>1</v>
      </c>
      <c r="V60" s="362">
        <v>0</v>
      </c>
      <c r="W60" s="376">
        <v>0</v>
      </c>
      <c r="X60" s="376">
        <v>1</v>
      </c>
      <c r="Y60" s="376">
        <v>0</v>
      </c>
      <c r="Z60" s="376">
        <v>0</v>
      </c>
      <c r="AA60" s="376">
        <v>0</v>
      </c>
      <c r="AB60" s="377">
        <f>3+2/3</f>
        <v>3.6666666666666665</v>
      </c>
      <c r="AC60" s="376">
        <v>6</v>
      </c>
      <c r="AD60" s="376">
        <v>2</v>
      </c>
      <c r="AE60" s="376">
        <v>2</v>
      </c>
      <c r="AF60" s="376">
        <v>3</v>
      </c>
      <c r="AG60" s="376">
        <v>3</v>
      </c>
      <c r="AH60" s="376">
        <v>1</v>
      </c>
      <c r="AI60" s="376">
        <v>0</v>
      </c>
      <c r="AJ60" s="376">
        <v>18</v>
      </c>
      <c r="AK60" s="376"/>
      <c r="AL60" s="376"/>
      <c r="AM60" s="363" t="s">
        <v>282</v>
      </c>
      <c r="AN60" s="364">
        <v>4</v>
      </c>
      <c r="AO60" s="364">
        <v>0</v>
      </c>
      <c r="AP60" s="364">
        <v>0</v>
      </c>
      <c r="AQ60" s="364">
        <v>0</v>
      </c>
      <c r="AR60" s="364">
        <v>0</v>
      </c>
      <c r="AS60" s="364">
        <v>0</v>
      </c>
      <c r="AT60" s="364">
        <v>0</v>
      </c>
      <c r="AU60" s="364">
        <v>0</v>
      </c>
      <c r="AV60" s="365">
        <v>0</v>
      </c>
      <c r="AW60" s="363" t="s">
        <v>285</v>
      </c>
      <c r="AX60" s="364">
        <v>4</v>
      </c>
      <c r="AY60" s="364">
        <v>0</v>
      </c>
      <c r="AZ60" s="364">
        <v>0</v>
      </c>
      <c r="BA60" s="364">
        <v>0</v>
      </c>
      <c r="BB60" s="364">
        <v>0</v>
      </c>
      <c r="BC60" s="364">
        <v>3</v>
      </c>
      <c r="BD60" s="364">
        <v>0</v>
      </c>
      <c r="BE60" s="364">
        <v>0</v>
      </c>
      <c r="BF60" s="365">
        <v>0</v>
      </c>
      <c r="BG60" s="363" t="s">
        <v>421</v>
      </c>
      <c r="BH60" s="364">
        <v>4</v>
      </c>
      <c r="BI60" s="364">
        <v>0</v>
      </c>
      <c r="BJ60" s="364">
        <v>1</v>
      </c>
      <c r="BK60" s="364">
        <v>0</v>
      </c>
      <c r="BL60" s="364">
        <v>0</v>
      </c>
      <c r="BM60" s="364">
        <v>0</v>
      </c>
      <c r="BN60" s="364">
        <v>0</v>
      </c>
      <c r="BO60" s="364">
        <v>0</v>
      </c>
      <c r="BP60" s="365">
        <v>1</v>
      </c>
      <c r="BQ60" s="363" t="s">
        <v>422</v>
      </c>
      <c r="BR60" s="364">
        <v>4</v>
      </c>
      <c r="BS60" s="364">
        <v>0</v>
      </c>
      <c r="BT60" s="364">
        <v>0</v>
      </c>
      <c r="BU60" s="364">
        <v>0</v>
      </c>
      <c r="BV60" s="364">
        <v>0</v>
      </c>
      <c r="BW60" s="364">
        <v>1</v>
      </c>
      <c r="BX60" s="364">
        <v>0</v>
      </c>
      <c r="BY60" s="364">
        <v>0</v>
      </c>
      <c r="BZ60" s="365">
        <v>0</v>
      </c>
      <c r="CA60" s="363" t="s">
        <v>418</v>
      </c>
      <c r="CB60" s="364">
        <v>4</v>
      </c>
      <c r="CC60" s="364">
        <v>0</v>
      </c>
      <c r="CD60" s="364">
        <v>0</v>
      </c>
      <c r="CE60" s="364">
        <v>0</v>
      </c>
      <c r="CF60" s="364">
        <v>0</v>
      </c>
      <c r="CG60" s="364">
        <v>0</v>
      </c>
      <c r="CH60" s="364">
        <v>0</v>
      </c>
      <c r="CI60" s="364">
        <v>0</v>
      </c>
      <c r="CJ60" s="365">
        <v>0</v>
      </c>
      <c r="CK60" s="363" t="s">
        <v>284</v>
      </c>
      <c r="CL60" s="364">
        <v>3</v>
      </c>
      <c r="CM60" s="364">
        <v>1</v>
      </c>
      <c r="CN60" s="364">
        <v>1</v>
      </c>
      <c r="CO60" s="364">
        <v>0</v>
      </c>
      <c r="CP60" s="364">
        <v>0</v>
      </c>
      <c r="CQ60" s="364">
        <v>1</v>
      </c>
      <c r="CR60" s="364">
        <v>1</v>
      </c>
      <c r="CS60" s="364">
        <v>0</v>
      </c>
      <c r="CT60" s="365">
        <v>1</v>
      </c>
      <c r="CU60" s="363" t="s">
        <v>426</v>
      </c>
      <c r="CV60" s="364">
        <v>2</v>
      </c>
      <c r="CW60" s="364">
        <v>1</v>
      </c>
      <c r="CX60" s="364">
        <v>1</v>
      </c>
      <c r="CY60" s="364">
        <v>2</v>
      </c>
      <c r="CZ60" s="364">
        <v>2</v>
      </c>
      <c r="DA60" s="364">
        <v>0</v>
      </c>
      <c r="DB60" s="364">
        <v>0</v>
      </c>
      <c r="DC60" s="364">
        <v>0</v>
      </c>
      <c r="DD60" s="365">
        <v>4</v>
      </c>
      <c r="DE60" s="363" t="s">
        <v>460</v>
      </c>
      <c r="DF60" s="364">
        <v>4</v>
      </c>
      <c r="DG60" s="364">
        <v>0</v>
      </c>
      <c r="DH60" s="364">
        <v>1</v>
      </c>
      <c r="DI60" s="364">
        <v>0</v>
      </c>
      <c r="DJ60" s="364">
        <v>0</v>
      </c>
      <c r="DK60" s="364">
        <v>3</v>
      </c>
      <c r="DL60" s="364">
        <v>0</v>
      </c>
      <c r="DM60" s="364">
        <v>0</v>
      </c>
      <c r="DN60" s="365">
        <v>3</v>
      </c>
      <c r="DO60" s="363" t="s">
        <v>419</v>
      </c>
      <c r="DP60" s="364">
        <v>3</v>
      </c>
      <c r="DQ60" s="364">
        <v>0</v>
      </c>
      <c r="DR60" s="364">
        <v>0</v>
      </c>
      <c r="DS60" s="364">
        <v>0</v>
      </c>
      <c r="DT60" s="364">
        <v>0</v>
      </c>
      <c r="DU60" s="364">
        <v>1</v>
      </c>
      <c r="DV60" s="364">
        <v>0</v>
      </c>
      <c r="DW60" s="364">
        <v>0</v>
      </c>
      <c r="DX60" s="365">
        <v>0</v>
      </c>
      <c r="DY60" s="366">
        <f>1+2/3</f>
        <v>1.6666666666666665</v>
      </c>
      <c r="DZ60" s="367">
        <v>0</v>
      </c>
      <c r="EA60" s="367">
        <v>0</v>
      </c>
      <c r="EB60" s="368">
        <f>8+1/3</f>
        <v>8.3333333333333339</v>
      </c>
      <c r="EC60" s="367">
        <v>1</v>
      </c>
      <c r="ED60" s="369">
        <v>1</v>
      </c>
      <c r="EE60" s="370">
        <v>0</v>
      </c>
      <c r="EF60" s="367">
        <v>0</v>
      </c>
      <c r="EG60" s="367">
        <v>0</v>
      </c>
      <c r="EH60" s="367">
        <v>0</v>
      </c>
      <c r="EI60" s="367">
        <v>0</v>
      </c>
      <c r="EJ60" s="367">
        <v>0</v>
      </c>
      <c r="EK60" s="367">
        <v>2</v>
      </c>
      <c r="EL60" s="367">
        <v>0</v>
      </c>
      <c r="EM60" s="367">
        <v>0</v>
      </c>
      <c r="EN60" s="367"/>
      <c r="EO60" s="367"/>
      <c r="EP60" s="367"/>
      <c r="EQ60" s="367"/>
      <c r="ER60" s="369">
        <f t="shared" si="16"/>
        <v>2</v>
      </c>
      <c r="ES60" s="367">
        <v>1</v>
      </c>
      <c r="ET60" s="367">
        <v>0</v>
      </c>
      <c r="EU60" s="367">
        <v>0</v>
      </c>
      <c r="EV60" s="367">
        <v>0</v>
      </c>
      <c r="EW60" s="367">
        <v>0</v>
      </c>
      <c r="EX60" s="367">
        <v>0</v>
      </c>
      <c r="EY60" s="367">
        <v>0</v>
      </c>
      <c r="EZ60" s="367">
        <v>1</v>
      </c>
      <c r="FA60" s="367">
        <v>1</v>
      </c>
      <c r="FB60" s="367"/>
      <c r="FC60" s="367"/>
      <c r="FD60" s="367"/>
      <c r="FE60" s="367"/>
      <c r="FF60" s="367">
        <f t="shared" si="17"/>
        <v>3</v>
      </c>
      <c r="FG60" s="371">
        <f t="shared" si="18"/>
        <v>0</v>
      </c>
      <c r="FH60" s="371">
        <f t="shared" si="19"/>
        <v>0</v>
      </c>
      <c r="FI60" s="372"/>
    </row>
    <row r="61" spans="1:165" x14ac:dyDescent="0.25">
      <c r="A61" s="380">
        <v>40410</v>
      </c>
      <c r="B61" s="380" t="s">
        <v>133</v>
      </c>
      <c r="C61" s="380" t="s">
        <v>131</v>
      </c>
      <c r="D61" s="380" t="s">
        <v>668</v>
      </c>
      <c r="E61" s="374">
        <v>4877</v>
      </c>
      <c r="F61" s="358">
        <v>4</v>
      </c>
      <c r="G61" s="359" t="s">
        <v>411</v>
      </c>
      <c r="H61" s="360">
        <v>0</v>
      </c>
      <c r="I61" s="360">
        <v>0</v>
      </c>
      <c r="J61" s="361">
        <v>4</v>
      </c>
      <c r="K61" s="360">
        <v>6</v>
      </c>
      <c r="L61" s="360">
        <v>2</v>
      </c>
      <c r="M61" s="360">
        <v>2</v>
      </c>
      <c r="N61" s="360">
        <v>0</v>
      </c>
      <c r="O61" s="360">
        <v>4</v>
      </c>
      <c r="P61" s="360">
        <v>0</v>
      </c>
      <c r="Q61" s="360">
        <v>0</v>
      </c>
      <c r="R61" s="360">
        <v>17</v>
      </c>
      <c r="S61" s="360"/>
      <c r="T61" s="360"/>
      <c r="U61" s="360">
        <v>0</v>
      </c>
      <c r="V61" s="362">
        <v>0</v>
      </c>
      <c r="W61" s="376">
        <v>0</v>
      </c>
      <c r="X61" s="376">
        <v>1</v>
      </c>
      <c r="Y61" s="376">
        <v>0</v>
      </c>
      <c r="Z61" s="376">
        <v>0</v>
      </c>
      <c r="AA61" s="376">
        <v>0</v>
      </c>
      <c r="AB61" s="377">
        <v>4</v>
      </c>
      <c r="AC61" s="376">
        <v>3</v>
      </c>
      <c r="AD61" s="376">
        <v>3</v>
      </c>
      <c r="AE61" s="376">
        <v>0</v>
      </c>
      <c r="AF61" s="376">
        <v>1</v>
      </c>
      <c r="AG61" s="376">
        <v>4</v>
      </c>
      <c r="AH61" s="376">
        <v>0</v>
      </c>
      <c r="AI61" s="376">
        <v>0</v>
      </c>
      <c r="AJ61" s="376">
        <v>18</v>
      </c>
      <c r="AK61" s="376"/>
      <c r="AL61" s="376"/>
      <c r="AM61" s="363" t="s">
        <v>285</v>
      </c>
      <c r="AN61" s="364">
        <v>3</v>
      </c>
      <c r="AO61" s="364">
        <v>1</v>
      </c>
      <c r="AP61" s="364">
        <v>0</v>
      </c>
      <c r="AQ61" s="364">
        <v>0</v>
      </c>
      <c r="AR61" s="364">
        <v>2</v>
      </c>
      <c r="AS61" s="364">
        <v>1</v>
      </c>
      <c r="AT61" s="364">
        <v>0</v>
      </c>
      <c r="AU61" s="364">
        <v>0</v>
      </c>
      <c r="AV61" s="365">
        <v>0</v>
      </c>
      <c r="AW61" s="363" t="s">
        <v>418</v>
      </c>
      <c r="AX61" s="364">
        <v>5</v>
      </c>
      <c r="AY61" s="364">
        <v>0</v>
      </c>
      <c r="AZ61" s="364">
        <v>1</v>
      </c>
      <c r="BA61" s="364">
        <v>1</v>
      </c>
      <c r="BB61" s="364">
        <v>0</v>
      </c>
      <c r="BC61" s="364">
        <v>1</v>
      </c>
      <c r="BD61" s="364">
        <v>0</v>
      </c>
      <c r="BE61" s="364">
        <v>0</v>
      </c>
      <c r="BF61" s="365">
        <v>2</v>
      </c>
      <c r="BG61" s="363" t="s">
        <v>420</v>
      </c>
      <c r="BH61" s="364">
        <v>5</v>
      </c>
      <c r="BI61" s="364">
        <v>0</v>
      </c>
      <c r="BJ61" s="364">
        <v>1</v>
      </c>
      <c r="BK61" s="364">
        <v>0</v>
      </c>
      <c r="BL61" s="364">
        <v>0</v>
      </c>
      <c r="BM61" s="364">
        <v>2</v>
      </c>
      <c r="BN61" s="364">
        <v>0</v>
      </c>
      <c r="BO61" s="364">
        <v>0</v>
      </c>
      <c r="BP61" s="365">
        <v>1</v>
      </c>
      <c r="BQ61" s="363" t="s">
        <v>421</v>
      </c>
      <c r="BR61" s="364">
        <v>3</v>
      </c>
      <c r="BS61" s="364">
        <v>0</v>
      </c>
      <c r="BT61" s="364">
        <v>1</v>
      </c>
      <c r="BU61" s="364">
        <v>1</v>
      </c>
      <c r="BV61" s="364">
        <v>2</v>
      </c>
      <c r="BW61" s="364">
        <v>0</v>
      </c>
      <c r="BX61" s="364">
        <v>0</v>
      </c>
      <c r="BY61" s="364">
        <v>0</v>
      </c>
      <c r="BZ61" s="365">
        <v>2</v>
      </c>
      <c r="CA61" s="363" t="s">
        <v>422</v>
      </c>
      <c r="CB61" s="364">
        <v>4</v>
      </c>
      <c r="CC61" s="364">
        <v>0</v>
      </c>
      <c r="CD61" s="364">
        <v>1</v>
      </c>
      <c r="CE61" s="364">
        <v>0</v>
      </c>
      <c r="CF61" s="364">
        <v>0</v>
      </c>
      <c r="CG61" s="364">
        <v>1</v>
      </c>
      <c r="CH61" s="364">
        <v>0</v>
      </c>
      <c r="CI61" s="364">
        <v>0</v>
      </c>
      <c r="CJ61" s="365">
        <v>1</v>
      </c>
      <c r="CK61" s="363" t="s">
        <v>426</v>
      </c>
      <c r="CL61" s="364">
        <v>4</v>
      </c>
      <c r="CM61" s="364">
        <v>0</v>
      </c>
      <c r="CN61" s="364">
        <v>2</v>
      </c>
      <c r="CO61" s="364">
        <v>0</v>
      </c>
      <c r="CP61" s="364">
        <v>0</v>
      </c>
      <c r="CQ61" s="364">
        <v>1</v>
      </c>
      <c r="CR61" s="364">
        <v>0</v>
      </c>
      <c r="CS61" s="364">
        <v>0</v>
      </c>
      <c r="CT61" s="365">
        <v>2</v>
      </c>
      <c r="CU61" s="363" t="s">
        <v>646</v>
      </c>
      <c r="CV61" s="364">
        <v>3</v>
      </c>
      <c r="CW61" s="364">
        <v>0</v>
      </c>
      <c r="CX61" s="364">
        <v>1</v>
      </c>
      <c r="CY61" s="364">
        <v>0</v>
      </c>
      <c r="CZ61" s="364">
        <v>1</v>
      </c>
      <c r="DA61" s="364">
        <v>1</v>
      </c>
      <c r="DB61" s="364">
        <v>0</v>
      </c>
      <c r="DC61" s="364">
        <v>0</v>
      </c>
      <c r="DD61" s="365">
        <v>1</v>
      </c>
      <c r="DE61" s="363" t="s">
        <v>460</v>
      </c>
      <c r="DF61" s="364">
        <v>3</v>
      </c>
      <c r="DG61" s="364">
        <v>0</v>
      </c>
      <c r="DH61" s="364">
        <v>0</v>
      </c>
      <c r="DI61" s="364">
        <v>0</v>
      </c>
      <c r="DJ61" s="364">
        <v>0</v>
      </c>
      <c r="DK61" s="364">
        <v>2</v>
      </c>
      <c r="DL61" s="364">
        <v>0</v>
      </c>
      <c r="DM61" s="364">
        <v>0</v>
      </c>
      <c r="DN61" s="365">
        <v>0</v>
      </c>
      <c r="DO61" s="363" t="s">
        <v>419</v>
      </c>
      <c r="DP61" s="364">
        <v>3</v>
      </c>
      <c r="DQ61" s="364">
        <v>1</v>
      </c>
      <c r="DR61" s="364">
        <v>0</v>
      </c>
      <c r="DS61" s="364">
        <v>0</v>
      </c>
      <c r="DT61" s="364">
        <v>0</v>
      </c>
      <c r="DU61" s="364">
        <v>1</v>
      </c>
      <c r="DV61" s="364">
        <v>1</v>
      </c>
      <c r="DW61" s="364">
        <v>0</v>
      </c>
      <c r="DX61" s="365">
        <v>0</v>
      </c>
      <c r="DY61" s="366">
        <v>0</v>
      </c>
      <c r="DZ61" s="367">
        <v>0</v>
      </c>
      <c r="EA61" s="367">
        <v>0</v>
      </c>
      <c r="EB61" s="368">
        <v>9</v>
      </c>
      <c r="EC61" s="367">
        <v>2</v>
      </c>
      <c r="ED61" s="369">
        <v>0</v>
      </c>
      <c r="EE61" s="370">
        <v>0</v>
      </c>
      <c r="EF61" s="367">
        <v>0</v>
      </c>
      <c r="EG61" s="367">
        <v>1</v>
      </c>
      <c r="EH61" s="367">
        <v>0</v>
      </c>
      <c r="EI61" s="367">
        <v>1</v>
      </c>
      <c r="EJ61" s="367">
        <v>0</v>
      </c>
      <c r="EK61" s="367">
        <v>0</v>
      </c>
      <c r="EL61" s="367">
        <v>0</v>
      </c>
      <c r="EM61" s="367">
        <v>0</v>
      </c>
      <c r="EN61" s="367"/>
      <c r="EO61" s="367"/>
      <c r="EP61" s="367"/>
      <c r="EQ61" s="367"/>
      <c r="ER61" s="369">
        <f t="shared" si="16"/>
        <v>2</v>
      </c>
      <c r="ES61" s="367">
        <v>0</v>
      </c>
      <c r="ET61" s="367">
        <v>2</v>
      </c>
      <c r="EU61" s="367">
        <v>0</v>
      </c>
      <c r="EV61" s="367">
        <v>0</v>
      </c>
      <c r="EW61" s="367">
        <v>0</v>
      </c>
      <c r="EX61" s="367">
        <v>0</v>
      </c>
      <c r="EY61" s="367">
        <v>0</v>
      </c>
      <c r="EZ61" s="367">
        <v>3</v>
      </c>
      <c r="FA61" s="367"/>
      <c r="FB61" s="367"/>
      <c r="FC61" s="367"/>
      <c r="FD61" s="367"/>
      <c r="FE61" s="367"/>
      <c r="FF61" s="367">
        <f t="shared" si="17"/>
        <v>5</v>
      </c>
      <c r="FG61" s="371">
        <f t="shared" si="18"/>
        <v>0</v>
      </c>
      <c r="FH61" s="371">
        <f t="shared" si="19"/>
        <v>0</v>
      </c>
      <c r="FI61" s="372"/>
    </row>
    <row r="62" spans="1:165" x14ac:dyDescent="0.25">
      <c r="A62" s="380">
        <v>40411</v>
      </c>
      <c r="B62" s="380" t="s">
        <v>133</v>
      </c>
      <c r="C62" s="380" t="s">
        <v>129</v>
      </c>
      <c r="D62" s="380" t="s">
        <v>668</v>
      </c>
      <c r="E62" s="374">
        <v>4989</v>
      </c>
      <c r="F62" s="358">
        <v>5</v>
      </c>
      <c r="G62" s="359" t="s">
        <v>556</v>
      </c>
      <c r="H62" s="360">
        <v>0</v>
      </c>
      <c r="I62" s="360">
        <v>0</v>
      </c>
      <c r="J62" s="361">
        <v>5</v>
      </c>
      <c r="K62" s="360">
        <v>3</v>
      </c>
      <c r="L62" s="360">
        <v>1</v>
      </c>
      <c r="M62" s="360">
        <v>1</v>
      </c>
      <c r="N62" s="360">
        <v>0</v>
      </c>
      <c r="O62" s="360">
        <v>6</v>
      </c>
      <c r="P62" s="360">
        <v>0</v>
      </c>
      <c r="Q62" s="360">
        <v>0</v>
      </c>
      <c r="R62" s="360">
        <v>17</v>
      </c>
      <c r="S62" s="360"/>
      <c r="T62" s="360"/>
      <c r="U62" s="360">
        <v>0</v>
      </c>
      <c r="V62" s="362">
        <v>0</v>
      </c>
      <c r="W62" s="376">
        <v>1</v>
      </c>
      <c r="X62" s="376">
        <v>0</v>
      </c>
      <c r="Y62" s="376">
        <v>0</v>
      </c>
      <c r="Z62" s="376">
        <v>1</v>
      </c>
      <c r="AA62" s="376">
        <v>0</v>
      </c>
      <c r="AB62" s="377">
        <v>4</v>
      </c>
      <c r="AC62" s="376">
        <v>5</v>
      </c>
      <c r="AD62" s="376">
        <v>2</v>
      </c>
      <c r="AE62" s="376">
        <v>2</v>
      </c>
      <c r="AF62" s="376">
        <v>2</v>
      </c>
      <c r="AG62" s="376">
        <v>5</v>
      </c>
      <c r="AH62" s="376">
        <v>0</v>
      </c>
      <c r="AI62" s="376">
        <v>0</v>
      </c>
      <c r="AJ62" s="376">
        <v>19</v>
      </c>
      <c r="AK62" s="376"/>
      <c r="AL62" s="376"/>
      <c r="AM62" s="363" t="s">
        <v>282</v>
      </c>
      <c r="AN62" s="364">
        <v>5</v>
      </c>
      <c r="AO62" s="364">
        <v>1</v>
      </c>
      <c r="AP62" s="364">
        <v>2</v>
      </c>
      <c r="AQ62" s="364">
        <v>0</v>
      </c>
      <c r="AR62" s="364">
        <v>0</v>
      </c>
      <c r="AS62" s="364">
        <v>0</v>
      </c>
      <c r="AT62" s="364">
        <v>0</v>
      </c>
      <c r="AU62" s="364">
        <v>0</v>
      </c>
      <c r="AV62" s="365">
        <v>2</v>
      </c>
      <c r="AW62" s="363" t="s">
        <v>421</v>
      </c>
      <c r="AX62" s="364">
        <v>4</v>
      </c>
      <c r="AY62" s="364">
        <v>1</v>
      </c>
      <c r="AZ62" s="364">
        <v>2</v>
      </c>
      <c r="BA62" s="364">
        <v>0</v>
      </c>
      <c r="BB62" s="364">
        <v>1</v>
      </c>
      <c r="BC62" s="364">
        <v>0</v>
      </c>
      <c r="BD62" s="364">
        <v>0</v>
      </c>
      <c r="BE62" s="364">
        <v>0</v>
      </c>
      <c r="BF62" s="365">
        <v>2</v>
      </c>
      <c r="BG62" s="363" t="s">
        <v>420</v>
      </c>
      <c r="BH62" s="364">
        <v>5</v>
      </c>
      <c r="BI62" s="364">
        <v>2</v>
      </c>
      <c r="BJ62" s="364">
        <v>3</v>
      </c>
      <c r="BK62" s="364">
        <v>1</v>
      </c>
      <c r="BL62" s="364">
        <v>0</v>
      </c>
      <c r="BM62" s="364">
        <v>0</v>
      </c>
      <c r="BN62" s="364">
        <v>0</v>
      </c>
      <c r="BO62" s="364">
        <v>0</v>
      </c>
      <c r="BP62" s="365">
        <v>3</v>
      </c>
      <c r="BQ62" s="363" t="s">
        <v>426</v>
      </c>
      <c r="BR62" s="364">
        <v>5</v>
      </c>
      <c r="BS62" s="364">
        <v>2</v>
      </c>
      <c r="BT62" s="364">
        <v>2</v>
      </c>
      <c r="BU62" s="364">
        <v>1</v>
      </c>
      <c r="BV62" s="364">
        <v>0</v>
      </c>
      <c r="BW62" s="364">
        <v>0</v>
      </c>
      <c r="BX62" s="364">
        <v>0</v>
      </c>
      <c r="BY62" s="364">
        <v>0</v>
      </c>
      <c r="BZ62" s="365">
        <v>3</v>
      </c>
      <c r="CA62" s="363" t="s">
        <v>422</v>
      </c>
      <c r="CB62" s="364">
        <v>5</v>
      </c>
      <c r="CC62" s="364">
        <v>0</v>
      </c>
      <c r="CD62" s="364">
        <v>3</v>
      </c>
      <c r="CE62" s="364">
        <v>2</v>
      </c>
      <c r="CF62" s="364">
        <v>0</v>
      </c>
      <c r="CG62" s="364">
        <v>0</v>
      </c>
      <c r="CH62" s="364">
        <v>0</v>
      </c>
      <c r="CI62" s="364">
        <v>0</v>
      </c>
      <c r="CJ62" s="365">
        <v>4</v>
      </c>
      <c r="CK62" s="363" t="s">
        <v>284</v>
      </c>
      <c r="CL62" s="364">
        <v>5</v>
      </c>
      <c r="CM62" s="364">
        <v>1</v>
      </c>
      <c r="CN62" s="364">
        <v>0</v>
      </c>
      <c r="CO62" s="364">
        <v>1</v>
      </c>
      <c r="CP62" s="364">
        <v>0</v>
      </c>
      <c r="CQ62" s="364">
        <v>3</v>
      </c>
      <c r="CR62" s="364">
        <v>0</v>
      </c>
      <c r="CS62" s="364">
        <v>0</v>
      </c>
      <c r="CT62" s="365">
        <v>0</v>
      </c>
      <c r="CU62" s="363" t="s">
        <v>285</v>
      </c>
      <c r="CV62" s="364">
        <v>5</v>
      </c>
      <c r="CW62" s="364">
        <v>0</v>
      </c>
      <c r="CX62" s="364">
        <v>2</v>
      </c>
      <c r="CY62" s="364">
        <v>1</v>
      </c>
      <c r="CZ62" s="364">
        <v>0</v>
      </c>
      <c r="DA62" s="364">
        <v>1</v>
      </c>
      <c r="DB62" s="364">
        <v>0</v>
      </c>
      <c r="DC62" s="364">
        <v>0</v>
      </c>
      <c r="DD62" s="365">
        <v>2</v>
      </c>
      <c r="DE62" s="363" t="s">
        <v>424</v>
      </c>
      <c r="DF62" s="364">
        <v>3</v>
      </c>
      <c r="DG62" s="364">
        <v>0</v>
      </c>
      <c r="DH62" s="364">
        <v>1</v>
      </c>
      <c r="DI62" s="364">
        <v>1</v>
      </c>
      <c r="DJ62" s="364">
        <v>2</v>
      </c>
      <c r="DK62" s="364">
        <v>0</v>
      </c>
      <c r="DL62" s="364">
        <v>0</v>
      </c>
      <c r="DM62" s="364">
        <v>0</v>
      </c>
      <c r="DN62" s="365">
        <v>1</v>
      </c>
      <c r="DO62" s="363" t="s">
        <v>416</v>
      </c>
      <c r="DP62" s="364">
        <v>4</v>
      </c>
      <c r="DQ62" s="364">
        <v>0</v>
      </c>
      <c r="DR62" s="364">
        <v>0</v>
      </c>
      <c r="DS62" s="364">
        <v>0</v>
      </c>
      <c r="DT62" s="364">
        <v>0</v>
      </c>
      <c r="DU62" s="364">
        <v>1</v>
      </c>
      <c r="DV62" s="364">
        <v>0</v>
      </c>
      <c r="DW62" s="364">
        <v>0</v>
      </c>
      <c r="DX62" s="365">
        <v>0</v>
      </c>
      <c r="DY62" s="366">
        <v>2</v>
      </c>
      <c r="DZ62" s="367">
        <v>0</v>
      </c>
      <c r="EA62" s="367">
        <v>0</v>
      </c>
      <c r="EB62" s="368">
        <v>7</v>
      </c>
      <c r="EC62" s="367">
        <v>0</v>
      </c>
      <c r="ED62" s="369">
        <v>0</v>
      </c>
      <c r="EE62" s="370">
        <v>0</v>
      </c>
      <c r="EF62" s="367">
        <v>0</v>
      </c>
      <c r="EG62" s="367">
        <v>0</v>
      </c>
      <c r="EH62" s="367">
        <v>0</v>
      </c>
      <c r="EI62" s="367">
        <v>0</v>
      </c>
      <c r="EJ62" s="367">
        <v>0</v>
      </c>
      <c r="EK62" s="367">
        <v>0</v>
      </c>
      <c r="EL62" s="367">
        <v>4</v>
      </c>
      <c r="EM62" s="367">
        <v>3</v>
      </c>
      <c r="EN62" s="367"/>
      <c r="EO62" s="367"/>
      <c r="EP62" s="367"/>
      <c r="EQ62" s="367"/>
      <c r="ER62" s="369">
        <f t="shared" si="16"/>
        <v>7</v>
      </c>
      <c r="ES62" s="367">
        <v>0</v>
      </c>
      <c r="ET62" s="367">
        <v>0</v>
      </c>
      <c r="EU62" s="367">
        <v>0</v>
      </c>
      <c r="EV62" s="367">
        <v>1</v>
      </c>
      <c r="EW62" s="367">
        <v>0</v>
      </c>
      <c r="EX62" s="367">
        <v>2</v>
      </c>
      <c r="EY62" s="367">
        <v>0</v>
      </c>
      <c r="EZ62" s="367">
        <v>0</v>
      </c>
      <c r="FA62" s="367">
        <v>0</v>
      </c>
      <c r="FB62" s="367"/>
      <c r="FC62" s="367"/>
      <c r="FD62" s="367"/>
      <c r="FE62" s="367"/>
      <c r="FF62" s="367">
        <f t="shared" si="17"/>
        <v>3</v>
      </c>
      <c r="FG62" s="371">
        <f t="shared" si="18"/>
        <v>0</v>
      </c>
      <c r="FH62" s="371">
        <f t="shared" si="19"/>
        <v>0</v>
      </c>
      <c r="FI62" s="372"/>
    </row>
    <row r="63" spans="1:165" x14ac:dyDescent="0.25">
      <c r="A63" s="380">
        <v>40412</v>
      </c>
      <c r="B63" s="380" t="s">
        <v>133</v>
      </c>
      <c r="C63" s="380" t="s">
        <v>131</v>
      </c>
      <c r="D63" s="380" t="s">
        <v>668</v>
      </c>
      <c r="E63" s="374">
        <v>4891</v>
      </c>
      <c r="F63" s="358">
        <v>1</v>
      </c>
      <c r="G63" s="359" t="s">
        <v>644</v>
      </c>
      <c r="H63" s="360">
        <v>0</v>
      </c>
      <c r="I63" s="360">
        <v>1</v>
      </c>
      <c r="J63" s="361">
        <f>3+1/3</f>
        <v>3.3333333333333335</v>
      </c>
      <c r="K63" s="360">
        <v>6</v>
      </c>
      <c r="L63" s="360">
        <v>4</v>
      </c>
      <c r="M63" s="360">
        <v>4</v>
      </c>
      <c r="N63" s="360">
        <v>3</v>
      </c>
      <c r="O63" s="360">
        <v>3</v>
      </c>
      <c r="P63" s="360">
        <v>0</v>
      </c>
      <c r="Q63" s="360">
        <v>0</v>
      </c>
      <c r="R63" s="360">
        <v>18</v>
      </c>
      <c r="S63" s="360"/>
      <c r="T63" s="360"/>
      <c r="U63" s="360">
        <v>3</v>
      </c>
      <c r="V63" s="362">
        <v>1</v>
      </c>
      <c r="W63" s="376">
        <v>0</v>
      </c>
      <c r="X63" s="376">
        <v>0</v>
      </c>
      <c r="Y63" s="376">
        <v>0</v>
      </c>
      <c r="Z63" s="376">
        <v>0</v>
      </c>
      <c r="AA63" s="376">
        <v>0</v>
      </c>
      <c r="AB63" s="377">
        <f>4+2/3</f>
        <v>4.666666666666667</v>
      </c>
      <c r="AC63" s="376">
        <v>4</v>
      </c>
      <c r="AD63" s="376">
        <v>1</v>
      </c>
      <c r="AE63" s="376">
        <v>1</v>
      </c>
      <c r="AF63" s="376">
        <v>1</v>
      </c>
      <c r="AG63" s="376">
        <v>4</v>
      </c>
      <c r="AH63" s="376">
        <v>0</v>
      </c>
      <c r="AI63" s="376">
        <v>0</v>
      </c>
      <c r="AJ63" s="376">
        <v>18</v>
      </c>
      <c r="AK63" s="376"/>
      <c r="AL63" s="376"/>
      <c r="AM63" s="363" t="s">
        <v>282</v>
      </c>
      <c r="AN63" s="364">
        <v>3</v>
      </c>
      <c r="AO63" s="364">
        <v>0</v>
      </c>
      <c r="AP63" s="364">
        <v>1</v>
      </c>
      <c r="AQ63" s="364">
        <v>0</v>
      </c>
      <c r="AR63" s="364">
        <v>2</v>
      </c>
      <c r="AS63" s="364">
        <v>1</v>
      </c>
      <c r="AT63" s="364">
        <v>0</v>
      </c>
      <c r="AU63" s="364">
        <v>0</v>
      </c>
      <c r="AV63" s="365">
        <v>1</v>
      </c>
      <c r="AW63" s="363" t="s">
        <v>417</v>
      </c>
      <c r="AX63" s="364">
        <v>5</v>
      </c>
      <c r="AY63" s="364">
        <v>1</v>
      </c>
      <c r="AZ63" s="364">
        <v>2</v>
      </c>
      <c r="BA63" s="364">
        <v>0</v>
      </c>
      <c r="BB63" s="364">
        <v>0</v>
      </c>
      <c r="BC63" s="364">
        <v>1</v>
      </c>
      <c r="BD63" s="364">
        <v>0</v>
      </c>
      <c r="BE63" s="364">
        <v>0</v>
      </c>
      <c r="BF63" s="365">
        <v>4</v>
      </c>
      <c r="BG63" s="363" t="s">
        <v>421</v>
      </c>
      <c r="BH63" s="364">
        <v>5</v>
      </c>
      <c r="BI63" s="364">
        <v>1</v>
      </c>
      <c r="BJ63" s="364">
        <v>1</v>
      </c>
      <c r="BK63" s="364">
        <v>0</v>
      </c>
      <c r="BL63" s="364">
        <v>0</v>
      </c>
      <c r="BM63" s="364">
        <v>1</v>
      </c>
      <c r="BN63" s="364">
        <v>0</v>
      </c>
      <c r="BO63" s="364">
        <v>0</v>
      </c>
      <c r="BP63" s="365">
        <v>1</v>
      </c>
      <c r="BQ63" s="363" t="s">
        <v>422</v>
      </c>
      <c r="BR63" s="364">
        <v>4</v>
      </c>
      <c r="BS63" s="364">
        <v>1</v>
      </c>
      <c r="BT63" s="364">
        <v>2</v>
      </c>
      <c r="BU63" s="364">
        <v>1</v>
      </c>
      <c r="BV63" s="364">
        <v>1</v>
      </c>
      <c r="BW63" s="364">
        <v>0</v>
      </c>
      <c r="BX63" s="364">
        <v>0</v>
      </c>
      <c r="BY63" s="364">
        <v>0</v>
      </c>
      <c r="BZ63" s="365">
        <v>2</v>
      </c>
      <c r="CA63" s="363" t="s">
        <v>426</v>
      </c>
      <c r="CB63" s="364">
        <v>5</v>
      </c>
      <c r="CC63" s="364">
        <v>0</v>
      </c>
      <c r="CD63" s="364">
        <v>0</v>
      </c>
      <c r="CE63" s="364">
        <v>1</v>
      </c>
      <c r="CF63" s="364">
        <v>0</v>
      </c>
      <c r="CG63" s="364">
        <v>0</v>
      </c>
      <c r="CH63" s="364">
        <v>0</v>
      </c>
      <c r="CI63" s="364">
        <v>0</v>
      </c>
      <c r="CJ63" s="365">
        <v>0</v>
      </c>
      <c r="CK63" s="363" t="s">
        <v>284</v>
      </c>
      <c r="CL63" s="364">
        <v>3</v>
      </c>
      <c r="CM63" s="364">
        <v>0</v>
      </c>
      <c r="CN63" s="364">
        <v>1</v>
      </c>
      <c r="CO63" s="364">
        <v>0</v>
      </c>
      <c r="CP63" s="364">
        <v>0</v>
      </c>
      <c r="CQ63" s="364">
        <v>0</v>
      </c>
      <c r="CR63" s="364">
        <v>1</v>
      </c>
      <c r="CS63" s="364">
        <v>0</v>
      </c>
      <c r="CT63" s="365">
        <v>2</v>
      </c>
      <c r="CU63" s="363" t="s">
        <v>285</v>
      </c>
      <c r="CV63" s="364">
        <v>3</v>
      </c>
      <c r="CW63" s="364">
        <v>0</v>
      </c>
      <c r="CX63" s="364">
        <v>1</v>
      </c>
      <c r="CY63" s="364">
        <v>0</v>
      </c>
      <c r="CZ63" s="364">
        <v>0</v>
      </c>
      <c r="DA63" s="364">
        <v>1</v>
      </c>
      <c r="DB63" s="364">
        <v>1</v>
      </c>
      <c r="DC63" s="364">
        <v>0</v>
      </c>
      <c r="DD63" s="365">
        <v>1</v>
      </c>
      <c r="DE63" s="363" t="s">
        <v>460</v>
      </c>
      <c r="DF63" s="364">
        <v>2</v>
      </c>
      <c r="DG63" s="364">
        <v>0</v>
      </c>
      <c r="DH63" s="364">
        <v>0</v>
      </c>
      <c r="DI63" s="364">
        <v>0</v>
      </c>
      <c r="DJ63" s="364">
        <v>1</v>
      </c>
      <c r="DK63" s="364">
        <v>1</v>
      </c>
      <c r="DL63" s="364">
        <v>0</v>
      </c>
      <c r="DM63" s="364">
        <v>0</v>
      </c>
      <c r="DN63" s="365">
        <v>0</v>
      </c>
      <c r="DO63" s="363" t="s">
        <v>416</v>
      </c>
      <c r="DP63" s="364">
        <v>4</v>
      </c>
      <c r="DQ63" s="364">
        <v>0</v>
      </c>
      <c r="DR63" s="364">
        <v>0</v>
      </c>
      <c r="DS63" s="364">
        <v>0</v>
      </c>
      <c r="DT63" s="364">
        <v>0</v>
      </c>
      <c r="DU63" s="364">
        <v>2</v>
      </c>
      <c r="DV63" s="364">
        <v>0</v>
      </c>
      <c r="DW63" s="364">
        <v>0</v>
      </c>
      <c r="DX63" s="365">
        <v>0</v>
      </c>
      <c r="DY63" s="366">
        <v>0</v>
      </c>
      <c r="DZ63" s="367">
        <v>0</v>
      </c>
      <c r="EA63" s="367">
        <v>0</v>
      </c>
      <c r="EB63" s="368">
        <v>9</v>
      </c>
      <c r="EC63" s="367">
        <v>5</v>
      </c>
      <c r="ED63" s="369">
        <v>1</v>
      </c>
      <c r="EE63" s="370">
        <v>0</v>
      </c>
      <c r="EF63" s="367">
        <v>0</v>
      </c>
      <c r="EG63" s="367">
        <v>0</v>
      </c>
      <c r="EH63" s="367">
        <v>0</v>
      </c>
      <c r="EI63" s="367">
        <v>3</v>
      </c>
      <c r="EJ63" s="367">
        <v>0</v>
      </c>
      <c r="EK63" s="367">
        <v>0</v>
      </c>
      <c r="EL63" s="367">
        <v>0</v>
      </c>
      <c r="EM63" s="367">
        <v>0</v>
      </c>
      <c r="EN63" s="367"/>
      <c r="EO63" s="367"/>
      <c r="EP63" s="367"/>
      <c r="EQ63" s="367"/>
      <c r="ER63" s="369">
        <f>SUM(EE63:EQ63)</f>
        <v>3</v>
      </c>
      <c r="ES63" s="367">
        <v>0</v>
      </c>
      <c r="ET63" s="367">
        <v>0</v>
      </c>
      <c r="EU63" s="367">
        <v>1</v>
      </c>
      <c r="EV63" s="367">
        <v>3</v>
      </c>
      <c r="EW63" s="367">
        <v>0</v>
      </c>
      <c r="EX63" s="367">
        <v>1</v>
      </c>
      <c r="EY63" s="367">
        <v>0</v>
      </c>
      <c r="EZ63" s="367">
        <v>0</v>
      </c>
      <c r="FA63" s="367"/>
      <c r="FB63" s="367"/>
      <c r="FC63" s="367"/>
      <c r="FD63" s="367"/>
      <c r="FE63" s="367"/>
      <c r="FF63" s="367">
        <f>SUM(ES63:FE63)</f>
        <v>5</v>
      </c>
      <c r="FG63" s="371">
        <f>((SUM(L63,AD63))-(FF63))</f>
        <v>0</v>
      </c>
      <c r="FH63" s="371">
        <f>((SUM(AO63,AY63,BI63,BS63,CC63,CM63,CW63,DG63,DQ63))-(ER63))</f>
        <v>0</v>
      </c>
      <c r="FI63" s="372"/>
    </row>
    <row r="64" spans="1:165" x14ac:dyDescent="0.25">
      <c r="A64" s="53">
        <v>40413</v>
      </c>
      <c r="B64" s="53" t="s">
        <v>19</v>
      </c>
      <c r="C64" s="53" t="s">
        <v>129</v>
      </c>
      <c r="D64" s="53" t="s">
        <v>288</v>
      </c>
      <c r="E64" s="54">
        <v>5076</v>
      </c>
      <c r="F64" s="58">
        <v>2</v>
      </c>
      <c r="G64" s="59" t="s">
        <v>522</v>
      </c>
      <c r="H64" s="6">
        <v>1</v>
      </c>
      <c r="I64" s="6">
        <v>0</v>
      </c>
      <c r="J64" s="60">
        <f>5+2/3</f>
        <v>5.666666666666667</v>
      </c>
      <c r="K64" s="6">
        <v>3</v>
      </c>
      <c r="L64" s="6">
        <v>2</v>
      </c>
      <c r="M64" s="6">
        <v>2</v>
      </c>
      <c r="N64" s="6">
        <v>1</v>
      </c>
      <c r="O64" s="6">
        <v>10</v>
      </c>
      <c r="P64" s="6">
        <v>0</v>
      </c>
      <c r="Q64" s="6">
        <v>0</v>
      </c>
      <c r="R64" s="6">
        <v>22</v>
      </c>
      <c r="S64" s="6"/>
      <c r="T64" s="6"/>
      <c r="U64" s="6">
        <v>0</v>
      </c>
      <c r="V64" s="61">
        <v>0</v>
      </c>
      <c r="W64" s="62">
        <v>0</v>
      </c>
      <c r="X64" s="62">
        <v>0</v>
      </c>
      <c r="Y64" s="62">
        <v>0</v>
      </c>
      <c r="Z64" s="62">
        <v>1</v>
      </c>
      <c r="AA64" s="62">
        <v>0</v>
      </c>
      <c r="AB64" s="63">
        <f>3+1/3</f>
        <v>3.3333333333333335</v>
      </c>
      <c r="AC64" s="62">
        <v>0</v>
      </c>
      <c r="AD64" s="62">
        <v>0</v>
      </c>
      <c r="AE64" s="62">
        <v>0</v>
      </c>
      <c r="AF64" s="62">
        <v>0</v>
      </c>
      <c r="AG64" s="62">
        <v>5</v>
      </c>
      <c r="AH64" s="62">
        <v>0</v>
      </c>
      <c r="AI64" s="62">
        <v>0</v>
      </c>
      <c r="AJ64" s="62">
        <v>10</v>
      </c>
      <c r="AK64" s="62"/>
      <c r="AL64" s="62"/>
      <c r="AM64" s="1" t="s">
        <v>282</v>
      </c>
      <c r="AN64" s="78">
        <v>3</v>
      </c>
      <c r="AO64" s="78">
        <v>2</v>
      </c>
      <c r="AP64" s="78">
        <v>2</v>
      </c>
      <c r="AQ64" s="78">
        <v>0</v>
      </c>
      <c r="AR64" s="78">
        <v>1</v>
      </c>
      <c r="AS64" s="78">
        <v>0</v>
      </c>
      <c r="AT64" s="78">
        <v>0</v>
      </c>
      <c r="AU64" s="78">
        <v>0</v>
      </c>
      <c r="AV64" s="76">
        <v>3</v>
      </c>
      <c r="AW64" s="1" t="s">
        <v>285</v>
      </c>
      <c r="AX64" s="78">
        <v>4</v>
      </c>
      <c r="AY64" s="78">
        <v>1</v>
      </c>
      <c r="AZ64" s="78">
        <v>1</v>
      </c>
      <c r="BA64" s="78">
        <v>0</v>
      </c>
      <c r="BB64" s="78">
        <v>0</v>
      </c>
      <c r="BC64" s="78">
        <v>0</v>
      </c>
      <c r="BD64" s="78">
        <v>0</v>
      </c>
      <c r="BE64" s="78">
        <v>0</v>
      </c>
      <c r="BF64" s="76">
        <v>1</v>
      </c>
      <c r="BG64" s="1" t="s">
        <v>422</v>
      </c>
      <c r="BH64" s="78">
        <v>4</v>
      </c>
      <c r="BI64" s="78">
        <v>1</v>
      </c>
      <c r="BJ64" s="78">
        <v>1</v>
      </c>
      <c r="BK64" s="78">
        <v>1</v>
      </c>
      <c r="BL64" s="78">
        <v>0</v>
      </c>
      <c r="BM64" s="78">
        <v>0</v>
      </c>
      <c r="BN64" s="78">
        <v>0</v>
      </c>
      <c r="BO64" s="78">
        <v>0</v>
      </c>
      <c r="BP64" s="76">
        <v>1</v>
      </c>
      <c r="BQ64" s="1" t="s">
        <v>421</v>
      </c>
      <c r="BR64" s="78">
        <v>4</v>
      </c>
      <c r="BS64" s="78">
        <v>1</v>
      </c>
      <c r="BT64" s="78">
        <v>2</v>
      </c>
      <c r="BU64" s="78">
        <v>1</v>
      </c>
      <c r="BV64" s="78">
        <v>0</v>
      </c>
      <c r="BW64" s="78">
        <v>1</v>
      </c>
      <c r="BX64" s="78">
        <v>0</v>
      </c>
      <c r="BY64" s="78">
        <v>0</v>
      </c>
      <c r="BZ64" s="76">
        <v>2</v>
      </c>
      <c r="CA64" s="1" t="s">
        <v>418</v>
      </c>
      <c r="CB64" s="78">
        <v>4</v>
      </c>
      <c r="CC64" s="78">
        <v>0</v>
      </c>
      <c r="CD64" s="78">
        <v>0</v>
      </c>
      <c r="CE64" s="78">
        <v>0</v>
      </c>
      <c r="CF64" s="78">
        <v>0</v>
      </c>
      <c r="CG64" s="78">
        <v>2</v>
      </c>
      <c r="CH64" s="78">
        <v>0</v>
      </c>
      <c r="CI64" s="78">
        <v>0</v>
      </c>
      <c r="CJ64" s="76">
        <v>0</v>
      </c>
      <c r="CK64" s="1" t="s">
        <v>424</v>
      </c>
      <c r="CL64" s="78">
        <v>4</v>
      </c>
      <c r="CM64" s="78">
        <v>1</v>
      </c>
      <c r="CN64" s="78">
        <v>2</v>
      </c>
      <c r="CO64" s="78">
        <v>1</v>
      </c>
      <c r="CP64" s="78">
        <v>0</v>
      </c>
      <c r="CQ64" s="78">
        <v>1</v>
      </c>
      <c r="CR64" s="78">
        <v>0</v>
      </c>
      <c r="CS64" s="78">
        <v>0</v>
      </c>
      <c r="CT64" s="76">
        <v>3</v>
      </c>
      <c r="CU64" s="1" t="s">
        <v>646</v>
      </c>
      <c r="CV64" s="78">
        <v>4</v>
      </c>
      <c r="CW64" s="78">
        <v>2</v>
      </c>
      <c r="CX64" s="78">
        <v>2</v>
      </c>
      <c r="CY64" s="78">
        <v>2</v>
      </c>
      <c r="CZ64" s="78">
        <v>0</v>
      </c>
      <c r="DA64" s="78">
        <v>1</v>
      </c>
      <c r="DB64" s="78">
        <v>0</v>
      </c>
      <c r="DC64" s="78">
        <v>0</v>
      </c>
      <c r="DD64" s="76">
        <v>5</v>
      </c>
      <c r="DE64" s="1" t="s">
        <v>416</v>
      </c>
      <c r="DF64" s="78">
        <v>4</v>
      </c>
      <c r="DG64" s="78">
        <v>0</v>
      </c>
      <c r="DH64" s="78">
        <v>0</v>
      </c>
      <c r="DI64" s="78">
        <v>1</v>
      </c>
      <c r="DJ64" s="78">
        <v>0</v>
      </c>
      <c r="DK64" s="78">
        <v>1</v>
      </c>
      <c r="DL64" s="78">
        <v>0</v>
      </c>
      <c r="DM64" s="78">
        <v>0</v>
      </c>
      <c r="DN64" s="76">
        <v>0</v>
      </c>
      <c r="DO64" s="1" t="s">
        <v>419</v>
      </c>
      <c r="DP64" s="78">
        <v>4</v>
      </c>
      <c r="DQ64" s="78">
        <v>0</v>
      </c>
      <c r="DR64" s="78">
        <v>1</v>
      </c>
      <c r="DS64" s="78">
        <v>0</v>
      </c>
      <c r="DT64" s="78">
        <v>0</v>
      </c>
      <c r="DU64" s="78">
        <v>2</v>
      </c>
      <c r="DV64" s="78">
        <v>0</v>
      </c>
      <c r="DW64" s="78">
        <v>0</v>
      </c>
      <c r="DX64" s="76">
        <v>1</v>
      </c>
      <c r="DY64" s="77">
        <v>0</v>
      </c>
      <c r="DZ64" s="43">
        <v>0</v>
      </c>
      <c r="EA64" s="43">
        <v>0</v>
      </c>
      <c r="EB64" s="45">
        <v>8</v>
      </c>
      <c r="EC64" s="43">
        <v>1</v>
      </c>
      <c r="ED64" s="44">
        <v>0</v>
      </c>
      <c r="EE64" s="71">
        <v>6</v>
      </c>
      <c r="EF64" s="43">
        <v>0</v>
      </c>
      <c r="EG64" s="43">
        <v>0</v>
      </c>
      <c r="EH64" s="43">
        <v>0</v>
      </c>
      <c r="EI64" s="43">
        <v>0</v>
      </c>
      <c r="EJ64" s="43">
        <v>0</v>
      </c>
      <c r="EK64" s="43">
        <v>1</v>
      </c>
      <c r="EL64" s="43">
        <v>1</v>
      </c>
      <c r="EM64" s="43"/>
      <c r="EN64" s="43"/>
      <c r="EO64" s="43"/>
      <c r="EP64" s="43"/>
      <c r="EQ64" s="43"/>
      <c r="ER64" s="44">
        <f>SUM(EE64:EQ64)</f>
        <v>8</v>
      </c>
      <c r="ES64" s="43">
        <v>0</v>
      </c>
      <c r="ET64" s="43">
        <v>0</v>
      </c>
      <c r="EU64" s="43">
        <v>0</v>
      </c>
      <c r="EV64" s="43">
        <v>2</v>
      </c>
      <c r="EW64" s="43">
        <v>0</v>
      </c>
      <c r="EX64" s="43">
        <v>0</v>
      </c>
      <c r="EY64" s="43">
        <v>0</v>
      </c>
      <c r="EZ64" s="43">
        <v>0</v>
      </c>
      <c r="FA64" s="43">
        <v>0</v>
      </c>
      <c r="FB64" s="43"/>
      <c r="FC64" s="43"/>
      <c r="FD64" s="43"/>
      <c r="FE64" s="43"/>
      <c r="FF64" s="43">
        <f>SUM(ES64:FE64)</f>
        <v>2</v>
      </c>
      <c r="FG64" s="73">
        <f>((SUM(L64,AD64))-(FF64))</f>
        <v>0</v>
      </c>
      <c r="FH64" s="73">
        <f>((SUM(AO64,AY64,BI64,BS64,CC64,CM64,CW64,DG64,DQ64))-(ER64))</f>
        <v>0</v>
      </c>
      <c r="FI64" s="38"/>
    </row>
    <row r="65" spans="1:165" x14ac:dyDescent="0.25">
      <c r="A65" s="408">
        <f>SUBTOTAL(103,Table13[Date])</f>
        <v>61</v>
      </c>
      <c r="B65" s="408"/>
      <c r="C65" s="408"/>
      <c r="D65" s="408"/>
      <c r="E65" s="54">
        <f>SUBTOTAL(109,Table13[Att])</f>
        <v>265309</v>
      </c>
      <c r="F65" s="54"/>
      <c r="G65" s="404" t="s">
        <v>34</v>
      </c>
      <c r="H65" s="62">
        <f>SUBTOTAL(109,Table13[S-W])</f>
        <v>12</v>
      </c>
      <c r="I65" s="62">
        <f>SUBTOTAL(109,Table13[S-L])</f>
        <v>16</v>
      </c>
      <c r="J65" s="63">
        <f>SUBTOTAL(109,Table13[S-IP])</f>
        <v>274.33333333333331</v>
      </c>
      <c r="K65" s="62">
        <f>SUBTOTAL(109,Table13[S-H])</f>
        <v>276</v>
      </c>
      <c r="L65" s="62">
        <f>SUBTOTAL(109,Table13[S-R])</f>
        <v>142</v>
      </c>
      <c r="M65" s="62">
        <f>SUBTOTAL(109,Table13[S-ER])</f>
        <v>122</v>
      </c>
      <c r="N65" s="62">
        <f>SUBTOTAL(109,Table13[S-BB])</f>
        <v>67</v>
      </c>
      <c r="O65" s="62">
        <f>SUBTOTAL(109,Table13[S-SO])</f>
        <v>208</v>
      </c>
      <c r="P65" s="62">
        <f>SUBTOTAL(109,Table13[S-HR])</f>
        <v>21</v>
      </c>
      <c r="Q65" s="62">
        <f>SUBTOTAL(109,Table13[S-HBP])</f>
        <v>10</v>
      </c>
      <c r="R65" s="62">
        <f>SUBTOTAL(109,Table13[S-BF])</f>
        <v>1142</v>
      </c>
      <c r="S65" s="62"/>
      <c r="T65" s="62"/>
      <c r="U65" s="62">
        <f>SUBTOTAL(109,Table13[IRL])</f>
        <v>31</v>
      </c>
      <c r="V65" s="62">
        <f>SUBTOTAL(109,Table13[IRS])</f>
        <v>15</v>
      </c>
      <c r="W65" s="62">
        <f>SUBTOTAL(109,Table13[B-W])</f>
        <v>18</v>
      </c>
      <c r="X65" s="62">
        <f>SUBTOTAL(109,Table13[B-L])</f>
        <v>15</v>
      </c>
      <c r="Y65" s="62">
        <f>SUBTOTAL(109,Table13[Hld])</f>
        <v>11</v>
      </c>
      <c r="Z65" s="62">
        <f>SUBTOTAL(109,Table13[Sv])</f>
        <v>16</v>
      </c>
      <c r="AA65" s="62">
        <f>SUBTOTAL(109,Table13[BS])</f>
        <v>6</v>
      </c>
      <c r="AB65" s="63">
        <f>SUBTOTAL(109,Table13[B-IP])</f>
        <v>264.66666666666663</v>
      </c>
      <c r="AC65" s="62">
        <f>SUBTOTAL(109,Table13[B-H])</f>
        <v>250</v>
      </c>
      <c r="AD65" s="62">
        <f>SUBTOTAL(109,Table13[B-R])</f>
        <v>131</v>
      </c>
      <c r="AE65" s="62">
        <f>SUBTOTAL(109,Table13[B-ER])</f>
        <v>108</v>
      </c>
      <c r="AF65" s="62">
        <f>SUBTOTAL(109,Table13[B-BB])</f>
        <v>105</v>
      </c>
      <c r="AG65" s="62">
        <f>SUBTOTAL(109,Table13[B-SO])</f>
        <v>266</v>
      </c>
      <c r="AH65" s="62">
        <f>SUBTOTAL(109,Table13[B-HR])</f>
        <v>11</v>
      </c>
      <c r="AI65" s="62">
        <f>SUBTOTAL(109,Table13[B-HBP])</f>
        <v>7</v>
      </c>
      <c r="AJ65" s="62">
        <f>SUBTOTAL(109,Table13[B-BF])</f>
        <v>1140</v>
      </c>
      <c r="AK65" s="62"/>
      <c r="AL65" s="62"/>
      <c r="AM65" s="404" t="str">
        <f>INDEX(Table13[Starter1],MODE(MATCH(Table13[Starter1],Table13[Starter1],0)))</f>
        <v>Price, R</v>
      </c>
      <c r="AN65" s="54">
        <f>SUBTOTAL(109,Table13[AB1])</f>
        <v>230</v>
      </c>
      <c r="AO65" s="54">
        <f>SUBTOTAL(109,Table13[R1])</f>
        <v>40</v>
      </c>
      <c r="AP65" s="54">
        <f>SUBTOTAL(109,Table13[H1])</f>
        <v>61</v>
      </c>
      <c r="AQ65" s="54">
        <f>SUBTOTAL(109,Table13[RBI1])</f>
        <v>28</v>
      </c>
      <c r="AR65" s="54">
        <f>SUBTOTAL(109,Table13[BB1])</f>
        <v>38</v>
      </c>
      <c r="AS65" s="54">
        <f>SUBTOTAL(109,Table13[SO1])</f>
        <v>42</v>
      </c>
      <c r="AT65" s="54">
        <f>SUBTOTAL(109,Table13[HBP1])</f>
        <v>14</v>
      </c>
      <c r="AU65" s="54">
        <f>SUBTOTAL(109,Table13[SF1])</f>
        <v>4</v>
      </c>
      <c r="AV65" s="54">
        <f>SUBTOTAL(109,Table13[TB1])</f>
        <v>85</v>
      </c>
      <c r="AW65" s="404" t="str">
        <f>INDEX(Table13[Starter2],MODE(MATCH(Table13[Starter2],Table13[Starter2],0)))</f>
        <v>Dietrich, D</v>
      </c>
      <c r="AX65" s="54">
        <f>SUBTOTAL(109,Table13[AB2])</f>
        <v>251</v>
      </c>
      <c r="AY65" s="54">
        <f>SUBTOTAL(109,Table13[R2])</f>
        <v>43</v>
      </c>
      <c r="AZ65" s="54">
        <f>SUBTOTAL(109,Table13[H2])</f>
        <v>72</v>
      </c>
      <c r="BA65" s="54">
        <f>SUBTOTAL(109,Table13[RBI2])</f>
        <v>36</v>
      </c>
      <c r="BB65" s="54">
        <f>SUBTOTAL(109,Table13[BB2])</f>
        <v>16</v>
      </c>
      <c r="BC65" s="54">
        <f>SUBTOTAL(109,Table13[SO2])</f>
        <v>42</v>
      </c>
      <c r="BD65" s="54">
        <f>SUBTOTAL(109,Table13[HBP2])</f>
        <v>6</v>
      </c>
      <c r="BE65" s="54">
        <f>SUBTOTAL(109,Table13[SF2])</f>
        <v>4</v>
      </c>
      <c r="BF65" s="54">
        <f>SUBTOTAL(109,Table13[TB2])</f>
        <v>104</v>
      </c>
      <c r="BG65" s="404" t="str">
        <f>INDEX(Table13[Starter3],MODE(MATCH(Table13[Starter3],Table13[Starter3],0)))</f>
        <v>Tinoco, S</v>
      </c>
      <c r="BH65" s="54">
        <f>SUBTOTAL(109,Table13[AB3])</f>
        <v>243</v>
      </c>
      <c r="BI65" s="54">
        <f>SUBTOTAL(109,Table13[R3])</f>
        <v>37</v>
      </c>
      <c r="BJ65" s="54">
        <f>SUBTOTAL(109,Table13[H3])</f>
        <v>77</v>
      </c>
      <c r="BK65" s="54">
        <f>SUBTOTAL(109,Table13[RBI3])</f>
        <v>35</v>
      </c>
      <c r="BL65" s="54">
        <f>SUBTOTAL(109,Table13[BB3])</f>
        <v>21</v>
      </c>
      <c r="BM65" s="54">
        <f>SUBTOTAL(109,Table13[SO3])</f>
        <v>47</v>
      </c>
      <c r="BN65" s="54">
        <f>SUBTOTAL(109,Table13[HBP3])</f>
        <v>9</v>
      </c>
      <c r="BO65" s="54">
        <f>SUBTOTAL(109,Table13[SF3])</f>
        <v>2</v>
      </c>
      <c r="BP65" s="54">
        <f>SUBTOTAL(109,Table13[TB3])</f>
        <v>108</v>
      </c>
      <c r="BQ65" s="404" t="str">
        <f>INDEX(Table13[Starter4],MODE(MATCH(Table13[Starter4],Table13[Starter4],0)))</f>
        <v>Schwaner, N</v>
      </c>
      <c r="BR65" s="54">
        <f>SUBTOTAL(109,Table13[AB4])</f>
        <v>244</v>
      </c>
      <c r="BS65" s="54">
        <f>SUBTOTAL(109,Table13[R4])</f>
        <v>38</v>
      </c>
      <c r="BT65" s="54">
        <f>SUBTOTAL(109,Table13[H4])</f>
        <v>67</v>
      </c>
      <c r="BU65" s="54">
        <f>SUBTOTAL(109,Table13[RBI4])</f>
        <v>39</v>
      </c>
      <c r="BV65" s="54">
        <f>SUBTOTAL(109,Table13[BB4])</f>
        <v>21</v>
      </c>
      <c r="BW65" s="54">
        <f>SUBTOTAL(109,Table13[SO4])</f>
        <v>46</v>
      </c>
      <c r="BX65" s="54">
        <f>SUBTOTAL(109,Table13[HBP4])</f>
        <v>3</v>
      </c>
      <c r="BY65" s="54">
        <f>SUBTOTAL(109,Table13[SF4])</f>
        <v>4</v>
      </c>
      <c r="BZ65" s="54">
        <f>SUBTOTAL(109,Table13[TB4])</f>
        <v>95</v>
      </c>
      <c r="CA65" s="404" t="str">
        <f>INDEX(Table13[Starter5],MODE(MATCH(Table13[Starter5],Table13[Starter5],0)))</f>
        <v>Wunderlich, P</v>
      </c>
      <c r="CB65" s="54">
        <f>SUBTOTAL(109,Table13[AB5])</f>
        <v>239</v>
      </c>
      <c r="CC65" s="54">
        <f>SUBTOTAL(109,Table13[R5])</f>
        <v>26</v>
      </c>
      <c r="CD65" s="54">
        <f>SUBTOTAL(109,Table13[H5])</f>
        <v>61</v>
      </c>
      <c r="CE65" s="54">
        <f>SUBTOTAL(109,Table13[RBI5])</f>
        <v>34</v>
      </c>
      <c r="CF65" s="54">
        <f>SUBTOTAL(109,Table13[BB5])</f>
        <v>19</v>
      </c>
      <c r="CG65" s="54">
        <f>SUBTOTAL(109,Table13[SO5])</f>
        <v>56</v>
      </c>
      <c r="CH65" s="54">
        <f>SUBTOTAL(109,Table13[HBP5])</f>
        <v>3</v>
      </c>
      <c r="CI65" s="54">
        <f>SUBTOTAL(109,Table13[SF5])</f>
        <v>2</v>
      </c>
      <c r="CJ65" s="54">
        <f>SUBTOTAL(109,Table13[TB5])</f>
        <v>84</v>
      </c>
      <c r="CK65" s="404" t="str">
        <f>INDEX(Table13[Starter6],MODE(MATCH(Table13[Starter6],Table13[Starter6],0)))</f>
        <v>Reynolds, B</v>
      </c>
      <c r="CL65" s="54">
        <f>SUBTOTAL(109,Table13[AB6])</f>
        <v>233</v>
      </c>
      <c r="CM65" s="54">
        <f>SUBTOTAL(109,Table13[R6])</f>
        <v>24</v>
      </c>
      <c r="CN65" s="54">
        <f>SUBTOTAL(109,Table13[H6])</f>
        <v>55</v>
      </c>
      <c r="CO65" s="54">
        <f>SUBTOTAL(109,Table13[RBI6])</f>
        <v>32</v>
      </c>
      <c r="CP65" s="54">
        <f>SUBTOTAL(109,Table13[BB6])</f>
        <v>14</v>
      </c>
      <c r="CQ65" s="54">
        <f>SUBTOTAL(109,Table13[SO6])</f>
        <v>54</v>
      </c>
      <c r="CR65" s="54">
        <f>SUBTOTAL(109,Table13[HBP6])</f>
        <v>8</v>
      </c>
      <c r="CS65" s="54">
        <f>SUBTOTAL(109,Table13[SF6])</f>
        <v>0</v>
      </c>
      <c r="CT65" s="54">
        <f>SUBTOTAL(109,Table13[TB6])</f>
        <v>83</v>
      </c>
      <c r="CU65" s="404" t="str">
        <f>INDEX(Table13[Starter7],MODE(MATCH(Table13[Starter7],Table13[Starter7],0)))</f>
        <v>Reynolds, B</v>
      </c>
      <c r="CV65" s="54">
        <f>SUBTOTAL(109,Table13[AB7])</f>
        <v>225</v>
      </c>
      <c r="CW65" s="54">
        <f>SUBTOTAL(109,Table13[R7])</f>
        <v>28</v>
      </c>
      <c r="CX65" s="54">
        <f>SUBTOTAL(109,Table13[H7])</f>
        <v>53</v>
      </c>
      <c r="CY65" s="54">
        <f>SUBTOTAL(109,Table13[RBI7])</f>
        <v>24</v>
      </c>
      <c r="CZ65" s="54">
        <f>SUBTOTAL(109,Table13[BB7])</f>
        <v>21</v>
      </c>
      <c r="DA65" s="54">
        <f>SUBTOTAL(109,Table13[SO7])</f>
        <v>54</v>
      </c>
      <c r="DB65" s="54">
        <f>SUBTOTAL(109,Table13[HBP7])</f>
        <v>4</v>
      </c>
      <c r="DC65" s="54">
        <f>SUBTOTAL(109,Table13[SF7])</f>
        <v>0</v>
      </c>
      <c r="DD65" s="54">
        <f>SUBTOTAL(109,Table13[TB7])</f>
        <v>76</v>
      </c>
      <c r="DE65" s="404" t="str">
        <f>INDEX(Table13[Starter8],MODE(MATCH(Table13[Starter8],Table13[Starter8],0)))</f>
        <v>Bryles, B</v>
      </c>
      <c r="DF65" s="54">
        <f>SUBTOTAL(109,Table13[AB8])</f>
        <v>209</v>
      </c>
      <c r="DG65" s="54">
        <f>SUBTOTAL(109,Table13[R8])</f>
        <v>30</v>
      </c>
      <c r="DH65" s="54">
        <f>SUBTOTAL(109,Table13[H8])</f>
        <v>56</v>
      </c>
      <c r="DI65" s="54">
        <f>SUBTOTAL(109,Table13[RBI8])</f>
        <v>22</v>
      </c>
      <c r="DJ65" s="54">
        <f>SUBTOTAL(109,Table13[BB8])</f>
        <v>27</v>
      </c>
      <c r="DK65" s="54">
        <f>SUBTOTAL(109,Table13[SO8])</f>
        <v>55</v>
      </c>
      <c r="DL65" s="54">
        <f>SUBTOTAL(109,Table13[HBP8])</f>
        <v>2</v>
      </c>
      <c r="DM65" s="54">
        <f>SUBTOTAL(109,Table13[SF8])</f>
        <v>1</v>
      </c>
      <c r="DN65" s="54">
        <f>SUBTOTAL(109,Table13[TB8])</f>
        <v>80</v>
      </c>
      <c r="DO65" s="404" t="str">
        <f>INDEX(Table13[Starter9],MODE(MATCH(Table13[Starter9],Table13[Starter9],0)))</f>
        <v>Winder, C</v>
      </c>
      <c r="DP65" s="54">
        <f>SUBTOTAL(109,Table13[AB9])</f>
        <v>217</v>
      </c>
      <c r="DQ65" s="54">
        <f>SUBTOTAL(109,Table13[R9])</f>
        <v>27</v>
      </c>
      <c r="DR65" s="54">
        <f>SUBTOTAL(109,Table13[H9])</f>
        <v>40</v>
      </c>
      <c r="DS65" s="54">
        <f>SUBTOTAL(109,Table13[RBI9])</f>
        <v>10</v>
      </c>
      <c r="DT65" s="54">
        <f>SUBTOTAL(109,Table13[BB9])</f>
        <v>12</v>
      </c>
      <c r="DU65" s="54">
        <f>SUBTOTAL(109,Table13[SO9])</f>
        <v>75</v>
      </c>
      <c r="DV65" s="54">
        <f>SUBTOTAL(109,Table13[HBP9])</f>
        <v>6</v>
      </c>
      <c r="DW65" s="54">
        <f>SUBTOTAL(109,Table13[SF9])</f>
        <v>0</v>
      </c>
      <c r="DX65" s="54">
        <f>SUBTOTAL(109,Table13[TB9])</f>
        <v>49</v>
      </c>
      <c r="DY65" s="63">
        <f>SUBTOTAL(109,Table13[IVL])</f>
        <v>148.66666666666669</v>
      </c>
      <c r="DZ65" s="62">
        <f>SUBTOTAL(109,Table13[SVL])</f>
        <v>14</v>
      </c>
      <c r="EA65" s="62">
        <f>SUBTOTAL(109,Table13[CVL])</f>
        <v>5</v>
      </c>
      <c r="EB65" s="63">
        <f>SUBTOTAL(109,Table13[IVR])</f>
        <v>396.33333333333331</v>
      </c>
      <c r="EC65" s="62">
        <f>SUBTOTAL(109,Table13[SVR])</f>
        <v>69</v>
      </c>
      <c r="ED65" s="62">
        <f>SUBTOTAL(109,Table13[CVR])</f>
        <v>16</v>
      </c>
      <c r="EE65" s="62">
        <f>SUBTOTAL(109,Table13[RI1])</f>
        <v>35</v>
      </c>
      <c r="EF65" s="62">
        <f>SUBTOTAL(109,Table13[RI2])</f>
        <v>31</v>
      </c>
      <c r="EG65" s="62">
        <f>SUBTOTAL(109,Table13[RI3])</f>
        <v>22</v>
      </c>
      <c r="EH65" s="62">
        <f>SUBTOTAL(109,Table13[RI4])</f>
        <v>33</v>
      </c>
      <c r="EI65" s="62">
        <f>SUBTOTAL(109,Table13[RI5])</f>
        <v>30</v>
      </c>
      <c r="EJ65" s="62">
        <f>SUBTOTAL(109,Table13[RI6])</f>
        <v>50</v>
      </c>
      <c r="EK65" s="62">
        <f>SUBTOTAL(109,Table13[RI7])</f>
        <v>26</v>
      </c>
      <c r="EL65" s="62">
        <f>SUBTOTAL(109,Table13[RI8])</f>
        <v>28</v>
      </c>
      <c r="EM65" s="62">
        <f>SUBTOTAL(109,Table13[RI9])</f>
        <v>32</v>
      </c>
      <c r="EN65" s="62">
        <f>SUBTOTAL(109,Table13[RI10])</f>
        <v>2</v>
      </c>
      <c r="EO65" s="62">
        <f>SUBTOTAL(109,Table13[RI11])</f>
        <v>1</v>
      </c>
      <c r="EP65" s="62">
        <f>SUBTOTAL(109,Table13[RI12])</f>
        <v>2</v>
      </c>
      <c r="EQ65" s="62">
        <f>SUBTOTAL(109,Table13[RI13])</f>
        <v>1</v>
      </c>
      <c r="ER65" s="62">
        <f>SUBTOTAL(109,Table13[RT])</f>
        <v>293</v>
      </c>
      <c r="ES65" s="62">
        <f>SUBTOTAL(109,Table13[OI1])</f>
        <v>19</v>
      </c>
      <c r="ET65" s="62">
        <f>SUBTOTAL(109,Table13[OI2])</f>
        <v>21</v>
      </c>
      <c r="EU65" s="62">
        <f>SUBTOTAL(109,Table13[OI3])</f>
        <v>36</v>
      </c>
      <c r="EV65" s="62">
        <f>SUBTOTAL(109,Table13[OI4])</f>
        <v>42</v>
      </c>
      <c r="EW65" s="62">
        <f>SUBTOTAL(109,Table13[OI5])</f>
        <v>42</v>
      </c>
      <c r="EX65" s="62">
        <f>SUBTOTAL(109,Table13[OI6])</f>
        <v>38</v>
      </c>
      <c r="EY65" s="62">
        <f>SUBTOTAL(109,Table13[OI7])</f>
        <v>23</v>
      </c>
      <c r="EZ65" s="62">
        <f>SUBTOTAL(109,Table13[OI8])</f>
        <v>27</v>
      </c>
      <c r="FA65" s="62">
        <f>SUBTOTAL(109,Table13[OI9])</f>
        <v>22</v>
      </c>
      <c r="FB65" s="62">
        <f>SUBTOTAL(109,Table13[OI10])</f>
        <v>3</v>
      </c>
      <c r="FC65" s="62">
        <f>SUBTOTAL(109,Table13[OI11])</f>
        <v>0</v>
      </c>
      <c r="FD65" s="62">
        <f>SUBTOTAL(109,Table13[OI12])</f>
        <v>0</v>
      </c>
      <c r="FE65" s="62">
        <f>SUBTOTAL(109,Table13[OI13])</f>
        <v>0</v>
      </c>
      <c r="FF65" s="62">
        <f>SUBTOTAL(109,Table13[OT])</f>
        <v>273</v>
      </c>
      <c r="FG65" s="136"/>
      <c r="FH65" s="136"/>
    </row>
    <row r="66" spans="1:165" x14ac:dyDescent="0.25">
      <c r="A66" s="81" t="s">
        <v>227</v>
      </c>
      <c r="B66" s="53"/>
      <c r="C66" s="53"/>
      <c r="D66" s="53"/>
      <c r="E66" s="4">
        <f>MAX(Table13[Att])</f>
        <v>8263</v>
      </c>
      <c r="F66" s="54"/>
      <c r="G66" s="80"/>
      <c r="H66" s="80"/>
      <c r="I66" s="80"/>
      <c r="J66" s="5">
        <f>MAX(Table13[S-IP])</f>
        <v>8</v>
      </c>
      <c r="K66" s="6">
        <f>MAX(Table13[S-H])</f>
        <v>10</v>
      </c>
      <c r="L66" s="6">
        <f>MAX(Table13[S-R])</f>
        <v>8</v>
      </c>
      <c r="M66" s="6">
        <f>MAX(Table13[S-ER])</f>
        <v>8</v>
      </c>
      <c r="N66" s="6">
        <f>MAX(Table13[S-BB])</f>
        <v>5</v>
      </c>
      <c r="O66" s="6">
        <f>MAX(Table13[S-SO])</f>
        <v>10</v>
      </c>
      <c r="P66" s="6">
        <f>MAX(Table13[S-HR])</f>
        <v>2</v>
      </c>
      <c r="Q66" s="6">
        <f>MAX(Table13[S-HBP])</f>
        <v>1</v>
      </c>
      <c r="R66" s="6">
        <f>MAX(Table13[S-BF])</f>
        <v>27</v>
      </c>
      <c r="S66" s="6"/>
      <c r="T66" s="6"/>
      <c r="U66" s="6">
        <f>MAX(Table13[IRL])</f>
        <v>3</v>
      </c>
      <c r="V66" s="6">
        <f>MAX(Table13[IRS])</f>
        <v>2</v>
      </c>
      <c r="W66" s="80"/>
      <c r="X66" s="80"/>
      <c r="Y66" s="80"/>
      <c r="Z66" s="80"/>
      <c r="AA66" s="80"/>
      <c r="AB66" s="5">
        <f>MAX(Table13[B-IP])</f>
        <v>7.666666666666667</v>
      </c>
      <c r="AC66" s="6">
        <f>MAX(Table13[B-H])</f>
        <v>11</v>
      </c>
      <c r="AD66" s="6">
        <f>MAX(Table13[B-R])</f>
        <v>10</v>
      </c>
      <c r="AE66" s="6">
        <f>MAX(Table13[B-ER])</f>
        <v>8</v>
      </c>
      <c r="AF66" s="6">
        <f>MAX(Table13[B-BB])</f>
        <v>6</v>
      </c>
      <c r="AG66" s="6">
        <f>MAX(Table13[B-SO])</f>
        <v>8</v>
      </c>
      <c r="AH66" s="6">
        <f>MAX(Table13[B-HR])</f>
        <v>1</v>
      </c>
      <c r="AI66" s="6">
        <f>MAX(Table13[B-HBP])</f>
        <v>1</v>
      </c>
      <c r="AJ66" s="6">
        <f>MAX(Table13[B-BF])</f>
        <v>35</v>
      </c>
      <c r="AK66" s="6"/>
      <c r="AL66" s="6"/>
      <c r="AM66" s="80"/>
      <c r="AN66" s="6">
        <f>MAX(Table13[AB1])</f>
        <v>6</v>
      </c>
      <c r="AO66" s="6">
        <f>MAX(Table13[R1])</f>
        <v>3</v>
      </c>
      <c r="AP66" s="6">
        <f>MAX(Table13[H1])</f>
        <v>3</v>
      </c>
      <c r="AQ66" s="6">
        <f>MAX(Table13[RBI1])</f>
        <v>3</v>
      </c>
      <c r="AR66" s="6">
        <f>MAX(Table13[BB1])</f>
        <v>4</v>
      </c>
      <c r="AS66" s="6">
        <f>MAX(Table13[SO1])</f>
        <v>2</v>
      </c>
      <c r="AT66" s="6">
        <f>MAX(Table13[HBP1])</f>
        <v>2</v>
      </c>
      <c r="AU66" s="6">
        <f>MAX(Table13[SF1])</f>
        <v>1</v>
      </c>
      <c r="AV66" s="6">
        <f>MAX(Table13[TB1])</f>
        <v>5</v>
      </c>
      <c r="AW66" s="80"/>
      <c r="AX66" s="6">
        <f>MAX(Table13[AB2])</f>
        <v>6</v>
      </c>
      <c r="AY66" s="6">
        <f>MAX(Table13[R2])</f>
        <v>3</v>
      </c>
      <c r="AZ66" s="6">
        <f>MAX(Table13[H2])</f>
        <v>4</v>
      </c>
      <c r="BA66" s="6">
        <f>MAX(Table13[RBI2])</f>
        <v>4</v>
      </c>
      <c r="BB66" s="6">
        <f>MAX(Table13[BB2])</f>
        <v>2</v>
      </c>
      <c r="BC66" s="6">
        <f>MAX(Table13[SO2])</f>
        <v>3</v>
      </c>
      <c r="BD66" s="6">
        <f>MAX(Table13[HBP2])</f>
        <v>1</v>
      </c>
      <c r="BE66" s="6">
        <f>MAX(Table13[SF2])</f>
        <v>1</v>
      </c>
      <c r="BF66" s="6">
        <f>MAX(Table13[TB2])</f>
        <v>8</v>
      </c>
      <c r="BG66" s="80"/>
      <c r="BH66" s="6">
        <f>MAX(Table13[AB3])</f>
        <v>6</v>
      </c>
      <c r="BI66" s="6">
        <f>MAX(Table13[R3])</f>
        <v>3</v>
      </c>
      <c r="BJ66" s="6">
        <f>MAX(Table13[H3])</f>
        <v>3</v>
      </c>
      <c r="BK66" s="6">
        <f>MAX(Table13[RBI3])</f>
        <v>3</v>
      </c>
      <c r="BL66" s="6">
        <f>MAX(Table13[BB3])</f>
        <v>2</v>
      </c>
      <c r="BM66" s="6">
        <f>MAX(Table13[SO3])</f>
        <v>3</v>
      </c>
      <c r="BN66" s="6">
        <f>MAX(Table13[HBP3])</f>
        <v>1</v>
      </c>
      <c r="BO66" s="6">
        <f>MAX(Table13[SF3])</f>
        <v>1</v>
      </c>
      <c r="BP66" s="6">
        <f>MAX(Table13[TB3])</f>
        <v>7</v>
      </c>
      <c r="BQ66" s="80"/>
      <c r="BR66" s="6">
        <f>MAX(Table13[AB4])</f>
        <v>6</v>
      </c>
      <c r="BS66" s="6">
        <f>MAX(Table13[R4])</f>
        <v>2</v>
      </c>
      <c r="BT66" s="6">
        <f>MAX(Table13[H4])</f>
        <v>4</v>
      </c>
      <c r="BU66" s="6">
        <f>MAX(Table13[RBI4])</f>
        <v>5</v>
      </c>
      <c r="BV66" s="6">
        <f>MAX(Table13[BB4])</f>
        <v>2</v>
      </c>
      <c r="BW66" s="6">
        <f>MAX(Table13[SO4])</f>
        <v>4</v>
      </c>
      <c r="BX66" s="6">
        <f>MAX(Table13[HBP4])</f>
        <v>1</v>
      </c>
      <c r="BY66" s="6">
        <f>MAX(Table13[SF4])</f>
        <v>1</v>
      </c>
      <c r="BZ66" s="6">
        <f>MAX(Table13[TB4])</f>
        <v>6</v>
      </c>
      <c r="CA66" s="80"/>
      <c r="CB66" s="6">
        <f>MAX(Table13[AB5])</f>
        <v>6</v>
      </c>
      <c r="CC66" s="6">
        <f>MAX(Table13[R5])</f>
        <v>2</v>
      </c>
      <c r="CD66" s="6">
        <f>MAX(Table13[H5])</f>
        <v>4</v>
      </c>
      <c r="CE66" s="6">
        <f>MAX(Table13[RBI5])</f>
        <v>5</v>
      </c>
      <c r="CF66" s="6">
        <f>MAX(Table13[BB5])</f>
        <v>4</v>
      </c>
      <c r="CG66" s="6">
        <f>MAX(Table13[SO5])</f>
        <v>4</v>
      </c>
      <c r="CH66" s="6">
        <f>MAX(Table13[HBP5])</f>
        <v>1</v>
      </c>
      <c r="CI66" s="6">
        <f>MAX(Table13[SF5])</f>
        <v>1</v>
      </c>
      <c r="CJ66" s="6">
        <f>MAX(Table13[TB5])</f>
        <v>9</v>
      </c>
      <c r="CK66" s="80"/>
      <c r="CL66" s="6">
        <f>MAX(Table13[AB6])</f>
        <v>6</v>
      </c>
      <c r="CM66" s="6">
        <f>MAX(Table13[R6])</f>
        <v>2</v>
      </c>
      <c r="CN66" s="6">
        <f>MAX(Table13[H6])</f>
        <v>3</v>
      </c>
      <c r="CO66" s="6">
        <f>MAX(Table13[RBI6])</f>
        <v>2</v>
      </c>
      <c r="CP66" s="6">
        <f>MAX(Table13[BB6])</f>
        <v>2</v>
      </c>
      <c r="CQ66" s="6">
        <f>MAX(Table13[SO6])</f>
        <v>3</v>
      </c>
      <c r="CR66" s="6">
        <f>MAX(Table13[HBP6])</f>
        <v>2</v>
      </c>
      <c r="CS66" s="6">
        <f>MAX(Table13[SF6])</f>
        <v>0</v>
      </c>
      <c r="CT66" s="6">
        <f>MAX(Table13[TB6])</f>
        <v>5</v>
      </c>
      <c r="CU66" s="80"/>
      <c r="CV66" s="6">
        <f>MAX(Table13[AB7])</f>
        <v>6</v>
      </c>
      <c r="CW66" s="6">
        <f>MAX(Table13[R7])</f>
        <v>2</v>
      </c>
      <c r="CX66" s="6">
        <f>MAX(Table13[H7])</f>
        <v>4</v>
      </c>
      <c r="CY66" s="6">
        <f>MAX(Table13[RBI7])</f>
        <v>3</v>
      </c>
      <c r="CZ66" s="6">
        <f>MAX(Table13[BB7])</f>
        <v>2</v>
      </c>
      <c r="DA66" s="6">
        <f>MAX(Table13[SO7])</f>
        <v>3</v>
      </c>
      <c r="DB66" s="6">
        <f>MAX(Table13[HBP7])</f>
        <v>2</v>
      </c>
      <c r="DC66" s="6">
        <f>MAX(Table13[SF7])</f>
        <v>0</v>
      </c>
      <c r="DD66" s="6">
        <f>MAX(Table13[TB7])</f>
        <v>5</v>
      </c>
      <c r="DE66" s="80"/>
      <c r="DF66" s="6">
        <f>MAX(Table13[AB8])</f>
        <v>6</v>
      </c>
      <c r="DG66" s="6">
        <f>MAX(Table13[R8])</f>
        <v>3</v>
      </c>
      <c r="DH66" s="6">
        <f>MAX(Table13[H8])</f>
        <v>3</v>
      </c>
      <c r="DI66" s="6">
        <f>MAX(Table13[RBI8])</f>
        <v>3</v>
      </c>
      <c r="DJ66" s="6">
        <f>MAX(Table13[BB8])</f>
        <v>2</v>
      </c>
      <c r="DK66" s="6">
        <f>MAX(Table13[SO8])</f>
        <v>3</v>
      </c>
      <c r="DL66" s="6">
        <f>MAX(Table13[HBP8])</f>
        <v>1</v>
      </c>
      <c r="DM66" s="6">
        <f>MAX(Table13[SF8])</f>
        <v>1</v>
      </c>
      <c r="DN66" s="6">
        <f>MAX(Table13[TB8])</f>
        <v>6</v>
      </c>
      <c r="DO66" s="80"/>
      <c r="DP66" s="6">
        <f>MAX(Table13[AB9])</f>
        <v>5</v>
      </c>
      <c r="DQ66" s="6">
        <f>MAX(Table13[R9])</f>
        <v>2</v>
      </c>
      <c r="DR66" s="6">
        <f>MAX(Table13[H9])</f>
        <v>2</v>
      </c>
      <c r="DS66" s="6">
        <f>MAX(Table13[RBI9])</f>
        <v>2</v>
      </c>
      <c r="DT66" s="6">
        <f>MAX(Table13[BB9])</f>
        <v>1</v>
      </c>
      <c r="DU66" s="6">
        <f>MAX(Table13[SO9])</f>
        <v>3</v>
      </c>
      <c r="DV66" s="6">
        <f>MAX(Table13[HBP9])</f>
        <v>1</v>
      </c>
      <c r="DW66" s="6">
        <f>MAX(Table13[SF9])</f>
        <v>0</v>
      </c>
      <c r="DX66" s="6">
        <f>MAX(Table13[TB9])</f>
        <v>4</v>
      </c>
      <c r="DY66" s="5">
        <f>MAX(Table13[IVL])</f>
        <v>8.6666666666666661</v>
      </c>
      <c r="DZ66" s="6">
        <f>MAX(Table13[SVL])</f>
        <v>2</v>
      </c>
      <c r="EA66" s="6">
        <f>MAX(Table13[CVL])</f>
        <v>1</v>
      </c>
      <c r="EB66" s="5">
        <f>MAX(Table13[IVR])</f>
        <v>10.666666666666666</v>
      </c>
      <c r="EC66" s="6">
        <f>MAX(Table13[SVR])</f>
        <v>9</v>
      </c>
      <c r="ED66" s="6">
        <f>MAX(Table13[CVR])</f>
        <v>2</v>
      </c>
      <c r="EE66" s="6">
        <f>MAX(Table13[RI1])</f>
        <v>6</v>
      </c>
      <c r="EF66" s="6">
        <f>MAX(Table13[RI2])</f>
        <v>8</v>
      </c>
      <c r="EG66" s="6">
        <f>MAX(Table13[RI3])</f>
        <v>3</v>
      </c>
      <c r="EH66" s="6">
        <f>MAX(Table13[RI4])</f>
        <v>9</v>
      </c>
      <c r="EI66" s="6">
        <f>MAX(Table13[RI5])</f>
        <v>4</v>
      </c>
      <c r="EJ66" s="6">
        <f>MAX(Table13[RI6])</f>
        <v>6</v>
      </c>
      <c r="EK66" s="6">
        <f>MAX(Table13[RI7])</f>
        <v>4</v>
      </c>
      <c r="EL66" s="6">
        <f>MAX(Table13[RI8])</f>
        <v>4</v>
      </c>
      <c r="EM66" s="6">
        <f>MAX(Table13[RI9])</f>
        <v>5</v>
      </c>
      <c r="EN66" s="6">
        <f>MAX(Table13[RI10])</f>
        <v>1</v>
      </c>
      <c r="EO66" s="6">
        <f>MAX(Table13[RI11])</f>
        <v>1</v>
      </c>
      <c r="EP66" s="6">
        <f>MAX(Table13[RI12])</f>
        <v>2</v>
      </c>
      <c r="EQ66" s="6"/>
      <c r="ER66" s="6">
        <f>MAX(Table13[RT])</f>
        <v>14</v>
      </c>
      <c r="ES66" s="6">
        <f>MAX(Table13[OI1])</f>
        <v>3</v>
      </c>
      <c r="ET66" s="6">
        <f>MAX(Table13[OI2])</f>
        <v>3</v>
      </c>
      <c r="EU66" s="6">
        <f>MAX(Table13[OI3])</f>
        <v>4</v>
      </c>
      <c r="EV66" s="6">
        <f>MAX(Table13[OI4])</f>
        <v>5</v>
      </c>
      <c r="EW66" s="6">
        <f>MAX(Table13[OI5])</f>
        <v>7</v>
      </c>
      <c r="EX66" s="6">
        <f>MAX(Table13[OI6])</f>
        <v>4</v>
      </c>
      <c r="EY66" s="6">
        <f>MAX(Table13[OI7])</f>
        <v>6</v>
      </c>
      <c r="EZ66" s="6">
        <f>MAX(Table13[OI8])</f>
        <v>5</v>
      </c>
      <c r="FA66" s="6">
        <f>MAX(Table13[OI9])</f>
        <v>4</v>
      </c>
      <c r="FB66" s="6">
        <f>MAX(Table13[OI10])</f>
        <v>1</v>
      </c>
      <c r="FC66" s="6">
        <f>MAX(Table13[OI11])</f>
        <v>0</v>
      </c>
      <c r="FD66" s="6">
        <f>MAX(Table13[OI12])</f>
        <v>0</v>
      </c>
      <c r="FE66" s="6"/>
      <c r="FF66" s="6">
        <f>MAX(Table13[OT])</f>
        <v>16</v>
      </c>
      <c r="FI66" s="55" t="s">
        <v>227</v>
      </c>
    </row>
    <row r="67" spans="1:165" x14ac:dyDescent="0.25">
      <c r="A67" s="81" t="s">
        <v>228</v>
      </c>
      <c r="B67" s="53"/>
      <c r="C67" s="53"/>
      <c r="D67" s="53"/>
      <c r="E67" s="4">
        <f>QUARTILE(Table13[Att],3)</f>
        <v>5285.75</v>
      </c>
      <c r="F67" s="54"/>
      <c r="G67" s="80"/>
      <c r="H67" s="80"/>
      <c r="I67" s="80"/>
      <c r="J67" s="5">
        <f>QUARTILE(Table13[S-IP],3)</f>
        <v>5</v>
      </c>
      <c r="K67" s="6">
        <f>QUARTILE(Table13[S-H],3)</f>
        <v>6</v>
      </c>
      <c r="L67" s="6">
        <f>QUARTILE(Table13[S-R],3)</f>
        <v>3</v>
      </c>
      <c r="M67" s="6">
        <f>QUARTILE(Table13[S-ER],3)</f>
        <v>3</v>
      </c>
      <c r="N67" s="6">
        <f>QUARTILE(Table13[S-BB],3)</f>
        <v>2</v>
      </c>
      <c r="O67" s="6">
        <f>QUARTILE(Table13[S-SO],3)</f>
        <v>4</v>
      </c>
      <c r="P67" s="6">
        <f>QUARTILE(Table13[S-HR],3)</f>
        <v>1</v>
      </c>
      <c r="Q67" s="6">
        <f>QUARTILE(Table13[S-HBP],3)</f>
        <v>0</v>
      </c>
      <c r="R67" s="6">
        <f>QUARTILE(Table13[S-BF],3)</f>
        <v>21</v>
      </c>
      <c r="S67" s="6"/>
      <c r="T67" s="6"/>
      <c r="U67" s="6">
        <f>QUARTILE(Table13[IRL],3)</f>
        <v>1</v>
      </c>
      <c r="V67" s="6">
        <f>QUARTILE(Table13[IRS],3)</f>
        <v>0</v>
      </c>
      <c r="W67" s="80"/>
      <c r="X67" s="80"/>
      <c r="Y67" s="80"/>
      <c r="Z67" s="80"/>
      <c r="AA67" s="80"/>
      <c r="AB67" s="5">
        <f>QUARTILE(Table13[B-IP],3)</f>
        <v>5</v>
      </c>
      <c r="AC67" s="6">
        <f>QUARTILE(Table13[B-H],3)</f>
        <v>6</v>
      </c>
      <c r="AD67" s="6">
        <f>QUARTILE(Table13[B-R],3)</f>
        <v>4</v>
      </c>
      <c r="AE67" s="6">
        <f>QUARTILE(Table13[B-ER],3)</f>
        <v>3</v>
      </c>
      <c r="AF67" s="6">
        <f>QUARTILE(Table13[B-BB],3)</f>
        <v>3</v>
      </c>
      <c r="AG67" s="6">
        <f>QUARTILE(Table13[B-SO],3)</f>
        <v>6</v>
      </c>
      <c r="AH67" s="6">
        <f>QUARTILE(Table13[B-HR],3)</f>
        <v>0</v>
      </c>
      <c r="AI67" s="6">
        <f>QUARTILE(Table13[B-HBP],3)</f>
        <v>0</v>
      </c>
      <c r="AJ67" s="6">
        <f>QUARTILE(Table13[B-BF],3)</f>
        <v>22</v>
      </c>
      <c r="AK67" s="6"/>
      <c r="AL67" s="6"/>
      <c r="AM67" s="80"/>
      <c r="AN67" s="6">
        <f>QUARTILE(Table13[AB1],3)</f>
        <v>4</v>
      </c>
      <c r="AO67" s="6">
        <f>QUARTILE(Table13[R1],3)</f>
        <v>1</v>
      </c>
      <c r="AP67" s="6">
        <f>QUARTILE(Table13[H1],3)</f>
        <v>2</v>
      </c>
      <c r="AQ67" s="6">
        <f>QUARTILE(Table13[RBI1],3)</f>
        <v>1</v>
      </c>
      <c r="AR67" s="6">
        <f>QUARTILE(Table13[BB1],3)</f>
        <v>1</v>
      </c>
      <c r="AS67" s="6">
        <f>QUARTILE(Table13[SO1],3)</f>
        <v>1</v>
      </c>
      <c r="AT67" s="6">
        <f>QUARTILE(Table13[HBP1],3)</f>
        <v>0</v>
      </c>
      <c r="AU67" s="6">
        <f>QUARTILE(Table13[SF1],3)</f>
        <v>0</v>
      </c>
      <c r="AV67" s="6">
        <f>QUARTILE(Table13[TB1],3)</f>
        <v>2</v>
      </c>
      <c r="AW67" s="80"/>
      <c r="AX67" s="6">
        <f>QUARTILE(Table13[AB2],3)</f>
        <v>5</v>
      </c>
      <c r="AY67" s="6">
        <f>QUARTILE(Table13[R2],3)</f>
        <v>1</v>
      </c>
      <c r="AZ67" s="6">
        <f>QUARTILE(Table13[H2],3)</f>
        <v>2</v>
      </c>
      <c r="BA67" s="6">
        <f>QUARTILE(Table13[RBI2],3)</f>
        <v>1</v>
      </c>
      <c r="BB67" s="6">
        <f>QUARTILE(Table13[BB2],3)</f>
        <v>0</v>
      </c>
      <c r="BC67" s="6">
        <f>QUARTILE(Table13[SO2],3)</f>
        <v>1</v>
      </c>
      <c r="BD67" s="6">
        <f>QUARTILE(Table13[HBP2],3)</f>
        <v>0</v>
      </c>
      <c r="BE67" s="6">
        <f>QUARTILE(Table13[SF2],3)</f>
        <v>0</v>
      </c>
      <c r="BF67" s="6">
        <f>QUARTILE(Table13[TB2],3)</f>
        <v>2</v>
      </c>
      <c r="BG67" s="80"/>
      <c r="BH67" s="6">
        <f>QUARTILE(Table13[AB3],3)</f>
        <v>4</v>
      </c>
      <c r="BI67" s="6">
        <f>QUARTILE(Table13[R3],3)</f>
        <v>1</v>
      </c>
      <c r="BJ67" s="6">
        <f>QUARTILE(Table13[H3],3)</f>
        <v>2</v>
      </c>
      <c r="BK67" s="6">
        <f>QUARTILE(Table13[RBI3],3)</f>
        <v>1</v>
      </c>
      <c r="BL67" s="6">
        <f>QUARTILE(Table13[BB3],3)</f>
        <v>1</v>
      </c>
      <c r="BM67" s="6">
        <f>QUARTILE(Table13[SO3],3)</f>
        <v>1</v>
      </c>
      <c r="BN67" s="6">
        <f>QUARTILE(Table13[HBP3],3)</f>
        <v>0</v>
      </c>
      <c r="BO67" s="6">
        <f>QUARTILE(Table13[SF3],3)</f>
        <v>0</v>
      </c>
      <c r="BP67" s="6">
        <f>QUARTILE(Table13[TB3],3)</f>
        <v>2</v>
      </c>
      <c r="BQ67" s="80"/>
      <c r="BR67" s="6">
        <f>QUARTILE(Table13[AB4],3)</f>
        <v>4</v>
      </c>
      <c r="BS67" s="6">
        <f>QUARTILE(Table13[R4],3)</f>
        <v>1</v>
      </c>
      <c r="BT67" s="6">
        <f>QUARTILE(Table13[H4],3)</f>
        <v>2</v>
      </c>
      <c r="BU67" s="6">
        <f>QUARTILE(Table13[RBI4],3)</f>
        <v>1</v>
      </c>
      <c r="BV67" s="6">
        <f>QUARTILE(Table13[BB4],3)</f>
        <v>1</v>
      </c>
      <c r="BW67" s="6">
        <f>QUARTILE(Table13[SO4],3)</f>
        <v>1</v>
      </c>
      <c r="BX67" s="6">
        <f>QUARTILE(Table13[HBP4],3)</f>
        <v>0</v>
      </c>
      <c r="BY67" s="6">
        <f>QUARTILE(Table13[SF4],3)</f>
        <v>0</v>
      </c>
      <c r="BZ67" s="6">
        <f>QUARTILE(Table13[TB4],3)</f>
        <v>2</v>
      </c>
      <c r="CA67" s="80"/>
      <c r="CB67" s="6">
        <f>QUARTILE(Table13[AB5],3)</f>
        <v>4</v>
      </c>
      <c r="CC67" s="6">
        <f>QUARTILE(Table13[R5],3)</f>
        <v>1</v>
      </c>
      <c r="CD67" s="6">
        <f>QUARTILE(Table13[H5],3)</f>
        <v>2</v>
      </c>
      <c r="CE67" s="6">
        <f>QUARTILE(Table13[RBI5],3)</f>
        <v>1</v>
      </c>
      <c r="CF67" s="6">
        <f>QUARTILE(Table13[BB5],3)</f>
        <v>0</v>
      </c>
      <c r="CG67" s="6">
        <f>QUARTILE(Table13[SO5],3)</f>
        <v>1</v>
      </c>
      <c r="CH67" s="6">
        <f>QUARTILE(Table13[HBP5],3)</f>
        <v>0</v>
      </c>
      <c r="CI67" s="6">
        <f>QUARTILE(Table13[SF5],3)</f>
        <v>0</v>
      </c>
      <c r="CJ67" s="6">
        <f>QUARTILE(Table13[TB5],3)</f>
        <v>2</v>
      </c>
      <c r="CK67" s="80"/>
      <c r="CL67" s="6">
        <f>QUARTILE(Table13[AB6],3)</f>
        <v>4</v>
      </c>
      <c r="CM67" s="6">
        <f>QUARTILE(Table13[R6],3)</f>
        <v>1</v>
      </c>
      <c r="CN67" s="6">
        <f>QUARTILE(Table13[H6],3)</f>
        <v>1</v>
      </c>
      <c r="CO67" s="6">
        <f>QUARTILE(Table13[RBI6],3)</f>
        <v>1</v>
      </c>
      <c r="CP67" s="6">
        <f>QUARTILE(Table13[BB6],3)</f>
        <v>0</v>
      </c>
      <c r="CQ67" s="6">
        <f>QUARTILE(Table13[SO6],3)</f>
        <v>1</v>
      </c>
      <c r="CR67" s="6">
        <f>QUARTILE(Table13[HBP6],3)</f>
        <v>0</v>
      </c>
      <c r="CS67" s="6">
        <f>QUARTILE(Table13[SF6],3)</f>
        <v>0</v>
      </c>
      <c r="CT67" s="6">
        <f>QUARTILE(Table13[TB6],3)</f>
        <v>2</v>
      </c>
      <c r="CU67" s="80"/>
      <c r="CV67" s="6">
        <f>QUARTILE(Table13[AB7],3)</f>
        <v>4</v>
      </c>
      <c r="CW67" s="6">
        <f>QUARTILE(Table13[R7],3)</f>
        <v>1</v>
      </c>
      <c r="CX67" s="6">
        <f>QUARTILE(Table13[H7],3)</f>
        <v>1</v>
      </c>
      <c r="CY67" s="6">
        <f>QUARTILE(Table13[RBI7],3)</f>
        <v>1</v>
      </c>
      <c r="CZ67" s="6">
        <f>QUARTILE(Table13[BB7],3)</f>
        <v>1</v>
      </c>
      <c r="DA67" s="6">
        <f>QUARTILE(Table13[SO7],3)</f>
        <v>1</v>
      </c>
      <c r="DB67" s="6">
        <f>QUARTILE(Table13[HBP7],3)</f>
        <v>0</v>
      </c>
      <c r="DC67" s="6">
        <f>QUARTILE(Table13[SF7],3)</f>
        <v>0</v>
      </c>
      <c r="DD67" s="6">
        <f>QUARTILE(Table13[TB7],3)</f>
        <v>2</v>
      </c>
      <c r="DE67" s="80"/>
      <c r="DF67" s="6">
        <f>QUARTILE(Table13[AB8],3)</f>
        <v>4</v>
      </c>
      <c r="DG67" s="6">
        <f>QUARTILE(Table13[R8],3)</f>
        <v>1</v>
      </c>
      <c r="DH67" s="6">
        <f>QUARTILE(Table13[H8],3)</f>
        <v>1</v>
      </c>
      <c r="DI67" s="6">
        <f>QUARTILE(Table13[RBI8],3)</f>
        <v>1</v>
      </c>
      <c r="DJ67" s="6">
        <f>QUARTILE(Table13[BB8],3)</f>
        <v>1</v>
      </c>
      <c r="DK67" s="6">
        <f>QUARTILE(Table13[SO8],3)</f>
        <v>1</v>
      </c>
      <c r="DL67" s="6">
        <f>QUARTILE(Table13[HBP8],3)</f>
        <v>0</v>
      </c>
      <c r="DM67" s="6">
        <f>QUARTILE(Table13[SF8],3)</f>
        <v>0</v>
      </c>
      <c r="DN67" s="6">
        <f>QUARTILE(Table13[TB8],3)</f>
        <v>2</v>
      </c>
      <c r="DO67" s="80"/>
      <c r="DP67" s="6">
        <f>QUARTILE(Table13[AB9],3)</f>
        <v>4</v>
      </c>
      <c r="DQ67" s="6">
        <f>QUARTILE(Table13[R9],3)</f>
        <v>1</v>
      </c>
      <c r="DR67" s="6">
        <f>QUARTILE(Table13[H9],3)</f>
        <v>1</v>
      </c>
      <c r="DS67" s="6">
        <f>QUARTILE(Table13[RBI9],3)</f>
        <v>0</v>
      </c>
      <c r="DT67" s="6">
        <f>QUARTILE(Table13[BB9],3)</f>
        <v>0</v>
      </c>
      <c r="DU67" s="6">
        <f>QUARTILE(Table13[SO9],3)</f>
        <v>2</v>
      </c>
      <c r="DV67" s="6">
        <f>QUARTILE(Table13[HBP9],3)</f>
        <v>0</v>
      </c>
      <c r="DW67" s="6">
        <f>QUARTILE(Table13[SF9],3)</f>
        <v>0</v>
      </c>
      <c r="DX67" s="6">
        <f>QUARTILE(Table13[TB9],3)</f>
        <v>1</v>
      </c>
      <c r="DY67" s="5">
        <f>QUARTILE(Table13[IVL],3)</f>
        <v>4.333333333333333</v>
      </c>
      <c r="DZ67" s="6">
        <f>QUARTILE(Table13[SVL],3)</f>
        <v>0</v>
      </c>
      <c r="EA67" s="6">
        <f>QUARTILE(Table13[CVL],3)</f>
        <v>0</v>
      </c>
      <c r="EB67" s="5">
        <f>QUARTILE(Table13[IVR],3)</f>
        <v>9</v>
      </c>
      <c r="EC67" s="6">
        <f>QUARTILE(Table13[SVR],3)</f>
        <v>2</v>
      </c>
      <c r="ED67" s="6">
        <f>QUARTILE(Table13[CVR],3)</f>
        <v>0</v>
      </c>
      <c r="EE67" s="6">
        <f>QUARTILE(Table13[RI1],3)</f>
        <v>1</v>
      </c>
      <c r="EF67" s="6">
        <f>QUARTILE(Table13[RI2],3)</f>
        <v>0</v>
      </c>
      <c r="EG67" s="6">
        <f>QUARTILE(Table13[RI3],3)</f>
        <v>0</v>
      </c>
      <c r="EH67" s="6">
        <f>QUARTILE(Table13[RI4],3)</f>
        <v>0</v>
      </c>
      <c r="EI67" s="6">
        <f>QUARTILE(Table13[RI5],3)</f>
        <v>1</v>
      </c>
      <c r="EJ67" s="6">
        <f>QUARTILE(Table13[RI6],3)</f>
        <v>1</v>
      </c>
      <c r="EK67" s="6">
        <f>QUARTILE(Table13[RI7],3)</f>
        <v>0</v>
      </c>
      <c r="EL67" s="6">
        <f>QUARTILE(Table13[RI8],3)</f>
        <v>0</v>
      </c>
      <c r="EM67" s="6">
        <f>QUARTILE(Table13[RI9],3)</f>
        <v>1</v>
      </c>
      <c r="EN67" s="6">
        <f>QUARTILE(Table13[RI10],3)</f>
        <v>0.75</v>
      </c>
      <c r="EO67" s="6">
        <f>QUARTILE(Table13[RI11],3)</f>
        <v>0.5</v>
      </c>
      <c r="EP67" s="6">
        <f>QUARTILE(Table13[RI12],3)</f>
        <v>1.5</v>
      </c>
      <c r="EQ67" s="6"/>
      <c r="ER67" s="6">
        <f>QUARTILE(Table13[RT],3)</f>
        <v>7</v>
      </c>
      <c r="ES67" s="6">
        <f>QUARTILE(Table13[OI1],3)</f>
        <v>0</v>
      </c>
      <c r="ET67" s="6">
        <f>QUARTILE(Table13[OI2],3)</f>
        <v>0</v>
      </c>
      <c r="EU67" s="6">
        <f>QUARTILE(Table13[OI3],3)</f>
        <v>1</v>
      </c>
      <c r="EV67" s="6">
        <f>QUARTILE(Table13[OI4],3)</f>
        <v>1</v>
      </c>
      <c r="EW67" s="6">
        <f>QUARTILE(Table13[OI5],3)</f>
        <v>1</v>
      </c>
      <c r="EX67" s="6">
        <f>QUARTILE(Table13[OI6],3)</f>
        <v>1</v>
      </c>
      <c r="EY67" s="6">
        <f>QUARTILE(Table13[OI7],3)</f>
        <v>0</v>
      </c>
      <c r="EZ67" s="6">
        <f>QUARTILE(Table13[OI8],3)</f>
        <v>1</v>
      </c>
      <c r="FA67" s="6">
        <f>QUARTILE(Table13[OI9],3)</f>
        <v>1</v>
      </c>
      <c r="FB67" s="6">
        <f>QUARTILE(Table13[OI10],3)</f>
        <v>1</v>
      </c>
      <c r="FC67" s="6">
        <f>QUARTILE(Table13[OI11],3)</f>
        <v>0</v>
      </c>
      <c r="FD67" s="6">
        <f>QUARTILE(Table13[OI12],3)</f>
        <v>0</v>
      </c>
      <c r="FE67" s="6"/>
      <c r="FF67" s="6">
        <f>QUARTILE(Table13[OT],3)</f>
        <v>5</v>
      </c>
      <c r="FI67" s="55" t="s">
        <v>228</v>
      </c>
    </row>
    <row r="68" spans="1:165" x14ac:dyDescent="0.25">
      <c r="A68" s="81" t="s">
        <v>229</v>
      </c>
      <c r="B68" s="53"/>
      <c r="C68" s="53"/>
      <c r="D68" s="53"/>
      <c r="E68" s="4">
        <f>MEDIAN(Table13[Att])</f>
        <v>4573</v>
      </c>
      <c r="F68" s="54"/>
      <c r="G68" s="80"/>
      <c r="H68" s="80"/>
      <c r="I68" s="80"/>
      <c r="J68" s="5">
        <f>MEDIAN(Table13[S-IP])</f>
        <v>4.666666666666667</v>
      </c>
      <c r="K68" s="6">
        <f>MEDIAN(Table13[S-H])</f>
        <v>4</v>
      </c>
      <c r="L68" s="6">
        <f>MEDIAN(Table13[S-R])</f>
        <v>2</v>
      </c>
      <c r="M68" s="6">
        <f>MEDIAN(Table13[S-ER])</f>
        <v>2</v>
      </c>
      <c r="N68" s="6">
        <f>MEDIAN(Table13[S-BB])</f>
        <v>1</v>
      </c>
      <c r="O68" s="6">
        <f>MEDIAN(Table13[S-SO])</f>
        <v>3</v>
      </c>
      <c r="P68" s="6">
        <f>MEDIAN(Table13[S-HR])</f>
        <v>0</v>
      </c>
      <c r="Q68" s="6">
        <f>MEDIAN(Table13[S-HBP])</f>
        <v>0</v>
      </c>
      <c r="R68" s="6">
        <f>MEDIAN(Table13[S-BF])</f>
        <v>19</v>
      </c>
      <c r="S68" s="6"/>
      <c r="T68" s="6"/>
      <c r="U68" s="6">
        <f>MEDIAN(Table13[IRL])</f>
        <v>0</v>
      </c>
      <c r="V68" s="6">
        <f>MEDIAN(Table13[IRS])</f>
        <v>0</v>
      </c>
      <c r="W68" s="80"/>
      <c r="X68" s="80"/>
      <c r="Y68" s="80"/>
      <c r="Z68" s="80"/>
      <c r="AA68" s="80"/>
      <c r="AB68" s="5">
        <f>MEDIAN(Table13[B-IP])</f>
        <v>4</v>
      </c>
      <c r="AC68" s="6">
        <f>MEDIAN(Table13[B-H])</f>
        <v>4</v>
      </c>
      <c r="AD68" s="6">
        <f>MEDIAN(Table13[B-R])</f>
        <v>2</v>
      </c>
      <c r="AE68" s="6">
        <f>MEDIAN(Table13[B-ER])</f>
        <v>1</v>
      </c>
      <c r="AF68" s="6">
        <f>MEDIAN(Table13[B-BB])</f>
        <v>2</v>
      </c>
      <c r="AG68" s="6">
        <f>MEDIAN(Table13[B-SO])</f>
        <v>4</v>
      </c>
      <c r="AH68" s="6">
        <f>MEDIAN(Table13[B-HR])</f>
        <v>0</v>
      </c>
      <c r="AI68" s="6">
        <f>MEDIAN(Table13[B-HBP])</f>
        <v>0</v>
      </c>
      <c r="AJ68" s="6">
        <f>MEDIAN(Table13[B-BF])</f>
        <v>18</v>
      </c>
      <c r="AK68" s="6"/>
      <c r="AL68" s="6"/>
      <c r="AM68" s="80"/>
      <c r="AN68" s="6">
        <f>MEDIAN(Table13[AB1])</f>
        <v>4</v>
      </c>
      <c r="AO68" s="6">
        <f>MEDIAN(Table13[R1])</f>
        <v>0</v>
      </c>
      <c r="AP68" s="6">
        <f>MEDIAN(Table13[H1])</f>
        <v>1</v>
      </c>
      <c r="AQ68" s="6">
        <f>MEDIAN(Table13[RBI1])</f>
        <v>0</v>
      </c>
      <c r="AR68" s="6">
        <f>MEDIAN(Table13[BB1])</f>
        <v>0</v>
      </c>
      <c r="AS68" s="6">
        <f>MEDIAN(Table13[SO1])</f>
        <v>0</v>
      </c>
      <c r="AT68" s="6">
        <f>MEDIAN(Table13[HBP1])</f>
        <v>0</v>
      </c>
      <c r="AU68" s="6">
        <f>MEDIAN(Table13[SF1])</f>
        <v>0</v>
      </c>
      <c r="AV68" s="6">
        <f>MEDIAN(Table13[TB1])</f>
        <v>1</v>
      </c>
      <c r="AW68" s="80"/>
      <c r="AX68" s="6">
        <f>MEDIAN(Table13[AB2])</f>
        <v>4</v>
      </c>
      <c r="AY68" s="6">
        <f>MEDIAN(Table13[R2])</f>
        <v>1</v>
      </c>
      <c r="AZ68" s="6">
        <f>MEDIAN(Table13[H2])</f>
        <v>1</v>
      </c>
      <c r="BA68" s="6">
        <f>MEDIAN(Table13[RBI2])</f>
        <v>0</v>
      </c>
      <c r="BB68" s="6">
        <f>MEDIAN(Table13[BB2])</f>
        <v>0</v>
      </c>
      <c r="BC68" s="6">
        <f>MEDIAN(Table13[SO2])</f>
        <v>1</v>
      </c>
      <c r="BD68" s="6">
        <f>MEDIAN(Table13[HBP2])</f>
        <v>0</v>
      </c>
      <c r="BE68" s="6">
        <f>MEDIAN(Table13[SF2])</f>
        <v>0</v>
      </c>
      <c r="BF68" s="6">
        <f>MEDIAN(Table13[TB2])</f>
        <v>1</v>
      </c>
      <c r="BG68" s="80"/>
      <c r="BH68" s="6">
        <f>MEDIAN(Table13[AB3])</f>
        <v>4</v>
      </c>
      <c r="BI68" s="6">
        <f>MEDIAN(Table13[R3])</f>
        <v>0</v>
      </c>
      <c r="BJ68" s="6">
        <f>MEDIAN(Table13[H3])</f>
        <v>1</v>
      </c>
      <c r="BK68" s="6">
        <f>MEDIAN(Table13[RBI3])</f>
        <v>0</v>
      </c>
      <c r="BL68" s="6">
        <f>MEDIAN(Table13[BB3])</f>
        <v>0</v>
      </c>
      <c r="BM68" s="6">
        <f>MEDIAN(Table13[SO3])</f>
        <v>1</v>
      </c>
      <c r="BN68" s="6">
        <f>MEDIAN(Table13[HBP3])</f>
        <v>0</v>
      </c>
      <c r="BO68" s="6">
        <f>MEDIAN(Table13[SF3])</f>
        <v>0</v>
      </c>
      <c r="BP68" s="6">
        <f>MEDIAN(Table13[TB3])</f>
        <v>1</v>
      </c>
      <c r="BQ68" s="80"/>
      <c r="BR68" s="6">
        <f>MEDIAN(Table13[AB4])</f>
        <v>4</v>
      </c>
      <c r="BS68" s="6">
        <f>MEDIAN(Table13[R4])</f>
        <v>0</v>
      </c>
      <c r="BT68" s="6">
        <f>MEDIAN(Table13[H4])</f>
        <v>1</v>
      </c>
      <c r="BU68" s="6">
        <f>MEDIAN(Table13[RBI4])</f>
        <v>0</v>
      </c>
      <c r="BV68" s="6">
        <f>MEDIAN(Table13[BB4])</f>
        <v>0</v>
      </c>
      <c r="BW68" s="6">
        <f>MEDIAN(Table13[SO4])</f>
        <v>1</v>
      </c>
      <c r="BX68" s="6">
        <f>MEDIAN(Table13[HBP4])</f>
        <v>0</v>
      </c>
      <c r="BY68" s="6">
        <f>MEDIAN(Table13[SF4])</f>
        <v>0</v>
      </c>
      <c r="BZ68" s="6">
        <f>MEDIAN(Table13[TB4])</f>
        <v>1</v>
      </c>
      <c r="CA68" s="80"/>
      <c r="CB68" s="6">
        <f>MEDIAN(Table13[AB5])</f>
        <v>4</v>
      </c>
      <c r="CC68" s="6">
        <f>MEDIAN(Table13[R5])</f>
        <v>0</v>
      </c>
      <c r="CD68" s="6">
        <f>MEDIAN(Table13[H5])</f>
        <v>1</v>
      </c>
      <c r="CE68" s="6">
        <f>MEDIAN(Table13[RBI5])</f>
        <v>0</v>
      </c>
      <c r="CF68" s="6">
        <f>MEDIAN(Table13[BB5])</f>
        <v>0</v>
      </c>
      <c r="CG68" s="6">
        <f>MEDIAN(Table13[SO5])</f>
        <v>1</v>
      </c>
      <c r="CH68" s="6">
        <f>MEDIAN(Table13[HBP5])</f>
        <v>0</v>
      </c>
      <c r="CI68" s="6">
        <f>MEDIAN(Table13[SF5])</f>
        <v>0</v>
      </c>
      <c r="CJ68" s="6">
        <f>MEDIAN(Table13[TB5])</f>
        <v>1</v>
      </c>
      <c r="CK68" s="80"/>
      <c r="CL68" s="6">
        <f>MEDIAN(Table13[AB6])</f>
        <v>4</v>
      </c>
      <c r="CM68" s="6">
        <f>MEDIAN(Table13[R6])</f>
        <v>0</v>
      </c>
      <c r="CN68" s="6">
        <f>MEDIAN(Table13[H6])</f>
        <v>1</v>
      </c>
      <c r="CO68" s="6">
        <f>MEDIAN(Table13[RBI6])</f>
        <v>0</v>
      </c>
      <c r="CP68" s="6">
        <f>MEDIAN(Table13[BB6])</f>
        <v>0</v>
      </c>
      <c r="CQ68" s="6">
        <f>MEDIAN(Table13[SO6])</f>
        <v>1</v>
      </c>
      <c r="CR68" s="6">
        <f>MEDIAN(Table13[HBP6])</f>
        <v>0</v>
      </c>
      <c r="CS68" s="6">
        <f>MEDIAN(Table13[SF6])</f>
        <v>0</v>
      </c>
      <c r="CT68" s="6">
        <f>MEDIAN(Table13[TB6])</f>
        <v>1</v>
      </c>
      <c r="CU68" s="80"/>
      <c r="CV68" s="6">
        <f>MEDIAN(Table13[AB7])</f>
        <v>4</v>
      </c>
      <c r="CW68" s="6">
        <f>MEDIAN(Table13[R7])</f>
        <v>0</v>
      </c>
      <c r="CX68" s="6">
        <f>MEDIAN(Table13[H7])</f>
        <v>1</v>
      </c>
      <c r="CY68" s="6">
        <f>MEDIAN(Table13[RBI7])</f>
        <v>0</v>
      </c>
      <c r="CZ68" s="6">
        <f>MEDIAN(Table13[BB7])</f>
        <v>0</v>
      </c>
      <c r="DA68" s="6">
        <f>MEDIAN(Table13[SO7])</f>
        <v>1</v>
      </c>
      <c r="DB68" s="6">
        <f>MEDIAN(Table13[HBP7])</f>
        <v>0</v>
      </c>
      <c r="DC68" s="6">
        <f>MEDIAN(Table13[SF7])</f>
        <v>0</v>
      </c>
      <c r="DD68" s="6">
        <f>MEDIAN(Table13[TB7])</f>
        <v>1</v>
      </c>
      <c r="DE68" s="80"/>
      <c r="DF68" s="6">
        <f>MEDIAN(Table13[AB8])</f>
        <v>3</v>
      </c>
      <c r="DG68" s="6">
        <f>MEDIAN(Table13[R8])</f>
        <v>0</v>
      </c>
      <c r="DH68" s="6">
        <f>MEDIAN(Table13[H8])</f>
        <v>1</v>
      </c>
      <c r="DI68" s="6">
        <f>MEDIAN(Table13[RBI8])</f>
        <v>0</v>
      </c>
      <c r="DJ68" s="6">
        <f>MEDIAN(Table13[BB8])</f>
        <v>0</v>
      </c>
      <c r="DK68" s="6">
        <f>MEDIAN(Table13[SO8])</f>
        <v>1</v>
      </c>
      <c r="DL68" s="6">
        <f>MEDIAN(Table13[HBP8])</f>
        <v>0</v>
      </c>
      <c r="DM68" s="6">
        <f>MEDIAN(Table13[SF8])</f>
        <v>0</v>
      </c>
      <c r="DN68" s="6">
        <f>MEDIAN(Table13[TB8])</f>
        <v>1</v>
      </c>
      <c r="DO68" s="80"/>
      <c r="DP68" s="6">
        <f>MEDIAN(Table13[AB9])</f>
        <v>4</v>
      </c>
      <c r="DQ68" s="6">
        <f>MEDIAN(Table13[R9])</f>
        <v>0</v>
      </c>
      <c r="DR68" s="6">
        <f>MEDIAN(Table13[H9])</f>
        <v>1</v>
      </c>
      <c r="DS68" s="6">
        <f>MEDIAN(Table13[RBI9])</f>
        <v>0</v>
      </c>
      <c r="DT68" s="6">
        <f>MEDIAN(Table13[BB9])</f>
        <v>0</v>
      </c>
      <c r="DU68" s="6">
        <f>MEDIAN(Table13[SO9])</f>
        <v>1</v>
      </c>
      <c r="DV68" s="6">
        <f>MEDIAN(Table13[HBP9])</f>
        <v>0</v>
      </c>
      <c r="DW68" s="6">
        <f>MEDIAN(Table13[SF9])</f>
        <v>0</v>
      </c>
      <c r="DX68" s="6">
        <f>MEDIAN(Table13[TB9])</f>
        <v>1</v>
      </c>
      <c r="DY68" s="5">
        <f>MEDIAN(Table13[IVL])</f>
        <v>2</v>
      </c>
      <c r="DZ68" s="6">
        <f>MEDIAN(Table13[SVL])</f>
        <v>0</v>
      </c>
      <c r="EA68" s="6">
        <f>MEDIAN(Table13[CVL])</f>
        <v>0</v>
      </c>
      <c r="EB68" s="5">
        <f>MEDIAN(Table13[IVR])</f>
        <v>7</v>
      </c>
      <c r="EC68" s="6">
        <f>MEDIAN(Table13[SVR])</f>
        <v>1</v>
      </c>
      <c r="ED68" s="6">
        <f>MEDIAN(Table13[CVR])</f>
        <v>0</v>
      </c>
      <c r="EE68" s="6">
        <f>MEDIAN(Table13[RI1])</f>
        <v>0</v>
      </c>
      <c r="EF68" s="6">
        <f>MEDIAN(Table13[RI2])</f>
        <v>0</v>
      </c>
      <c r="EG68" s="6">
        <f>MEDIAN(Table13[RI3])</f>
        <v>0</v>
      </c>
      <c r="EH68" s="6">
        <f>MEDIAN(Table13[RI4])</f>
        <v>0</v>
      </c>
      <c r="EI68" s="6">
        <f>MEDIAN(Table13[RI5])</f>
        <v>0</v>
      </c>
      <c r="EJ68" s="6">
        <f>MEDIAN(Table13[RI6])</f>
        <v>0</v>
      </c>
      <c r="EK68" s="6">
        <f>MEDIAN(Table13[RI7])</f>
        <v>0</v>
      </c>
      <c r="EL68" s="6">
        <f>MEDIAN(Table13[RI8])</f>
        <v>0</v>
      </c>
      <c r="EM68" s="6">
        <f>MEDIAN(Table13[RI9])</f>
        <v>0</v>
      </c>
      <c r="EN68" s="6">
        <f>MEDIAN(Table13[RI10])</f>
        <v>0</v>
      </c>
      <c r="EO68" s="6">
        <f>MEDIAN(Table13[RI11])</f>
        <v>0</v>
      </c>
      <c r="EP68" s="6">
        <f>MEDIAN(Table13[RI12])</f>
        <v>1</v>
      </c>
      <c r="EQ68" s="6"/>
      <c r="ER68" s="6">
        <f>MEDIAN(Table13[RT])</f>
        <v>4</v>
      </c>
      <c r="ES68" s="6">
        <f>MEDIAN(Table13[OI1])</f>
        <v>0</v>
      </c>
      <c r="ET68" s="6">
        <f>MEDIAN(Table13[OI2])</f>
        <v>0</v>
      </c>
      <c r="EU68" s="6">
        <f>MEDIAN(Table13[OI3])</f>
        <v>0</v>
      </c>
      <c r="EV68" s="6">
        <f>MEDIAN(Table13[OI4])</f>
        <v>0</v>
      </c>
      <c r="EW68" s="6">
        <f>MEDIAN(Table13[OI5])</f>
        <v>0</v>
      </c>
      <c r="EX68" s="6">
        <f>MEDIAN(Table13[OI6])</f>
        <v>0</v>
      </c>
      <c r="EY68" s="6">
        <f>MEDIAN(Table13[OI7])</f>
        <v>0</v>
      </c>
      <c r="EZ68" s="6">
        <f>MEDIAN(Table13[OI8])</f>
        <v>0</v>
      </c>
      <c r="FA68" s="6">
        <f>MEDIAN(Table13[OI9])</f>
        <v>0</v>
      </c>
      <c r="FB68" s="6">
        <f>MEDIAN(Table13[OI10])</f>
        <v>0.5</v>
      </c>
      <c r="FC68" s="6">
        <f>MEDIAN(Table13[OI11])</f>
        <v>0</v>
      </c>
      <c r="FD68" s="6">
        <f>MEDIAN(Table13[OI12])</f>
        <v>0</v>
      </c>
      <c r="FE68" s="6"/>
      <c r="FF68" s="6">
        <f>MEDIAN(Table13[OT])</f>
        <v>4</v>
      </c>
      <c r="FI68" s="55" t="s">
        <v>229</v>
      </c>
    </row>
    <row r="69" spans="1:165" x14ac:dyDescent="0.25">
      <c r="A69" s="81" t="s">
        <v>230</v>
      </c>
      <c r="B69" s="53"/>
      <c r="C69" s="53"/>
      <c r="D69" s="53"/>
      <c r="E69" s="4">
        <f>QUARTILE(Table13[Att],1)</f>
        <v>3443.5</v>
      </c>
      <c r="F69" s="54"/>
      <c r="G69" s="80"/>
      <c r="H69" s="80"/>
      <c r="I69" s="80"/>
      <c r="J69" s="5">
        <f>QUARTILE(Table13[S-IP],1)</f>
        <v>4</v>
      </c>
      <c r="K69" s="6">
        <f>QUARTILE(Table13[S-H],1)</f>
        <v>3</v>
      </c>
      <c r="L69" s="6">
        <f>QUARTILE(Table13[S-R],1)</f>
        <v>1</v>
      </c>
      <c r="M69" s="6">
        <f>QUARTILE(Table13[S-ER],1)</f>
        <v>1</v>
      </c>
      <c r="N69" s="6">
        <f>QUARTILE(Table13[S-BB],1)</f>
        <v>0</v>
      </c>
      <c r="O69" s="6">
        <f>QUARTILE(Table13[S-SO],1)</f>
        <v>2</v>
      </c>
      <c r="P69" s="6">
        <f>QUARTILE(Table13[S-HR],1)</f>
        <v>0</v>
      </c>
      <c r="Q69" s="6">
        <f>QUARTILE(Table13[S-HBP],1)</f>
        <v>0</v>
      </c>
      <c r="R69" s="6">
        <f>QUARTILE(Table13[S-BF],1)</f>
        <v>17</v>
      </c>
      <c r="S69" s="6"/>
      <c r="T69" s="6"/>
      <c r="U69" s="6">
        <f>QUARTILE(Table13[IRL],1)</f>
        <v>0</v>
      </c>
      <c r="V69" s="6">
        <f>QUARTILE(Table13[IRS],1)</f>
        <v>0</v>
      </c>
      <c r="W69" s="80"/>
      <c r="X69" s="80"/>
      <c r="Y69" s="80"/>
      <c r="Z69" s="80"/>
      <c r="AA69" s="80"/>
      <c r="AB69" s="5">
        <f>QUARTILE(Table13[B-IP],1)</f>
        <v>3.6666666666666665</v>
      </c>
      <c r="AC69" s="6">
        <f>QUARTILE(Table13[B-H],1)</f>
        <v>2</v>
      </c>
      <c r="AD69" s="6">
        <f>QUARTILE(Table13[B-R],1)</f>
        <v>0</v>
      </c>
      <c r="AE69" s="6">
        <f>QUARTILE(Table13[B-ER],1)</f>
        <v>0</v>
      </c>
      <c r="AF69" s="6">
        <f>QUARTILE(Table13[B-BB],1)</f>
        <v>0</v>
      </c>
      <c r="AG69" s="6">
        <f>QUARTILE(Table13[B-SO],1)</f>
        <v>3</v>
      </c>
      <c r="AH69" s="6">
        <f>QUARTILE(Table13[B-HR],1)</f>
        <v>0</v>
      </c>
      <c r="AI69" s="6">
        <f>QUARTILE(Table13[B-HBP],1)</f>
        <v>0</v>
      </c>
      <c r="AJ69" s="6">
        <f>QUARTILE(Table13[B-BF],1)</f>
        <v>16</v>
      </c>
      <c r="AK69" s="6"/>
      <c r="AL69" s="6"/>
      <c r="AM69" s="80"/>
      <c r="AN69" s="6">
        <f>QUARTILE(Table13[AB1],1)</f>
        <v>3</v>
      </c>
      <c r="AO69" s="6">
        <f>QUARTILE(Table13[R1],1)</f>
        <v>0</v>
      </c>
      <c r="AP69" s="6">
        <f>QUARTILE(Table13[H1],1)</f>
        <v>0</v>
      </c>
      <c r="AQ69" s="6">
        <f>QUARTILE(Table13[RBI1],1)</f>
        <v>0</v>
      </c>
      <c r="AR69" s="6">
        <f>QUARTILE(Table13[BB1],1)</f>
        <v>0</v>
      </c>
      <c r="AS69" s="6">
        <f>QUARTILE(Table13[SO1],1)</f>
        <v>0</v>
      </c>
      <c r="AT69" s="6">
        <f>QUARTILE(Table13[HBP1],1)</f>
        <v>0</v>
      </c>
      <c r="AU69" s="6">
        <f>QUARTILE(Table13[SF1],1)</f>
        <v>0</v>
      </c>
      <c r="AV69" s="6">
        <f>QUARTILE(Table13[TB1],1)</f>
        <v>0</v>
      </c>
      <c r="AW69" s="80"/>
      <c r="AX69" s="6">
        <f>QUARTILE(Table13[AB2],1)</f>
        <v>4</v>
      </c>
      <c r="AY69" s="6">
        <f>QUARTILE(Table13[R2],1)</f>
        <v>0</v>
      </c>
      <c r="AZ69" s="6">
        <f>QUARTILE(Table13[H2],1)</f>
        <v>0</v>
      </c>
      <c r="BA69" s="6">
        <f>QUARTILE(Table13[RBI2],1)</f>
        <v>0</v>
      </c>
      <c r="BB69" s="6">
        <f>QUARTILE(Table13[BB2],1)</f>
        <v>0</v>
      </c>
      <c r="BC69" s="6">
        <f>QUARTILE(Table13[SO2],1)</f>
        <v>0</v>
      </c>
      <c r="BD69" s="6">
        <f>QUARTILE(Table13[HBP2],1)</f>
        <v>0</v>
      </c>
      <c r="BE69" s="6">
        <f>QUARTILE(Table13[SF2],1)</f>
        <v>0</v>
      </c>
      <c r="BF69" s="6">
        <f>QUARTILE(Table13[TB2],1)</f>
        <v>0</v>
      </c>
      <c r="BG69" s="80"/>
      <c r="BH69" s="6">
        <f>QUARTILE(Table13[AB3],1)</f>
        <v>4</v>
      </c>
      <c r="BI69" s="6">
        <f>QUARTILE(Table13[R3],1)</f>
        <v>0</v>
      </c>
      <c r="BJ69" s="6">
        <f>QUARTILE(Table13[H3],1)</f>
        <v>1</v>
      </c>
      <c r="BK69" s="6">
        <f>QUARTILE(Table13[RBI3],1)</f>
        <v>0</v>
      </c>
      <c r="BL69" s="6">
        <f>QUARTILE(Table13[BB3],1)</f>
        <v>0</v>
      </c>
      <c r="BM69" s="6">
        <f>QUARTILE(Table13[SO3],1)</f>
        <v>0</v>
      </c>
      <c r="BN69" s="6">
        <f>QUARTILE(Table13[HBP3],1)</f>
        <v>0</v>
      </c>
      <c r="BO69" s="6">
        <f>QUARTILE(Table13[SF3],1)</f>
        <v>0</v>
      </c>
      <c r="BP69" s="6">
        <f>QUARTILE(Table13[TB3],1)</f>
        <v>1</v>
      </c>
      <c r="BQ69" s="80"/>
      <c r="BR69" s="6">
        <f>QUARTILE(Table13[AB4],1)</f>
        <v>3</v>
      </c>
      <c r="BS69" s="6">
        <f>QUARTILE(Table13[R4],1)</f>
        <v>0</v>
      </c>
      <c r="BT69" s="6">
        <f>QUARTILE(Table13[H4],1)</f>
        <v>1</v>
      </c>
      <c r="BU69" s="6">
        <f>QUARTILE(Table13[RBI4],1)</f>
        <v>0</v>
      </c>
      <c r="BV69" s="6">
        <f>QUARTILE(Table13[BB4],1)</f>
        <v>0</v>
      </c>
      <c r="BW69" s="6">
        <f>QUARTILE(Table13[SO4],1)</f>
        <v>0</v>
      </c>
      <c r="BX69" s="6">
        <f>QUARTILE(Table13[HBP4],1)</f>
        <v>0</v>
      </c>
      <c r="BY69" s="6">
        <f>QUARTILE(Table13[SF4],1)</f>
        <v>0</v>
      </c>
      <c r="BZ69" s="6">
        <f>QUARTILE(Table13[TB4],1)</f>
        <v>1</v>
      </c>
      <c r="CA69" s="80"/>
      <c r="CB69" s="6">
        <f>QUARTILE(Table13[AB5],1)</f>
        <v>3</v>
      </c>
      <c r="CC69" s="6">
        <f>QUARTILE(Table13[R5],1)</f>
        <v>0</v>
      </c>
      <c r="CD69" s="6">
        <f>QUARTILE(Table13[H5],1)</f>
        <v>0</v>
      </c>
      <c r="CE69" s="6">
        <f>QUARTILE(Table13[RBI5],1)</f>
        <v>0</v>
      </c>
      <c r="CF69" s="6">
        <f>QUARTILE(Table13[BB5],1)</f>
        <v>0</v>
      </c>
      <c r="CG69" s="6">
        <f>QUARTILE(Table13[SO5],1)</f>
        <v>0</v>
      </c>
      <c r="CH69" s="6">
        <f>QUARTILE(Table13[HBP5],1)</f>
        <v>0</v>
      </c>
      <c r="CI69" s="6">
        <f>QUARTILE(Table13[SF5],1)</f>
        <v>0</v>
      </c>
      <c r="CJ69" s="6">
        <f>QUARTILE(Table13[TB5],1)</f>
        <v>0</v>
      </c>
      <c r="CK69" s="80"/>
      <c r="CL69" s="6">
        <f>QUARTILE(Table13[AB6],1)</f>
        <v>3</v>
      </c>
      <c r="CM69" s="6">
        <f>QUARTILE(Table13[R6],1)</f>
        <v>0</v>
      </c>
      <c r="CN69" s="6">
        <f>QUARTILE(Table13[H6],1)</f>
        <v>0</v>
      </c>
      <c r="CO69" s="6">
        <f>QUARTILE(Table13[RBI6],1)</f>
        <v>0</v>
      </c>
      <c r="CP69" s="6">
        <f>QUARTILE(Table13[BB6],1)</f>
        <v>0</v>
      </c>
      <c r="CQ69" s="6">
        <f>QUARTILE(Table13[SO6],1)</f>
        <v>0</v>
      </c>
      <c r="CR69" s="6">
        <f>QUARTILE(Table13[HBP6],1)</f>
        <v>0</v>
      </c>
      <c r="CS69" s="6">
        <f>QUARTILE(Table13[SF6],1)</f>
        <v>0</v>
      </c>
      <c r="CT69" s="6">
        <f>QUARTILE(Table13[TB6],1)</f>
        <v>0</v>
      </c>
      <c r="CU69" s="80"/>
      <c r="CV69" s="6">
        <f>QUARTILE(Table13[AB7],1)</f>
        <v>3</v>
      </c>
      <c r="CW69" s="6">
        <f>QUARTILE(Table13[R7],1)</f>
        <v>0</v>
      </c>
      <c r="CX69" s="6">
        <f>QUARTILE(Table13[H7],1)</f>
        <v>0</v>
      </c>
      <c r="CY69" s="6">
        <f>QUARTILE(Table13[RBI7],1)</f>
        <v>0</v>
      </c>
      <c r="CZ69" s="6">
        <f>QUARTILE(Table13[BB7],1)</f>
        <v>0</v>
      </c>
      <c r="DA69" s="6">
        <f>QUARTILE(Table13[SO7],1)</f>
        <v>0</v>
      </c>
      <c r="DB69" s="6">
        <f>QUARTILE(Table13[HBP7],1)</f>
        <v>0</v>
      </c>
      <c r="DC69" s="6">
        <f>QUARTILE(Table13[SF7],1)</f>
        <v>0</v>
      </c>
      <c r="DD69" s="6">
        <f>QUARTILE(Table13[TB7],1)</f>
        <v>0</v>
      </c>
      <c r="DE69" s="80"/>
      <c r="DF69" s="6">
        <f>QUARTILE(Table13[AB8],1)</f>
        <v>3</v>
      </c>
      <c r="DG69" s="6">
        <f>QUARTILE(Table13[R8],1)</f>
        <v>0</v>
      </c>
      <c r="DH69" s="6">
        <f>QUARTILE(Table13[H8],1)</f>
        <v>0</v>
      </c>
      <c r="DI69" s="6">
        <f>QUARTILE(Table13[RBI8],1)</f>
        <v>0</v>
      </c>
      <c r="DJ69" s="6">
        <f>QUARTILE(Table13[BB8],1)</f>
        <v>0</v>
      </c>
      <c r="DK69" s="6">
        <f>QUARTILE(Table13[SO8],1)</f>
        <v>0</v>
      </c>
      <c r="DL69" s="6">
        <f>QUARTILE(Table13[HBP8],1)</f>
        <v>0</v>
      </c>
      <c r="DM69" s="6">
        <f>QUARTILE(Table13[SF8],1)</f>
        <v>0</v>
      </c>
      <c r="DN69" s="6">
        <f>QUARTILE(Table13[TB8],1)</f>
        <v>0</v>
      </c>
      <c r="DO69" s="80"/>
      <c r="DP69" s="6">
        <f>QUARTILE(Table13[AB9],1)</f>
        <v>3</v>
      </c>
      <c r="DQ69" s="6">
        <f>QUARTILE(Table13[R9],1)</f>
        <v>0</v>
      </c>
      <c r="DR69" s="6">
        <f>QUARTILE(Table13[H9],1)</f>
        <v>0</v>
      </c>
      <c r="DS69" s="6">
        <f>QUARTILE(Table13[RBI9],1)</f>
        <v>0</v>
      </c>
      <c r="DT69" s="6">
        <f>QUARTILE(Table13[BB9],1)</f>
        <v>0</v>
      </c>
      <c r="DU69" s="6">
        <f>QUARTILE(Table13[SO9],1)</f>
        <v>1</v>
      </c>
      <c r="DV69" s="6">
        <f>QUARTILE(Table13[HBP9],1)</f>
        <v>0</v>
      </c>
      <c r="DW69" s="6">
        <f>QUARTILE(Table13[SF9],1)</f>
        <v>0</v>
      </c>
      <c r="DX69" s="6">
        <f>QUARTILE(Table13[TB9],1)</f>
        <v>0</v>
      </c>
      <c r="DY69" s="5">
        <f>QUARTILE(Table13[IVL],1)</f>
        <v>0</v>
      </c>
      <c r="DZ69" s="6">
        <f>QUARTILE(Table13[SVL],1)</f>
        <v>0</v>
      </c>
      <c r="EA69" s="6">
        <f>QUARTILE(Table13[CVL],1)</f>
        <v>0</v>
      </c>
      <c r="EB69" s="5">
        <f>QUARTILE(Table13[IVR],1)</f>
        <v>4.666666666666667</v>
      </c>
      <c r="EC69" s="6">
        <f>QUARTILE(Table13[SVR],1)</f>
        <v>0</v>
      </c>
      <c r="ED69" s="6">
        <f>QUARTILE(Table13[CVR],1)</f>
        <v>0</v>
      </c>
      <c r="EE69" s="6">
        <f>QUARTILE(Table13[RI1],1)</f>
        <v>0</v>
      </c>
      <c r="EF69" s="6">
        <f>QUARTILE(Table13[RI2],1)</f>
        <v>0</v>
      </c>
      <c r="EG69" s="6">
        <f>QUARTILE(Table13[RI3],1)</f>
        <v>0</v>
      </c>
      <c r="EH69" s="6">
        <f>QUARTILE(Table13[RI4],1)</f>
        <v>0</v>
      </c>
      <c r="EI69" s="6">
        <f>QUARTILE(Table13[RI5],1)</f>
        <v>0</v>
      </c>
      <c r="EJ69" s="6">
        <f>QUARTILE(Table13[RI6],1)</f>
        <v>0</v>
      </c>
      <c r="EK69" s="6">
        <f>QUARTILE(Table13[RI7],1)</f>
        <v>0</v>
      </c>
      <c r="EL69" s="6">
        <f>QUARTILE(Table13[RI8],1)</f>
        <v>0</v>
      </c>
      <c r="EM69" s="6">
        <f>QUARTILE(Table13[RI9],1)</f>
        <v>0</v>
      </c>
      <c r="EN69" s="6">
        <f>QUARTILE(Table13[RI10],1)</f>
        <v>0</v>
      </c>
      <c r="EO69" s="6">
        <f>QUARTILE(Table13[RI11],1)</f>
        <v>0</v>
      </c>
      <c r="EP69" s="6">
        <f>QUARTILE(Table13[RI12],1)</f>
        <v>0.5</v>
      </c>
      <c r="EQ69" s="6"/>
      <c r="ER69" s="6">
        <f>QUARTILE(Table13[RT],1)</f>
        <v>2</v>
      </c>
      <c r="ES69" s="6">
        <f>QUARTILE(Table13[OI1],1)</f>
        <v>0</v>
      </c>
      <c r="ET69" s="6">
        <f>QUARTILE(Table13[OI2],1)</f>
        <v>0</v>
      </c>
      <c r="EU69" s="6">
        <f>QUARTILE(Table13[OI3],1)</f>
        <v>0</v>
      </c>
      <c r="EV69" s="6">
        <f>QUARTILE(Table13[OI4],1)</f>
        <v>0</v>
      </c>
      <c r="EW69" s="6">
        <f>QUARTILE(Table13[OI5],1)</f>
        <v>0</v>
      </c>
      <c r="EX69" s="6">
        <f>QUARTILE(Table13[OI6],1)</f>
        <v>0</v>
      </c>
      <c r="EY69" s="6">
        <f>QUARTILE(Table13[OI7],1)</f>
        <v>0</v>
      </c>
      <c r="EZ69" s="6">
        <f>QUARTILE(Table13[OI8],1)</f>
        <v>0</v>
      </c>
      <c r="FA69" s="6">
        <f>QUARTILE(Table13[OI9],1)</f>
        <v>0</v>
      </c>
      <c r="FB69" s="6">
        <f>QUARTILE(Table13[OI10],1)</f>
        <v>0</v>
      </c>
      <c r="FC69" s="6">
        <f>QUARTILE(Table13[OI11],1)</f>
        <v>0</v>
      </c>
      <c r="FD69" s="6">
        <f>QUARTILE(Table13[OI12],1)</f>
        <v>0</v>
      </c>
      <c r="FE69" s="6"/>
      <c r="FF69" s="6">
        <f>QUARTILE(Table13[OT],1)</f>
        <v>2</v>
      </c>
      <c r="FI69" s="55" t="s">
        <v>230</v>
      </c>
    </row>
    <row r="70" spans="1:165" x14ac:dyDescent="0.25">
      <c r="A70" s="81" t="s">
        <v>231</v>
      </c>
      <c r="B70" s="53"/>
      <c r="C70" s="53"/>
      <c r="D70" s="53"/>
      <c r="E70" s="4">
        <f>MIN(Table13[Att])</f>
        <v>507</v>
      </c>
      <c r="F70" s="54"/>
      <c r="G70" s="80"/>
      <c r="H70" s="80"/>
      <c r="I70" s="80"/>
      <c r="J70" s="5">
        <f>MIN(Table13[S-IP])</f>
        <v>2</v>
      </c>
      <c r="K70" s="6">
        <f>MIN(Table13[S-H])</f>
        <v>1</v>
      </c>
      <c r="L70" s="6">
        <f>MIN(Table13[S-R])</f>
        <v>0</v>
      </c>
      <c r="M70" s="6">
        <f>MIN(Table13[S-ER])</f>
        <v>0</v>
      </c>
      <c r="N70" s="6">
        <f>MIN(Table13[S-BB])</f>
        <v>0</v>
      </c>
      <c r="O70" s="6">
        <f>MIN(Table13[S-SO])</f>
        <v>0</v>
      </c>
      <c r="P70" s="6">
        <f>MIN(Table13[S-HR])</f>
        <v>0</v>
      </c>
      <c r="Q70" s="6">
        <f>MIN(Table13[S-HBP])</f>
        <v>0</v>
      </c>
      <c r="R70" s="6">
        <f>MIN(Table13[S-BF])</f>
        <v>9</v>
      </c>
      <c r="S70" s="6"/>
      <c r="T70" s="6"/>
      <c r="U70" s="6">
        <f>MIN(Table13[IRL])</f>
        <v>0</v>
      </c>
      <c r="V70" s="6">
        <f>MIN(Table13[IRS])</f>
        <v>0</v>
      </c>
      <c r="W70" s="80"/>
      <c r="X70" s="80"/>
      <c r="Y70" s="80"/>
      <c r="Z70" s="80"/>
      <c r="AA70" s="80"/>
      <c r="AB70" s="5">
        <f>MIN(Table13[B-IP])</f>
        <v>1.6666666666666665</v>
      </c>
      <c r="AC70" s="6">
        <f>MIN(Table13[B-H])</f>
        <v>0</v>
      </c>
      <c r="AD70" s="6">
        <f>MIN(Table13[B-R])</f>
        <v>0</v>
      </c>
      <c r="AE70" s="6">
        <f>MIN(Table13[B-ER])</f>
        <v>0</v>
      </c>
      <c r="AF70" s="6">
        <f>MIN(Table13[B-BB])</f>
        <v>0</v>
      </c>
      <c r="AG70" s="6">
        <f>MIN(Table13[B-SO])</f>
        <v>0</v>
      </c>
      <c r="AH70" s="6">
        <f>MIN(Table13[B-HR])</f>
        <v>0</v>
      </c>
      <c r="AI70" s="6">
        <f>MIN(Table13[B-HBP])</f>
        <v>0</v>
      </c>
      <c r="AJ70" s="6">
        <f>MIN(Table13[B-BF])</f>
        <v>5</v>
      </c>
      <c r="AK70" s="6"/>
      <c r="AL70" s="6"/>
      <c r="AM70" s="80"/>
      <c r="AN70" s="6">
        <f>MIN(Table13[AB1])</f>
        <v>2</v>
      </c>
      <c r="AO70" s="6">
        <f>MIN(Table13[R1])</f>
        <v>0</v>
      </c>
      <c r="AP70" s="6">
        <f>MIN(Table13[H1])</f>
        <v>0</v>
      </c>
      <c r="AQ70" s="6">
        <f>MIN(Table13[RBI1])</f>
        <v>0</v>
      </c>
      <c r="AR70" s="6">
        <f>MIN(Table13[BB1])</f>
        <v>0</v>
      </c>
      <c r="AS70" s="6">
        <f>MIN(Table13[SO1])</f>
        <v>0</v>
      </c>
      <c r="AT70" s="6">
        <f>MIN(Table13[HBP1])</f>
        <v>0</v>
      </c>
      <c r="AU70" s="6">
        <f>MIN(Table13[SF1])</f>
        <v>0</v>
      </c>
      <c r="AV70" s="6">
        <f>MIN(Table13[TB1])</f>
        <v>0</v>
      </c>
      <c r="AW70" s="80"/>
      <c r="AX70" s="6">
        <f>MIN(Table13[AB2])</f>
        <v>2</v>
      </c>
      <c r="AY70" s="6">
        <f>MIN(Table13[R2])</f>
        <v>0</v>
      </c>
      <c r="AZ70" s="6">
        <f>MIN(Table13[H2])</f>
        <v>0</v>
      </c>
      <c r="BA70" s="6">
        <f>MIN(Table13[RBI2])</f>
        <v>0</v>
      </c>
      <c r="BB70" s="6">
        <f>MIN(Table13[BB2])</f>
        <v>0</v>
      </c>
      <c r="BC70" s="6">
        <f>MIN(Table13[SO2])</f>
        <v>0</v>
      </c>
      <c r="BD70" s="6">
        <f>MIN(Table13[HBP2])</f>
        <v>0</v>
      </c>
      <c r="BE70" s="6">
        <f>MIN(Table13[SF2])</f>
        <v>0</v>
      </c>
      <c r="BF70" s="6">
        <f>MIN(Table13[TB2])</f>
        <v>0</v>
      </c>
      <c r="BG70" s="80"/>
      <c r="BH70" s="6">
        <f>MIN(Table13[AB3])</f>
        <v>1</v>
      </c>
      <c r="BI70" s="6">
        <f>MIN(Table13[R3])</f>
        <v>0</v>
      </c>
      <c r="BJ70" s="6">
        <f>MIN(Table13[H3])</f>
        <v>0</v>
      </c>
      <c r="BK70" s="6">
        <f>MIN(Table13[RBI3])</f>
        <v>0</v>
      </c>
      <c r="BL70" s="6">
        <f>MIN(Table13[BB3])</f>
        <v>0</v>
      </c>
      <c r="BM70" s="6">
        <f>MIN(Table13[SO3])</f>
        <v>0</v>
      </c>
      <c r="BN70" s="6">
        <f>MIN(Table13[HBP3])</f>
        <v>0</v>
      </c>
      <c r="BO70" s="6">
        <f>MIN(Table13[SF3])</f>
        <v>0</v>
      </c>
      <c r="BP70" s="6">
        <f>MIN(Table13[TB3])</f>
        <v>0</v>
      </c>
      <c r="BQ70" s="80"/>
      <c r="BR70" s="6">
        <f>MIN(Table13[AB4])</f>
        <v>3</v>
      </c>
      <c r="BS70" s="6">
        <f>MIN(Table13[R4])</f>
        <v>0</v>
      </c>
      <c r="BT70" s="6">
        <f>MIN(Table13[H4])</f>
        <v>0</v>
      </c>
      <c r="BU70" s="6">
        <f>MIN(Table13[RBI4])</f>
        <v>0</v>
      </c>
      <c r="BV70" s="6">
        <f>MIN(Table13[BB4])</f>
        <v>0</v>
      </c>
      <c r="BW70" s="6">
        <f>MIN(Table13[SO4])</f>
        <v>0</v>
      </c>
      <c r="BX70" s="6">
        <f>MIN(Table13[HBP4])</f>
        <v>0</v>
      </c>
      <c r="BY70" s="6">
        <f>MIN(Table13[SF4])</f>
        <v>0</v>
      </c>
      <c r="BZ70" s="6">
        <f>MIN(Table13[TB4])</f>
        <v>0</v>
      </c>
      <c r="CA70" s="80"/>
      <c r="CB70" s="6">
        <f>MIN(Table13[AB5])</f>
        <v>1</v>
      </c>
      <c r="CC70" s="6">
        <f>MIN(Table13[R5])</f>
        <v>0</v>
      </c>
      <c r="CD70" s="6">
        <f>MIN(Table13[H5])</f>
        <v>0</v>
      </c>
      <c r="CE70" s="6">
        <f>MIN(Table13[RBI5])</f>
        <v>0</v>
      </c>
      <c r="CF70" s="6">
        <f>MIN(Table13[BB5])</f>
        <v>0</v>
      </c>
      <c r="CG70" s="6">
        <f>MIN(Table13[SO5])</f>
        <v>0</v>
      </c>
      <c r="CH70" s="6">
        <f>MIN(Table13[HBP5])</f>
        <v>0</v>
      </c>
      <c r="CI70" s="6">
        <f>MIN(Table13[SF5])</f>
        <v>0</v>
      </c>
      <c r="CJ70" s="6">
        <f>MIN(Table13[TB5])</f>
        <v>0</v>
      </c>
      <c r="CK70" s="80"/>
      <c r="CL70" s="6">
        <f>MIN(Table13[AB6])</f>
        <v>2</v>
      </c>
      <c r="CM70" s="6">
        <f>MIN(Table13[R6])</f>
        <v>0</v>
      </c>
      <c r="CN70" s="6">
        <f>MIN(Table13[H6])</f>
        <v>0</v>
      </c>
      <c r="CO70" s="6">
        <f>MIN(Table13[RBI6])</f>
        <v>0</v>
      </c>
      <c r="CP70" s="6">
        <f>MIN(Table13[BB6])</f>
        <v>0</v>
      </c>
      <c r="CQ70" s="6">
        <f>MIN(Table13[SO6])</f>
        <v>0</v>
      </c>
      <c r="CR70" s="6">
        <f>MIN(Table13[HBP6])</f>
        <v>0</v>
      </c>
      <c r="CS70" s="6">
        <f>MIN(Table13[SF6])</f>
        <v>0</v>
      </c>
      <c r="CT70" s="6">
        <f>MIN(Table13[TB6])</f>
        <v>0</v>
      </c>
      <c r="CU70" s="80"/>
      <c r="CV70" s="6">
        <f>MIN(Table13[AB7])</f>
        <v>2</v>
      </c>
      <c r="CW70" s="6">
        <f>MIN(Table13[R7])</f>
        <v>0</v>
      </c>
      <c r="CX70" s="6">
        <f>MIN(Table13[H7])</f>
        <v>0</v>
      </c>
      <c r="CY70" s="6">
        <f>MIN(Table13[RBI7])</f>
        <v>0</v>
      </c>
      <c r="CZ70" s="6">
        <f>MIN(Table13[BB7])</f>
        <v>0</v>
      </c>
      <c r="DA70" s="6">
        <f>MIN(Table13[SO7])</f>
        <v>0</v>
      </c>
      <c r="DB70" s="6">
        <f>MIN(Table13[HBP7])</f>
        <v>0</v>
      </c>
      <c r="DC70" s="6">
        <f>MIN(Table13[SF7])</f>
        <v>0</v>
      </c>
      <c r="DD70" s="6">
        <f>MIN(Table13[TB7])</f>
        <v>0</v>
      </c>
      <c r="DE70" s="80"/>
      <c r="DF70" s="6">
        <f>MIN(Table13[AB8])</f>
        <v>2</v>
      </c>
      <c r="DG70" s="6">
        <f>MIN(Table13[R8])</f>
        <v>0</v>
      </c>
      <c r="DH70" s="6">
        <f>MIN(Table13[H8])</f>
        <v>0</v>
      </c>
      <c r="DI70" s="6">
        <f>MIN(Table13[RBI8])</f>
        <v>0</v>
      </c>
      <c r="DJ70" s="6">
        <f>MIN(Table13[BB8])</f>
        <v>0</v>
      </c>
      <c r="DK70" s="6">
        <f>MIN(Table13[SO8])</f>
        <v>0</v>
      </c>
      <c r="DL70" s="6">
        <f>MIN(Table13[HBP8])</f>
        <v>0</v>
      </c>
      <c r="DM70" s="6">
        <f>MIN(Table13[SF8])</f>
        <v>0</v>
      </c>
      <c r="DN70" s="6">
        <f>MIN(Table13[TB8])</f>
        <v>0</v>
      </c>
      <c r="DO70" s="80"/>
      <c r="DP70" s="6">
        <f>MIN(Table13[AB9])</f>
        <v>2</v>
      </c>
      <c r="DQ70" s="6">
        <f>MIN(Table13[R9])</f>
        <v>0</v>
      </c>
      <c r="DR70" s="6">
        <f>MIN(Table13[H9])</f>
        <v>0</v>
      </c>
      <c r="DS70" s="6">
        <f>MIN(Table13[RBI9])</f>
        <v>0</v>
      </c>
      <c r="DT70" s="6">
        <f>MIN(Table13[BB9])</f>
        <v>0</v>
      </c>
      <c r="DU70" s="6">
        <f>MIN(Table13[SO9])</f>
        <v>0</v>
      </c>
      <c r="DV70" s="6">
        <f>MIN(Table13[HBP9])</f>
        <v>0</v>
      </c>
      <c r="DW70" s="6">
        <f>MIN(Table13[SF9])</f>
        <v>0</v>
      </c>
      <c r="DX70" s="6">
        <f>MIN(Table13[TB9])</f>
        <v>0</v>
      </c>
      <c r="DY70" s="5">
        <f>MIN(Table13[IVL])</f>
        <v>0</v>
      </c>
      <c r="DZ70" s="6">
        <f>MIN(Table13[SVL])</f>
        <v>0</v>
      </c>
      <c r="EA70" s="6">
        <f>MIN(Table13[CVL])</f>
        <v>0</v>
      </c>
      <c r="EB70" s="5">
        <f>MIN(Table13[IVR])</f>
        <v>1</v>
      </c>
      <c r="EC70" s="6">
        <f>MIN(Table13[SVR])</f>
        <v>0</v>
      </c>
      <c r="ED70" s="6">
        <f>MIN(Table13[CVR])</f>
        <v>0</v>
      </c>
      <c r="EE70" s="6">
        <f>MIN(Table13[RI1])</f>
        <v>0</v>
      </c>
      <c r="EF70" s="6">
        <f>MIN(Table13[RI2])</f>
        <v>0</v>
      </c>
      <c r="EG70" s="6">
        <f>MIN(Table13[RI3])</f>
        <v>0</v>
      </c>
      <c r="EH70" s="6">
        <f>MIN(Table13[RI4])</f>
        <v>0</v>
      </c>
      <c r="EI70" s="6">
        <f>MIN(Table13[RI5])</f>
        <v>0</v>
      </c>
      <c r="EJ70" s="6">
        <f>MIN(Table13[RI6])</f>
        <v>0</v>
      </c>
      <c r="EK70" s="6">
        <f>MIN(Table13[RI7])</f>
        <v>0</v>
      </c>
      <c r="EL70" s="6">
        <f>MIN(Table13[RI8])</f>
        <v>0</v>
      </c>
      <c r="EM70" s="6">
        <f>MIN(Table13[RI9])</f>
        <v>0</v>
      </c>
      <c r="EN70" s="6">
        <f>MIN(Table13[RI10])</f>
        <v>0</v>
      </c>
      <c r="EO70" s="6">
        <f>MIN(Table13[RI11])</f>
        <v>0</v>
      </c>
      <c r="EP70" s="6">
        <f>MIN(Table13[RI12])</f>
        <v>0</v>
      </c>
      <c r="EQ70" s="6"/>
      <c r="ER70" s="6">
        <f>MIN(Table13[RT])</f>
        <v>0</v>
      </c>
      <c r="ES70" s="6">
        <f>MIN(Table13[OI1])</f>
        <v>0</v>
      </c>
      <c r="ET70" s="6">
        <f>MIN(Table13[OI2])</f>
        <v>0</v>
      </c>
      <c r="EU70" s="6">
        <f>MIN(Table13[OI3])</f>
        <v>0</v>
      </c>
      <c r="EV70" s="6">
        <f>MIN(Table13[OI4])</f>
        <v>0</v>
      </c>
      <c r="EW70" s="6">
        <f>MIN(Table13[OI5])</f>
        <v>0</v>
      </c>
      <c r="EX70" s="6">
        <f>MIN(Table13[OI6])</f>
        <v>0</v>
      </c>
      <c r="EY70" s="6">
        <f>MIN(Table13[OI7])</f>
        <v>0</v>
      </c>
      <c r="EZ70" s="6">
        <f>MIN(Table13[OI8])</f>
        <v>0</v>
      </c>
      <c r="FA70" s="6">
        <f>MIN(Table13[OI9])</f>
        <v>0</v>
      </c>
      <c r="FB70" s="6">
        <f>MIN(Table13[OI10])</f>
        <v>0</v>
      </c>
      <c r="FC70" s="6">
        <f>MIN(Table13[OI11])</f>
        <v>0</v>
      </c>
      <c r="FD70" s="6">
        <f>MIN(Table13[OI12])</f>
        <v>0</v>
      </c>
      <c r="FE70" s="6"/>
      <c r="FF70" s="6">
        <f>MIN(Table13[OT])</f>
        <v>0</v>
      </c>
      <c r="FI70" s="55" t="s">
        <v>231</v>
      </c>
    </row>
    <row r="71" spans="1:165" x14ac:dyDescent="0.25">
      <c r="A71" s="82" t="s">
        <v>232</v>
      </c>
      <c r="B71" s="90"/>
      <c r="C71" s="90"/>
      <c r="D71" s="90"/>
      <c r="E71" s="42">
        <f>STDEV(Table13[Att])</f>
        <v>1815.7183524188806</v>
      </c>
      <c r="F71" s="83"/>
      <c r="G71" s="83"/>
      <c r="H71" s="83"/>
      <c r="I71" s="83"/>
      <c r="J71" s="42">
        <f>STDEV(Table13[S-IP])</f>
        <v>1.0794768122664808</v>
      </c>
      <c r="K71" s="42">
        <f>STDEV(Table13[S-H])</f>
        <v>1.8673203383194965</v>
      </c>
      <c r="L71" s="42">
        <f>STDEV(Table13[S-R])</f>
        <v>1.690377782976435</v>
      </c>
      <c r="M71" s="42">
        <f>STDEV(Table13[S-ER])</f>
        <v>1.6733200530681511</v>
      </c>
      <c r="N71" s="42">
        <f>STDEV(Table13[S-BB])</f>
        <v>1.0441091582905637</v>
      </c>
      <c r="O71" s="42">
        <f>STDEV(Table13[S-SO])</f>
        <v>2.0686311833378115</v>
      </c>
      <c r="P71" s="42">
        <f>STDEV(Table13[S-HR])</f>
        <v>0.57402804523935191</v>
      </c>
      <c r="Q71" s="42">
        <f>STDEV(Table13[S-HBP])</f>
        <v>0.37328844382740001</v>
      </c>
      <c r="R71" s="42">
        <f>STDEV(Table13[S-BF])</f>
        <v>3.3572366987399218</v>
      </c>
      <c r="S71" s="42"/>
      <c r="T71" s="42"/>
      <c r="U71" s="42">
        <f>STDEV(Table13[IRL])</f>
        <v>0.84897881441317746</v>
      </c>
      <c r="V71" s="42">
        <f>STDEV(Table13[IRS])</f>
        <v>0.59597924194606067</v>
      </c>
      <c r="W71" s="83"/>
      <c r="X71" s="83"/>
      <c r="Y71" s="83"/>
      <c r="Z71" s="83"/>
      <c r="AA71" s="83"/>
      <c r="AB71" s="42">
        <f>STDEV(Table13[B-IP])</f>
        <v>1.2102828002527941</v>
      </c>
      <c r="AC71" s="42">
        <f>STDEV(Table13[B-H])</f>
        <v>2.6121824721407885</v>
      </c>
      <c r="AD71" s="42">
        <f>STDEV(Table13[B-R])</f>
        <v>2.2497115783567345</v>
      </c>
      <c r="AE71" s="42">
        <f>STDEV(Table13[B-ER])</f>
        <v>1.9095675131902756</v>
      </c>
      <c r="AF71" s="42">
        <f>STDEV(Table13[B-BB])</f>
        <v>1.4734443495993055</v>
      </c>
      <c r="AG71" s="42">
        <f>STDEV(Table13[B-SO])</f>
        <v>2.0333288542457155</v>
      </c>
      <c r="AH71" s="42">
        <f>STDEV(Table13[B-HR])</f>
        <v>0.38765090486637049</v>
      </c>
      <c r="AI71" s="42">
        <f>STDEV(Table13[B-HBP])</f>
        <v>0.32137001808599097</v>
      </c>
      <c r="AJ71" s="42">
        <f>STDEV(Table13[B-BF])</f>
        <v>6.5129127728601768</v>
      </c>
      <c r="AK71" s="42"/>
      <c r="AL71" s="42"/>
      <c r="AM71" s="83"/>
      <c r="AN71" s="42">
        <f>STDEV(Table13[AB1])</f>
        <v>0.88305233183828225</v>
      </c>
      <c r="AO71" s="42">
        <f>STDEV(Table13[R1])</f>
        <v>0.77212360628851262</v>
      </c>
      <c r="AP71" s="42">
        <f>STDEV(Table13[H1])</f>
        <v>0.83666002653407556</v>
      </c>
      <c r="AQ71" s="42">
        <f>STDEV(Table13[RBI1])</f>
        <v>0.80774935245622004</v>
      </c>
      <c r="AR71" s="42">
        <f>STDEV(Table13[BB1])</f>
        <v>0.81983604918360575</v>
      </c>
      <c r="AS71" s="42">
        <f>STDEV(Table13[SO1])</f>
        <v>0.7861506133593269</v>
      </c>
      <c r="AT71" s="42">
        <f>STDEV(Table13[HBP1])</f>
        <v>0.46164353574848277</v>
      </c>
      <c r="AU71" s="42">
        <f>STDEV(Table13[SF1])</f>
        <v>0.24958982745138697</v>
      </c>
      <c r="AV71" s="42">
        <f>STDEV(Table13[TB1])</f>
        <v>1.3200844483667218</v>
      </c>
      <c r="AW71" s="83"/>
      <c r="AX71" s="42">
        <f>STDEV(Table13[AB2])</f>
        <v>0.83861712868542659</v>
      </c>
      <c r="AY71" s="42">
        <f>STDEV(Table13[R2])</f>
        <v>0.76035654564337929</v>
      </c>
      <c r="AZ71" s="42">
        <f>STDEV(Table13[H2])</f>
        <v>1.0725079132779003</v>
      </c>
      <c r="BA71" s="42">
        <f>STDEV(Table13[RBI2])</f>
        <v>0.9376753023715596</v>
      </c>
      <c r="BB71" s="42">
        <f>STDEV(Table13[BB2])</f>
        <v>0.5132133846092447</v>
      </c>
      <c r="BC71" s="42">
        <f>STDEV(Table13[SO2])</f>
        <v>0.7861506133593269</v>
      </c>
      <c r="BD71" s="42">
        <f>STDEV(Table13[HBP2])</f>
        <v>0.30027309973793775</v>
      </c>
      <c r="BE71" s="42">
        <f>STDEV(Table13[SF2])</f>
        <v>0.24958982745138697</v>
      </c>
      <c r="BF71" s="42">
        <f>STDEV(Table13[TB2])</f>
        <v>1.8470179776699698</v>
      </c>
      <c r="BG71" s="83"/>
      <c r="BH71" s="42">
        <f>STDEV(Table13[AB3])</f>
        <v>0.80605631066091377</v>
      </c>
      <c r="BI71" s="42">
        <f>STDEV(Table13[R3])</f>
        <v>0.713645302294031</v>
      </c>
      <c r="BJ71" s="42">
        <f>STDEV(Table13[H3])</f>
        <v>0.81448632778093732</v>
      </c>
      <c r="BK71" s="42">
        <f>STDEV(Table13[RBI3])</f>
        <v>0.8457544244330546</v>
      </c>
      <c r="BL71" s="42">
        <f>STDEV(Table13[BB3])</f>
        <v>0.60236328743927015</v>
      </c>
      <c r="BM71" s="42">
        <f>STDEV(Table13[SO3])</f>
        <v>0.84446122119275591</v>
      </c>
      <c r="BN71" s="42">
        <f>STDEV(Table13[HBP3])</f>
        <v>0.35758754516763641</v>
      </c>
      <c r="BO71" s="42">
        <f>STDEV(Table13[SF3])</f>
        <v>0.1795562228341584</v>
      </c>
      <c r="BP71" s="42">
        <f>STDEV(Table13[TB3])</f>
        <v>1.5747321742966411</v>
      </c>
      <c r="BQ71" s="83"/>
      <c r="BR71" s="42">
        <f>STDEV(Table13[AB4])</f>
        <v>0.81649658092772603</v>
      </c>
      <c r="BS71" s="42">
        <f>STDEV(Table13[R4])</f>
        <v>0.71096025266840124</v>
      </c>
      <c r="BT71" s="42">
        <f>STDEV(Table13[H4])</f>
        <v>0.8505864258025535</v>
      </c>
      <c r="BU71" s="42">
        <f>STDEV(Table13[RBI4])</f>
        <v>0.93153613072254471</v>
      </c>
      <c r="BV71" s="42">
        <f>STDEV(Table13[BB4])</f>
        <v>0.54421949927210267</v>
      </c>
      <c r="BW71" s="42">
        <f>STDEV(Table13[SO4])</f>
        <v>0.887989070970997</v>
      </c>
      <c r="BX71" s="42">
        <f>STDEV(Table13[HBP4])</f>
        <v>0.21803894974650143</v>
      </c>
      <c r="BY71" s="42">
        <f>STDEV(Table13[SF4])</f>
        <v>0.24958982745138697</v>
      </c>
      <c r="BZ71" s="42">
        <f>STDEV(Table13[TB4])</f>
        <v>1.57611960379423</v>
      </c>
      <c r="CA71" s="83"/>
      <c r="CB71" s="42">
        <f>STDEV(Table13[AB5])</f>
        <v>1.0213566462833161</v>
      </c>
      <c r="CC71" s="42">
        <f>STDEV(Table13[R5])</f>
        <v>0.64443816340133631</v>
      </c>
      <c r="CD71" s="42">
        <f>STDEV(Table13[H5])</f>
        <v>1.0488088481701516</v>
      </c>
      <c r="CE71" s="42">
        <f>STDEV(Table13[RBI5])</f>
        <v>1.0250949576166823</v>
      </c>
      <c r="CF71" s="42">
        <f>STDEV(Table13[BB5])</f>
        <v>0.69620360064561038</v>
      </c>
      <c r="CG71" s="42">
        <f>STDEV(Table13[SO5])</f>
        <v>0.93621724628444924</v>
      </c>
      <c r="CH71" s="42">
        <f>STDEV(Table13[HBP5])</f>
        <v>0.21803894974650143</v>
      </c>
      <c r="CI71" s="42">
        <f>STDEV(Table13[SF5])</f>
        <v>0.1795562228341584</v>
      </c>
      <c r="CJ71" s="42">
        <f>STDEV(Table13[TB5])</f>
        <v>1.6848732338688421</v>
      </c>
      <c r="CK71" s="83"/>
      <c r="CL71" s="42">
        <f>STDEV(Table13[AB6])</f>
        <v>0.90384727178344859</v>
      </c>
      <c r="CM71" s="42">
        <f>STDEV(Table13[R6])</f>
        <v>0.58534003008479796</v>
      </c>
      <c r="CN71" s="42">
        <f>STDEV(Table13[H6])</f>
        <v>0.8699601146563537</v>
      </c>
      <c r="CO71" s="42">
        <f>STDEV(Table13[RBI6])</f>
        <v>0.72126179660021683</v>
      </c>
      <c r="CP71" s="42">
        <f>STDEV(Table13[BB6])</f>
        <v>0.49643538092252648</v>
      </c>
      <c r="CQ71" s="42">
        <f>STDEV(Table13[SO6])</f>
        <v>0.95040974770074305</v>
      </c>
      <c r="CR71" s="42">
        <f>STDEV(Table13[HBP6])</f>
        <v>0.38623869286861001</v>
      </c>
      <c r="CS71" s="42">
        <f>STDEV(Table13[SF6])</f>
        <v>0</v>
      </c>
      <c r="CT71" s="42">
        <f>STDEV(Table13[TB6])</f>
        <v>1.3908365214892069</v>
      </c>
      <c r="CU71" s="83"/>
      <c r="CV71" s="42">
        <f>STDEV(Table13[AB7])</f>
        <v>0.78615061335932745</v>
      </c>
      <c r="CW71" s="42">
        <f>STDEV(Table13[R7])</f>
        <v>0.67265073878904091</v>
      </c>
      <c r="CX71" s="42">
        <f>STDEV(Table13[H7])</f>
        <v>0.78475919525388105</v>
      </c>
      <c r="CY71" s="42">
        <f>STDEV(Table13[RBI7])</f>
        <v>0.73662945285921888</v>
      </c>
      <c r="CZ71" s="42">
        <f>STDEV(Table13[BB7])</f>
        <v>0.60236328743927015</v>
      </c>
      <c r="DA71" s="42">
        <f>STDEV(Table13[SO7])</f>
        <v>0.79787970387641982</v>
      </c>
      <c r="DB71" s="42">
        <f>STDEV(Table13[HBP7])</f>
        <v>0.30923844408570295</v>
      </c>
      <c r="DC71" s="42">
        <f>STDEV(Table13[SF7])</f>
        <v>0</v>
      </c>
      <c r="DD71" s="42">
        <f>STDEV(Table13[TB7])</f>
        <v>1.2865423649575638</v>
      </c>
      <c r="DE71" s="83"/>
      <c r="DF71" s="42">
        <f>STDEV(Table13[AB8])</f>
        <v>0.78441095507908765</v>
      </c>
      <c r="DG71" s="42">
        <f>STDEV(Table13[R8])</f>
        <v>0.74437783460802864</v>
      </c>
      <c r="DH71" s="42">
        <f>STDEV(Table13[H8])</f>
        <v>0.82249786154155868</v>
      </c>
      <c r="DI71" s="42">
        <f>STDEV(Table13[RBI8])</f>
        <v>0.65911018009752864</v>
      </c>
      <c r="DJ71" s="42">
        <f>STDEV(Table13[BB8])</f>
        <v>0.61980077885114093</v>
      </c>
      <c r="DK71" s="42">
        <f>STDEV(Table13[SO8])</f>
        <v>0.81045086284912804</v>
      </c>
      <c r="DL71" s="42">
        <f>STDEV(Table13[HBP8])</f>
        <v>0.1795562228341584</v>
      </c>
      <c r="DM71" s="42">
        <f>STDEV(Table13[SF8])</f>
        <v>0.12803687993289598</v>
      </c>
      <c r="DN71" s="42">
        <f>STDEV(Table13[TB8])</f>
        <v>1.396913068239602</v>
      </c>
      <c r="DO71" s="83"/>
      <c r="DP71" s="42">
        <f>STDEV(Table13[AB9])</f>
        <v>0.71936523324234547</v>
      </c>
      <c r="DQ71" s="42">
        <f>STDEV(Table13[R9])</f>
        <v>0.592300322582343</v>
      </c>
      <c r="DR71" s="42">
        <f>STDEV(Table13[H9])</f>
        <v>0.72767313865588812</v>
      </c>
      <c r="DS71" s="42">
        <f>STDEV(Table13[RBI9])</f>
        <v>0.41554493815761406</v>
      </c>
      <c r="DT71" s="42">
        <f>STDEV(Table13[BB9])</f>
        <v>0.4008188340197078</v>
      </c>
      <c r="DU71" s="42">
        <f>STDEV(Table13[SO9])</f>
        <v>0.90172875860668922</v>
      </c>
      <c r="DV71" s="42">
        <f>STDEV(Table13[HBP9])</f>
        <v>0.30027309973793775</v>
      </c>
      <c r="DW71" s="42">
        <f>STDEV(Table13[SF9])</f>
        <v>0</v>
      </c>
      <c r="DX71" s="42">
        <f>STDEV(Table13[TB9])</f>
        <v>0.99699000548563743</v>
      </c>
      <c r="DY71" s="42">
        <f>STDEV(Table13[IVL])</f>
        <v>2.6760536060113798</v>
      </c>
      <c r="DZ71" s="42">
        <f>STDEV(Table13[SVL])</f>
        <v>0.49643538092252648</v>
      </c>
      <c r="EA71" s="42">
        <f>STDEV(Table13[CVL])</f>
        <v>0.27659127289275987</v>
      </c>
      <c r="EB71" s="42">
        <f>STDEV(Table13[IVR])</f>
        <v>2.6074131858135479</v>
      </c>
      <c r="EC71" s="42">
        <f>STDEV(Table13[SVR])</f>
        <v>1.5217907196902993</v>
      </c>
      <c r="ED71" s="42">
        <f>STDEV(Table13[CVR])</f>
        <v>0.5132133846092447</v>
      </c>
      <c r="EE71" s="42">
        <f>STDEV(Table13[RI1])</f>
        <v>1.1896640477244353</v>
      </c>
      <c r="EF71" s="42">
        <f>STDEV(Table13[RI2])</f>
        <v>1.4676846938820809</v>
      </c>
      <c r="EG71" s="42">
        <f>STDEV(Table13[RI3])</f>
        <v>0.73104461526516751</v>
      </c>
      <c r="EH71" s="42">
        <f>STDEV(Table13[RI4])</f>
        <v>1.555353877116108</v>
      </c>
      <c r="EI71" s="42">
        <f>STDEV(Table13[RI5])</f>
        <v>0.97677958652693886</v>
      </c>
      <c r="EJ71" s="42">
        <f>STDEV(Table13[RI6])</f>
        <v>1.431877517123485</v>
      </c>
      <c r="EK71" s="42">
        <f>STDEV(Table13[RI7])</f>
        <v>0.88428910041612196</v>
      </c>
      <c r="EL71" s="42">
        <f>STDEV(Table13[RI8])</f>
        <v>1.0061180468786064</v>
      </c>
      <c r="EM71" s="42">
        <f>STDEV(Table13[RI9])</f>
        <v>1.0980317658725764</v>
      </c>
      <c r="EN71" s="42">
        <f>STDEV(Table13[RI10])</f>
        <v>0.51639777949432231</v>
      </c>
      <c r="EO71" s="42">
        <f>STDEV(Table13[RI11])</f>
        <v>0.57735026918962584</v>
      </c>
      <c r="EP71" s="42">
        <f>STDEV(Table13[RI12])</f>
        <v>1.4142135623730951</v>
      </c>
      <c r="EQ71" s="42"/>
      <c r="ER71" s="42">
        <f>STDEV(Table13[RT])</f>
        <v>3.3705571850518896</v>
      </c>
      <c r="ES71" s="42">
        <f>STDEV(Table13[OI1])</f>
        <v>0.69620360064561038</v>
      </c>
      <c r="ET71" s="42">
        <f>STDEV(Table13[OI2])</f>
        <v>0.68032457698854654</v>
      </c>
      <c r="EU71" s="42">
        <f>STDEV(Table13[OI3])</f>
        <v>1.1011667930022813</v>
      </c>
      <c r="EV71" s="42">
        <f>STDEV(Table13[OI4])</f>
        <v>1.1036452269118215</v>
      </c>
      <c r="EW71" s="42">
        <f>STDEV(Table13[OI5])</f>
        <v>1.372843564850676</v>
      </c>
      <c r="EX71" s="42">
        <f>STDEV(Table13[OI6])</f>
        <v>1.0671447016256279</v>
      </c>
      <c r="EY71" s="42">
        <f>STDEV(Table13[OI7])</f>
        <v>1.0988544058518772</v>
      </c>
      <c r="EZ71" s="42">
        <f>STDEV(Table13[OI8])</f>
        <v>0.9527099985414581</v>
      </c>
      <c r="FA71" s="42">
        <f>STDEV(Table13[OI9])</f>
        <v>0.92761258954321535</v>
      </c>
      <c r="FB71" s="42">
        <f>STDEV(Table13[OI10])</f>
        <v>0.54772255750516607</v>
      </c>
      <c r="FC71" s="42">
        <f>STDEV(Table13[OI11])</f>
        <v>0</v>
      </c>
      <c r="FD71" s="42">
        <f>STDEV(Table13[OI12])</f>
        <v>0</v>
      </c>
      <c r="FE71" s="42"/>
      <c r="FF71" s="42">
        <f>STDEV(Table13[OT])</f>
        <v>3.149637848901834</v>
      </c>
      <c r="FI71" s="86" t="s">
        <v>232</v>
      </c>
    </row>
    <row r="72" spans="1:165" x14ac:dyDescent="0.25">
      <c r="A72" s="87" t="s">
        <v>281</v>
      </c>
      <c r="B72" s="53"/>
      <c r="C72" s="53"/>
      <c r="D72" s="53"/>
      <c r="E72" s="83">
        <f>(E75+(3*E71))</f>
        <v>9868.9717239233087</v>
      </c>
      <c r="F72" s="83"/>
      <c r="G72" s="83"/>
      <c r="H72" s="83"/>
      <c r="I72" s="83"/>
      <c r="J72" s="83">
        <f t="shared" ref="J72:R72" si="20">(J75+(3*J71))</f>
        <v>7.735698196362284</v>
      </c>
      <c r="K72" s="83">
        <f t="shared" si="20"/>
        <v>10.126551178892916</v>
      </c>
      <c r="L72" s="83">
        <f t="shared" si="20"/>
        <v>7.3990022013883205</v>
      </c>
      <c r="M72" s="83">
        <f t="shared" si="20"/>
        <v>7.0199601592044534</v>
      </c>
      <c r="N72" s="83">
        <f t="shared" si="20"/>
        <v>4.230688130609396</v>
      </c>
      <c r="O72" s="83">
        <f t="shared" si="20"/>
        <v>9.6157296155872043</v>
      </c>
      <c r="P72" s="83">
        <f t="shared" si="20"/>
        <v>2.066346430800023</v>
      </c>
      <c r="Q72" s="83">
        <f t="shared" si="20"/>
        <v>1.2837997577117082</v>
      </c>
      <c r="R72" s="83">
        <f t="shared" si="20"/>
        <v>28.793021571629602</v>
      </c>
      <c r="S72" s="83"/>
      <c r="T72" s="83"/>
      <c r="U72" s="83">
        <f>(U75+(3*U71))</f>
        <v>3.0551331645510076</v>
      </c>
      <c r="V72" s="83">
        <f>(V75+(3*V71))</f>
        <v>2.0338393651824442</v>
      </c>
      <c r="W72" s="83"/>
      <c r="X72" s="83"/>
      <c r="Y72" s="83"/>
      <c r="Z72" s="83"/>
      <c r="AA72" s="83"/>
      <c r="AB72" s="83">
        <f t="shared" ref="AB72:AJ72" si="21">(AB75+(3*AB71))</f>
        <v>7.9696462149660316</v>
      </c>
      <c r="AC72" s="83">
        <f t="shared" si="21"/>
        <v>11.93490807216007</v>
      </c>
      <c r="AD72" s="83">
        <f t="shared" si="21"/>
        <v>8.8966757186767609</v>
      </c>
      <c r="AE72" s="83">
        <f t="shared" si="21"/>
        <v>7.499194342849516</v>
      </c>
      <c r="AF72" s="83">
        <f t="shared" si="21"/>
        <v>6.1416445242077522</v>
      </c>
      <c r="AG72" s="83">
        <f t="shared" si="21"/>
        <v>10.460642300442064</v>
      </c>
      <c r="AH72" s="83">
        <f t="shared" si="21"/>
        <v>1.3432805834515704</v>
      </c>
      <c r="AI72" s="83">
        <f t="shared" si="21"/>
        <v>1.0788641526186287</v>
      </c>
      <c r="AJ72" s="83">
        <f t="shared" si="21"/>
        <v>38.227262908744464</v>
      </c>
      <c r="AK72" s="83"/>
      <c r="AL72" s="83"/>
      <c r="AM72" s="83"/>
      <c r="AN72" s="83">
        <f t="shared" ref="AN72:AV72" si="22">(AN75+(3*AN71))</f>
        <v>6.4196487987935349</v>
      </c>
      <c r="AO72" s="83">
        <f t="shared" si="22"/>
        <v>2.9721085237835707</v>
      </c>
      <c r="AP72" s="83">
        <f t="shared" si="22"/>
        <v>3.5099800796022267</v>
      </c>
      <c r="AQ72" s="83">
        <f t="shared" si="22"/>
        <v>2.8822644508112831</v>
      </c>
      <c r="AR72" s="83">
        <f t="shared" si="22"/>
        <v>3.0824589672229488</v>
      </c>
      <c r="AS72" s="83">
        <f t="shared" si="22"/>
        <v>3.0469764302419149</v>
      </c>
      <c r="AT72" s="83">
        <f t="shared" si="22"/>
        <v>1.6144388039667599</v>
      </c>
      <c r="AU72" s="83">
        <f t="shared" si="22"/>
        <v>0.81434325284596409</v>
      </c>
      <c r="AV72" s="83">
        <f t="shared" si="22"/>
        <v>5.3536959680509852</v>
      </c>
      <c r="AW72" s="83"/>
      <c r="AX72" s="83">
        <f t="shared" ref="AX72:BF72" si="23">(AX75+(3*AX71))</f>
        <v>6.630605484416936</v>
      </c>
      <c r="AY72" s="83">
        <f t="shared" si="23"/>
        <v>2.9859876697170233</v>
      </c>
      <c r="AZ72" s="83">
        <f t="shared" si="23"/>
        <v>4.3978516086861603</v>
      </c>
      <c r="BA72" s="83">
        <f t="shared" si="23"/>
        <v>3.4031898415409083</v>
      </c>
      <c r="BB72" s="83">
        <f t="shared" si="23"/>
        <v>1.8019352357949472</v>
      </c>
      <c r="BC72" s="83">
        <f t="shared" si="23"/>
        <v>3.0469764302419149</v>
      </c>
      <c r="BD72" s="83">
        <f t="shared" si="23"/>
        <v>0.99917995495151823</v>
      </c>
      <c r="BE72" s="83">
        <f t="shared" si="23"/>
        <v>0.81434325284596409</v>
      </c>
      <c r="BF72" s="83">
        <f t="shared" si="23"/>
        <v>7.2459719657967945</v>
      </c>
      <c r="BG72" s="83"/>
      <c r="BH72" s="83">
        <f t="shared" ref="BH72:BP72" si="24">(BH75+(3*BH71))</f>
        <v>6.4017754893597907</v>
      </c>
      <c r="BI72" s="83">
        <f t="shared" si="24"/>
        <v>2.7474932839312731</v>
      </c>
      <c r="BJ72" s="83">
        <f t="shared" si="24"/>
        <v>3.7057540653100256</v>
      </c>
      <c r="BK72" s="83">
        <f t="shared" si="24"/>
        <v>3.1110337651024427</v>
      </c>
      <c r="BL72" s="83">
        <f t="shared" si="24"/>
        <v>2.1513521573997778</v>
      </c>
      <c r="BM72" s="83">
        <f t="shared" si="24"/>
        <v>3.3038754668569563</v>
      </c>
      <c r="BN72" s="83">
        <f t="shared" si="24"/>
        <v>1.2203036191094665</v>
      </c>
      <c r="BO72" s="83">
        <f t="shared" si="24"/>
        <v>0.57145555374837687</v>
      </c>
      <c r="BP72" s="83">
        <f t="shared" si="24"/>
        <v>6.4946883261686121</v>
      </c>
      <c r="BQ72" s="83"/>
      <c r="BR72" s="83">
        <f t="shared" ref="BR72:BZ72" si="25">(BR75+(3*BR71))</f>
        <v>6.4494897427831779</v>
      </c>
      <c r="BS72" s="83">
        <f t="shared" si="25"/>
        <v>2.755831577677335</v>
      </c>
      <c r="BT72" s="83">
        <f t="shared" si="25"/>
        <v>3.6501199331453655</v>
      </c>
      <c r="BU72" s="83">
        <f t="shared" si="25"/>
        <v>3.4339526544627161</v>
      </c>
      <c r="BV72" s="83">
        <f t="shared" si="25"/>
        <v>1.976920792898275</v>
      </c>
      <c r="BW72" s="83">
        <f t="shared" si="25"/>
        <v>3.4180655735687284</v>
      </c>
      <c r="BX72" s="83">
        <f t="shared" si="25"/>
        <v>0.70329717710835671</v>
      </c>
      <c r="BY72" s="83">
        <f t="shared" si="25"/>
        <v>0.81434325284596409</v>
      </c>
      <c r="BZ72" s="83">
        <f t="shared" si="25"/>
        <v>6.285735860563018</v>
      </c>
      <c r="CA72" s="83"/>
      <c r="CB72" s="83">
        <f t="shared" ref="CB72:CJ72" si="26">(CB75+(3*CB71))</f>
        <v>6.982102725735194</v>
      </c>
      <c r="CC72" s="83">
        <f t="shared" si="26"/>
        <v>2.35954399840073</v>
      </c>
      <c r="CD72" s="83">
        <f t="shared" si="26"/>
        <v>4.1464265445104544</v>
      </c>
      <c r="CE72" s="83">
        <f t="shared" si="26"/>
        <v>3.6326619220303753</v>
      </c>
      <c r="CF72" s="83">
        <f t="shared" si="26"/>
        <v>2.4000862117728969</v>
      </c>
      <c r="CG72" s="83">
        <f t="shared" si="26"/>
        <v>3.7266845257385937</v>
      </c>
      <c r="CH72" s="83">
        <f t="shared" si="26"/>
        <v>0.70329717710835671</v>
      </c>
      <c r="CI72" s="83">
        <f t="shared" si="26"/>
        <v>0.57145555374837687</v>
      </c>
      <c r="CJ72" s="83">
        <f t="shared" si="26"/>
        <v>6.431668881934395</v>
      </c>
      <c r="CK72" s="83"/>
      <c r="CL72" s="83">
        <f t="shared" ref="CL72:CT72" si="27">(CL75+(3*CL71))</f>
        <v>6.5312139464978873</v>
      </c>
      <c r="CM72" s="83">
        <f t="shared" si="27"/>
        <v>2.1494627132052138</v>
      </c>
      <c r="CN72" s="83">
        <f t="shared" si="27"/>
        <v>3.5115196882313562</v>
      </c>
      <c r="CO72" s="83">
        <f t="shared" si="27"/>
        <v>2.6883755537350766</v>
      </c>
      <c r="CP72" s="83">
        <f t="shared" si="27"/>
        <v>1.7188143394888911</v>
      </c>
      <c r="CQ72" s="83">
        <f t="shared" si="27"/>
        <v>3.7364751447415734</v>
      </c>
      <c r="CR72" s="83">
        <f t="shared" si="27"/>
        <v>1.2898636195894364</v>
      </c>
      <c r="CS72" s="83">
        <f t="shared" si="27"/>
        <v>0</v>
      </c>
      <c r="CT72" s="83">
        <f t="shared" si="27"/>
        <v>5.5331653021725389</v>
      </c>
      <c r="CU72" s="83"/>
      <c r="CV72" s="83">
        <f t="shared" ref="CV72:DD72" si="28">(CV75+(3*CV71))</f>
        <v>6.0469764302419167</v>
      </c>
      <c r="CW72" s="83">
        <f t="shared" si="28"/>
        <v>2.4769686098097456</v>
      </c>
      <c r="CX72" s="83">
        <f t="shared" si="28"/>
        <v>3.2231300447780367</v>
      </c>
      <c r="CY72" s="83">
        <f t="shared" si="28"/>
        <v>2.6033309815284764</v>
      </c>
      <c r="CZ72" s="83">
        <f t="shared" si="28"/>
        <v>2.1513521573997778</v>
      </c>
      <c r="DA72" s="83">
        <f t="shared" si="28"/>
        <v>3.2788850132686038</v>
      </c>
      <c r="DB72" s="83">
        <f t="shared" si="28"/>
        <v>0.99328910274891202</v>
      </c>
      <c r="DC72" s="83">
        <f t="shared" si="28"/>
        <v>0</v>
      </c>
      <c r="DD72" s="83">
        <f t="shared" si="28"/>
        <v>5.1055287342169535</v>
      </c>
      <c r="DE72" s="83"/>
      <c r="DF72" s="83">
        <f t="shared" ref="DF72:DN72" si="29">(DF75+(3*DF71))</f>
        <v>5.7794623734339847</v>
      </c>
      <c r="DG72" s="83">
        <f t="shared" si="29"/>
        <v>2.7249367825126107</v>
      </c>
      <c r="DH72" s="83">
        <f t="shared" si="29"/>
        <v>3.385526371509922</v>
      </c>
      <c r="DI72" s="83">
        <f t="shared" si="29"/>
        <v>2.337986277997504</v>
      </c>
      <c r="DJ72" s="83">
        <f t="shared" si="29"/>
        <v>2.3020252873730946</v>
      </c>
      <c r="DK72" s="83">
        <f t="shared" si="29"/>
        <v>3.3329919328096791</v>
      </c>
      <c r="DL72" s="83">
        <f t="shared" si="29"/>
        <v>0.57145555374837687</v>
      </c>
      <c r="DM72" s="83">
        <f t="shared" si="29"/>
        <v>0.40050408242163876</v>
      </c>
      <c r="DN72" s="83">
        <f t="shared" si="29"/>
        <v>5.5022146145548714</v>
      </c>
      <c r="DO72" s="83"/>
      <c r="DP72" s="83">
        <f t="shared" ref="DP72:FF72" si="30">(DP75+(3*DP71))</f>
        <v>5.7154727489073647</v>
      </c>
      <c r="DQ72" s="83">
        <f t="shared" si="30"/>
        <v>2.2195239185667011</v>
      </c>
      <c r="DR72" s="83">
        <f t="shared" si="30"/>
        <v>2.8387571208856972</v>
      </c>
      <c r="DS72" s="83">
        <f t="shared" si="30"/>
        <v>1.4105692407023505</v>
      </c>
      <c r="DT72" s="83">
        <f t="shared" si="30"/>
        <v>1.3991778135345332</v>
      </c>
      <c r="DU72" s="83">
        <f t="shared" si="30"/>
        <v>3.9346944725413788</v>
      </c>
      <c r="DV72" s="83">
        <f t="shared" si="30"/>
        <v>0.99917995495151823</v>
      </c>
      <c r="DW72" s="83">
        <f t="shared" si="30"/>
        <v>0</v>
      </c>
      <c r="DX72" s="83">
        <f t="shared" si="30"/>
        <v>3.7942487049815021</v>
      </c>
      <c r="DY72" s="83">
        <f t="shared" si="30"/>
        <v>10.465319287979495</v>
      </c>
      <c r="DZ72" s="83">
        <f t="shared" si="30"/>
        <v>1.7188143394888911</v>
      </c>
      <c r="EA72" s="83">
        <f t="shared" si="30"/>
        <v>0.91174103179303367</v>
      </c>
      <c r="EB72" s="83">
        <f t="shared" si="30"/>
        <v>14.319507317003485</v>
      </c>
      <c r="EC72" s="83">
        <f t="shared" si="30"/>
        <v>5.6965197000545045</v>
      </c>
      <c r="ED72" s="83">
        <f t="shared" si="30"/>
        <v>1.8019352357949472</v>
      </c>
      <c r="EE72" s="83">
        <f t="shared" si="30"/>
        <v>4.1427626349765845</v>
      </c>
      <c r="EF72" s="83">
        <f t="shared" si="30"/>
        <v>4.911250802957718</v>
      </c>
      <c r="EG72" s="83">
        <f t="shared" si="30"/>
        <v>2.5537895835004205</v>
      </c>
      <c r="EH72" s="83">
        <f t="shared" si="30"/>
        <v>5.2070452379057013</v>
      </c>
      <c r="EI72" s="83">
        <f t="shared" si="30"/>
        <v>3.4221420382693415</v>
      </c>
      <c r="EJ72" s="83">
        <f t="shared" si="30"/>
        <v>5.115304682517996</v>
      </c>
      <c r="EK72" s="83">
        <f t="shared" si="30"/>
        <v>3.0790968094450872</v>
      </c>
      <c r="EL72" s="83">
        <f t="shared" si="30"/>
        <v>3.4929304118222597</v>
      </c>
      <c r="EM72" s="83">
        <f t="shared" si="30"/>
        <v>3.9607619642843956</v>
      </c>
      <c r="EN72" s="83">
        <f t="shared" si="30"/>
        <v>1.8825266718163001</v>
      </c>
      <c r="EO72" s="83">
        <f t="shared" si="30"/>
        <v>2.0653841409022111</v>
      </c>
      <c r="EP72" s="83">
        <f t="shared" si="30"/>
        <v>5.2426406871192857</v>
      </c>
      <c r="EQ72" s="83"/>
      <c r="ER72" s="83">
        <f t="shared" si="30"/>
        <v>14.914950243680259</v>
      </c>
      <c r="ES72" s="83">
        <f t="shared" si="30"/>
        <v>2.4000862117728969</v>
      </c>
      <c r="ET72" s="83">
        <f t="shared" si="30"/>
        <v>2.3852360260476071</v>
      </c>
      <c r="EU72" s="83">
        <f t="shared" si="30"/>
        <v>3.8936643134330735</v>
      </c>
      <c r="EV72" s="83">
        <f t="shared" si="30"/>
        <v>3.9994602708993989</v>
      </c>
      <c r="EW72" s="83">
        <f t="shared" si="30"/>
        <v>4.8070552847159629</v>
      </c>
      <c r="EX72" s="83">
        <f t="shared" si="30"/>
        <v>3.8243849245490154</v>
      </c>
      <c r="EY72" s="83">
        <f t="shared" si="30"/>
        <v>3.6863937260302078</v>
      </c>
      <c r="EZ72" s="83">
        <f t="shared" si="30"/>
        <v>3.3157571142684423</v>
      </c>
      <c r="FA72" s="83">
        <f t="shared" si="30"/>
        <v>3.2828377686296459</v>
      </c>
      <c r="FB72" s="83">
        <f t="shared" si="30"/>
        <v>2.1431676725154984</v>
      </c>
      <c r="FC72" s="83">
        <f t="shared" si="30"/>
        <v>0</v>
      </c>
      <c r="FD72" s="83">
        <f t="shared" si="30"/>
        <v>0</v>
      </c>
      <c r="FE72" s="83"/>
      <c r="FF72" s="83">
        <f t="shared" si="30"/>
        <v>13.924323382771075</v>
      </c>
      <c r="FI72" s="88" t="s">
        <v>281</v>
      </c>
    </row>
    <row r="73" spans="1:165" x14ac:dyDescent="0.25">
      <c r="A73" s="87" t="s">
        <v>280</v>
      </c>
      <c r="B73" s="53"/>
      <c r="C73" s="53"/>
      <c r="D73" s="53"/>
      <c r="E73" s="83">
        <f>(E75+(2*E71))</f>
        <v>8053.2533715044283</v>
      </c>
      <c r="F73" s="83"/>
      <c r="G73" s="83"/>
      <c r="H73" s="83"/>
      <c r="I73" s="83"/>
      <c r="J73" s="83">
        <f t="shared" ref="J73:R73" si="31">(J75+(2*J71))</f>
        <v>6.6562213840958027</v>
      </c>
      <c r="K73" s="83">
        <f t="shared" si="31"/>
        <v>8.2592308405734194</v>
      </c>
      <c r="L73" s="83">
        <f t="shared" si="31"/>
        <v>5.7086244184118868</v>
      </c>
      <c r="M73" s="83">
        <f t="shared" si="31"/>
        <v>5.3466401061363023</v>
      </c>
      <c r="N73" s="83">
        <f t="shared" si="31"/>
        <v>3.1865789723188325</v>
      </c>
      <c r="O73" s="83">
        <f t="shared" si="31"/>
        <v>7.5470984322493937</v>
      </c>
      <c r="P73" s="83">
        <f t="shared" si="31"/>
        <v>1.492318385560671</v>
      </c>
      <c r="Q73" s="83">
        <f t="shared" si="31"/>
        <v>0.91051131388430817</v>
      </c>
      <c r="R73" s="83">
        <f t="shared" si="31"/>
        <v>25.43578487288968</v>
      </c>
      <c r="S73" s="83"/>
      <c r="T73" s="83"/>
      <c r="U73" s="83">
        <f>(U75+(2*U71))</f>
        <v>2.2061543501378305</v>
      </c>
      <c r="V73" s="83">
        <f>(V75+(2*V71))</f>
        <v>1.4378601232363837</v>
      </c>
      <c r="W73" s="83"/>
      <c r="X73" s="83"/>
      <c r="Y73" s="83"/>
      <c r="Z73" s="83"/>
      <c r="AA73" s="83"/>
      <c r="AB73" s="83">
        <f t="shared" ref="AB73:AJ73" si="32">(AB75+(2*AB71))</f>
        <v>6.7593634147132375</v>
      </c>
      <c r="AC73" s="83">
        <f t="shared" si="32"/>
        <v>9.3227256000192824</v>
      </c>
      <c r="AD73" s="83">
        <f t="shared" si="32"/>
        <v>6.6469641403200264</v>
      </c>
      <c r="AE73" s="83">
        <f t="shared" si="32"/>
        <v>5.58962682965924</v>
      </c>
      <c r="AF73" s="83">
        <f t="shared" si="32"/>
        <v>4.6682001746084474</v>
      </c>
      <c r="AG73" s="83">
        <f t="shared" si="32"/>
        <v>8.427313446196349</v>
      </c>
      <c r="AH73" s="83">
        <f t="shared" si="32"/>
        <v>0.95562967858519998</v>
      </c>
      <c r="AI73" s="83">
        <f t="shared" si="32"/>
        <v>0.7574941345326377</v>
      </c>
      <c r="AJ73" s="83">
        <f t="shared" si="32"/>
        <v>31.714350135884288</v>
      </c>
      <c r="AK73" s="83"/>
      <c r="AL73" s="83"/>
      <c r="AM73" s="83"/>
      <c r="AN73" s="83">
        <f t="shared" ref="AN73:AV73" si="33">(AN75+(2*AN71))</f>
        <v>5.5365964669552534</v>
      </c>
      <c r="AO73" s="83">
        <f t="shared" si="33"/>
        <v>2.1999849174950579</v>
      </c>
      <c r="AP73" s="83">
        <f t="shared" si="33"/>
        <v>2.6733200530681511</v>
      </c>
      <c r="AQ73" s="83">
        <f t="shared" si="33"/>
        <v>2.0745150983550631</v>
      </c>
      <c r="AR73" s="83">
        <f t="shared" si="33"/>
        <v>2.2626229180393427</v>
      </c>
      <c r="AS73" s="83">
        <f t="shared" si="33"/>
        <v>2.2608258168825883</v>
      </c>
      <c r="AT73" s="83">
        <f t="shared" si="33"/>
        <v>1.1527952682182769</v>
      </c>
      <c r="AU73" s="83">
        <f t="shared" si="33"/>
        <v>0.56475342539457718</v>
      </c>
      <c r="AV73" s="83">
        <f t="shared" si="33"/>
        <v>4.0336115196842632</v>
      </c>
      <c r="AW73" s="83"/>
      <c r="AX73" s="83">
        <f t="shared" ref="AX73:BF73" si="34">(AX75+(2*AX71))</f>
        <v>5.7919883557315091</v>
      </c>
      <c r="AY73" s="83">
        <f t="shared" si="34"/>
        <v>2.2256311240736437</v>
      </c>
      <c r="AZ73" s="83">
        <f t="shared" si="34"/>
        <v>3.3253436954082596</v>
      </c>
      <c r="BA73" s="83">
        <f t="shared" si="34"/>
        <v>2.4655145391693489</v>
      </c>
      <c r="BB73" s="83">
        <f t="shared" si="34"/>
        <v>1.2887218511857026</v>
      </c>
      <c r="BC73" s="83">
        <f t="shared" si="34"/>
        <v>2.2608258168825883</v>
      </c>
      <c r="BD73" s="83">
        <f t="shared" si="34"/>
        <v>0.69890685521358042</v>
      </c>
      <c r="BE73" s="83">
        <f t="shared" si="34"/>
        <v>0.56475342539457718</v>
      </c>
      <c r="BF73" s="83">
        <f t="shared" si="34"/>
        <v>5.3989539881268245</v>
      </c>
      <c r="BG73" s="83"/>
      <c r="BH73" s="83">
        <f t="shared" ref="BH73:BP73" si="35">(BH75+(2*BH71))</f>
        <v>5.5957191786988769</v>
      </c>
      <c r="BI73" s="83">
        <f t="shared" si="35"/>
        <v>2.0338479816372423</v>
      </c>
      <c r="BJ73" s="83">
        <f t="shared" si="35"/>
        <v>2.8912677375290876</v>
      </c>
      <c r="BK73" s="83">
        <f t="shared" si="35"/>
        <v>2.2652793406693879</v>
      </c>
      <c r="BL73" s="83">
        <f t="shared" si="35"/>
        <v>1.5489888699605074</v>
      </c>
      <c r="BM73" s="83">
        <f t="shared" si="35"/>
        <v>2.4594142456642003</v>
      </c>
      <c r="BN73" s="83">
        <f t="shared" si="35"/>
        <v>0.86271607394183025</v>
      </c>
      <c r="BO73" s="83">
        <f t="shared" si="35"/>
        <v>0.39189933091421841</v>
      </c>
      <c r="BP73" s="83">
        <f t="shared" si="35"/>
        <v>4.919956151871971</v>
      </c>
      <c r="BQ73" s="83"/>
      <c r="BR73" s="83">
        <f t="shared" ref="BR73:BZ73" si="36">(BR75+(2*BR71))</f>
        <v>5.6329931618554525</v>
      </c>
      <c r="BS73" s="83">
        <f t="shared" si="36"/>
        <v>2.0448713250089336</v>
      </c>
      <c r="BT73" s="83">
        <f t="shared" si="36"/>
        <v>2.799533507342812</v>
      </c>
      <c r="BU73" s="83">
        <f t="shared" si="36"/>
        <v>2.5024165237401714</v>
      </c>
      <c r="BV73" s="83">
        <f t="shared" si="36"/>
        <v>1.4327012936261725</v>
      </c>
      <c r="BW73" s="83">
        <f t="shared" si="36"/>
        <v>2.5300765025977316</v>
      </c>
      <c r="BX73" s="83">
        <f t="shared" si="36"/>
        <v>0.48525822736185531</v>
      </c>
      <c r="BY73" s="83">
        <f t="shared" si="36"/>
        <v>0.56475342539457718</v>
      </c>
      <c r="BZ73" s="83">
        <f t="shared" si="36"/>
        <v>4.709616256768788</v>
      </c>
      <c r="CA73" s="83"/>
      <c r="CB73" s="83">
        <f t="shared" ref="CB73:CJ73" si="37">(CB75+(2*CB71))</f>
        <v>5.9607460794518783</v>
      </c>
      <c r="CC73" s="83">
        <f t="shared" si="37"/>
        <v>1.715105834999394</v>
      </c>
      <c r="CD73" s="83">
        <f t="shared" si="37"/>
        <v>3.0976176963403033</v>
      </c>
      <c r="CE73" s="83">
        <f t="shared" si="37"/>
        <v>2.6075669644136923</v>
      </c>
      <c r="CF73" s="83">
        <f t="shared" si="37"/>
        <v>1.7038826111272862</v>
      </c>
      <c r="CG73" s="83">
        <f t="shared" si="37"/>
        <v>2.7904672794541443</v>
      </c>
      <c r="CH73" s="83">
        <f t="shared" si="37"/>
        <v>0.48525822736185531</v>
      </c>
      <c r="CI73" s="83">
        <f t="shared" si="37"/>
        <v>0.39189933091421841</v>
      </c>
      <c r="CJ73" s="83">
        <f t="shared" si="37"/>
        <v>4.7467956480655529</v>
      </c>
      <c r="CK73" s="83"/>
      <c r="CL73" s="83">
        <f t="shared" ref="CL73:CT73" si="38">(CL75+(2*CL71))</f>
        <v>5.6273666747144384</v>
      </c>
      <c r="CM73" s="83">
        <f t="shared" si="38"/>
        <v>1.5641226831204156</v>
      </c>
      <c r="CN73" s="83">
        <f t="shared" si="38"/>
        <v>2.6415595735750026</v>
      </c>
      <c r="CO73" s="83">
        <f t="shared" si="38"/>
        <v>1.96711375713486</v>
      </c>
      <c r="CP73" s="83">
        <f t="shared" si="38"/>
        <v>1.2223789585663645</v>
      </c>
      <c r="CQ73" s="83">
        <f t="shared" si="38"/>
        <v>2.7860653970408302</v>
      </c>
      <c r="CR73" s="83">
        <f t="shared" si="38"/>
        <v>0.90362492672082662</v>
      </c>
      <c r="CS73" s="83">
        <f t="shared" si="38"/>
        <v>0</v>
      </c>
      <c r="CT73" s="83">
        <f t="shared" si="38"/>
        <v>4.1423287806833322</v>
      </c>
      <c r="CU73" s="83"/>
      <c r="CV73" s="83">
        <f t="shared" ref="CV73:DD73" si="39">(CV75+(2*CV71))</f>
        <v>5.2608258168825888</v>
      </c>
      <c r="CW73" s="83">
        <f t="shared" si="39"/>
        <v>1.8043178710207048</v>
      </c>
      <c r="CX73" s="83">
        <f t="shared" si="39"/>
        <v>2.4383708495241554</v>
      </c>
      <c r="CY73" s="83">
        <f t="shared" si="39"/>
        <v>1.8667015286692574</v>
      </c>
      <c r="CZ73" s="83">
        <f t="shared" si="39"/>
        <v>1.5489888699605074</v>
      </c>
      <c r="DA73" s="83">
        <f t="shared" si="39"/>
        <v>2.481005309392184</v>
      </c>
      <c r="DB73" s="83">
        <f t="shared" si="39"/>
        <v>0.68405065866320913</v>
      </c>
      <c r="DC73" s="83">
        <f t="shared" si="39"/>
        <v>0</v>
      </c>
      <c r="DD73" s="83">
        <f t="shared" si="39"/>
        <v>3.8189863692593899</v>
      </c>
      <c r="DE73" s="83"/>
      <c r="DF73" s="83">
        <f t="shared" ref="DF73:DN73" si="40">(DF75+(2*DF71))</f>
        <v>4.9950514183548966</v>
      </c>
      <c r="DG73" s="83">
        <f t="shared" si="40"/>
        <v>1.9805589479045818</v>
      </c>
      <c r="DH73" s="83">
        <f t="shared" si="40"/>
        <v>2.5630285099683632</v>
      </c>
      <c r="DI73" s="83">
        <f t="shared" si="40"/>
        <v>1.6788760978999753</v>
      </c>
      <c r="DJ73" s="83">
        <f t="shared" si="40"/>
        <v>1.682224508521954</v>
      </c>
      <c r="DK73" s="83">
        <f t="shared" si="40"/>
        <v>2.5225410699605511</v>
      </c>
      <c r="DL73" s="83">
        <f t="shared" si="40"/>
        <v>0.39189933091421841</v>
      </c>
      <c r="DM73" s="83">
        <f t="shared" si="40"/>
        <v>0.27246720248874279</v>
      </c>
      <c r="DN73" s="83">
        <f t="shared" si="40"/>
        <v>4.1053015463152693</v>
      </c>
      <c r="DO73" s="83"/>
      <c r="DP73" s="83">
        <f t="shared" ref="DP73:FF73" si="41">(DP75+(2*DP71))</f>
        <v>4.9961075156650185</v>
      </c>
      <c r="DQ73" s="83">
        <f t="shared" si="41"/>
        <v>1.6272235959843582</v>
      </c>
      <c r="DR73" s="83">
        <f t="shared" si="41"/>
        <v>2.1110839822298089</v>
      </c>
      <c r="DS73" s="83">
        <f t="shared" si="41"/>
        <v>0.99502430254473628</v>
      </c>
      <c r="DT73" s="83">
        <f t="shared" si="41"/>
        <v>0.99835897951482544</v>
      </c>
      <c r="DU73" s="83">
        <f t="shared" si="41"/>
        <v>3.0329657139346899</v>
      </c>
      <c r="DV73" s="83">
        <f t="shared" si="41"/>
        <v>0.69890685521358042</v>
      </c>
      <c r="DW73" s="83">
        <f t="shared" si="41"/>
        <v>0</v>
      </c>
      <c r="DX73" s="83">
        <f t="shared" si="41"/>
        <v>2.797258699495865</v>
      </c>
      <c r="DY73" s="83">
        <f t="shared" si="41"/>
        <v>7.7892656819681152</v>
      </c>
      <c r="DZ73" s="83">
        <f t="shared" si="41"/>
        <v>1.2223789585663645</v>
      </c>
      <c r="EA73" s="83">
        <f t="shared" si="41"/>
        <v>0.63514975890027381</v>
      </c>
      <c r="EB73" s="83">
        <f t="shared" si="41"/>
        <v>11.712094131189936</v>
      </c>
      <c r="EC73" s="83">
        <f t="shared" si="41"/>
        <v>4.1747289803642049</v>
      </c>
      <c r="ED73" s="83">
        <f t="shared" si="41"/>
        <v>1.2887218511857026</v>
      </c>
      <c r="EE73" s="83">
        <f t="shared" si="41"/>
        <v>2.9530985872521494</v>
      </c>
      <c r="EF73" s="83">
        <f t="shared" si="41"/>
        <v>3.4435661090756371</v>
      </c>
      <c r="EG73" s="83">
        <f t="shared" si="41"/>
        <v>1.822744968235253</v>
      </c>
      <c r="EH73" s="83">
        <f t="shared" si="41"/>
        <v>3.6516913607895929</v>
      </c>
      <c r="EI73" s="83">
        <f t="shared" si="41"/>
        <v>2.4453624517424024</v>
      </c>
      <c r="EJ73" s="83">
        <f t="shared" si="41"/>
        <v>3.683427165394511</v>
      </c>
      <c r="EK73" s="83">
        <f t="shared" si="41"/>
        <v>2.1948077090289653</v>
      </c>
      <c r="EL73" s="83">
        <f t="shared" si="41"/>
        <v>2.4868123649436535</v>
      </c>
      <c r="EM73" s="83">
        <f t="shared" si="41"/>
        <v>2.8627301984118194</v>
      </c>
      <c r="EN73" s="83">
        <f t="shared" si="41"/>
        <v>1.3661288923219779</v>
      </c>
      <c r="EO73" s="83">
        <f t="shared" si="41"/>
        <v>1.4880338717125849</v>
      </c>
      <c r="EP73" s="83">
        <f t="shared" si="41"/>
        <v>3.8284271247461903</v>
      </c>
      <c r="EQ73" s="83"/>
      <c r="ER73" s="83">
        <f t="shared" si="41"/>
        <v>11.544393058628369</v>
      </c>
      <c r="ES73" s="83">
        <f t="shared" si="41"/>
        <v>1.7038826111272862</v>
      </c>
      <c r="ET73" s="83">
        <f t="shared" si="41"/>
        <v>1.7049114490590602</v>
      </c>
      <c r="EU73" s="83">
        <f t="shared" si="41"/>
        <v>2.7924975204307918</v>
      </c>
      <c r="EV73" s="83">
        <f t="shared" si="41"/>
        <v>2.8958150439875774</v>
      </c>
      <c r="EW73" s="83">
        <f t="shared" si="41"/>
        <v>3.4342117198652864</v>
      </c>
      <c r="EX73" s="83">
        <f t="shared" si="41"/>
        <v>2.7572402229233868</v>
      </c>
      <c r="EY73" s="83">
        <f t="shared" si="41"/>
        <v>2.5875393201783305</v>
      </c>
      <c r="EZ73" s="83">
        <f t="shared" si="41"/>
        <v>2.3630471157269839</v>
      </c>
      <c r="FA73" s="83">
        <f t="shared" si="41"/>
        <v>2.3552251790864309</v>
      </c>
      <c r="FB73" s="83">
        <f t="shared" si="41"/>
        <v>1.5954451150103321</v>
      </c>
      <c r="FC73" s="83">
        <f t="shared" si="41"/>
        <v>0</v>
      </c>
      <c r="FD73" s="83">
        <f t="shared" si="41"/>
        <v>0</v>
      </c>
      <c r="FE73" s="83"/>
      <c r="FF73" s="83">
        <f t="shared" si="41"/>
        <v>10.774685533869242</v>
      </c>
      <c r="FI73" s="88" t="s">
        <v>280</v>
      </c>
    </row>
    <row r="74" spans="1:165" x14ac:dyDescent="0.25">
      <c r="A74" s="87" t="s">
        <v>279</v>
      </c>
      <c r="B74" s="53"/>
      <c r="C74" s="53"/>
      <c r="D74" s="53"/>
      <c r="E74" s="83">
        <f>(E75+E71)</f>
        <v>6237.535019085547</v>
      </c>
      <c r="F74" s="83"/>
      <c r="G74" s="83"/>
      <c r="H74" s="83"/>
      <c r="I74" s="83"/>
      <c r="J74" s="83">
        <f t="shared" ref="J74:R74" si="42">(J75+J71)</f>
        <v>5.5767445718293214</v>
      </c>
      <c r="K74" s="83">
        <f t="shared" si="42"/>
        <v>6.3919105022539222</v>
      </c>
      <c r="L74" s="83">
        <f t="shared" si="42"/>
        <v>4.0182466354354514</v>
      </c>
      <c r="M74" s="83">
        <f t="shared" si="42"/>
        <v>3.6733200530681511</v>
      </c>
      <c r="N74" s="83">
        <f t="shared" si="42"/>
        <v>2.142469814028269</v>
      </c>
      <c r="O74" s="83">
        <f t="shared" si="42"/>
        <v>5.4784672489115813</v>
      </c>
      <c r="P74" s="83">
        <f t="shared" si="42"/>
        <v>0.91829034032131918</v>
      </c>
      <c r="Q74" s="83">
        <f t="shared" si="42"/>
        <v>0.53722287005690816</v>
      </c>
      <c r="R74" s="83">
        <f t="shared" si="42"/>
        <v>22.078548174149759</v>
      </c>
      <c r="S74" s="83"/>
      <c r="T74" s="83"/>
      <c r="U74" s="83">
        <f>(U75+U71)</f>
        <v>1.3571755357246529</v>
      </c>
      <c r="V74" s="83">
        <f>(V75+V71)</f>
        <v>0.8418808812903229</v>
      </c>
      <c r="W74" s="83"/>
      <c r="X74" s="83"/>
      <c r="Y74" s="83"/>
      <c r="Z74" s="83"/>
      <c r="AA74" s="83"/>
      <c r="AB74" s="83">
        <f t="shared" ref="AB74:AJ74" si="43">(AB75+AB71)</f>
        <v>5.5490806144604434</v>
      </c>
      <c r="AC74" s="83">
        <f t="shared" si="43"/>
        <v>6.7105431278784931</v>
      </c>
      <c r="AD74" s="83">
        <f t="shared" si="43"/>
        <v>4.3972525619632918</v>
      </c>
      <c r="AE74" s="83">
        <f t="shared" si="43"/>
        <v>3.6800593164689639</v>
      </c>
      <c r="AF74" s="83">
        <f t="shared" si="43"/>
        <v>3.1947558250091417</v>
      </c>
      <c r="AG74" s="83">
        <f t="shared" si="43"/>
        <v>6.393984591950634</v>
      </c>
      <c r="AH74" s="83">
        <f t="shared" si="43"/>
        <v>0.56797877371882954</v>
      </c>
      <c r="AI74" s="83">
        <f t="shared" si="43"/>
        <v>0.43612411644664673</v>
      </c>
      <c r="AJ74" s="83">
        <f t="shared" si="43"/>
        <v>25.201437363024109</v>
      </c>
      <c r="AK74" s="83"/>
      <c r="AL74" s="83"/>
      <c r="AM74" s="83"/>
      <c r="AN74" s="83">
        <f t="shared" ref="AN74:AV74" si="44">(AN75+AN71)</f>
        <v>4.6535441351169711</v>
      </c>
      <c r="AO74" s="83">
        <f t="shared" si="44"/>
        <v>1.4278613112065455</v>
      </c>
      <c r="AP74" s="83">
        <f t="shared" si="44"/>
        <v>1.8366600265340756</v>
      </c>
      <c r="AQ74" s="83">
        <f t="shared" si="44"/>
        <v>1.2667657458988431</v>
      </c>
      <c r="AR74" s="83">
        <f t="shared" si="44"/>
        <v>1.442786868855737</v>
      </c>
      <c r="AS74" s="83">
        <f t="shared" si="44"/>
        <v>1.4746752035232613</v>
      </c>
      <c r="AT74" s="83">
        <f t="shared" si="44"/>
        <v>0.69115173246979422</v>
      </c>
      <c r="AU74" s="83">
        <f t="shared" si="44"/>
        <v>0.31516359794319027</v>
      </c>
      <c r="AV74" s="83">
        <f t="shared" si="44"/>
        <v>2.7135270713175412</v>
      </c>
      <c r="AW74" s="83"/>
      <c r="AX74" s="83">
        <f t="shared" ref="AX74:BF74" si="45">(AX75+AX71)</f>
        <v>4.953371227046083</v>
      </c>
      <c r="AY74" s="83">
        <f t="shared" si="45"/>
        <v>1.4652745784302645</v>
      </c>
      <c r="AZ74" s="83">
        <f t="shared" si="45"/>
        <v>2.2528357821303593</v>
      </c>
      <c r="BA74" s="83">
        <f t="shared" si="45"/>
        <v>1.5278392367977891</v>
      </c>
      <c r="BB74" s="83">
        <f t="shared" si="45"/>
        <v>0.77550846657645778</v>
      </c>
      <c r="BC74" s="83">
        <f t="shared" si="45"/>
        <v>1.4746752035232613</v>
      </c>
      <c r="BD74" s="83">
        <f t="shared" si="45"/>
        <v>0.39863375547564267</v>
      </c>
      <c r="BE74" s="83">
        <f t="shared" si="45"/>
        <v>0.31516359794319027</v>
      </c>
      <c r="BF74" s="83">
        <f t="shared" si="45"/>
        <v>3.5519360104568549</v>
      </c>
      <c r="BG74" s="83"/>
      <c r="BH74" s="83">
        <f t="shared" ref="BH74:BP74" si="46">(BH75+BH71)</f>
        <v>4.7896628680379632</v>
      </c>
      <c r="BI74" s="83">
        <f t="shared" si="46"/>
        <v>1.3202026793432113</v>
      </c>
      <c r="BJ74" s="83">
        <f t="shared" si="46"/>
        <v>2.0767814097481505</v>
      </c>
      <c r="BK74" s="83">
        <f t="shared" si="46"/>
        <v>1.4195249162363333</v>
      </c>
      <c r="BL74" s="83">
        <f t="shared" si="46"/>
        <v>0.9466255825212373</v>
      </c>
      <c r="BM74" s="83">
        <f t="shared" si="46"/>
        <v>1.6149530244714443</v>
      </c>
      <c r="BN74" s="83">
        <f t="shared" si="46"/>
        <v>0.50512852877419379</v>
      </c>
      <c r="BO74" s="83">
        <f t="shared" si="46"/>
        <v>0.21234310808006004</v>
      </c>
      <c r="BP74" s="83">
        <f t="shared" si="46"/>
        <v>3.3452239775753299</v>
      </c>
      <c r="BQ74" s="83"/>
      <c r="BR74" s="83">
        <f t="shared" ref="BR74:BZ74" si="47">(BR75+BR71)</f>
        <v>4.8164965809277263</v>
      </c>
      <c r="BS74" s="83">
        <f t="shared" si="47"/>
        <v>1.3339110723405323</v>
      </c>
      <c r="BT74" s="83">
        <f t="shared" si="47"/>
        <v>1.9489470815402585</v>
      </c>
      <c r="BU74" s="83">
        <f t="shared" si="47"/>
        <v>1.5708803930176267</v>
      </c>
      <c r="BV74" s="83">
        <f t="shared" si="47"/>
        <v>0.88848179435406993</v>
      </c>
      <c r="BW74" s="83">
        <f t="shared" si="47"/>
        <v>1.6420874316267347</v>
      </c>
      <c r="BX74" s="83">
        <f t="shared" si="47"/>
        <v>0.26721927761535391</v>
      </c>
      <c r="BY74" s="83">
        <f t="shared" si="47"/>
        <v>0.31516359794319027</v>
      </c>
      <c r="BZ74" s="83">
        <f t="shared" si="47"/>
        <v>3.133496652974558</v>
      </c>
      <c r="CA74" s="83"/>
      <c r="CB74" s="83">
        <f t="shared" ref="CB74:CJ74" si="48">(CB75+CB71)</f>
        <v>4.9393894331685626</v>
      </c>
      <c r="CC74" s="83">
        <f t="shared" si="48"/>
        <v>1.0706676715980576</v>
      </c>
      <c r="CD74" s="83">
        <f t="shared" si="48"/>
        <v>2.0488088481701516</v>
      </c>
      <c r="CE74" s="83">
        <f t="shared" si="48"/>
        <v>1.5824720067970102</v>
      </c>
      <c r="CF74" s="83">
        <f t="shared" si="48"/>
        <v>1.007679010481676</v>
      </c>
      <c r="CG74" s="83">
        <f t="shared" si="48"/>
        <v>1.8542500331696952</v>
      </c>
      <c r="CH74" s="83">
        <f t="shared" si="48"/>
        <v>0.26721927761535391</v>
      </c>
      <c r="CI74" s="83">
        <f t="shared" si="48"/>
        <v>0.21234310808006004</v>
      </c>
      <c r="CJ74" s="83">
        <f t="shared" si="48"/>
        <v>3.0619224141967107</v>
      </c>
      <c r="CK74" s="83"/>
      <c r="CL74" s="83">
        <f t="shared" ref="CL74:CT74" si="49">(CL75+CL71)</f>
        <v>4.7235194029309895</v>
      </c>
      <c r="CM74" s="83">
        <f t="shared" si="49"/>
        <v>0.97878265303561762</v>
      </c>
      <c r="CN74" s="83">
        <f t="shared" si="49"/>
        <v>1.7715994589186488</v>
      </c>
      <c r="CO74" s="83">
        <f t="shared" si="49"/>
        <v>1.245851960534643</v>
      </c>
      <c r="CP74" s="83">
        <f t="shared" si="49"/>
        <v>0.72594357764383799</v>
      </c>
      <c r="CQ74" s="83">
        <f t="shared" si="49"/>
        <v>1.8356556493400873</v>
      </c>
      <c r="CR74" s="83">
        <f t="shared" si="49"/>
        <v>0.5173862338522166</v>
      </c>
      <c r="CS74" s="83">
        <f t="shared" si="49"/>
        <v>0</v>
      </c>
      <c r="CT74" s="83">
        <f t="shared" si="49"/>
        <v>2.7514922591941247</v>
      </c>
      <c r="CU74" s="83"/>
      <c r="CV74" s="83">
        <f t="shared" ref="CV74:DD74" si="50">(CV75+CV71)</f>
        <v>4.4746752035232618</v>
      </c>
      <c r="CW74" s="83">
        <f t="shared" si="50"/>
        <v>1.1316671322316638</v>
      </c>
      <c r="CX74" s="83">
        <f t="shared" si="50"/>
        <v>1.6536116542702746</v>
      </c>
      <c r="CY74" s="83">
        <f t="shared" si="50"/>
        <v>1.1300720758100384</v>
      </c>
      <c r="CZ74" s="83">
        <f t="shared" si="50"/>
        <v>0.9466255825212373</v>
      </c>
      <c r="DA74" s="83">
        <f t="shared" si="50"/>
        <v>1.6831256055157642</v>
      </c>
      <c r="DB74" s="83">
        <f t="shared" si="50"/>
        <v>0.37481221457750624</v>
      </c>
      <c r="DC74" s="83">
        <f t="shared" si="50"/>
        <v>0</v>
      </c>
      <c r="DD74" s="83">
        <f t="shared" si="50"/>
        <v>2.5324440043018264</v>
      </c>
      <c r="DE74" s="83"/>
      <c r="DF74" s="83">
        <f t="shared" ref="DF74:DN74" si="51">(DF75+DF71)</f>
        <v>4.2106404632758085</v>
      </c>
      <c r="DG74" s="83">
        <f t="shared" si="51"/>
        <v>1.2361811132965532</v>
      </c>
      <c r="DH74" s="83">
        <f t="shared" si="51"/>
        <v>1.7405306484268046</v>
      </c>
      <c r="DI74" s="83">
        <f t="shared" si="51"/>
        <v>1.0197659178024467</v>
      </c>
      <c r="DJ74" s="83">
        <f t="shared" si="51"/>
        <v>1.062423729670813</v>
      </c>
      <c r="DK74" s="83">
        <f t="shared" si="51"/>
        <v>1.712090207111423</v>
      </c>
      <c r="DL74" s="83">
        <f t="shared" si="51"/>
        <v>0.21234310808006004</v>
      </c>
      <c r="DM74" s="83">
        <f t="shared" si="51"/>
        <v>0.14443032255584679</v>
      </c>
      <c r="DN74" s="83">
        <f t="shared" si="51"/>
        <v>2.7083884780756673</v>
      </c>
      <c r="DO74" s="83"/>
      <c r="DP74" s="83">
        <f t="shared" ref="DP74:FF74" si="52">(DP75+DP71)</f>
        <v>4.2767422824226733</v>
      </c>
      <c r="DQ74" s="83">
        <f t="shared" si="52"/>
        <v>1.0349232734020151</v>
      </c>
      <c r="DR74" s="83">
        <f t="shared" si="52"/>
        <v>1.383410843573921</v>
      </c>
      <c r="DS74" s="83">
        <f t="shared" si="52"/>
        <v>0.57947936438712222</v>
      </c>
      <c r="DT74" s="83">
        <f t="shared" si="52"/>
        <v>0.59754014549511769</v>
      </c>
      <c r="DU74" s="83">
        <f t="shared" si="52"/>
        <v>2.1312369553280006</v>
      </c>
      <c r="DV74" s="83">
        <f t="shared" si="52"/>
        <v>0.39863375547564267</v>
      </c>
      <c r="DW74" s="83">
        <f t="shared" si="52"/>
        <v>0</v>
      </c>
      <c r="DX74" s="83">
        <f t="shared" si="52"/>
        <v>1.8002686940102275</v>
      </c>
      <c r="DY74" s="83">
        <f t="shared" si="52"/>
        <v>5.113212075956735</v>
      </c>
      <c r="DZ74" s="83">
        <f t="shared" si="52"/>
        <v>0.72594357764383799</v>
      </c>
      <c r="EA74" s="83">
        <f t="shared" si="52"/>
        <v>0.35855848600751394</v>
      </c>
      <c r="EB74" s="83">
        <f t="shared" si="52"/>
        <v>9.1046809453763888</v>
      </c>
      <c r="EC74" s="83">
        <f t="shared" si="52"/>
        <v>2.6529382606739058</v>
      </c>
      <c r="ED74" s="83">
        <f t="shared" si="52"/>
        <v>0.77550846657645778</v>
      </c>
      <c r="EE74" s="83">
        <f t="shared" si="52"/>
        <v>1.763434539527714</v>
      </c>
      <c r="EF74" s="83">
        <f t="shared" si="52"/>
        <v>1.9758814151935562</v>
      </c>
      <c r="EG74" s="83">
        <f t="shared" si="52"/>
        <v>1.0917003529700855</v>
      </c>
      <c r="EH74" s="83">
        <f t="shared" si="52"/>
        <v>2.0963374836734849</v>
      </c>
      <c r="EI74" s="83">
        <f t="shared" si="52"/>
        <v>1.4685828652154633</v>
      </c>
      <c r="EJ74" s="83">
        <f t="shared" si="52"/>
        <v>2.251549648271026</v>
      </c>
      <c r="EK74" s="83">
        <f t="shared" si="52"/>
        <v>1.3105186086128433</v>
      </c>
      <c r="EL74" s="83">
        <f t="shared" si="52"/>
        <v>1.4806943180650471</v>
      </c>
      <c r="EM74" s="83">
        <f t="shared" si="52"/>
        <v>1.7646984325392432</v>
      </c>
      <c r="EN74" s="83">
        <f t="shared" si="52"/>
        <v>0.84973111282765568</v>
      </c>
      <c r="EO74" s="83">
        <f t="shared" si="52"/>
        <v>0.91068360252295921</v>
      </c>
      <c r="EP74" s="83">
        <f t="shared" si="52"/>
        <v>2.4142135623730949</v>
      </c>
      <c r="EQ74" s="83"/>
      <c r="ER74" s="83">
        <f t="shared" si="52"/>
        <v>8.1738358735764791</v>
      </c>
      <c r="ES74" s="83">
        <f t="shared" si="52"/>
        <v>1.007679010481676</v>
      </c>
      <c r="ET74" s="83">
        <f t="shared" si="52"/>
        <v>1.0245868720705138</v>
      </c>
      <c r="EU74" s="83">
        <f t="shared" si="52"/>
        <v>1.6913307274285108</v>
      </c>
      <c r="EV74" s="83">
        <f t="shared" si="52"/>
        <v>1.7921698170757558</v>
      </c>
      <c r="EW74" s="83">
        <f t="shared" si="52"/>
        <v>2.0613681550146103</v>
      </c>
      <c r="EX74" s="83">
        <f t="shared" si="52"/>
        <v>1.6900955212977591</v>
      </c>
      <c r="EY74" s="83">
        <f t="shared" si="52"/>
        <v>1.4886849143264536</v>
      </c>
      <c r="EZ74" s="83">
        <f t="shared" si="52"/>
        <v>1.4103371171855259</v>
      </c>
      <c r="FA74" s="83">
        <f t="shared" si="52"/>
        <v>1.4276125895432155</v>
      </c>
      <c r="FB74" s="83">
        <f t="shared" si="52"/>
        <v>1.0477225575051661</v>
      </c>
      <c r="FC74" s="83">
        <f t="shared" si="52"/>
        <v>0</v>
      </c>
      <c r="FD74" s="83">
        <f t="shared" si="52"/>
        <v>0</v>
      </c>
      <c r="FE74" s="83"/>
      <c r="FF74" s="83">
        <f t="shared" si="52"/>
        <v>7.6250476849674076</v>
      </c>
      <c r="FI74" s="88" t="s">
        <v>279</v>
      </c>
    </row>
    <row r="75" spans="1:165" x14ac:dyDescent="0.25">
      <c r="A75" s="82" t="s">
        <v>233</v>
      </c>
      <c r="B75" s="90"/>
      <c r="C75" s="90"/>
      <c r="D75" s="90"/>
      <c r="E75" s="41">
        <f>AVERAGE(Table13[Att])</f>
        <v>4421.8166666666666</v>
      </c>
      <c r="F75" s="90"/>
      <c r="G75" s="90"/>
      <c r="H75" s="90"/>
      <c r="I75" s="90"/>
      <c r="J75" s="41">
        <f>AVERAGE(Table13[S-IP])</f>
        <v>4.497267759562841</v>
      </c>
      <c r="K75" s="41">
        <f>AVERAGE(Table13[S-H])</f>
        <v>4.5245901639344259</v>
      </c>
      <c r="L75" s="41">
        <f>AVERAGE(Table13[S-R])</f>
        <v>2.3278688524590163</v>
      </c>
      <c r="M75" s="41">
        <f>AVERAGE(Table13[S-ER])</f>
        <v>2</v>
      </c>
      <c r="N75" s="41">
        <f>AVERAGE(Table13[S-BB])</f>
        <v>1.098360655737705</v>
      </c>
      <c r="O75" s="41">
        <f>AVERAGE(Table13[S-SO])</f>
        <v>3.4098360655737703</v>
      </c>
      <c r="P75" s="41">
        <f>AVERAGE(Table13[S-HR])</f>
        <v>0.34426229508196721</v>
      </c>
      <c r="Q75" s="41">
        <f>AVERAGE(Table13[S-HBP])</f>
        <v>0.16393442622950818</v>
      </c>
      <c r="R75" s="41">
        <f>AVERAGE(Table13[S-BF])</f>
        <v>18.721311475409838</v>
      </c>
      <c r="S75" s="41"/>
      <c r="T75" s="41"/>
      <c r="U75" s="41">
        <f>AVERAGE(Table13[IRL])</f>
        <v>0.50819672131147542</v>
      </c>
      <c r="V75" s="41">
        <f>AVERAGE(Table13[IRS])</f>
        <v>0.24590163934426229</v>
      </c>
      <c r="W75" s="90"/>
      <c r="X75" s="90"/>
      <c r="Y75" s="90"/>
      <c r="Z75" s="90"/>
      <c r="AA75" s="90"/>
      <c r="AB75" s="41">
        <f>AVERAGE(Table13[B-IP])</f>
        <v>4.3387978142076493</v>
      </c>
      <c r="AC75" s="41">
        <f>AVERAGE(Table13[B-H])</f>
        <v>4.0983606557377046</v>
      </c>
      <c r="AD75" s="41">
        <f>AVERAGE(Table13[B-R])</f>
        <v>2.1475409836065573</v>
      </c>
      <c r="AE75" s="41">
        <f>AVERAGE(Table13[B-ER])</f>
        <v>1.7704918032786885</v>
      </c>
      <c r="AF75" s="41">
        <f>AVERAGE(Table13[B-BB])</f>
        <v>1.721311475409836</v>
      </c>
      <c r="AG75" s="41">
        <f>AVERAGE(Table13[B-SO])</f>
        <v>4.360655737704918</v>
      </c>
      <c r="AH75" s="41">
        <f>AVERAGE(Table13[B-HR])</f>
        <v>0.18032786885245902</v>
      </c>
      <c r="AI75" s="41">
        <f>AVERAGE(Table13[B-HBP])</f>
        <v>0.11475409836065574</v>
      </c>
      <c r="AJ75" s="41">
        <f>AVERAGE(Table13[B-BF])</f>
        <v>18.688524590163933</v>
      </c>
      <c r="AK75" s="41"/>
      <c r="AL75" s="41"/>
      <c r="AM75" s="90"/>
      <c r="AN75" s="41">
        <f>AVERAGE(Table13[AB1])</f>
        <v>3.7704918032786887</v>
      </c>
      <c r="AO75" s="41">
        <f>AVERAGE(Table13[R1])</f>
        <v>0.65573770491803274</v>
      </c>
      <c r="AP75" s="41">
        <f>AVERAGE(Table13[H1])</f>
        <v>1</v>
      </c>
      <c r="AQ75" s="41">
        <f>AVERAGE(Table13[RBI1])</f>
        <v>0.45901639344262296</v>
      </c>
      <c r="AR75" s="41">
        <f>AVERAGE(Table13[BB1])</f>
        <v>0.62295081967213117</v>
      </c>
      <c r="AS75" s="41">
        <f>AVERAGE(Table13[SO1])</f>
        <v>0.68852459016393441</v>
      </c>
      <c r="AT75" s="41">
        <f>AVERAGE(Table13[HBP1])</f>
        <v>0.22950819672131148</v>
      </c>
      <c r="AU75" s="41">
        <f>AVERAGE(Table13[SF1])</f>
        <v>6.5573770491803282E-2</v>
      </c>
      <c r="AV75" s="41">
        <f>AVERAGE(Table13[TB1])</f>
        <v>1.3934426229508197</v>
      </c>
      <c r="AW75" s="90"/>
      <c r="AX75" s="41">
        <f>AVERAGE(Table13[AB2])</f>
        <v>4.1147540983606561</v>
      </c>
      <c r="AY75" s="41">
        <f>AVERAGE(Table13[R2])</f>
        <v>0.70491803278688525</v>
      </c>
      <c r="AZ75" s="41">
        <f>AVERAGE(Table13[H2])</f>
        <v>1.180327868852459</v>
      </c>
      <c r="BA75" s="41">
        <f>AVERAGE(Table13[RBI2])</f>
        <v>0.5901639344262295</v>
      </c>
      <c r="BB75" s="41">
        <f>AVERAGE(Table13[BB2])</f>
        <v>0.26229508196721313</v>
      </c>
      <c r="BC75" s="41">
        <f>AVERAGE(Table13[SO2])</f>
        <v>0.68852459016393441</v>
      </c>
      <c r="BD75" s="41">
        <f>AVERAGE(Table13[HBP2])</f>
        <v>9.8360655737704916E-2</v>
      </c>
      <c r="BE75" s="41">
        <f>AVERAGE(Table13[SF2])</f>
        <v>6.5573770491803282E-2</v>
      </c>
      <c r="BF75" s="41">
        <f>AVERAGE(Table13[TB2])</f>
        <v>1.7049180327868851</v>
      </c>
      <c r="BG75" s="90"/>
      <c r="BH75" s="41">
        <f>AVERAGE(Table13[AB3])</f>
        <v>3.9836065573770494</v>
      </c>
      <c r="BI75" s="41">
        <f>AVERAGE(Table13[R3])</f>
        <v>0.60655737704918034</v>
      </c>
      <c r="BJ75" s="41">
        <f>AVERAGE(Table13[H3])</f>
        <v>1.2622950819672132</v>
      </c>
      <c r="BK75" s="41">
        <f>AVERAGE(Table13[RBI3])</f>
        <v>0.57377049180327866</v>
      </c>
      <c r="BL75" s="41">
        <f>AVERAGE(Table13[BB3])</f>
        <v>0.34426229508196721</v>
      </c>
      <c r="BM75" s="41">
        <f>AVERAGE(Table13[SO3])</f>
        <v>0.77049180327868849</v>
      </c>
      <c r="BN75" s="41">
        <f>AVERAGE(Table13[HBP3])</f>
        <v>0.14754098360655737</v>
      </c>
      <c r="BO75" s="41">
        <f>AVERAGE(Table13[SF3])</f>
        <v>3.2786885245901641E-2</v>
      </c>
      <c r="BP75" s="41">
        <f>AVERAGE(Table13[TB3])</f>
        <v>1.7704918032786885</v>
      </c>
      <c r="BQ75" s="90"/>
      <c r="BR75" s="41">
        <f>AVERAGE(Table13[AB4])</f>
        <v>4</v>
      </c>
      <c r="BS75" s="41">
        <f>AVERAGE(Table13[R4])</f>
        <v>0.62295081967213117</v>
      </c>
      <c r="BT75" s="41">
        <f>AVERAGE(Table13[H4])</f>
        <v>1.098360655737705</v>
      </c>
      <c r="BU75" s="41">
        <f>AVERAGE(Table13[RBI4])</f>
        <v>0.63934426229508201</v>
      </c>
      <c r="BV75" s="41">
        <f>AVERAGE(Table13[BB4])</f>
        <v>0.34426229508196721</v>
      </c>
      <c r="BW75" s="41">
        <f>AVERAGE(Table13[SO4])</f>
        <v>0.75409836065573765</v>
      </c>
      <c r="BX75" s="41">
        <f>AVERAGE(Table13[HBP4])</f>
        <v>4.9180327868852458E-2</v>
      </c>
      <c r="BY75" s="41">
        <f>AVERAGE(Table13[SF4])</f>
        <v>6.5573770491803282E-2</v>
      </c>
      <c r="BZ75" s="41">
        <f>AVERAGE(Table13[TB4])</f>
        <v>1.5573770491803278</v>
      </c>
      <c r="CA75" s="90"/>
      <c r="CB75" s="41">
        <f>AVERAGE(Table13[AB5])</f>
        <v>3.918032786885246</v>
      </c>
      <c r="CC75" s="41">
        <f>AVERAGE(Table13[R5])</f>
        <v>0.42622950819672129</v>
      </c>
      <c r="CD75" s="41">
        <f>AVERAGE(Table13[H5])</f>
        <v>1</v>
      </c>
      <c r="CE75" s="41">
        <f>AVERAGE(Table13[RBI5])</f>
        <v>0.55737704918032782</v>
      </c>
      <c r="CF75" s="41">
        <f>AVERAGE(Table13[BB5])</f>
        <v>0.31147540983606559</v>
      </c>
      <c r="CG75" s="41">
        <f>AVERAGE(Table13[SO5])</f>
        <v>0.91803278688524592</v>
      </c>
      <c r="CH75" s="41">
        <f>AVERAGE(Table13[HBP5])</f>
        <v>4.9180327868852458E-2</v>
      </c>
      <c r="CI75" s="41">
        <f>AVERAGE(Table13[SF5])</f>
        <v>3.2786885245901641E-2</v>
      </c>
      <c r="CJ75" s="41">
        <f>AVERAGE(Table13[TB5])</f>
        <v>1.3770491803278688</v>
      </c>
      <c r="CK75" s="90"/>
      <c r="CL75" s="41">
        <f>AVERAGE(Table13[AB6])</f>
        <v>3.819672131147541</v>
      </c>
      <c r="CM75" s="41">
        <f>AVERAGE(Table13[R6])</f>
        <v>0.39344262295081966</v>
      </c>
      <c r="CN75" s="41">
        <f>AVERAGE(Table13[H6])</f>
        <v>0.90163934426229508</v>
      </c>
      <c r="CO75" s="41">
        <f>AVERAGE(Table13[RBI6])</f>
        <v>0.52459016393442626</v>
      </c>
      <c r="CP75" s="41">
        <f>AVERAGE(Table13[BB6])</f>
        <v>0.22950819672131148</v>
      </c>
      <c r="CQ75" s="41">
        <f>AVERAGE(Table13[SO6])</f>
        <v>0.88524590163934425</v>
      </c>
      <c r="CR75" s="41">
        <f>AVERAGE(Table13[HBP6])</f>
        <v>0.13114754098360656</v>
      </c>
      <c r="CS75" s="41">
        <f>AVERAGE(Table13[SF6])</f>
        <v>0</v>
      </c>
      <c r="CT75" s="41">
        <f>AVERAGE(Table13[TB6])</f>
        <v>1.360655737704918</v>
      </c>
      <c r="CU75" s="90"/>
      <c r="CV75" s="41">
        <f>AVERAGE(Table13[AB7])</f>
        <v>3.6885245901639343</v>
      </c>
      <c r="CW75" s="41">
        <f>AVERAGE(Table13[R7])</f>
        <v>0.45901639344262296</v>
      </c>
      <c r="CX75" s="41">
        <f>AVERAGE(Table13[H7])</f>
        <v>0.86885245901639341</v>
      </c>
      <c r="CY75" s="41">
        <f>AVERAGE(Table13[RBI7])</f>
        <v>0.39344262295081966</v>
      </c>
      <c r="CZ75" s="41">
        <f>AVERAGE(Table13[BB7])</f>
        <v>0.34426229508196721</v>
      </c>
      <c r="DA75" s="41">
        <f>AVERAGE(Table13[SO7])</f>
        <v>0.88524590163934425</v>
      </c>
      <c r="DB75" s="41">
        <f>AVERAGE(Table13[HBP7])</f>
        <v>6.5573770491803282E-2</v>
      </c>
      <c r="DC75" s="41">
        <f>AVERAGE(Table13[SF7])</f>
        <v>0</v>
      </c>
      <c r="DD75" s="41">
        <f>AVERAGE(Table13[TB7])</f>
        <v>1.2459016393442623</v>
      </c>
      <c r="DE75" s="90"/>
      <c r="DF75" s="41">
        <f>AVERAGE(Table13[AB8])</f>
        <v>3.4262295081967213</v>
      </c>
      <c r="DG75" s="41">
        <f>AVERAGE(Table13[R8])</f>
        <v>0.49180327868852458</v>
      </c>
      <c r="DH75" s="41">
        <f>AVERAGE(Table13[H8])</f>
        <v>0.91803278688524592</v>
      </c>
      <c r="DI75" s="41">
        <f>AVERAGE(Table13[RBI8])</f>
        <v>0.36065573770491804</v>
      </c>
      <c r="DJ75" s="41">
        <f>AVERAGE(Table13[BB8])</f>
        <v>0.44262295081967212</v>
      </c>
      <c r="DK75" s="41">
        <f>AVERAGE(Table13[SO8])</f>
        <v>0.90163934426229508</v>
      </c>
      <c r="DL75" s="41">
        <f>AVERAGE(Table13[HBP8])</f>
        <v>3.2786885245901641E-2</v>
      </c>
      <c r="DM75" s="41">
        <f>AVERAGE(Table13[SF8])</f>
        <v>1.6393442622950821E-2</v>
      </c>
      <c r="DN75" s="41">
        <f>AVERAGE(Table13[TB8])</f>
        <v>1.3114754098360655</v>
      </c>
      <c r="DO75" s="90"/>
      <c r="DP75" s="41">
        <f>AVERAGE(Table13[AB9])</f>
        <v>3.557377049180328</v>
      </c>
      <c r="DQ75" s="41">
        <f>AVERAGE(Table13[R9])</f>
        <v>0.44262295081967212</v>
      </c>
      <c r="DR75" s="41">
        <f>AVERAGE(Table13[H9])</f>
        <v>0.65573770491803274</v>
      </c>
      <c r="DS75" s="41">
        <f>AVERAGE(Table13[RBI9])</f>
        <v>0.16393442622950818</v>
      </c>
      <c r="DT75" s="41">
        <f>AVERAGE(Table13[BB9])</f>
        <v>0.19672131147540983</v>
      </c>
      <c r="DU75" s="41">
        <f>AVERAGE(Table13[SO9])</f>
        <v>1.2295081967213115</v>
      </c>
      <c r="DV75" s="41">
        <f>AVERAGE(Table13[HBP9])</f>
        <v>9.8360655737704916E-2</v>
      </c>
      <c r="DW75" s="41">
        <f>AVERAGE(Table13[SF9])</f>
        <v>0</v>
      </c>
      <c r="DX75" s="41">
        <f>AVERAGE(Table13[TB9])</f>
        <v>0.80327868852459017</v>
      </c>
      <c r="DY75" s="41">
        <f>AVERAGE(Table13[IVL])</f>
        <v>2.4371584699453557</v>
      </c>
      <c r="DZ75" s="41">
        <f>AVERAGE(Table13[SVL])</f>
        <v>0.22950819672131148</v>
      </c>
      <c r="EA75" s="41">
        <f>AVERAGE(Table13[CVL])</f>
        <v>8.1967213114754092E-2</v>
      </c>
      <c r="EB75" s="41">
        <f>AVERAGE(Table13[IVR])</f>
        <v>6.497267759562841</v>
      </c>
      <c r="EC75" s="41">
        <f>AVERAGE(Table13[SVR])</f>
        <v>1.1311475409836065</v>
      </c>
      <c r="ED75" s="41">
        <f>AVERAGE(Table13[CVR])</f>
        <v>0.26229508196721313</v>
      </c>
      <c r="EE75" s="41">
        <f>AVERAGE(Table13[RI1])</f>
        <v>0.57377049180327866</v>
      </c>
      <c r="EF75" s="41">
        <f>AVERAGE(Table13[RI2])</f>
        <v>0.50819672131147542</v>
      </c>
      <c r="EG75" s="41">
        <f>AVERAGE(Table13[RI3])</f>
        <v>0.36065573770491804</v>
      </c>
      <c r="EH75" s="41">
        <f>AVERAGE(Table13[RI4])</f>
        <v>0.54098360655737709</v>
      </c>
      <c r="EI75" s="41">
        <f>AVERAGE(Table13[RI5])</f>
        <v>0.49180327868852458</v>
      </c>
      <c r="EJ75" s="41">
        <f>AVERAGE(Table13[RI6])</f>
        <v>0.81967213114754101</v>
      </c>
      <c r="EK75" s="41">
        <f>AVERAGE(Table13[RI7])</f>
        <v>0.42622950819672129</v>
      </c>
      <c r="EL75" s="41">
        <f>AVERAGE(Table13[RI8])</f>
        <v>0.47457627118644069</v>
      </c>
      <c r="EM75" s="41">
        <f>AVERAGE(Table13[RI9])</f>
        <v>0.66666666666666663</v>
      </c>
      <c r="EN75" s="41">
        <f>AVERAGE(Table13[RI10])</f>
        <v>0.33333333333333331</v>
      </c>
      <c r="EO75" s="41">
        <f>AVERAGE(Table13[RI11])</f>
        <v>0.33333333333333331</v>
      </c>
      <c r="EP75" s="41">
        <f>AVERAGE(Table13[RI12])</f>
        <v>1</v>
      </c>
      <c r="EQ75" s="41"/>
      <c r="ER75" s="41">
        <f>AVERAGE(Table13[RT])</f>
        <v>4.8032786885245899</v>
      </c>
      <c r="ES75" s="41">
        <f>AVERAGE(Table13[OI1])</f>
        <v>0.31147540983606559</v>
      </c>
      <c r="ET75" s="41">
        <f>AVERAGE(Table13[OI2])</f>
        <v>0.34426229508196721</v>
      </c>
      <c r="EU75" s="41">
        <f>AVERAGE(Table13[OI3])</f>
        <v>0.5901639344262295</v>
      </c>
      <c r="EV75" s="41">
        <f>AVERAGE(Table13[OI4])</f>
        <v>0.68852459016393441</v>
      </c>
      <c r="EW75" s="41">
        <f>AVERAGE(Table13[OI5])</f>
        <v>0.68852459016393441</v>
      </c>
      <c r="EX75" s="41">
        <f>AVERAGE(Table13[OI6])</f>
        <v>0.62295081967213117</v>
      </c>
      <c r="EY75" s="41">
        <f>AVERAGE(Table13[OI7])</f>
        <v>0.38983050847457629</v>
      </c>
      <c r="EZ75" s="41">
        <f>AVERAGE(Table13[OI8])</f>
        <v>0.4576271186440678</v>
      </c>
      <c r="FA75" s="41">
        <f>AVERAGE(Table13[OI9])</f>
        <v>0.5</v>
      </c>
      <c r="FB75" s="41">
        <f>AVERAGE(Table13[OI10])</f>
        <v>0.5</v>
      </c>
      <c r="FC75" s="41">
        <f>AVERAGE(Table13[OI11])</f>
        <v>0</v>
      </c>
      <c r="FD75" s="41">
        <f>AVERAGE(Table13[OI12])</f>
        <v>0</v>
      </c>
      <c r="FE75" s="41"/>
      <c r="FF75" s="41">
        <f>AVERAGE(Table13[OT])</f>
        <v>4.4754098360655741</v>
      </c>
      <c r="FI75" s="86" t="s">
        <v>233</v>
      </c>
    </row>
    <row r="76" spans="1:165" x14ac:dyDescent="0.25">
      <c r="A76" s="87" t="s">
        <v>278</v>
      </c>
      <c r="B76" s="53"/>
      <c r="C76" s="53"/>
      <c r="D76" s="53"/>
      <c r="E76" s="83">
        <f>(E75-E71)</f>
        <v>2606.0983142477862</v>
      </c>
      <c r="F76" s="83"/>
      <c r="G76" s="83"/>
      <c r="H76" s="83"/>
      <c r="I76" s="83"/>
      <c r="J76" s="83">
        <f t="shared" ref="J76:R76" si="53">(J75-J71)</f>
        <v>3.4177909472963601</v>
      </c>
      <c r="K76" s="83">
        <f t="shared" si="53"/>
        <v>2.6572698256149296</v>
      </c>
      <c r="L76" s="83">
        <f t="shared" si="53"/>
        <v>0.63749106948258127</v>
      </c>
      <c r="M76" s="83">
        <f t="shared" si="53"/>
        <v>0.32667994693184887</v>
      </c>
      <c r="N76" s="83">
        <f t="shared" si="53"/>
        <v>5.4251497447141306E-2</v>
      </c>
      <c r="O76" s="83">
        <f t="shared" si="53"/>
        <v>1.3412048822359588</v>
      </c>
      <c r="P76" s="83">
        <f t="shared" si="53"/>
        <v>-0.22976575015738471</v>
      </c>
      <c r="Q76" s="83">
        <f t="shared" si="53"/>
        <v>-0.20935401759789182</v>
      </c>
      <c r="R76" s="83">
        <f t="shared" si="53"/>
        <v>15.364074776669916</v>
      </c>
      <c r="S76" s="83"/>
      <c r="T76" s="83"/>
      <c r="U76" s="83">
        <f>(U75-U71)</f>
        <v>-0.34078209310170204</v>
      </c>
      <c r="V76" s="83">
        <f>(V75-V71)</f>
        <v>-0.35007760260179838</v>
      </c>
      <c r="W76" s="83"/>
      <c r="X76" s="83"/>
      <c r="Y76" s="83"/>
      <c r="Z76" s="83"/>
      <c r="AA76" s="83"/>
      <c r="AB76" s="83">
        <f t="shared" ref="AB76:AJ76" si="54">(AB75-AB71)</f>
        <v>3.1285150139548552</v>
      </c>
      <c r="AC76" s="83">
        <f t="shared" si="54"/>
        <v>1.4861781835969161</v>
      </c>
      <c r="AD76" s="83">
        <f t="shared" si="54"/>
        <v>-0.1021705947501772</v>
      </c>
      <c r="AE76" s="83">
        <f t="shared" si="54"/>
        <v>-0.13907570991158713</v>
      </c>
      <c r="AF76" s="83">
        <f t="shared" si="54"/>
        <v>0.2478671258105305</v>
      </c>
      <c r="AG76" s="83">
        <f t="shared" si="54"/>
        <v>2.3273268834592025</v>
      </c>
      <c r="AH76" s="83">
        <f t="shared" si="54"/>
        <v>-0.20732303601391147</v>
      </c>
      <c r="AI76" s="83">
        <f t="shared" si="54"/>
        <v>-0.20661591972533522</v>
      </c>
      <c r="AJ76" s="83">
        <f t="shared" si="54"/>
        <v>12.175611817303757</v>
      </c>
      <c r="AK76" s="83"/>
      <c r="AL76" s="83"/>
      <c r="AM76" s="83"/>
      <c r="AN76" s="83">
        <f t="shared" ref="AN76:AV76" si="55">(AN75-AN71)</f>
        <v>2.8874394714404064</v>
      </c>
      <c r="AO76" s="83">
        <f t="shared" si="55"/>
        <v>-0.11638590137047988</v>
      </c>
      <c r="AP76" s="83">
        <f t="shared" si="55"/>
        <v>0.16333997346592444</v>
      </c>
      <c r="AQ76" s="83">
        <f t="shared" si="55"/>
        <v>-0.34873295901359708</v>
      </c>
      <c r="AR76" s="83">
        <f t="shared" si="55"/>
        <v>-0.19688522951147458</v>
      </c>
      <c r="AS76" s="83">
        <f t="shared" si="55"/>
        <v>-9.7626023195392486E-2</v>
      </c>
      <c r="AT76" s="83">
        <f t="shared" si="55"/>
        <v>-0.23213533902717129</v>
      </c>
      <c r="AU76" s="83">
        <f t="shared" si="55"/>
        <v>-0.18401605695958367</v>
      </c>
      <c r="AV76" s="83">
        <f t="shared" si="55"/>
        <v>7.3358174584097879E-2</v>
      </c>
      <c r="AW76" s="83"/>
      <c r="AX76" s="83">
        <f t="shared" ref="AX76:BF76" si="56">(AX75-AX71)</f>
        <v>3.2761369696752296</v>
      </c>
      <c r="AY76" s="83">
        <f t="shared" si="56"/>
        <v>-5.5438512856494038E-2</v>
      </c>
      <c r="AZ76" s="83">
        <f t="shared" si="56"/>
        <v>0.1078199555745587</v>
      </c>
      <c r="BA76" s="83">
        <f t="shared" si="56"/>
        <v>-0.34751136794533011</v>
      </c>
      <c r="BB76" s="83">
        <f t="shared" si="56"/>
        <v>-0.25091830264203158</v>
      </c>
      <c r="BC76" s="83">
        <f t="shared" si="56"/>
        <v>-9.7626023195392486E-2</v>
      </c>
      <c r="BD76" s="83">
        <f t="shared" si="56"/>
        <v>-0.20191244400023284</v>
      </c>
      <c r="BE76" s="83">
        <f t="shared" si="56"/>
        <v>-0.18401605695958367</v>
      </c>
      <c r="BF76" s="83">
        <f t="shared" si="56"/>
        <v>-0.14209994488308464</v>
      </c>
      <c r="BG76" s="83"/>
      <c r="BH76" s="83">
        <f t="shared" ref="BH76:BP76" si="57">(BH75-BH71)</f>
        <v>3.1775502467161356</v>
      </c>
      <c r="BI76" s="83">
        <f t="shared" si="57"/>
        <v>-0.10708792524485067</v>
      </c>
      <c r="BJ76" s="83">
        <f t="shared" si="57"/>
        <v>0.44780875418627586</v>
      </c>
      <c r="BK76" s="83">
        <f t="shared" si="57"/>
        <v>-0.27198393262977594</v>
      </c>
      <c r="BL76" s="83">
        <f t="shared" si="57"/>
        <v>-0.25810099235730294</v>
      </c>
      <c r="BM76" s="83">
        <f t="shared" si="57"/>
        <v>-7.3969417914067415E-2</v>
      </c>
      <c r="BN76" s="83">
        <f t="shared" si="57"/>
        <v>-0.21004656156107904</v>
      </c>
      <c r="BO76" s="83">
        <f t="shared" si="57"/>
        <v>-0.14676933758825675</v>
      </c>
      <c r="BP76" s="83">
        <f t="shared" si="57"/>
        <v>0.19575962898204735</v>
      </c>
      <c r="BQ76" s="83"/>
      <c r="BR76" s="83">
        <f t="shared" ref="BR76:BZ76" si="58">(BR75-BR71)</f>
        <v>3.1835034190722737</v>
      </c>
      <c r="BS76" s="83">
        <f t="shared" si="58"/>
        <v>-8.8009432996270065E-2</v>
      </c>
      <c r="BT76" s="83">
        <f t="shared" si="58"/>
        <v>0.24777422993515152</v>
      </c>
      <c r="BU76" s="83">
        <f t="shared" si="58"/>
        <v>-0.2921918684274627</v>
      </c>
      <c r="BV76" s="83">
        <f t="shared" si="58"/>
        <v>-0.19995720419013546</v>
      </c>
      <c r="BW76" s="83">
        <f t="shared" si="58"/>
        <v>-0.13389071031525934</v>
      </c>
      <c r="BX76" s="83">
        <f t="shared" si="58"/>
        <v>-0.16885862187764897</v>
      </c>
      <c r="BY76" s="83">
        <f t="shared" si="58"/>
        <v>-0.18401605695958367</v>
      </c>
      <c r="BZ76" s="83">
        <f t="shared" si="58"/>
        <v>-1.8742554613902174E-2</v>
      </c>
      <c r="CA76" s="83"/>
      <c r="CB76" s="83">
        <f t="shared" ref="CB76:CJ76" si="59">(CB75-CB71)</f>
        <v>2.8966761406019299</v>
      </c>
      <c r="CC76" s="83">
        <f t="shared" si="59"/>
        <v>-0.21820865520461502</v>
      </c>
      <c r="CD76" s="83">
        <f t="shared" si="59"/>
        <v>-4.8808848170151631E-2</v>
      </c>
      <c r="CE76" s="83">
        <f t="shared" si="59"/>
        <v>-0.46771790843635452</v>
      </c>
      <c r="CF76" s="83">
        <f t="shared" si="59"/>
        <v>-0.38472819080954479</v>
      </c>
      <c r="CG76" s="83">
        <f t="shared" si="59"/>
        <v>-1.8184459399203323E-2</v>
      </c>
      <c r="CH76" s="83">
        <f t="shared" si="59"/>
        <v>-0.16885862187764897</v>
      </c>
      <c r="CI76" s="83">
        <f t="shared" si="59"/>
        <v>-0.14676933758825675</v>
      </c>
      <c r="CJ76" s="83">
        <f t="shared" si="59"/>
        <v>-0.30782405354097331</v>
      </c>
      <c r="CK76" s="83"/>
      <c r="CL76" s="83">
        <f t="shared" ref="CL76:CT76" si="60">(CL75-CL71)</f>
        <v>2.9158248593640925</v>
      </c>
      <c r="CM76" s="83">
        <f t="shared" si="60"/>
        <v>-0.19189740713397829</v>
      </c>
      <c r="CN76" s="83">
        <f t="shared" si="60"/>
        <v>3.1679229605941384E-2</v>
      </c>
      <c r="CO76" s="83">
        <f t="shared" si="60"/>
        <v>-0.19667163266579057</v>
      </c>
      <c r="CP76" s="83">
        <f t="shared" si="60"/>
        <v>-0.26692718420121497</v>
      </c>
      <c r="CQ76" s="83">
        <f t="shared" si="60"/>
        <v>-6.51638460613988E-2</v>
      </c>
      <c r="CR76" s="83">
        <f t="shared" si="60"/>
        <v>-0.25509115188500342</v>
      </c>
      <c r="CS76" s="83">
        <f t="shared" si="60"/>
        <v>0</v>
      </c>
      <c r="CT76" s="83">
        <f t="shared" si="60"/>
        <v>-3.01807837842889E-2</v>
      </c>
      <c r="CU76" s="83"/>
      <c r="CV76" s="83">
        <f t="shared" ref="CV76:DD76" si="61">(CV75-CV71)</f>
        <v>2.9023739768046068</v>
      </c>
      <c r="CW76" s="83">
        <f t="shared" si="61"/>
        <v>-0.21363434534641795</v>
      </c>
      <c r="CX76" s="83">
        <f t="shared" si="61"/>
        <v>8.409326376251236E-2</v>
      </c>
      <c r="CY76" s="83">
        <f t="shared" si="61"/>
        <v>-0.34318682990839922</v>
      </c>
      <c r="CZ76" s="83">
        <f t="shared" si="61"/>
        <v>-0.25810099235730294</v>
      </c>
      <c r="DA76" s="83">
        <f t="shared" si="61"/>
        <v>8.7366197762924425E-2</v>
      </c>
      <c r="DB76" s="83">
        <f t="shared" si="61"/>
        <v>-0.24366467359389965</v>
      </c>
      <c r="DC76" s="83">
        <f t="shared" si="61"/>
        <v>0</v>
      </c>
      <c r="DD76" s="83">
        <f t="shared" si="61"/>
        <v>-4.0640725613301454E-2</v>
      </c>
      <c r="DE76" s="83"/>
      <c r="DF76" s="83">
        <f t="shared" ref="DF76:DN76" si="62">(DF75-DF71)</f>
        <v>2.6418185531176337</v>
      </c>
      <c r="DG76" s="83">
        <f t="shared" si="62"/>
        <v>-0.25257455591950406</v>
      </c>
      <c r="DH76" s="83">
        <f t="shared" si="62"/>
        <v>9.5534925343687238E-2</v>
      </c>
      <c r="DI76" s="83">
        <f t="shared" si="62"/>
        <v>-0.2984544423926106</v>
      </c>
      <c r="DJ76" s="83">
        <f t="shared" si="62"/>
        <v>-0.17717782803146881</v>
      </c>
      <c r="DK76" s="83">
        <f t="shared" si="62"/>
        <v>9.1188481413167044E-2</v>
      </c>
      <c r="DL76" s="83">
        <f t="shared" si="62"/>
        <v>-0.14676933758825675</v>
      </c>
      <c r="DM76" s="83">
        <f t="shared" si="62"/>
        <v>-0.11164343730994515</v>
      </c>
      <c r="DN76" s="83">
        <f t="shared" si="62"/>
        <v>-8.5437658403536565E-2</v>
      </c>
      <c r="DO76" s="83"/>
      <c r="DP76" s="83">
        <f t="shared" ref="DP76:FF76" si="63">(DP75-DP71)</f>
        <v>2.8380118159379828</v>
      </c>
      <c r="DQ76" s="83">
        <f t="shared" si="63"/>
        <v>-0.14967737176267087</v>
      </c>
      <c r="DR76" s="83">
        <f t="shared" si="63"/>
        <v>-7.1935433737855381E-2</v>
      </c>
      <c r="DS76" s="83">
        <f t="shared" si="63"/>
        <v>-0.25161051192810591</v>
      </c>
      <c r="DT76" s="83">
        <f t="shared" si="63"/>
        <v>-0.20409752254429797</v>
      </c>
      <c r="DU76" s="83">
        <f t="shared" si="63"/>
        <v>0.32777943811462229</v>
      </c>
      <c r="DV76" s="83">
        <f t="shared" si="63"/>
        <v>-0.20191244400023284</v>
      </c>
      <c r="DW76" s="83">
        <f t="shared" si="63"/>
        <v>0</v>
      </c>
      <c r="DX76" s="83">
        <f t="shared" si="63"/>
        <v>-0.19371131696104726</v>
      </c>
      <c r="DY76" s="83">
        <f t="shared" si="63"/>
        <v>-0.23889513606602408</v>
      </c>
      <c r="DZ76" s="83">
        <f t="shared" si="63"/>
        <v>-0.26692718420121497</v>
      </c>
      <c r="EA76" s="83">
        <f t="shared" si="63"/>
        <v>-0.19462405977800579</v>
      </c>
      <c r="EB76" s="83">
        <f t="shared" si="63"/>
        <v>3.8898545737492931</v>
      </c>
      <c r="EC76" s="83">
        <f t="shared" si="63"/>
        <v>-0.39064317870669285</v>
      </c>
      <c r="ED76" s="83">
        <f t="shared" si="63"/>
        <v>-0.25091830264203158</v>
      </c>
      <c r="EE76" s="83">
        <f t="shared" si="63"/>
        <v>-0.61589355592115669</v>
      </c>
      <c r="EF76" s="83">
        <f t="shared" si="63"/>
        <v>-0.95948797257060547</v>
      </c>
      <c r="EG76" s="83">
        <f t="shared" si="63"/>
        <v>-0.37038887756024946</v>
      </c>
      <c r="EH76" s="83">
        <f t="shared" si="63"/>
        <v>-1.014370270558731</v>
      </c>
      <c r="EI76" s="83">
        <f t="shared" si="63"/>
        <v>-0.48497630783841428</v>
      </c>
      <c r="EJ76" s="83">
        <f t="shared" si="63"/>
        <v>-0.61220538597594398</v>
      </c>
      <c r="EK76" s="83">
        <f t="shared" si="63"/>
        <v>-0.45805959221940068</v>
      </c>
      <c r="EL76" s="83">
        <f t="shared" si="63"/>
        <v>-0.53154177569216565</v>
      </c>
      <c r="EM76" s="83">
        <f t="shared" si="63"/>
        <v>-0.43136509920590982</v>
      </c>
      <c r="EN76" s="83">
        <f t="shared" si="63"/>
        <v>-0.18306444616098899</v>
      </c>
      <c r="EO76" s="83">
        <f t="shared" si="63"/>
        <v>-0.24401693585629253</v>
      </c>
      <c r="EP76" s="83">
        <f t="shared" si="63"/>
        <v>-0.41421356237309515</v>
      </c>
      <c r="EQ76" s="83"/>
      <c r="ER76" s="83">
        <f t="shared" si="63"/>
        <v>1.4327215034727003</v>
      </c>
      <c r="ES76" s="83">
        <f t="shared" si="63"/>
        <v>-0.38472819080954479</v>
      </c>
      <c r="ET76" s="83">
        <f t="shared" si="63"/>
        <v>-0.33606228190657933</v>
      </c>
      <c r="EU76" s="83">
        <f t="shared" si="63"/>
        <v>-0.51100285857605177</v>
      </c>
      <c r="EV76" s="83">
        <f t="shared" si="63"/>
        <v>-0.41512063674788713</v>
      </c>
      <c r="EW76" s="83">
        <f t="shared" si="63"/>
        <v>-0.68431897468674163</v>
      </c>
      <c r="EX76" s="83">
        <f t="shared" si="63"/>
        <v>-0.44419388195349674</v>
      </c>
      <c r="EY76" s="83">
        <f t="shared" si="63"/>
        <v>-0.70902389737730087</v>
      </c>
      <c r="EZ76" s="83">
        <f t="shared" si="63"/>
        <v>-0.4950828798973903</v>
      </c>
      <c r="FA76" s="83">
        <f t="shared" si="63"/>
        <v>-0.42761258954321535</v>
      </c>
      <c r="FB76" s="83">
        <f t="shared" si="63"/>
        <v>-4.7722557505166074E-2</v>
      </c>
      <c r="FC76" s="83">
        <f t="shared" si="63"/>
        <v>0</v>
      </c>
      <c r="FD76" s="83">
        <f t="shared" si="63"/>
        <v>0</v>
      </c>
      <c r="FE76" s="83"/>
      <c r="FF76" s="83">
        <f t="shared" si="63"/>
        <v>1.3257719871637401</v>
      </c>
      <c r="FI76" s="88" t="s">
        <v>278</v>
      </c>
    </row>
    <row r="77" spans="1:165" x14ac:dyDescent="0.25">
      <c r="A77" s="87" t="s">
        <v>277</v>
      </c>
      <c r="B77" s="53"/>
      <c r="C77" s="53"/>
      <c r="D77" s="53"/>
      <c r="E77" s="83">
        <f>(E75-(2*E71))</f>
        <v>790.37996182890538</v>
      </c>
      <c r="F77" s="83"/>
      <c r="G77" s="83"/>
      <c r="H77" s="83"/>
      <c r="I77" s="83"/>
      <c r="J77" s="83">
        <f t="shared" ref="J77:R77" si="64">(J75-(2*J71))</f>
        <v>2.3383141350298793</v>
      </c>
      <c r="K77" s="83">
        <f t="shared" si="64"/>
        <v>0.78994948729543291</v>
      </c>
      <c r="L77" s="83">
        <f t="shared" si="64"/>
        <v>-1.0528867134938538</v>
      </c>
      <c r="M77" s="83">
        <f t="shared" si="64"/>
        <v>-1.3466401061363023</v>
      </c>
      <c r="N77" s="83">
        <f t="shared" si="64"/>
        <v>-0.98985766084342242</v>
      </c>
      <c r="O77" s="83">
        <f t="shared" si="64"/>
        <v>-0.72742630110185269</v>
      </c>
      <c r="P77" s="83">
        <f t="shared" si="64"/>
        <v>-0.80379379539673668</v>
      </c>
      <c r="Q77" s="83">
        <f t="shared" si="64"/>
        <v>-0.58264246142529186</v>
      </c>
      <c r="R77" s="83">
        <f t="shared" si="64"/>
        <v>12.006838077929995</v>
      </c>
      <c r="S77" s="83"/>
      <c r="T77" s="83"/>
      <c r="U77" s="83">
        <f>(U75-(2*U71))</f>
        <v>-1.1897609075148794</v>
      </c>
      <c r="V77" s="83">
        <f>(V75-(2*V71))</f>
        <v>-0.94605684454785899</v>
      </c>
      <c r="W77" s="83"/>
      <c r="X77" s="83"/>
      <c r="Y77" s="83"/>
      <c r="Z77" s="83"/>
      <c r="AA77" s="83"/>
      <c r="AB77" s="83">
        <f t="shared" ref="AB77:AJ77" si="65">(AB75-(2*AB71))</f>
        <v>1.9182322137020611</v>
      </c>
      <c r="AC77" s="83">
        <f t="shared" si="65"/>
        <v>-1.1260042885438724</v>
      </c>
      <c r="AD77" s="83">
        <f t="shared" si="65"/>
        <v>-2.3518821731069117</v>
      </c>
      <c r="AE77" s="83">
        <f t="shared" si="65"/>
        <v>-2.0486432231018625</v>
      </c>
      <c r="AF77" s="83">
        <f t="shared" si="65"/>
        <v>-1.225577223788775</v>
      </c>
      <c r="AG77" s="83">
        <f t="shared" si="65"/>
        <v>0.29399802921348694</v>
      </c>
      <c r="AH77" s="83">
        <f t="shared" si="65"/>
        <v>-0.59497394088028199</v>
      </c>
      <c r="AI77" s="83">
        <f t="shared" si="65"/>
        <v>-0.52798593781132619</v>
      </c>
      <c r="AJ77" s="83">
        <f t="shared" si="65"/>
        <v>5.6626990444435794</v>
      </c>
      <c r="AK77" s="83"/>
      <c r="AL77" s="83"/>
      <c r="AM77" s="83"/>
      <c r="AN77" s="83">
        <f t="shared" ref="AN77:AV77" si="66">(AN75-(2*AN71))</f>
        <v>2.004387139602124</v>
      </c>
      <c r="AO77" s="83">
        <f t="shared" si="66"/>
        <v>-0.8885095076589925</v>
      </c>
      <c r="AP77" s="83">
        <f t="shared" si="66"/>
        <v>-0.67332005306815113</v>
      </c>
      <c r="AQ77" s="83">
        <f t="shared" si="66"/>
        <v>-1.1564823114698171</v>
      </c>
      <c r="AR77" s="83">
        <f t="shared" si="66"/>
        <v>-1.0167212786950803</v>
      </c>
      <c r="AS77" s="83">
        <f t="shared" si="66"/>
        <v>-0.88377663655471939</v>
      </c>
      <c r="AT77" s="83">
        <f t="shared" si="66"/>
        <v>-0.69377887477565403</v>
      </c>
      <c r="AU77" s="83">
        <f t="shared" si="66"/>
        <v>-0.43360588441097064</v>
      </c>
      <c r="AV77" s="83">
        <f t="shared" si="66"/>
        <v>-1.2467262737826239</v>
      </c>
      <c r="AW77" s="83"/>
      <c r="AX77" s="83">
        <f t="shared" ref="AX77:BF77" si="67">(AX75-(2*AX71))</f>
        <v>2.4375198409898031</v>
      </c>
      <c r="AY77" s="83">
        <f t="shared" si="67"/>
        <v>-0.81579505849987333</v>
      </c>
      <c r="AZ77" s="83">
        <f t="shared" si="67"/>
        <v>-0.96468795770334159</v>
      </c>
      <c r="BA77" s="83">
        <f t="shared" si="67"/>
        <v>-1.2851866703168897</v>
      </c>
      <c r="BB77" s="83">
        <f t="shared" si="67"/>
        <v>-0.76413168725127623</v>
      </c>
      <c r="BC77" s="83">
        <f t="shared" si="67"/>
        <v>-0.88377663655471939</v>
      </c>
      <c r="BD77" s="83">
        <f t="shared" si="67"/>
        <v>-0.50218554373817059</v>
      </c>
      <c r="BE77" s="83">
        <f t="shared" si="67"/>
        <v>-0.43360588441097064</v>
      </c>
      <c r="BF77" s="83">
        <f t="shared" si="67"/>
        <v>-1.9891179225530544</v>
      </c>
      <c r="BG77" s="83"/>
      <c r="BH77" s="83">
        <f t="shared" ref="BH77:BP77" si="68">(BH75-(2*BH71))</f>
        <v>2.3714939360552219</v>
      </c>
      <c r="BI77" s="83">
        <f t="shared" si="68"/>
        <v>-0.82073322753888167</v>
      </c>
      <c r="BJ77" s="83">
        <f t="shared" si="68"/>
        <v>-0.36667757359466147</v>
      </c>
      <c r="BK77" s="83">
        <f t="shared" si="68"/>
        <v>-1.1177383570628305</v>
      </c>
      <c r="BL77" s="83">
        <f t="shared" si="68"/>
        <v>-0.86046427979657314</v>
      </c>
      <c r="BM77" s="83">
        <f t="shared" si="68"/>
        <v>-0.91843063910682332</v>
      </c>
      <c r="BN77" s="83">
        <f t="shared" si="68"/>
        <v>-0.56763410672871539</v>
      </c>
      <c r="BO77" s="83">
        <f t="shared" si="68"/>
        <v>-0.32632556042241517</v>
      </c>
      <c r="BP77" s="83">
        <f t="shared" si="68"/>
        <v>-1.3789725453145938</v>
      </c>
      <c r="BQ77" s="83"/>
      <c r="BR77" s="83">
        <f t="shared" ref="BR77:BZ77" si="69">(BR75-(2*BR71))</f>
        <v>2.3670068381445479</v>
      </c>
      <c r="BS77" s="83">
        <f t="shared" si="69"/>
        <v>-0.7989696856646713</v>
      </c>
      <c r="BT77" s="83">
        <f t="shared" si="69"/>
        <v>-0.60281219586740198</v>
      </c>
      <c r="BU77" s="83">
        <f t="shared" si="69"/>
        <v>-1.2237279991500074</v>
      </c>
      <c r="BV77" s="83">
        <f t="shared" si="69"/>
        <v>-0.74417670346223819</v>
      </c>
      <c r="BW77" s="83">
        <f t="shared" si="69"/>
        <v>-1.0218797812862563</v>
      </c>
      <c r="BX77" s="83">
        <f t="shared" si="69"/>
        <v>-0.38689757162415039</v>
      </c>
      <c r="BY77" s="83">
        <f t="shared" si="69"/>
        <v>-0.43360588441097064</v>
      </c>
      <c r="BZ77" s="83">
        <f t="shared" si="69"/>
        <v>-1.5948621584081322</v>
      </c>
      <c r="CA77" s="83"/>
      <c r="CB77" s="83">
        <f t="shared" ref="CB77:CJ77" si="70">(CB75-(2*CB71))</f>
        <v>1.8753194943186138</v>
      </c>
      <c r="CC77" s="83">
        <f t="shared" si="70"/>
        <v>-0.86264681860595127</v>
      </c>
      <c r="CD77" s="83">
        <f t="shared" si="70"/>
        <v>-1.0976176963403033</v>
      </c>
      <c r="CE77" s="83">
        <f t="shared" si="70"/>
        <v>-1.4928128660530369</v>
      </c>
      <c r="CF77" s="83">
        <f t="shared" si="70"/>
        <v>-1.0809317914551553</v>
      </c>
      <c r="CG77" s="83">
        <f t="shared" si="70"/>
        <v>-0.95440170568365257</v>
      </c>
      <c r="CH77" s="83">
        <f t="shared" si="70"/>
        <v>-0.38689757162415039</v>
      </c>
      <c r="CI77" s="83">
        <f t="shared" si="70"/>
        <v>-0.32632556042241517</v>
      </c>
      <c r="CJ77" s="83">
        <f t="shared" si="70"/>
        <v>-1.9926972874098154</v>
      </c>
      <c r="CK77" s="83"/>
      <c r="CL77" s="83">
        <f t="shared" ref="CL77:CT77" si="71">(CL75-(2*CL71))</f>
        <v>2.0119775875806436</v>
      </c>
      <c r="CM77" s="83">
        <f t="shared" si="71"/>
        <v>-0.77723743721877625</v>
      </c>
      <c r="CN77" s="83">
        <f t="shared" si="71"/>
        <v>-0.83828088505041232</v>
      </c>
      <c r="CO77" s="83">
        <f t="shared" si="71"/>
        <v>-0.91793342926600741</v>
      </c>
      <c r="CP77" s="83">
        <f t="shared" si="71"/>
        <v>-0.76336256512374145</v>
      </c>
      <c r="CQ77" s="83">
        <f t="shared" si="71"/>
        <v>-1.015573593762142</v>
      </c>
      <c r="CR77" s="83">
        <f t="shared" si="71"/>
        <v>-0.64132984475361343</v>
      </c>
      <c r="CS77" s="83">
        <f t="shared" si="71"/>
        <v>0</v>
      </c>
      <c r="CT77" s="83">
        <f t="shared" si="71"/>
        <v>-1.4210173052734958</v>
      </c>
      <c r="CU77" s="83"/>
      <c r="CV77" s="83">
        <f t="shared" ref="CV77:DD77" si="72">(CV75-(2*CV71))</f>
        <v>2.1162233634452794</v>
      </c>
      <c r="CW77" s="83">
        <f t="shared" si="72"/>
        <v>-0.88628508413545881</v>
      </c>
      <c r="CX77" s="83">
        <f t="shared" si="72"/>
        <v>-0.70066593149136869</v>
      </c>
      <c r="CY77" s="83">
        <f t="shared" si="72"/>
        <v>-1.0798162827676181</v>
      </c>
      <c r="CZ77" s="83">
        <f t="shared" si="72"/>
        <v>-0.86046427979657314</v>
      </c>
      <c r="DA77" s="83">
        <f t="shared" si="72"/>
        <v>-0.7105135061134954</v>
      </c>
      <c r="DB77" s="83">
        <f t="shared" si="72"/>
        <v>-0.55290311767960265</v>
      </c>
      <c r="DC77" s="83">
        <f t="shared" si="72"/>
        <v>0</v>
      </c>
      <c r="DD77" s="83">
        <f t="shared" si="72"/>
        <v>-1.3271830905708653</v>
      </c>
      <c r="DE77" s="83"/>
      <c r="DF77" s="83">
        <f t="shared" ref="DF77:DN77" si="73">(DF75-(2*DF71))</f>
        <v>1.857407598038546</v>
      </c>
      <c r="DG77" s="83">
        <f t="shared" si="73"/>
        <v>-0.99695239052753271</v>
      </c>
      <c r="DH77" s="83">
        <f t="shared" si="73"/>
        <v>-0.72696293619787145</v>
      </c>
      <c r="DI77" s="83">
        <f t="shared" si="73"/>
        <v>-0.95756462249013929</v>
      </c>
      <c r="DJ77" s="83">
        <f t="shared" si="73"/>
        <v>-0.79697860688260969</v>
      </c>
      <c r="DK77" s="83">
        <f t="shared" si="73"/>
        <v>-0.719262381435961</v>
      </c>
      <c r="DL77" s="83">
        <f t="shared" si="73"/>
        <v>-0.32632556042241517</v>
      </c>
      <c r="DM77" s="83">
        <f t="shared" si="73"/>
        <v>-0.23968031724284114</v>
      </c>
      <c r="DN77" s="83">
        <f t="shared" si="73"/>
        <v>-1.4823507266431386</v>
      </c>
      <c r="DO77" s="83"/>
      <c r="DP77" s="83">
        <f t="shared" ref="DP77:FF77" si="74">(DP75-(2*DP71))</f>
        <v>2.1186465826956371</v>
      </c>
      <c r="DQ77" s="83">
        <f t="shared" si="74"/>
        <v>-0.74197769434501382</v>
      </c>
      <c r="DR77" s="83">
        <f t="shared" si="74"/>
        <v>-0.7996085723937435</v>
      </c>
      <c r="DS77" s="83">
        <f t="shared" si="74"/>
        <v>-0.66715545008571997</v>
      </c>
      <c r="DT77" s="83">
        <f t="shared" si="74"/>
        <v>-0.60491635656400577</v>
      </c>
      <c r="DU77" s="83">
        <f t="shared" si="74"/>
        <v>-0.57394932049206693</v>
      </c>
      <c r="DV77" s="83">
        <f t="shared" si="74"/>
        <v>-0.50218554373817059</v>
      </c>
      <c r="DW77" s="83">
        <f t="shared" si="74"/>
        <v>0</v>
      </c>
      <c r="DX77" s="83">
        <f t="shared" si="74"/>
        <v>-1.1907013224466847</v>
      </c>
      <c r="DY77" s="83">
        <f t="shared" si="74"/>
        <v>-2.9149487420774038</v>
      </c>
      <c r="DZ77" s="83">
        <f t="shared" si="74"/>
        <v>-0.76336256512374145</v>
      </c>
      <c r="EA77" s="83">
        <f t="shared" si="74"/>
        <v>-0.47121533267076565</v>
      </c>
      <c r="EB77" s="83">
        <f t="shared" si="74"/>
        <v>1.2824413879357452</v>
      </c>
      <c r="EC77" s="83">
        <f t="shared" si="74"/>
        <v>-1.9124338983969922</v>
      </c>
      <c r="ED77" s="83">
        <f t="shared" si="74"/>
        <v>-0.76413168725127623</v>
      </c>
      <c r="EE77" s="83">
        <f t="shared" si="74"/>
        <v>-1.805557603645592</v>
      </c>
      <c r="EF77" s="83">
        <f t="shared" si="74"/>
        <v>-2.4271726664526865</v>
      </c>
      <c r="EG77" s="83">
        <f t="shared" si="74"/>
        <v>-1.101433492825417</v>
      </c>
      <c r="EH77" s="83">
        <f t="shared" si="74"/>
        <v>-2.5697241476748389</v>
      </c>
      <c r="EI77" s="83">
        <f t="shared" si="74"/>
        <v>-1.461755894365353</v>
      </c>
      <c r="EJ77" s="83">
        <f t="shared" si="74"/>
        <v>-2.044082903099429</v>
      </c>
      <c r="EK77" s="83">
        <f t="shared" si="74"/>
        <v>-1.3423486926355226</v>
      </c>
      <c r="EL77" s="83">
        <f t="shared" si="74"/>
        <v>-1.5376598225707721</v>
      </c>
      <c r="EM77" s="83">
        <f t="shared" si="74"/>
        <v>-1.5293968650784864</v>
      </c>
      <c r="EN77" s="83">
        <f t="shared" si="74"/>
        <v>-0.69946222565531135</v>
      </c>
      <c r="EO77" s="83">
        <f t="shared" si="74"/>
        <v>-0.82136720504591842</v>
      </c>
      <c r="EP77" s="83">
        <f t="shared" si="74"/>
        <v>-1.8284271247461903</v>
      </c>
      <c r="EQ77" s="83"/>
      <c r="ER77" s="83">
        <f t="shared" si="74"/>
        <v>-1.9378356815791893</v>
      </c>
      <c r="ES77" s="83">
        <f t="shared" si="74"/>
        <v>-1.0809317914551553</v>
      </c>
      <c r="ET77" s="83">
        <f t="shared" si="74"/>
        <v>-1.0163868588951259</v>
      </c>
      <c r="EU77" s="83">
        <f t="shared" si="74"/>
        <v>-1.612169651578333</v>
      </c>
      <c r="EV77" s="83">
        <f t="shared" si="74"/>
        <v>-1.5187658636597088</v>
      </c>
      <c r="EW77" s="83">
        <f t="shared" si="74"/>
        <v>-2.0571625395374178</v>
      </c>
      <c r="EX77" s="83">
        <f t="shared" si="74"/>
        <v>-1.5113385835791247</v>
      </c>
      <c r="EY77" s="83">
        <f t="shared" si="74"/>
        <v>-1.8078783032291781</v>
      </c>
      <c r="EZ77" s="83">
        <f t="shared" si="74"/>
        <v>-1.4477928784388485</v>
      </c>
      <c r="FA77" s="83">
        <f t="shared" si="74"/>
        <v>-1.3552251790864307</v>
      </c>
      <c r="FB77" s="83">
        <f t="shared" si="74"/>
        <v>-0.59544511501033215</v>
      </c>
      <c r="FC77" s="83">
        <f t="shared" si="74"/>
        <v>0</v>
      </c>
      <c r="FD77" s="83">
        <f t="shared" si="74"/>
        <v>0</v>
      </c>
      <c r="FE77" s="83"/>
      <c r="FF77" s="83">
        <f t="shared" si="74"/>
        <v>-1.8238658617380938</v>
      </c>
      <c r="FI77" s="88" t="s">
        <v>277</v>
      </c>
    </row>
    <row r="78" spans="1:165" x14ac:dyDescent="0.25">
      <c r="A78" s="87" t="s">
        <v>276</v>
      </c>
      <c r="B78" s="53"/>
      <c r="C78" s="53"/>
      <c r="D78" s="53"/>
      <c r="E78" s="83">
        <f>(E75-(3*E71))</f>
        <v>-1025.3383905899755</v>
      </c>
      <c r="F78" s="83"/>
      <c r="G78" s="83"/>
      <c r="H78" s="83"/>
      <c r="I78" s="83"/>
      <c r="J78" s="83">
        <f t="shared" ref="J78:R78" si="75">(J75-(3*J71))</f>
        <v>1.2588373227633984</v>
      </c>
      <c r="K78" s="83">
        <f t="shared" si="75"/>
        <v>-1.0773708510240638</v>
      </c>
      <c r="L78" s="83">
        <f t="shared" si="75"/>
        <v>-2.7432644964702884</v>
      </c>
      <c r="M78" s="83">
        <f t="shared" si="75"/>
        <v>-3.0199601592044534</v>
      </c>
      <c r="N78" s="83">
        <f t="shared" si="75"/>
        <v>-2.0339668191339864</v>
      </c>
      <c r="O78" s="83">
        <f t="shared" si="75"/>
        <v>-2.7960574844396642</v>
      </c>
      <c r="P78" s="83">
        <f t="shared" si="75"/>
        <v>-1.3778218406360885</v>
      </c>
      <c r="Q78" s="83">
        <f t="shared" si="75"/>
        <v>-0.95593090525269186</v>
      </c>
      <c r="R78" s="83">
        <f t="shared" si="75"/>
        <v>8.6496013791900719</v>
      </c>
      <c r="S78" s="83"/>
      <c r="T78" s="83"/>
      <c r="U78" s="83">
        <f>(U75-(3*U71))</f>
        <v>-2.038739721928057</v>
      </c>
      <c r="V78" s="83">
        <f>(V75-(3*V71))</f>
        <v>-1.5420360864939195</v>
      </c>
      <c r="W78" s="83"/>
      <c r="X78" s="83"/>
      <c r="Y78" s="83"/>
      <c r="Z78" s="83"/>
      <c r="AA78" s="83"/>
      <c r="AB78" s="83">
        <f t="shared" ref="AB78:AJ78" si="76">(AB75-(3*AB71))</f>
        <v>0.70794941344926698</v>
      </c>
      <c r="AC78" s="83">
        <f t="shared" si="76"/>
        <v>-3.7381867606846608</v>
      </c>
      <c r="AD78" s="83">
        <f t="shared" si="76"/>
        <v>-4.6015937514636462</v>
      </c>
      <c r="AE78" s="83">
        <f t="shared" si="76"/>
        <v>-3.9582107362921386</v>
      </c>
      <c r="AF78" s="83">
        <f t="shared" si="76"/>
        <v>-2.6990215733880802</v>
      </c>
      <c r="AG78" s="83">
        <f t="shared" si="76"/>
        <v>-1.739330825032229</v>
      </c>
      <c r="AH78" s="83">
        <f t="shared" si="76"/>
        <v>-0.98262484574665243</v>
      </c>
      <c r="AI78" s="83">
        <f t="shared" si="76"/>
        <v>-0.84935595589731716</v>
      </c>
      <c r="AJ78" s="83">
        <f t="shared" si="76"/>
        <v>-0.85021372841659826</v>
      </c>
      <c r="AK78" s="83"/>
      <c r="AL78" s="83"/>
      <c r="AM78" s="83"/>
      <c r="AN78" s="83">
        <f t="shared" ref="AN78:AV78" si="77">(AN75-(3*AN71))</f>
        <v>1.1213348077638421</v>
      </c>
      <c r="AO78" s="83">
        <f t="shared" si="77"/>
        <v>-1.6606331139475055</v>
      </c>
      <c r="AP78" s="83">
        <f t="shared" si="77"/>
        <v>-1.5099800796022267</v>
      </c>
      <c r="AQ78" s="83">
        <f t="shared" si="77"/>
        <v>-1.9642316639260371</v>
      </c>
      <c r="AR78" s="83">
        <f t="shared" si="77"/>
        <v>-1.8365573278786862</v>
      </c>
      <c r="AS78" s="83">
        <f t="shared" si="77"/>
        <v>-1.6699272499140463</v>
      </c>
      <c r="AT78" s="83">
        <f t="shared" si="77"/>
        <v>-1.1554224105241369</v>
      </c>
      <c r="AU78" s="83">
        <f t="shared" si="77"/>
        <v>-0.68319571186235761</v>
      </c>
      <c r="AV78" s="83">
        <f t="shared" si="77"/>
        <v>-2.5668107221493455</v>
      </c>
      <c r="AW78" s="83"/>
      <c r="AX78" s="83">
        <f t="shared" ref="AX78:BF78" si="78">(AX75-(3*AX71))</f>
        <v>1.5989027123043762</v>
      </c>
      <c r="AY78" s="83">
        <f t="shared" si="78"/>
        <v>-1.5761516041432526</v>
      </c>
      <c r="AZ78" s="83">
        <f t="shared" si="78"/>
        <v>-2.0371958709812419</v>
      </c>
      <c r="BA78" s="83">
        <f t="shared" si="78"/>
        <v>-2.2228619726884498</v>
      </c>
      <c r="BB78" s="83">
        <f t="shared" si="78"/>
        <v>-1.2773450718605208</v>
      </c>
      <c r="BC78" s="83">
        <f t="shared" si="78"/>
        <v>-1.6699272499140463</v>
      </c>
      <c r="BD78" s="83">
        <f t="shared" si="78"/>
        <v>-0.8024586434761084</v>
      </c>
      <c r="BE78" s="83">
        <f t="shared" si="78"/>
        <v>-0.68319571186235761</v>
      </c>
      <c r="BF78" s="83">
        <f t="shared" si="78"/>
        <v>-3.8361359002230238</v>
      </c>
      <c r="BG78" s="83"/>
      <c r="BH78" s="83">
        <f t="shared" ref="BH78:BP78" si="79">(BH75-(3*BH71))</f>
        <v>1.5654376253943081</v>
      </c>
      <c r="BI78" s="83">
        <f t="shared" si="79"/>
        <v>-1.5343785298329125</v>
      </c>
      <c r="BJ78" s="83">
        <f t="shared" si="79"/>
        <v>-1.181163901375599</v>
      </c>
      <c r="BK78" s="83">
        <f t="shared" si="79"/>
        <v>-1.9634927814958854</v>
      </c>
      <c r="BL78" s="83">
        <f t="shared" si="79"/>
        <v>-1.4628275672358433</v>
      </c>
      <c r="BM78" s="83">
        <f t="shared" si="79"/>
        <v>-1.7628918602995791</v>
      </c>
      <c r="BN78" s="83">
        <f t="shared" si="79"/>
        <v>-0.92522165189635186</v>
      </c>
      <c r="BO78" s="83">
        <f t="shared" si="79"/>
        <v>-0.50588178325657351</v>
      </c>
      <c r="BP78" s="83">
        <f t="shared" si="79"/>
        <v>-2.9537047196112347</v>
      </c>
      <c r="BQ78" s="83"/>
      <c r="BR78" s="83">
        <f t="shared" ref="BR78:BZ78" si="80">(BR75-(3*BR71))</f>
        <v>1.5505102572168221</v>
      </c>
      <c r="BS78" s="83">
        <f t="shared" si="80"/>
        <v>-1.5099299383330724</v>
      </c>
      <c r="BT78" s="83">
        <f t="shared" si="80"/>
        <v>-1.4533986216699555</v>
      </c>
      <c r="BU78" s="83">
        <f t="shared" si="80"/>
        <v>-2.1552641298725521</v>
      </c>
      <c r="BV78" s="83">
        <f t="shared" si="80"/>
        <v>-1.2883962027343407</v>
      </c>
      <c r="BW78" s="83">
        <f t="shared" si="80"/>
        <v>-1.9098688522572531</v>
      </c>
      <c r="BX78" s="83">
        <f t="shared" si="80"/>
        <v>-0.6049365213706519</v>
      </c>
      <c r="BY78" s="83">
        <f t="shared" si="80"/>
        <v>-0.68319571186235761</v>
      </c>
      <c r="BZ78" s="83">
        <f t="shared" si="80"/>
        <v>-3.1709817622023619</v>
      </c>
      <c r="CA78" s="83"/>
      <c r="CB78" s="83">
        <f t="shared" ref="CB78:CJ78" si="81">(CB75-(3*CB71))</f>
        <v>0.85396284803529765</v>
      </c>
      <c r="CC78" s="83">
        <f t="shared" si="81"/>
        <v>-1.5070849820072876</v>
      </c>
      <c r="CD78" s="83">
        <f t="shared" si="81"/>
        <v>-2.1464265445104549</v>
      </c>
      <c r="CE78" s="83">
        <f t="shared" si="81"/>
        <v>-2.5179078236697192</v>
      </c>
      <c r="CF78" s="83">
        <f t="shared" si="81"/>
        <v>-1.7771353921007655</v>
      </c>
      <c r="CG78" s="83">
        <f t="shared" si="81"/>
        <v>-1.8906189519681016</v>
      </c>
      <c r="CH78" s="83">
        <f t="shared" si="81"/>
        <v>-0.6049365213706519</v>
      </c>
      <c r="CI78" s="83">
        <f t="shared" si="81"/>
        <v>-0.50588178325657351</v>
      </c>
      <c r="CJ78" s="83">
        <f t="shared" si="81"/>
        <v>-3.6775705212786578</v>
      </c>
      <c r="CK78" s="83"/>
      <c r="CL78" s="83">
        <f t="shared" ref="CL78:CT78" si="82">(CL75-(3*CL71))</f>
        <v>1.1081303157971951</v>
      </c>
      <c r="CM78" s="83">
        <f t="shared" si="82"/>
        <v>-1.3625774673035742</v>
      </c>
      <c r="CN78" s="83">
        <f t="shared" si="82"/>
        <v>-1.7082409997067662</v>
      </c>
      <c r="CO78" s="83">
        <f t="shared" si="82"/>
        <v>-1.6391952258662239</v>
      </c>
      <c r="CP78" s="83">
        <f t="shared" si="82"/>
        <v>-1.259797946046268</v>
      </c>
      <c r="CQ78" s="83">
        <f t="shared" si="82"/>
        <v>-1.9659833414628847</v>
      </c>
      <c r="CR78" s="83">
        <f t="shared" si="82"/>
        <v>-1.0275685376222234</v>
      </c>
      <c r="CS78" s="83">
        <f t="shared" si="82"/>
        <v>0</v>
      </c>
      <c r="CT78" s="83">
        <f t="shared" si="82"/>
        <v>-2.8118538267627029</v>
      </c>
      <c r="CU78" s="83"/>
      <c r="CV78" s="83">
        <f t="shared" ref="CV78:DD78" si="83">(CV75-(3*CV71))</f>
        <v>1.3300727500859519</v>
      </c>
      <c r="CW78" s="83">
        <f t="shared" si="83"/>
        <v>-1.5589358229244996</v>
      </c>
      <c r="CX78" s="83">
        <f t="shared" si="83"/>
        <v>-1.4854251267452501</v>
      </c>
      <c r="CY78" s="83">
        <f t="shared" si="83"/>
        <v>-1.8164457356268371</v>
      </c>
      <c r="CZ78" s="83">
        <f t="shared" si="83"/>
        <v>-1.4628275672358433</v>
      </c>
      <c r="DA78" s="83">
        <f t="shared" si="83"/>
        <v>-1.5083932099899151</v>
      </c>
      <c r="DB78" s="83">
        <f t="shared" si="83"/>
        <v>-0.86214156176530554</v>
      </c>
      <c r="DC78" s="83">
        <f t="shared" si="83"/>
        <v>0</v>
      </c>
      <c r="DD78" s="83">
        <f t="shared" si="83"/>
        <v>-2.6137254555284293</v>
      </c>
      <c r="DE78" s="83"/>
      <c r="DF78" s="83">
        <f t="shared" ref="DF78:DN78" si="84">(DF75-(3*DF71))</f>
        <v>1.0729966429594584</v>
      </c>
      <c r="DG78" s="83">
        <f t="shared" si="84"/>
        <v>-1.7413302251355613</v>
      </c>
      <c r="DH78" s="83">
        <f t="shared" si="84"/>
        <v>-1.5494607977394299</v>
      </c>
      <c r="DI78" s="83">
        <f t="shared" si="84"/>
        <v>-1.616674802587668</v>
      </c>
      <c r="DJ78" s="83">
        <f t="shared" si="84"/>
        <v>-1.4167793857337505</v>
      </c>
      <c r="DK78" s="83">
        <f t="shared" si="84"/>
        <v>-1.5297132442850891</v>
      </c>
      <c r="DL78" s="83">
        <f t="shared" si="84"/>
        <v>-0.50588178325657351</v>
      </c>
      <c r="DM78" s="83">
        <f t="shared" si="84"/>
        <v>-0.36771719717573709</v>
      </c>
      <c r="DN78" s="83">
        <f t="shared" si="84"/>
        <v>-2.8792637948827409</v>
      </c>
      <c r="DO78" s="83"/>
      <c r="DP78" s="83">
        <f t="shared" ref="DP78:FF78" si="85">(DP75-(3*DP71))</f>
        <v>1.3992813494532914</v>
      </c>
      <c r="DQ78" s="83">
        <f t="shared" si="85"/>
        <v>-1.3342780169273569</v>
      </c>
      <c r="DR78" s="83">
        <f t="shared" si="85"/>
        <v>-1.527281711049632</v>
      </c>
      <c r="DS78" s="83">
        <f t="shared" si="85"/>
        <v>-1.0827003882433341</v>
      </c>
      <c r="DT78" s="83">
        <f t="shared" si="85"/>
        <v>-1.0057351905837135</v>
      </c>
      <c r="DU78" s="83">
        <f t="shared" si="85"/>
        <v>-1.475678079098756</v>
      </c>
      <c r="DV78" s="83">
        <f t="shared" si="85"/>
        <v>-0.8024586434761084</v>
      </c>
      <c r="DW78" s="83">
        <f t="shared" si="85"/>
        <v>0</v>
      </c>
      <c r="DX78" s="83">
        <f t="shared" si="85"/>
        <v>-2.1876913279323222</v>
      </c>
      <c r="DY78" s="83">
        <f t="shared" si="85"/>
        <v>-5.591002348088784</v>
      </c>
      <c r="DZ78" s="83">
        <f t="shared" si="85"/>
        <v>-1.259797946046268</v>
      </c>
      <c r="EA78" s="83">
        <f t="shared" si="85"/>
        <v>-0.74780660556352552</v>
      </c>
      <c r="EB78" s="83">
        <f t="shared" si="85"/>
        <v>-1.3249717978778026</v>
      </c>
      <c r="EC78" s="83">
        <f t="shared" si="85"/>
        <v>-3.4342246180872911</v>
      </c>
      <c r="ED78" s="83">
        <f t="shared" si="85"/>
        <v>-1.2773450718605208</v>
      </c>
      <c r="EE78" s="83">
        <f t="shared" si="85"/>
        <v>-2.9952216513700272</v>
      </c>
      <c r="EF78" s="83">
        <f t="shared" si="85"/>
        <v>-3.8948573603347674</v>
      </c>
      <c r="EG78" s="83">
        <f t="shared" si="85"/>
        <v>-1.8324781080905845</v>
      </c>
      <c r="EH78" s="83">
        <f t="shared" si="85"/>
        <v>-4.1250780247909464</v>
      </c>
      <c r="EI78" s="83">
        <f t="shared" si="85"/>
        <v>-2.4385354808922921</v>
      </c>
      <c r="EJ78" s="83">
        <f t="shared" si="85"/>
        <v>-3.4759604202229135</v>
      </c>
      <c r="EK78" s="83">
        <f t="shared" si="85"/>
        <v>-2.2266377930516446</v>
      </c>
      <c r="EL78" s="83">
        <f t="shared" si="85"/>
        <v>-2.5437778694493782</v>
      </c>
      <c r="EM78" s="83">
        <f t="shared" si="85"/>
        <v>-2.6274286309510626</v>
      </c>
      <c r="EN78" s="83">
        <f t="shared" si="85"/>
        <v>-1.2158600051496335</v>
      </c>
      <c r="EO78" s="83">
        <f t="shared" si="85"/>
        <v>-1.3987174742355444</v>
      </c>
      <c r="EP78" s="83">
        <f t="shared" si="85"/>
        <v>-3.2426406871192857</v>
      </c>
      <c r="EQ78" s="83"/>
      <c r="ER78" s="83">
        <f t="shared" si="85"/>
        <v>-5.3083928666310785</v>
      </c>
      <c r="ES78" s="83">
        <f t="shared" si="85"/>
        <v>-1.7771353921007655</v>
      </c>
      <c r="ET78" s="83">
        <f t="shared" si="85"/>
        <v>-1.6967114358836726</v>
      </c>
      <c r="EU78" s="83">
        <f t="shared" si="85"/>
        <v>-2.7133364445806141</v>
      </c>
      <c r="EV78" s="83">
        <f t="shared" si="85"/>
        <v>-2.6224110905715303</v>
      </c>
      <c r="EW78" s="83">
        <f t="shared" si="85"/>
        <v>-3.4300061043880938</v>
      </c>
      <c r="EX78" s="83">
        <f t="shared" si="85"/>
        <v>-2.5784832852047526</v>
      </c>
      <c r="EY78" s="83">
        <f t="shared" si="85"/>
        <v>-2.9067327090810555</v>
      </c>
      <c r="EZ78" s="83">
        <f t="shared" si="85"/>
        <v>-2.4005028769803065</v>
      </c>
      <c r="FA78" s="83">
        <f t="shared" si="85"/>
        <v>-2.2828377686296459</v>
      </c>
      <c r="FB78" s="83">
        <f t="shared" si="85"/>
        <v>-1.1431676725154982</v>
      </c>
      <c r="FC78" s="83">
        <f t="shared" si="85"/>
        <v>0</v>
      </c>
      <c r="FD78" s="83">
        <f t="shared" si="85"/>
        <v>0</v>
      </c>
      <c r="FE78" s="83"/>
      <c r="FF78" s="83">
        <f t="shared" si="85"/>
        <v>-4.9735037106399274</v>
      </c>
      <c r="FI78" s="88" t="s">
        <v>276</v>
      </c>
    </row>
  </sheetData>
  <mergeCells count="19">
    <mergeCell ref="W2:AL2"/>
    <mergeCell ref="EE1:FF1"/>
    <mergeCell ref="F1:AL1"/>
    <mergeCell ref="AM1:DX1"/>
    <mergeCell ref="DY1:ED2"/>
    <mergeCell ref="U2:V2"/>
    <mergeCell ref="ES2:FF2"/>
    <mergeCell ref="DO2:DX2"/>
    <mergeCell ref="DE2:DN2"/>
    <mergeCell ref="F2:T2"/>
    <mergeCell ref="BQ2:BZ2"/>
    <mergeCell ref="BG2:BP2"/>
    <mergeCell ref="AW2:BF2"/>
    <mergeCell ref="AM2:AV2"/>
    <mergeCell ref="EE2:ER2"/>
    <mergeCell ref="CU2:DD2"/>
    <mergeCell ref="CK2:CT2"/>
    <mergeCell ref="FG1:FH2"/>
    <mergeCell ref="CA2:CJ2"/>
  </mergeCells>
  <conditionalFormatting sqref="FG4:FH65">
    <cfRule type="cellIs" dxfId="198" priority="1" operator="notEqual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69"/>
  <sheetViews>
    <sheetView workbookViewId="0">
      <pane xSplit="1" ySplit="3" topLeftCell="B34" activePane="bottomRight" state="frozen"/>
      <selection pane="topRight" activeCell="B1" sqref="B1"/>
      <selection pane="bottomLeft" activeCell="A3" sqref="A3"/>
      <selection pane="bottomRight" activeCell="A55" sqref="A55"/>
    </sheetView>
  </sheetViews>
  <sheetFormatPr defaultRowHeight="15" x14ac:dyDescent="0.25"/>
  <cols>
    <col min="1" max="1" width="9.7109375" style="48" bestFit="1" customWidth="1"/>
    <col min="2" max="2" width="6.140625" style="48" bestFit="1" customWidth="1"/>
    <col min="3" max="3" width="6.42578125" style="48" bestFit="1" customWidth="1"/>
    <col min="4" max="4" width="12.140625" style="48" bestFit="1" customWidth="1"/>
    <col min="5" max="5" width="8.28515625" style="49" bestFit="1" customWidth="1"/>
    <col min="6" max="6" width="5.42578125" style="49" bestFit="1" customWidth="1"/>
    <col min="7" max="7" width="10.85546875" style="52" bestFit="1" customWidth="1"/>
    <col min="8" max="8" width="7" style="52" bestFit="1" customWidth="1"/>
    <col min="9" max="9" width="5.85546875" style="52" bestFit="1" customWidth="1"/>
    <col min="10" max="10" width="6.7109375" style="52" bestFit="1" customWidth="1"/>
    <col min="11" max="11" width="6.28515625" style="52" bestFit="1" customWidth="1"/>
    <col min="12" max="12" width="6.140625" style="52" bestFit="1" customWidth="1"/>
    <col min="13" max="13" width="7.140625" style="52" bestFit="1" customWidth="1"/>
    <col min="14" max="14" width="7.28515625" style="52" bestFit="1" customWidth="1"/>
    <col min="15" max="16" width="7.42578125" style="52" bestFit="1" customWidth="1"/>
    <col min="17" max="17" width="8.5703125" style="52" bestFit="1" customWidth="1"/>
    <col min="18" max="18" width="7.140625" style="52" bestFit="1" customWidth="1"/>
    <col min="19" max="20" width="7.42578125" style="52" bestFit="1" customWidth="1"/>
    <col min="21" max="22" width="6" style="52" bestFit="1" customWidth="1"/>
    <col min="23" max="23" width="7.140625" style="52" bestFit="1" customWidth="1"/>
    <col min="24" max="24" width="6" style="52" bestFit="1" customWidth="1"/>
    <col min="25" max="25" width="6.28515625" style="52" bestFit="1" customWidth="1"/>
    <col min="26" max="26" width="5.28515625" style="52" bestFit="1" customWidth="1"/>
    <col min="27" max="27" width="5.42578125" style="52" bestFit="1" customWidth="1"/>
    <col min="28" max="28" width="6.85546875" style="52" bestFit="1" customWidth="1"/>
    <col min="29" max="29" width="6.42578125" style="52" bestFit="1" customWidth="1"/>
    <col min="30" max="30" width="6.28515625" style="52" bestFit="1" customWidth="1"/>
    <col min="31" max="31" width="7.28515625" style="52" bestFit="1" customWidth="1"/>
    <col min="32" max="32" width="7.42578125" style="52" bestFit="1" customWidth="1"/>
    <col min="33" max="34" width="7.5703125" style="52" bestFit="1" customWidth="1"/>
    <col min="35" max="35" width="8.7109375" style="52" bestFit="1" customWidth="1"/>
    <col min="36" max="36" width="7.28515625" style="52" bestFit="1" customWidth="1"/>
    <col min="37" max="38" width="7.5703125" style="52" bestFit="1" customWidth="1"/>
    <col min="39" max="39" width="11.85546875" style="52" bestFit="1" customWidth="1"/>
    <col min="40" max="40" width="6.7109375" style="52" bestFit="1" customWidth="1"/>
    <col min="41" max="42" width="6" style="52" bestFit="1" customWidth="1"/>
    <col min="43" max="43" width="7.140625" style="52" bestFit="1" customWidth="1"/>
    <col min="44" max="44" width="6.5703125" style="52" bestFit="1" customWidth="1"/>
    <col min="45" max="45" width="6.7109375" style="52" bestFit="1" customWidth="1"/>
    <col min="46" max="46" width="7.85546875" style="52" bestFit="1" customWidth="1"/>
    <col min="47" max="47" width="6.28515625" style="52" bestFit="1" customWidth="1"/>
    <col min="48" max="48" width="6.42578125" style="52" bestFit="1" customWidth="1"/>
    <col min="49" max="49" width="13.140625" style="52" bestFit="1" customWidth="1"/>
    <col min="50" max="50" width="6.7109375" style="52" bestFit="1" customWidth="1"/>
    <col min="51" max="52" width="6" style="52" bestFit="1" customWidth="1"/>
    <col min="53" max="53" width="7.140625" style="52" bestFit="1" customWidth="1"/>
    <col min="54" max="54" width="6.5703125" style="52" bestFit="1" customWidth="1"/>
    <col min="55" max="55" width="6.7109375" style="52" bestFit="1" customWidth="1"/>
    <col min="56" max="56" width="7.85546875" style="52" bestFit="1" customWidth="1"/>
    <col min="57" max="57" width="6.28515625" style="52" bestFit="1" customWidth="1"/>
    <col min="58" max="58" width="6.42578125" style="52" bestFit="1" customWidth="1"/>
    <col min="59" max="59" width="12.85546875" style="52" bestFit="1" customWidth="1"/>
    <col min="60" max="60" width="6.7109375" style="52" bestFit="1" customWidth="1"/>
    <col min="61" max="62" width="6" style="52" bestFit="1" customWidth="1"/>
    <col min="63" max="63" width="7.140625" style="52" bestFit="1" customWidth="1"/>
    <col min="64" max="64" width="6.5703125" style="52" bestFit="1" customWidth="1"/>
    <col min="65" max="65" width="6.7109375" style="52" bestFit="1" customWidth="1"/>
    <col min="66" max="66" width="7.85546875" style="52" bestFit="1" customWidth="1"/>
    <col min="67" max="67" width="6.28515625" style="52" bestFit="1" customWidth="1"/>
    <col min="68" max="68" width="6.42578125" style="52" bestFit="1" customWidth="1"/>
    <col min="69" max="69" width="12.85546875" style="52" bestFit="1" customWidth="1"/>
    <col min="70" max="70" width="6.7109375" style="52" bestFit="1" customWidth="1"/>
    <col min="71" max="72" width="6" style="52" bestFit="1" customWidth="1"/>
    <col min="73" max="73" width="7.140625" style="52" bestFit="1" customWidth="1"/>
    <col min="74" max="74" width="6.5703125" style="52" bestFit="1" customWidth="1"/>
    <col min="75" max="75" width="6.7109375" style="52" bestFit="1" customWidth="1"/>
    <col min="76" max="76" width="7.85546875" style="52" bestFit="1" customWidth="1"/>
    <col min="77" max="77" width="6.28515625" style="52" bestFit="1" customWidth="1"/>
    <col min="78" max="78" width="6.42578125" style="52" bestFit="1" customWidth="1"/>
    <col min="79" max="79" width="12.85546875" style="52" bestFit="1" customWidth="1"/>
    <col min="80" max="80" width="6.7109375" style="52" bestFit="1" customWidth="1"/>
    <col min="81" max="82" width="6" style="52" bestFit="1" customWidth="1"/>
    <col min="83" max="83" width="7.140625" style="52" bestFit="1" customWidth="1"/>
    <col min="84" max="84" width="6.5703125" style="52" bestFit="1" customWidth="1"/>
    <col min="85" max="85" width="6.7109375" style="52" bestFit="1" customWidth="1"/>
    <col min="86" max="86" width="7.85546875" style="52" bestFit="1" customWidth="1"/>
    <col min="87" max="87" width="6.28515625" style="52" bestFit="1" customWidth="1"/>
    <col min="88" max="88" width="6.42578125" style="52" bestFit="1" customWidth="1"/>
    <col min="89" max="89" width="11" style="52" bestFit="1" customWidth="1"/>
    <col min="90" max="90" width="6.7109375" style="52" bestFit="1" customWidth="1"/>
    <col min="91" max="92" width="6" style="52" bestFit="1" customWidth="1"/>
    <col min="93" max="93" width="7.140625" style="52" bestFit="1" customWidth="1"/>
    <col min="94" max="94" width="6.5703125" style="52" bestFit="1" customWidth="1"/>
    <col min="95" max="95" width="6.7109375" style="52" bestFit="1" customWidth="1"/>
    <col min="96" max="96" width="7.85546875" style="52" bestFit="1" customWidth="1"/>
    <col min="97" max="97" width="6.28515625" style="52" bestFit="1" customWidth="1"/>
    <col min="98" max="98" width="6.42578125" style="52" bestFit="1" customWidth="1"/>
    <col min="99" max="99" width="11.42578125" style="52" bestFit="1" customWidth="1"/>
    <col min="100" max="100" width="6.7109375" style="52" bestFit="1" customWidth="1"/>
    <col min="101" max="102" width="6" style="52" bestFit="1" customWidth="1"/>
    <col min="103" max="103" width="7.140625" style="52" bestFit="1" customWidth="1"/>
    <col min="104" max="104" width="6.5703125" style="52" bestFit="1" customWidth="1"/>
    <col min="105" max="105" width="6.7109375" style="52" bestFit="1" customWidth="1"/>
    <col min="106" max="106" width="7.85546875" style="52" bestFit="1" customWidth="1"/>
    <col min="107" max="107" width="6.28515625" style="52" bestFit="1" customWidth="1"/>
    <col min="108" max="108" width="6.42578125" style="52" bestFit="1" customWidth="1"/>
    <col min="109" max="109" width="11.42578125" style="52" bestFit="1" customWidth="1"/>
    <col min="110" max="110" width="6.7109375" style="52" bestFit="1" customWidth="1"/>
    <col min="111" max="112" width="6" style="52" bestFit="1" customWidth="1"/>
    <col min="113" max="113" width="7.140625" style="52" bestFit="1" customWidth="1"/>
    <col min="114" max="114" width="6.5703125" style="52" bestFit="1" customWidth="1"/>
    <col min="115" max="115" width="6.7109375" style="52" bestFit="1" customWidth="1"/>
    <col min="116" max="116" width="7.85546875" style="52" bestFit="1" customWidth="1"/>
    <col min="117" max="117" width="6.28515625" style="52" bestFit="1" customWidth="1"/>
    <col min="118" max="118" width="6.42578125" style="52" bestFit="1" customWidth="1"/>
    <col min="119" max="119" width="11.42578125" style="52" bestFit="1" customWidth="1"/>
    <col min="120" max="120" width="6.7109375" style="52" bestFit="1" customWidth="1"/>
    <col min="121" max="122" width="6" style="52" bestFit="1" customWidth="1"/>
    <col min="123" max="123" width="7.140625" style="52" bestFit="1" customWidth="1"/>
    <col min="124" max="124" width="6.5703125" style="52" bestFit="1" customWidth="1"/>
    <col min="125" max="125" width="6.7109375" style="52" bestFit="1" customWidth="1"/>
    <col min="126" max="126" width="7.85546875" style="52" bestFit="1" customWidth="1"/>
    <col min="127" max="127" width="6.28515625" style="52" bestFit="1" customWidth="1"/>
    <col min="128" max="128" width="6.42578125" style="52" bestFit="1" customWidth="1"/>
    <col min="129" max="129" width="6" style="52" bestFit="1" customWidth="1"/>
    <col min="130" max="130" width="6.42578125" style="52" bestFit="1" customWidth="1"/>
    <col min="131" max="131" width="6.5703125" style="52" bestFit="1" customWidth="1"/>
    <col min="132" max="132" width="6.28515625" style="52" bestFit="1" customWidth="1"/>
    <col min="133" max="133" width="6.7109375" style="52" bestFit="1" customWidth="1"/>
    <col min="134" max="134" width="6.85546875" style="52" bestFit="1" customWidth="1"/>
    <col min="135" max="143" width="6" style="52" bestFit="1" customWidth="1"/>
    <col min="144" max="146" width="7" style="52" bestFit="1" customWidth="1"/>
    <col min="147" max="147" width="7.7109375" style="52" customWidth="1"/>
    <col min="148" max="157" width="6.28515625" style="52" bestFit="1" customWidth="1"/>
    <col min="158" max="160" width="7.28515625" style="52" bestFit="1" customWidth="1"/>
    <col min="161" max="161" width="7.7109375" style="52" customWidth="1"/>
    <col min="162" max="162" width="6.28515625" style="52" bestFit="1" customWidth="1"/>
    <col min="163" max="164" width="11.85546875" style="52" bestFit="1" customWidth="1"/>
    <col min="165" max="165" width="32.42578125" style="51" bestFit="1" customWidth="1"/>
    <col min="166" max="16384" width="9.140625" style="52"/>
  </cols>
  <sheetData>
    <row r="1" spans="1:165" x14ac:dyDescent="0.25">
      <c r="F1" s="442" t="s">
        <v>125</v>
      </c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4"/>
      <c r="AM1" s="442" t="s">
        <v>185</v>
      </c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43"/>
      <c r="BZ1" s="443"/>
      <c r="CA1" s="443"/>
      <c r="CB1" s="443"/>
      <c r="CC1" s="443"/>
      <c r="CD1" s="443"/>
      <c r="CE1" s="443"/>
      <c r="CF1" s="443"/>
      <c r="CG1" s="443"/>
      <c r="CH1" s="443"/>
      <c r="CI1" s="443"/>
      <c r="CJ1" s="443"/>
      <c r="CK1" s="443"/>
      <c r="CL1" s="443"/>
      <c r="CM1" s="443"/>
      <c r="CN1" s="443"/>
      <c r="CO1" s="443"/>
      <c r="CP1" s="443"/>
      <c r="CQ1" s="443"/>
      <c r="CR1" s="443"/>
      <c r="CS1" s="443"/>
      <c r="CT1" s="443"/>
      <c r="CU1" s="443"/>
      <c r="CV1" s="443"/>
      <c r="CW1" s="443"/>
      <c r="CX1" s="443"/>
      <c r="CY1" s="443"/>
      <c r="CZ1" s="443"/>
      <c r="DA1" s="443"/>
      <c r="DB1" s="443"/>
      <c r="DC1" s="443"/>
      <c r="DD1" s="443"/>
      <c r="DE1" s="443"/>
      <c r="DF1" s="443"/>
      <c r="DG1" s="443"/>
      <c r="DH1" s="443"/>
      <c r="DI1" s="443"/>
      <c r="DJ1" s="443"/>
      <c r="DK1" s="443"/>
      <c r="DL1" s="443"/>
      <c r="DM1" s="443"/>
      <c r="DN1" s="443"/>
      <c r="DO1" s="443"/>
      <c r="DP1" s="443"/>
      <c r="DQ1" s="443"/>
      <c r="DR1" s="443"/>
      <c r="DS1" s="443"/>
      <c r="DT1" s="443"/>
      <c r="DU1" s="443"/>
      <c r="DV1" s="443"/>
      <c r="DW1" s="443"/>
      <c r="DX1" s="444"/>
      <c r="DY1" s="445" t="s">
        <v>184</v>
      </c>
      <c r="DZ1" s="446"/>
      <c r="EA1" s="446"/>
      <c r="EB1" s="446"/>
      <c r="EC1" s="446"/>
      <c r="ED1" s="447"/>
      <c r="EE1" s="441" t="s">
        <v>178</v>
      </c>
      <c r="EF1" s="441"/>
      <c r="EG1" s="441"/>
      <c r="EH1" s="441"/>
      <c r="EI1" s="441"/>
      <c r="EJ1" s="441"/>
      <c r="EK1" s="441"/>
      <c r="EL1" s="441"/>
      <c r="EM1" s="441"/>
      <c r="EN1" s="441"/>
      <c r="EO1" s="441"/>
      <c r="EP1" s="441"/>
      <c r="EQ1" s="441"/>
      <c r="ER1" s="441"/>
      <c r="ES1" s="441"/>
      <c r="ET1" s="441"/>
      <c r="EU1" s="441"/>
      <c r="EV1" s="441"/>
      <c r="EW1" s="441"/>
      <c r="EX1" s="441"/>
      <c r="EY1" s="441"/>
      <c r="EZ1" s="441"/>
      <c r="FA1" s="441"/>
      <c r="FB1" s="441"/>
      <c r="FC1" s="441"/>
      <c r="FD1" s="441"/>
      <c r="FE1" s="441"/>
      <c r="FF1" s="441"/>
      <c r="FG1" s="438" t="s">
        <v>247</v>
      </c>
      <c r="FH1" s="438"/>
    </row>
    <row r="2" spans="1:165" x14ac:dyDescent="0.25">
      <c r="A2" s="53"/>
      <c r="B2" s="53"/>
      <c r="C2" s="53"/>
      <c r="D2" s="53"/>
      <c r="E2" s="54"/>
      <c r="F2" s="450" t="s">
        <v>0</v>
      </c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48" t="s">
        <v>186</v>
      </c>
      <c r="V2" s="449"/>
      <c r="W2" s="440" t="s">
        <v>1</v>
      </c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52">
        <v>1</v>
      </c>
      <c r="AN2" s="439"/>
      <c r="AO2" s="439"/>
      <c r="AP2" s="439"/>
      <c r="AQ2" s="439"/>
      <c r="AR2" s="439"/>
      <c r="AS2" s="439"/>
      <c r="AT2" s="439"/>
      <c r="AU2" s="439"/>
      <c r="AV2" s="439"/>
      <c r="AW2" s="439">
        <v>2</v>
      </c>
      <c r="AX2" s="439"/>
      <c r="AY2" s="439"/>
      <c r="AZ2" s="439"/>
      <c r="BA2" s="439"/>
      <c r="BB2" s="439"/>
      <c r="BC2" s="439"/>
      <c r="BD2" s="439"/>
      <c r="BE2" s="439"/>
      <c r="BF2" s="439"/>
      <c r="BG2" s="439">
        <v>3</v>
      </c>
      <c r="BH2" s="439"/>
      <c r="BI2" s="439"/>
      <c r="BJ2" s="439"/>
      <c r="BK2" s="439"/>
      <c r="BL2" s="439"/>
      <c r="BM2" s="439"/>
      <c r="BN2" s="439"/>
      <c r="BO2" s="439"/>
      <c r="BP2" s="439"/>
      <c r="BQ2" s="439">
        <v>4</v>
      </c>
      <c r="BR2" s="439"/>
      <c r="BS2" s="439"/>
      <c r="BT2" s="439"/>
      <c r="BU2" s="439"/>
      <c r="BV2" s="439"/>
      <c r="BW2" s="439"/>
      <c r="BX2" s="439"/>
      <c r="BY2" s="439"/>
      <c r="BZ2" s="439"/>
      <c r="CA2" s="439">
        <v>5</v>
      </c>
      <c r="CB2" s="439"/>
      <c r="CC2" s="439"/>
      <c r="CD2" s="439"/>
      <c r="CE2" s="439"/>
      <c r="CF2" s="439"/>
      <c r="CG2" s="439"/>
      <c r="CH2" s="439"/>
      <c r="CI2" s="439"/>
      <c r="CJ2" s="439"/>
      <c r="CK2" s="439">
        <v>6</v>
      </c>
      <c r="CL2" s="439"/>
      <c r="CM2" s="439"/>
      <c r="CN2" s="439"/>
      <c r="CO2" s="439"/>
      <c r="CP2" s="439"/>
      <c r="CQ2" s="439"/>
      <c r="CR2" s="439"/>
      <c r="CS2" s="439"/>
      <c r="CT2" s="439"/>
      <c r="CU2" s="439">
        <v>7</v>
      </c>
      <c r="CV2" s="439"/>
      <c r="CW2" s="439"/>
      <c r="CX2" s="439"/>
      <c r="CY2" s="439"/>
      <c r="CZ2" s="439"/>
      <c r="DA2" s="439"/>
      <c r="DB2" s="439"/>
      <c r="DC2" s="439"/>
      <c r="DD2" s="439"/>
      <c r="DE2" s="439">
        <v>8</v>
      </c>
      <c r="DF2" s="439"/>
      <c r="DG2" s="439"/>
      <c r="DH2" s="439"/>
      <c r="DI2" s="439"/>
      <c r="DJ2" s="439"/>
      <c r="DK2" s="439"/>
      <c r="DL2" s="439"/>
      <c r="DM2" s="439"/>
      <c r="DN2" s="439"/>
      <c r="DO2" s="439">
        <v>9</v>
      </c>
      <c r="DP2" s="439"/>
      <c r="DQ2" s="439"/>
      <c r="DR2" s="439"/>
      <c r="DS2" s="439"/>
      <c r="DT2" s="439"/>
      <c r="DU2" s="439"/>
      <c r="DV2" s="439"/>
      <c r="DW2" s="439"/>
      <c r="DX2" s="453"/>
      <c r="DY2" s="445"/>
      <c r="DZ2" s="446"/>
      <c r="EA2" s="446"/>
      <c r="EB2" s="446"/>
      <c r="EC2" s="446"/>
      <c r="ED2" s="447"/>
      <c r="EE2" s="441" t="s">
        <v>179</v>
      </c>
      <c r="EF2" s="441"/>
      <c r="EG2" s="441"/>
      <c r="EH2" s="441"/>
      <c r="EI2" s="441"/>
      <c r="EJ2" s="441"/>
      <c r="EK2" s="441"/>
      <c r="EL2" s="441"/>
      <c r="EM2" s="441"/>
      <c r="EN2" s="441"/>
      <c r="EO2" s="441"/>
      <c r="EP2" s="441"/>
      <c r="EQ2" s="441"/>
      <c r="ER2" s="441"/>
      <c r="ES2" s="441" t="s">
        <v>180</v>
      </c>
      <c r="ET2" s="441"/>
      <c r="EU2" s="441"/>
      <c r="EV2" s="441"/>
      <c r="EW2" s="441"/>
      <c r="EX2" s="441"/>
      <c r="EY2" s="441"/>
      <c r="EZ2" s="441"/>
      <c r="FA2" s="441"/>
      <c r="FB2" s="441"/>
      <c r="FC2" s="441"/>
      <c r="FD2" s="441"/>
      <c r="FE2" s="441"/>
      <c r="FF2" s="441"/>
      <c r="FG2" s="438"/>
      <c r="FH2" s="438"/>
    </row>
    <row r="3" spans="1:165" s="51" customFormat="1" x14ac:dyDescent="0.25">
      <c r="A3" s="55" t="s">
        <v>3</v>
      </c>
      <c r="B3" s="55" t="s">
        <v>126</v>
      </c>
      <c r="C3" s="55" t="s">
        <v>127</v>
      </c>
      <c r="D3" s="55" t="s">
        <v>128</v>
      </c>
      <c r="E3" s="56" t="s">
        <v>151</v>
      </c>
      <c r="F3" s="56" t="s">
        <v>181</v>
      </c>
      <c r="G3" s="36" t="s">
        <v>2</v>
      </c>
      <c r="H3" s="37" t="s">
        <v>4</v>
      </c>
      <c r="I3" s="37" t="s">
        <v>5</v>
      </c>
      <c r="J3" s="35" t="s">
        <v>6</v>
      </c>
      <c r="K3" s="36" t="s">
        <v>7</v>
      </c>
      <c r="L3" s="36" t="s">
        <v>8</v>
      </c>
      <c r="M3" s="36" t="s">
        <v>9</v>
      </c>
      <c r="N3" s="36" t="s">
        <v>10</v>
      </c>
      <c r="O3" s="36" t="s">
        <v>11</v>
      </c>
      <c r="P3" s="36" t="s">
        <v>12</v>
      </c>
      <c r="Q3" s="36" t="s">
        <v>13</v>
      </c>
      <c r="R3" s="36" t="s">
        <v>14</v>
      </c>
      <c r="S3" s="36" t="s">
        <v>15</v>
      </c>
      <c r="T3" s="36" t="s">
        <v>16</v>
      </c>
      <c r="U3" s="37" t="s">
        <v>32</v>
      </c>
      <c r="V3" s="37" t="s">
        <v>33</v>
      </c>
      <c r="W3" s="36" t="s">
        <v>17</v>
      </c>
      <c r="X3" s="36" t="s">
        <v>18</v>
      </c>
      <c r="Y3" s="36" t="s">
        <v>182</v>
      </c>
      <c r="Z3" s="36" t="s">
        <v>183</v>
      </c>
      <c r="AA3" s="36" t="s">
        <v>20</v>
      </c>
      <c r="AB3" s="35" t="s">
        <v>21</v>
      </c>
      <c r="AC3" s="37" t="s">
        <v>22</v>
      </c>
      <c r="AD3" s="37" t="s">
        <v>23</v>
      </c>
      <c r="AE3" s="37" t="s">
        <v>24</v>
      </c>
      <c r="AF3" s="37" t="s">
        <v>25</v>
      </c>
      <c r="AG3" s="37" t="s">
        <v>26</v>
      </c>
      <c r="AH3" s="37" t="s">
        <v>27</v>
      </c>
      <c r="AI3" s="37" t="s">
        <v>28</v>
      </c>
      <c r="AJ3" s="37" t="s">
        <v>29</v>
      </c>
      <c r="AK3" s="37" t="s">
        <v>30</v>
      </c>
      <c r="AL3" s="37" t="s">
        <v>31</v>
      </c>
      <c r="AM3" s="37" t="s">
        <v>35</v>
      </c>
      <c r="AN3" s="37" t="s">
        <v>36</v>
      </c>
      <c r="AO3" s="37" t="s">
        <v>37</v>
      </c>
      <c r="AP3" s="37" t="s">
        <v>38</v>
      </c>
      <c r="AQ3" s="37" t="s">
        <v>39</v>
      </c>
      <c r="AR3" s="37" t="s">
        <v>40</v>
      </c>
      <c r="AS3" s="37" t="s">
        <v>41</v>
      </c>
      <c r="AT3" s="37" t="s">
        <v>42</v>
      </c>
      <c r="AU3" s="37" t="s">
        <v>43</v>
      </c>
      <c r="AV3" s="37" t="s">
        <v>44</v>
      </c>
      <c r="AW3" s="37" t="s">
        <v>45</v>
      </c>
      <c r="AX3" s="37" t="s">
        <v>46</v>
      </c>
      <c r="AY3" s="37" t="s">
        <v>47</v>
      </c>
      <c r="AZ3" s="57" t="s">
        <v>48</v>
      </c>
      <c r="BA3" s="57" t="s">
        <v>49</v>
      </c>
      <c r="BB3" s="57" t="s">
        <v>50</v>
      </c>
      <c r="BC3" s="57" t="s">
        <v>51</v>
      </c>
      <c r="BD3" s="57" t="s">
        <v>52</v>
      </c>
      <c r="BE3" s="57" t="s">
        <v>53</v>
      </c>
      <c r="BF3" s="57" t="s">
        <v>54</v>
      </c>
      <c r="BG3" s="57" t="s">
        <v>55</v>
      </c>
      <c r="BH3" s="57" t="s">
        <v>56</v>
      </c>
      <c r="BI3" s="57" t="s">
        <v>57</v>
      </c>
      <c r="BJ3" s="57" t="s">
        <v>58</v>
      </c>
      <c r="BK3" s="57" t="s">
        <v>59</v>
      </c>
      <c r="BL3" s="57" t="s">
        <v>60</v>
      </c>
      <c r="BM3" s="57" t="s">
        <v>61</v>
      </c>
      <c r="BN3" s="57" t="s">
        <v>62</v>
      </c>
      <c r="BO3" s="57" t="s">
        <v>63</v>
      </c>
      <c r="BP3" s="57" t="s">
        <v>64</v>
      </c>
      <c r="BQ3" s="57" t="s">
        <v>65</v>
      </c>
      <c r="BR3" s="57" t="s">
        <v>66</v>
      </c>
      <c r="BS3" s="57" t="s">
        <v>67</v>
      </c>
      <c r="BT3" s="57" t="s">
        <v>68</v>
      </c>
      <c r="BU3" s="57" t="s">
        <v>69</v>
      </c>
      <c r="BV3" s="57" t="s">
        <v>70</v>
      </c>
      <c r="BW3" s="57" t="s">
        <v>71</v>
      </c>
      <c r="BX3" s="57" t="s">
        <v>72</v>
      </c>
      <c r="BY3" s="57" t="s">
        <v>73</v>
      </c>
      <c r="BZ3" s="57" t="s">
        <v>74</v>
      </c>
      <c r="CA3" s="57" t="s">
        <v>75</v>
      </c>
      <c r="CB3" s="57" t="s">
        <v>76</v>
      </c>
      <c r="CC3" s="57" t="s">
        <v>77</v>
      </c>
      <c r="CD3" s="57" t="s">
        <v>78</v>
      </c>
      <c r="CE3" s="57" t="s">
        <v>79</v>
      </c>
      <c r="CF3" s="57" t="s">
        <v>80</v>
      </c>
      <c r="CG3" s="57" t="s">
        <v>81</v>
      </c>
      <c r="CH3" s="57" t="s">
        <v>82</v>
      </c>
      <c r="CI3" s="57" t="s">
        <v>83</v>
      </c>
      <c r="CJ3" s="57" t="s">
        <v>84</v>
      </c>
      <c r="CK3" s="57" t="s">
        <v>85</v>
      </c>
      <c r="CL3" s="57" t="s">
        <v>86</v>
      </c>
      <c r="CM3" s="57" t="s">
        <v>87</v>
      </c>
      <c r="CN3" s="57" t="s">
        <v>88</v>
      </c>
      <c r="CO3" s="57" t="s">
        <v>89</v>
      </c>
      <c r="CP3" s="57" t="s">
        <v>90</v>
      </c>
      <c r="CQ3" s="57" t="s">
        <v>91</v>
      </c>
      <c r="CR3" s="57" t="s">
        <v>92</v>
      </c>
      <c r="CS3" s="57" t="s">
        <v>93</v>
      </c>
      <c r="CT3" s="57" t="s">
        <v>94</v>
      </c>
      <c r="CU3" s="57" t="s">
        <v>95</v>
      </c>
      <c r="CV3" s="57" t="s">
        <v>96</v>
      </c>
      <c r="CW3" s="57" t="s">
        <v>97</v>
      </c>
      <c r="CX3" s="57" t="s">
        <v>98</v>
      </c>
      <c r="CY3" s="57" t="s">
        <v>99</v>
      </c>
      <c r="CZ3" s="57" t="s">
        <v>100</v>
      </c>
      <c r="DA3" s="57" t="s">
        <v>101</v>
      </c>
      <c r="DB3" s="57" t="s">
        <v>102</v>
      </c>
      <c r="DC3" s="57" t="s">
        <v>103</v>
      </c>
      <c r="DD3" s="57" t="s">
        <v>104</v>
      </c>
      <c r="DE3" s="57" t="s">
        <v>105</v>
      </c>
      <c r="DF3" s="57" t="s">
        <v>106</v>
      </c>
      <c r="DG3" s="57" t="s">
        <v>107</v>
      </c>
      <c r="DH3" s="57" t="s">
        <v>108</v>
      </c>
      <c r="DI3" s="57" t="s">
        <v>109</v>
      </c>
      <c r="DJ3" s="57" t="s">
        <v>110</v>
      </c>
      <c r="DK3" s="57" t="s">
        <v>111</v>
      </c>
      <c r="DL3" s="57" t="s">
        <v>112</v>
      </c>
      <c r="DM3" s="57" t="s">
        <v>113</v>
      </c>
      <c r="DN3" s="57" t="s">
        <v>114</v>
      </c>
      <c r="DO3" s="57" t="s">
        <v>115</v>
      </c>
      <c r="DP3" s="57" t="s">
        <v>116</v>
      </c>
      <c r="DQ3" s="57" t="s">
        <v>117</v>
      </c>
      <c r="DR3" s="57" t="s">
        <v>118</v>
      </c>
      <c r="DS3" s="57" t="s">
        <v>119</v>
      </c>
      <c r="DT3" s="57" t="s">
        <v>120</v>
      </c>
      <c r="DU3" s="57" t="s">
        <v>121</v>
      </c>
      <c r="DV3" s="57" t="s">
        <v>122</v>
      </c>
      <c r="DW3" s="57" t="s">
        <v>123</v>
      </c>
      <c r="DX3" s="57" t="s">
        <v>124</v>
      </c>
      <c r="DY3" s="57" t="s">
        <v>145</v>
      </c>
      <c r="DZ3" s="57" t="s">
        <v>148</v>
      </c>
      <c r="EA3" s="57" t="s">
        <v>149</v>
      </c>
      <c r="EB3" s="57" t="s">
        <v>146</v>
      </c>
      <c r="EC3" s="57" t="s">
        <v>147</v>
      </c>
      <c r="ED3" s="57" t="s">
        <v>150</v>
      </c>
      <c r="EE3" s="57" t="s">
        <v>152</v>
      </c>
      <c r="EF3" s="57" t="s">
        <v>153</v>
      </c>
      <c r="EG3" s="57" t="s">
        <v>154</v>
      </c>
      <c r="EH3" s="57" t="s">
        <v>155</v>
      </c>
      <c r="EI3" s="57" t="s">
        <v>156</v>
      </c>
      <c r="EJ3" s="57" t="s">
        <v>157</v>
      </c>
      <c r="EK3" s="57" t="s">
        <v>158</v>
      </c>
      <c r="EL3" s="57" t="s">
        <v>159</v>
      </c>
      <c r="EM3" s="57" t="s">
        <v>160</v>
      </c>
      <c r="EN3" s="57" t="s">
        <v>161</v>
      </c>
      <c r="EO3" s="57" t="s">
        <v>162</v>
      </c>
      <c r="EP3" s="57" t="s">
        <v>163</v>
      </c>
      <c r="EQ3" s="57" t="s">
        <v>372</v>
      </c>
      <c r="ER3" s="57" t="s">
        <v>164</v>
      </c>
      <c r="ES3" s="57" t="s">
        <v>165</v>
      </c>
      <c r="ET3" s="57" t="s">
        <v>166</v>
      </c>
      <c r="EU3" s="57" t="s">
        <v>167</v>
      </c>
      <c r="EV3" s="57" t="s">
        <v>168</v>
      </c>
      <c r="EW3" s="57" t="s">
        <v>169</v>
      </c>
      <c r="EX3" s="57" t="s">
        <v>170</v>
      </c>
      <c r="EY3" s="57" t="s">
        <v>171</v>
      </c>
      <c r="EZ3" s="57" t="s">
        <v>172</v>
      </c>
      <c r="FA3" s="57" t="s">
        <v>173</v>
      </c>
      <c r="FB3" s="57" t="s">
        <v>174</v>
      </c>
      <c r="FC3" s="57" t="s">
        <v>175</v>
      </c>
      <c r="FD3" s="57" t="s">
        <v>176</v>
      </c>
      <c r="FE3" s="57" t="s">
        <v>371</v>
      </c>
      <c r="FF3" s="57" t="s">
        <v>177</v>
      </c>
      <c r="FG3" s="57" t="s">
        <v>245</v>
      </c>
      <c r="FH3" s="57" t="s">
        <v>246</v>
      </c>
      <c r="FI3" s="57" t="s">
        <v>248</v>
      </c>
    </row>
    <row r="4" spans="1:165" x14ac:dyDescent="0.25">
      <c r="A4" s="53">
        <v>40351</v>
      </c>
      <c r="B4" s="53" t="s">
        <v>19</v>
      </c>
      <c r="C4" s="53" t="s">
        <v>131</v>
      </c>
      <c r="D4" s="53" t="s">
        <v>303</v>
      </c>
      <c r="E4" s="54">
        <v>2050</v>
      </c>
      <c r="F4" s="58">
        <v>1</v>
      </c>
      <c r="G4" s="59" t="s">
        <v>305</v>
      </c>
      <c r="H4" s="6">
        <v>0</v>
      </c>
      <c r="I4" s="6">
        <v>0</v>
      </c>
      <c r="J4" s="60">
        <v>6</v>
      </c>
      <c r="K4" s="6">
        <v>3</v>
      </c>
      <c r="L4" s="6">
        <v>0</v>
      </c>
      <c r="M4" s="6">
        <v>0</v>
      </c>
      <c r="N4" s="6">
        <v>3</v>
      </c>
      <c r="O4" s="6">
        <v>2</v>
      </c>
      <c r="P4" s="6">
        <v>0</v>
      </c>
      <c r="Q4" s="6">
        <v>0</v>
      </c>
      <c r="R4" s="6">
        <v>20</v>
      </c>
      <c r="S4" s="6"/>
      <c r="T4" s="6"/>
      <c r="U4" s="6">
        <v>0</v>
      </c>
      <c r="V4" s="61">
        <v>0</v>
      </c>
      <c r="W4" s="62">
        <v>0</v>
      </c>
      <c r="X4" s="62">
        <v>1</v>
      </c>
      <c r="Y4" s="62">
        <v>0</v>
      </c>
      <c r="Z4" s="62">
        <v>0</v>
      </c>
      <c r="AA4" s="62">
        <v>1</v>
      </c>
      <c r="AB4" s="63">
        <v>3</v>
      </c>
      <c r="AC4" s="62">
        <v>3</v>
      </c>
      <c r="AD4" s="62">
        <v>5</v>
      </c>
      <c r="AE4" s="62">
        <v>3</v>
      </c>
      <c r="AF4" s="62">
        <v>2</v>
      </c>
      <c r="AG4" s="62">
        <v>1</v>
      </c>
      <c r="AH4" s="62">
        <v>1</v>
      </c>
      <c r="AI4" s="62">
        <v>1</v>
      </c>
      <c r="AJ4" s="62">
        <v>16</v>
      </c>
      <c r="AK4" s="62"/>
      <c r="AL4" s="62"/>
      <c r="AM4" s="1" t="s">
        <v>429</v>
      </c>
      <c r="AN4" s="78">
        <v>4</v>
      </c>
      <c r="AO4" s="78">
        <v>0</v>
      </c>
      <c r="AP4" s="78">
        <v>2</v>
      </c>
      <c r="AQ4" s="78">
        <v>0</v>
      </c>
      <c r="AR4" s="78">
        <v>0</v>
      </c>
      <c r="AS4" s="78">
        <v>2</v>
      </c>
      <c r="AT4" s="78">
        <v>0</v>
      </c>
      <c r="AU4" s="78">
        <v>0</v>
      </c>
      <c r="AV4" s="76">
        <v>2</v>
      </c>
      <c r="AW4" s="1" t="s">
        <v>298</v>
      </c>
      <c r="AX4" s="78">
        <v>4</v>
      </c>
      <c r="AY4" s="78">
        <v>0</v>
      </c>
      <c r="AZ4" s="78">
        <v>2</v>
      </c>
      <c r="BA4" s="78">
        <v>0</v>
      </c>
      <c r="BB4" s="78">
        <v>0</v>
      </c>
      <c r="BC4" s="78">
        <v>0</v>
      </c>
      <c r="BD4" s="78">
        <v>0</v>
      </c>
      <c r="BE4" s="78">
        <v>0</v>
      </c>
      <c r="BF4" s="76">
        <v>2</v>
      </c>
      <c r="BG4" s="1" t="s">
        <v>431</v>
      </c>
      <c r="BH4" s="78">
        <v>3</v>
      </c>
      <c r="BI4" s="78">
        <v>0</v>
      </c>
      <c r="BJ4" s="78">
        <v>0</v>
      </c>
      <c r="BK4" s="78">
        <v>0</v>
      </c>
      <c r="BL4" s="78">
        <v>1</v>
      </c>
      <c r="BM4" s="78">
        <v>0</v>
      </c>
      <c r="BN4" s="78">
        <v>0</v>
      </c>
      <c r="BO4" s="78">
        <v>0</v>
      </c>
      <c r="BP4" s="76">
        <v>0</v>
      </c>
      <c r="BQ4" s="1" t="s">
        <v>302</v>
      </c>
      <c r="BR4" s="78">
        <v>3</v>
      </c>
      <c r="BS4" s="78">
        <v>1</v>
      </c>
      <c r="BT4" s="78">
        <v>0</v>
      </c>
      <c r="BU4" s="78">
        <v>0</v>
      </c>
      <c r="BV4" s="78">
        <v>1</v>
      </c>
      <c r="BW4" s="78">
        <v>2</v>
      </c>
      <c r="BX4" s="78">
        <v>0</v>
      </c>
      <c r="BY4" s="78">
        <v>0</v>
      </c>
      <c r="BZ4" s="76">
        <v>0</v>
      </c>
      <c r="CA4" s="1" t="s">
        <v>297</v>
      </c>
      <c r="CB4" s="78">
        <v>3</v>
      </c>
      <c r="CC4" s="78">
        <v>0</v>
      </c>
      <c r="CD4" s="78">
        <v>0</v>
      </c>
      <c r="CE4" s="78">
        <v>0</v>
      </c>
      <c r="CF4" s="78">
        <v>1</v>
      </c>
      <c r="CG4" s="78">
        <v>0</v>
      </c>
      <c r="CH4" s="78">
        <v>0</v>
      </c>
      <c r="CI4" s="78">
        <v>0</v>
      </c>
      <c r="CJ4" s="76">
        <v>0</v>
      </c>
      <c r="CK4" s="1" t="s">
        <v>296</v>
      </c>
      <c r="CL4" s="78">
        <v>4</v>
      </c>
      <c r="CM4" s="78">
        <v>0</v>
      </c>
      <c r="CN4" s="78">
        <v>1</v>
      </c>
      <c r="CO4" s="78">
        <v>1</v>
      </c>
      <c r="CP4" s="78">
        <v>0</v>
      </c>
      <c r="CQ4" s="78">
        <v>0</v>
      </c>
      <c r="CR4" s="78">
        <v>0</v>
      </c>
      <c r="CS4" s="78">
        <v>0</v>
      </c>
      <c r="CT4" s="76">
        <v>3</v>
      </c>
      <c r="CU4" s="1" t="s">
        <v>433</v>
      </c>
      <c r="CV4" s="78">
        <v>3</v>
      </c>
      <c r="CW4" s="78">
        <v>0</v>
      </c>
      <c r="CX4" s="78">
        <v>0</v>
      </c>
      <c r="CY4" s="78">
        <v>0</v>
      </c>
      <c r="CZ4" s="78">
        <v>0</v>
      </c>
      <c r="DA4" s="78">
        <v>0</v>
      </c>
      <c r="DB4" s="78">
        <v>0</v>
      </c>
      <c r="DC4" s="78">
        <v>0</v>
      </c>
      <c r="DD4" s="76">
        <v>0</v>
      </c>
      <c r="DE4" s="1" t="s">
        <v>434</v>
      </c>
      <c r="DF4" s="78">
        <v>2</v>
      </c>
      <c r="DG4" s="78">
        <v>0</v>
      </c>
      <c r="DH4" s="78">
        <v>0</v>
      </c>
      <c r="DI4" s="78">
        <v>0</v>
      </c>
      <c r="DJ4" s="78">
        <v>1</v>
      </c>
      <c r="DK4" s="78">
        <v>1</v>
      </c>
      <c r="DL4" s="78">
        <v>0</v>
      </c>
      <c r="DM4" s="78">
        <v>0</v>
      </c>
      <c r="DN4" s="76">
        <v>0</v>
      </c>
      <c r="DO4" s="1" t="s">
        <v>430</v>
      </c>
      <c r="DP4" s="78">
        <v>3</v>
      </c>
      <c r="DQ4" s="78">
        <v>0</v>
      </c>
      <c r="DR4" s="78">
        <v>1</v>
      </c>
      <c r="DS4" s="78">
        <v>0</v>
      </c>
      <c r="DT4" s="78">
        <v>0</v>
      </c>
      <c r="DU4" s="78">
        <v>0</v>
      </c>
      <c r="DV4" s="78">
        <v>0</v>
      </c>
      <c r="DW4" s="78">
        <v>0</v>
      </c>
      <c r="DX4" s="76">
        <v>0</v>
      </c>
      <c r="DY4" s="77">
        <v>5</v>
      </c>
      <c r="DZ4" s="43">
        <v>1</v>
      </c>
      <c r="EA4" s="43">
        <v>2</v>
      </c>
      <c r="EB4" s="45">
        <v>4</v>
      </c>
      <c r="EC4" s="43">
        <v>0</v>
      </c>
      <c r="ED4" s="44">
        <v>1</v>
      </c>
      <c r="EE4" s="71">
        <v>0</v>
      </c>
      <c r="EF4" s="43">
        <v>1</v>
      </c>
      <c r="EG4" s="43">
        <v>0</v>
      </c>
      <c r="EH4" s="43">
        <v>0</v>
      </c>
      <c r="EI4" s="43">
        <v>0</v>
      </c>
      <c r="EJ4" s="43">
        <v>0</v>
      </c>
      <c r="EK4" s="43">
        <v>0</v>
      </c>
      <c r="EL4" s="43">
        <v>0</v>
      </c>
      <c r="EM4" s="43">
        <v>0</v>
      </c>
      <c r="EN4" s="43"/>
      <c r="EO4" s="43"/>
      <c r="EP4" s="43"/>
      <c r="EQ4" s="43"/>
      <c r="ER4" s="44">
        <f t="shared" ref="ER4:ER32" si="0">SUM(EE4:EQ4)</f>
        <v>1</v>
      </c>
      <c r="ES4" s="43">
        <v>0</v>
      </c>
      <c r="ET4" s="43">
        <v>0</v>
      </c>
      <c r="EU4" s="43">
        <v>0</v>
      </c>
      <c r="EV4" s="43">
        <v>0</v>
      </c>
      <c r="EW4" s="43">
        <v>0</v>
      </c>
      <c r="EX4" s="43">
        <v>0</v>
      </c>
      <c r="EY4" s="43">
        <v>2</v>
      </c>
      <c r="EZ4" s="43">
        <v>0</v>
      </c>
      <c r="FA4" s="43">
        <v>3</v>
      </c>
      <c r="FB4" s="43"/>
      <c r="FC4" s="43"/>
      <c r="FD4" s="43"/>
      <c r="FE4" s="43"/>
      <c r="FF4" s="43">
        <f t="shared" ref="FF4:FF32" si="1">SUM(ES4:FE4)</f>
        <v>5</v>
      </c>
      <c r="FG4" s="73">
        <f t="shared" ref="FG4:FG16" si="2">((SUM(L4,AD4))-(FF4))</f>
        <v>0</v>
      </c>
      <c r="FH4" s="73">
        <f t="shared" ref="FH4:FH16" si="3">((SUM(AO4,AY4,BI4,BS4,CC4,CM4,CW4,DG4,DQ4))-(ER4))</f>
        <v>0</v>
      </c>
      <c r="FI4" s="38"/>
    </row>
    <row r="5" spans="1:165" x14ac:dyDescent="0.25">
      <c r="A5" s="53">
        <v>40352</v>
      </c>
      <c r="B5" s="53" t="s">
        <v>19</v>
      </c>
      <c r="C5" s="53" t="s">
        <v>131</v>
      </c>
      <c r="D5" s="53" t="s">
        <v>303</v>
      </c>
      <c r="E5" s="54">
        <v>824</v>
      </c>
      <c r="F5" s="58">
        <v>2</v>
      </c>
      <c r="G5" s="59" t="s">
        <v>428</v>
      </c>
      <c r="H5" s="6">
        <v>0</v>
      </c>
      <c r="I5" s="6">
        <v>1</v>
      </c>
      <c r="J5" s="60">
        <f>5+1/3</f>
        <v>5.333333333333333</v>
      </c>
      <c r="K5" s="6">
        <v>1</v>
      </c>
      <c r="L5" s="6">
        <v>1</v>
      </c>
      <c r="M5" s="6">
        <v>1</v>
      </c>
      <c r="N5" s="6">
        <v>2</v>
      </c>
      <c r="O5" s="6">
        <v>5</v>
      </c>
      <c r="P5" s="6">
        <v>0</v>
      </c>
      <c r="Q5" s="6">
        <v>0</v>
      </c>
      <c r="R5" s="6">
        <v>17</v>
      </c>
      <c r="S5" s="6"/>
      <c r="T5" s="6"/>
      <c r="U5" s="6">
        <v>1</v>
      </c>
      <c r="V5" s="61">
        <v>1</v>
      </c>
      <c r="W5" s="62">
        <v>0</v>
      </c>
      <c r="X5" s="62">
        <v>0</v>
      </c>
      <c r="Y5" s="62">
        <v>0</v>
      </c>
      <c r="Z5" s="62">
        <v>0</v>
      </c>
      <c r="AA5" s="62">
        <v>0</v>
      </c>
      <c r="AB5" s="63">
        <f>3+2/3</f>
        <v>3.6666666666666665</v>
      </c>
      <c r="AC5" s="62">
        <v>4</v>
      </c>
      <c r="AD5" s="62">
        <v>0</v>
      </c>
      <c r="AE5" s="62">
        <v>0</v>
      </c>
      <c r="AF5" s="62">
        <v>0</v>
      </c>
      <c r="AG5" s="62">
        <v>0</v>
      </c>
      <c r="AH5" s="62">
        <v>0</v>
      </c>
      <c r="AI5" s="62">
        <v>0</v>
      </c>
      <c r="AJ5" s="62">
        <v>15</v>
      </c>
      <c r="AK5" s="62"/>
      <c r="AL5" s="62"/>
      <c r="AM5" s="1" t="s">
        <v>429</v>
      </c>
      <c r="AN5" s="78">
        <v>4</v>
      </c>
      <c r="AO5" s="78">
        <v>0</v>
      </c>
      <c r="AP5" s="78">
        <v>0</v>
      </c>
      <c r="AQ5" s="78">
        <v>0</v>
      </c>
      <c r="AR5" s="78">
        <v>0</v>
      </c>
      <c r="AS5" s="78">
        <v>2</v>
      </c>
      <c r="AT5" s="78">
        <v>0</v>
      </c>
      <c r="AU5" s="78">
        <v>0</v>
      </c>
      <c r="AV5" s="76">
        <v>0</v>
      </c>
      <c r="AW5" s="1" t="s">
        <v>298</v>
      </c>
      <c r="AX5" s="78">
        <v>4</v>
      </c>
      <c r="AY5" s="78">
        <v>0</v>
      </c>
      <c r="AZ5" s="78">
        <v>0</v>
      </c>
      <c r="BA5" s="78">
        <v>0</v>
      </c>
      <c r="BB5" s="78">
        <v>0</v>
      </c>
      <c r="BC5" s="78">
        <v>2</v>
      </c>
      <c r="BD5" s="78">
        <v>0</v>
      </c>
      <c r="BE5" s="78">
        <v>0</v>
      </c>
      <c r="BF5" s="76">
        <v>0</v>
      </c>
      <c r="BG5" s="1" t="s">
        <v>431</v>
      </c>
      <c r="BH5" s="78">
        <v>4</v>
      </c>
      <c r="BI5" s="78">
        <v>0</v>
      </c>
      <c r="BJ5" s="78">
        <v>1</v>
      </c>
      <c r="BK5" s="78">
        <v>0</v>
      </c>
      <c r="BL5" s="78">
        <v>0</v>
      </c>
      <c r="BM5" s="78">
        <v>0</v>
      </c>
      <c r="BN5" s="78">
        <v>0</v>
      </c>
      <c r="BO5" s="78">
        <v>0</v>
      </c>
      <c r="BP5" s="76">
        <v>2</v>
      </c>
      <c r="BQ5" s="1" t="s">
        <v>302</v>
      </c>
      <c r="BR5" s="78">
        <v>3</v>
      </c>
      <c r="BS5" s="78">
        <v>0</v>
      </c>
      <c r="BT5" s="78">
        <v>2</v>
      </c>
      <c r="BU5" s="78">
        <v>0</v>
      </c>
      <c r="BV5" s="78">
        <v>1</v>
      </c>
      <c r="BW5" s="78">
        <v>1</v>
      </c>
      <c r="BX5" s="78">
        <v>0</v>
      </c>
      <c r="BY5" s="78">
        <v>0</v>
      </c>
      <c r="BZ5" s="76">
        <v>2</v>
      </c>
      <c r="CA5" s="1" t="s">
        <v>296</v>
      </c>
      <c r="CB5" s="78">
        <v>4</v>
      </c>
      <c r="CC5" s="78">
        <v>0</v>
      </c>
      <c r="CD5" s="78">
        <v>0</v>
      </c>
      <c r="CE5" s="78">
        <v>0</v>
      </c>
      <c r="CF5" s="78">
        <v>0</v>
      </c>
      <c r="CG5" s="78">
        <v>0</v>
      </c>
      <c r="CH5" s="78">
        <v>0</v>
      </c>
      <c r="CI5" s="78">
        <v>0</v>
      </c>
      <c r="CJ5" s="76">
        <v>0</v>
      </c>
      <c r="CK5" s="1" t="s">
        <v>433</v>
      </c>
      <c r="CL5" s="78">
        <v>4</v>
      </c>
      <c r="CM5" s="78">
        <v>0</v>
      </c>
      <c r="CN5" s="78">
        <v>0</v>
      </c>
      <c r="CO5" s="78">
        <v>0</v>
      </c>
      <c r="CP5" s="78">
        <v>0</v>
      </c>
      <c r="CQ5" s="78">
        <v>0</v>
      </c>
      <c r="CR5" s="78">
        <v>0</v>
      </c>
      <c r="CS5" s="78">
        <v>0</v>
      </c>
      <c r="CT5" s="76">
        <v>0</v>
      </c>
      <c r="CU5" s="1" t="s">
        <v>434</v>
      </c>
      <c r="CV5" s="78">
        <v>3</v>
      </c>
      <c r="CW5" s="78">
        <v>0</v>
      </c>
      <c r="CX5" s="78">
        <v>0</v>
      </c>
      <c r="CY5" s="78">
        <v>0</v>
      </c>
      <c r="CZ5" s="78">
        <v>0</v>
      </c>
      <c r="DA5" s="78">
        <v>2</v>
      </c>
      <c r="DB5" s="78">
        <v>0</v>
      </c>
      <c r="DC5" s="78">
        <v>0</v>
      </c>
      <c r="DD5" s="76">
        <v>0</v>
      </c>
      <c r="DE5" s="1" t="s">
        <v>304</v>
      </c>
      <c r="DF5" s="78">
        <v>3</v>
      </c>
      <c r="DG5" s="78">
        <v>0</v>
      </c>
      <c r="DH5" s="78">
        <v>0</v>
      </c>
      <c r="DI5" s="78">
        <v>0</v>
      </c>
      <c r="DJ5" s="78">
        <v>0</v>
      </c>
      <c r="DK5" s="78">
        <v>0</v>
      </c>
      <c r="DL5" s="78">
        <v>0</v>
      </c>
      <c r="DM5" s="78">
        <v>0</v>
      </c>
      <c r="DN5" s="76">
        <v>0</v>
      </c>
      <c r="DO5" s="1" t="s">
        <v>430</v>
      </c>
      <c r="DP5" s="78">
        <v>3</v>
      </c>
      <c r="DQ5" s="78">
        <v>0</v>
      </c>
      <c r="DR5" s="78">
        <v>2</v>
      </c>
      <c r="DS5" s="78">
        <v>0</v>
      </c>
      <c r="DT5" s="78">
        <v>0</v>
      </c>
      <c r="DU5" s="78">
        <v>1</v>
      </c>
      <c r="DV5" s="78">
        <v>0</v>
      </c>
      <c r="DW5" s="78">
        <v>0</v>
      </c>
      <c r="DX5" s="76">
        <v>2</v>
      </c>
      <c r="DY5" s="77">
        <v>3</v>
      </c>
      <c r="DZ5" s="43">
        <v>0</v>
      </c>
      <c r="EA5" s="43">
        <v>0</v>
      </c>
      <c r="EB5" s="45">
        <v>6</v>
      </c>
      <c r="EC5" s="43">
        <v>0</v>
      </c>
      <c r="ED5" s="44">
        <v>0</v>
      </c>
      <c r="EE5" s="71">
        <v>0</v>
      </c>
      <c r="EF5" s="43">
        <v>0</v>
      </c>
      <c r="EG5" s="43">
        <v>0</v>
      </c>
      <c r="EH5" s="43">
        <v>0</v>
      </c>
      <c r="EI5" s="43">
        <v>0</v>
      </c>
      <c r="EJ5" s="43">
        <v>0</v>
      </c>
      <c r="EK5" s="43">
        <v>0</v>
      </c>
      <c r="EL5" s="43">
        <v>0</v>
      </c>
      <c r="EM5" s="43">
        <v>0</v>
      </c>
      <c r="EN5" s="43"/>
      <c r="EO5" s="43"/>
      <c r="EP5" s="43"/>
      <c r="EQ5" s="43"/>
      <c r="ER5" s="44">
        <f t="shared" si="0"/>
        <v>0</v>
      </c>
      <c r="ES5" s="43">
        <v>0</v>
      </c>
      <c r="ET5" s="43">
        <v>0</v>
      </c>
      <c r="EU5" s="43">
        <v>0</v>
      </c>
      <c r="EV5" s="43">
        <v>0</v>
      </c>
      <c r="EW5" s="43">
        <v>0</v>
      </c>
      <c r="EX5" s="43">
        <v>1</v>
      </c>
      <c r="EY5" s="43">
        <v>0</v>
      </c>
      <c r="EZ5" s="43">
        <v>0</v>
      </c>
      <c r="FA5" s="43">
        <v>0</v>
      </c>
      <c r="FB5" s="43"/>
      <c r="FC5" s="43"/>
      <c r="FD5" s="43"/>
      <c r="FE5" s="43"/>
      <c r="FF5" s="43">
        <f t="shared" si="1"/>
        <v>1</v>
      </c>
      <c r="FG5" s="73">
        <f t="shared" si="2"/>
        <v>0</v>
      </c>
      <c r="FH5" s="73">
        <f t="shared" si="3"/>
        <v>0</v>
      </c>
      <c r="FI5" s="38"/>
    </row>
    <row r="6" spans="1:165" x14ac:dyDescent="0.25">
      <c r="A6" s="53">
        <v>40353</v>
      </c>
      <c r="B6" s="53" t="s">
        <v>19</v>
      </c>
      <c r="C6" s="53" t="s">
        <v>131</v>
      </c>
      <c r="D6" s="53" t="s">
        <v>303</v>
      </c>
      <c r="E6" s="54">
        <v>694</v>
      </c>
      <c r="F6" s="58">
        <v>3</v>
      </c>
      <c r="G6" s="59" t="s">
        <v>299</v>
      </c>
      <c r="H6" s="6">
        <v>0</v>
      </c>
      <c r="I6" s="6">
        <v>1</v>
      </c>
      <c r="J6" s="60">
        <f>4+1/3</f>
        <v>4.333333333333333</v>
      </c>
      <c r="K6" s="6">
        <v>5</v>
      </c>
      <c r="L6" s="6">
        <v>7</v>
      </c>
      <c r="M6" s="6">
        <v>4</v>
      </c>
      <c r="N6" s="6">
        <v>1</v>
      </c>
      <c r="O6" s="6">
        <v>3</v>
      </c>
      <c r="P6" s="6">
        <v>0</v>
      </c>
      <c r="Q6" s="6">
        <v>0</v>
      </c>
      <c r="R6" s="6">
        <v>21</v>
      </c>
      <c r="S6" s="6"/>
      <c r="T6" s="6"/>
      <c r="U6" s="6">
        <v>2</v>
      </c>
      <c r="V6" s="61">
        <v>2</v>
      </c>
      <c r="W6" s="62">
        <v>0</v>
      </c>
      <c r="X6" s="62">
        <v>0</v>
      </c>
      <c r="Y6" s="62">
        <v>0</v>
      </c>
      <c r="Z6" s="62">
        <v>0</v>
      </c>
      <c r="AA6" s="62">
        <v>0</v>
      </c>
      <c r="AB6" s="63">
        <f>4+2/3</f>
        <v>4.666666666666667</v>
      </c>
      <c r="AC6" s="62">
        <v>2</v>
      </c>
      <c r="AD6" s="62">
        <v>0</v>
      </c>
      <c r="AE6" s="62">
        <v>0</v>
      </c>
      <c r="AF6" s="62">
        <v>1</v>
      </c>
      <c r="AG6" s="62">
        <v>5</v>
      </c>
      <c r="AH6" s="62">
        <v>0</v>
      </c>
      <c r="AI6" s="62">
        <v>0</v>
      </c>
      <c r="AJ6" s="62">
        <v>17</v>
      </c>
      <c r="AK6" s="62"/>
      <c r="AL6" s="62"/>
      <c r="AM6" s="1" t="s">
        <v>430</v>
      </c>
      <c r="AN6" s="78">
        <v>5</v>
      </c>
      <c r="AO6" s="78">
        <v>0</v>
      </c>
      <c r="AP6" s="78">
        <v>2</v>
      </c>
      <c r="AQ6" s="78">
        <v>0</v>
      </c>
      <c r="AR6" s="78">
        <v>0</v>
      </c>
      <c r="AS6" s="78">
        <v>0</v>
      </c>
      <c r="AT6" s="78">
        <v>0</v>
      </c>
      <c r="AU6" s="78">
        <v>0</v>
      </c>
      <c r="AV6" s="76">
        <v>3</v>
      </c>
      <c r="AW6" s="1" t="s">
        <v>298</v>
      </c>
      <c r="AX6" s="78">
        <v>4</v>
      </c>
      <c r="AY6" s="78">
        <v>0</v>
      </c>
      <c r="AZ6" s="78">
        <v>0</v>
      </c>
      <c r="BA6" s="78">
        <v>1</v>
      </c>
      <c r="BB6" s="78">
        <v>0</v>
      </c>
      <c r="BC6" s="78">
        <v>2</v>
      </c>
      <c r="BD6" s="78">
        <v>1</v>
      </c>
      <c r="BE6" s="78">
        <v>0</v>
      </c>
      <c r="BF6" s="76">
        <v>0</v>
      </c>
      <c r="BG6" s="1" t="s">
        <v>297</v>
      </c>
      <c r="BH6" s="78">
        <v>4</v>
      </c>
      <c r="BI6" s="78">
        <v>0</v>
      </c>
      <c r="BJ6" s="78">
        <v>0</v>
      </c>
      <c r="BK6" s="78">
        <v>0</v>
      </c>
      <c r="BL6" s="78">
        <v>1</v>
      </c>
      <c r="BM6" s="78">
        <v>2</v>
      </c>
      <c r="BN6" s="78">
        <v>0</v>
      </c>
      <c r="BO6" s="78">
        <v>0</v>
      </c>
      <c r="BP6" s="76">
        <v>0</v>
      </c>
      <c r="BQ6" s="1" t="s">
        <v>302</v>
      </c>
      <c r="BR6" s="78">
        <v>4</v>
      </c>
      <c r="BS6" s="78">
        <v>0</v>
      </c>
      <c r="BT6" s="78">
        <v>2</v>
      </c>
      <c r="BU6" s="78">
        <v>0</v>
      </c>
      <c r="BV6" s="78">
        <v>0</v>
      </c>
      <c r="BW6" s="78">
        <v>1</v>
      </c>
      <c r="BX6" s="78">
        <v>0</v>
      </c>
      <c r="BY6" s="78">
        <v>0</v>
      </c>
      <c r="BZ6" s="76">
        <v>2</v>
      </c>
      <c r="CA6" s="1" t="s">
        <v>432</v>
      </c>
      <c r="CB6" s="78">
        <v>4</v>
      </c>
      <c r="CC6" s="78">
        <v>0</v>
      </c>
      <c r="CD6" s="78">
        <v>0</v>
      </c>
      <c r="CE6" s="78">
        <v>0</v>
      </c>
      <c r="CF6" s="78">
        <v>0</v>
      </c>
      <c r="CG6" s="78">
        <v>1</v>
      </c>
      <c r="CH6" s="78">
        <v>0</v>
      </c>
      <c r="CI6" s="78">
        <v>0</v>
      </c>
      <c r="CJ6" s="76">
        <v>0</v>
      </c>
      <c r="CK6" s="1" t="s">
        <v>295</v>
      </c>
      <c r="CL6" s="78">
        <v>2</v>
      </c>
      <c r="CM6" s="78">
        <v>1</v>
      </c>
      <c r="CN6" s="78">
        <v>0</v>
      </c>
      <c r="CO6" s="78">
        <v>0</v>
      </c>
      <c r="CP6" s="78">
        <v>1</v>
      </c>
      <c r="CQ6" s="78">
        <v>1</v>
      </c>
      <c r="CR6" s="78">
        <v>1</v>
      </c>
      <c r="CS6" s="78">
        <v>0</v>
      </c>
      <c r="CT6" s="76">
        <v>0</v>
      </c>
      <c r="CU6" s="1" t="s">
        <v>304</v>
      </c>
      <c r="CV6" s="78">
        <v>4</v>
      </c>
      <c r="CW6" s="78">
        <v>1</v>
      </c>
      <c r="CX6" s="78">
        <v>2</v>
      </c>
      <c r="CY6" s="78">
        <v>0</v>
      </c>
      <c r="CZ6" s="78">
        <v>0</v>
      </c>
      <c r="DA6" s="78">
        <v>0</v>
      </c>
      <c r="DB6" s="78">
        <v>0</v>
      </c>
      <c r="DC6" s="78">
        <v>0</v>
      </c>
      <c r="DD6" s="76">
        <v>3</v>
      </c>
      <c r="DE6" s="1" t="s">
        <v>434</v>
      </c>
      <c r="DF6" s="78">
        <v>4</v>
      </c>
      <c r="DG6" s="78">
        <v>1</v>
      </c>
      <c r="DH6" s="78">
        <v>2</v>
      </c>
      <c r="DI6" s="78">
        <v>2</v>
      </c>
      <c r="DJ6" s="78">
        <v>0</v>
      </c>
      <c r="DK6" s="78">
        <v>0</v>
      </c>
      <c r="DL6" s="78">
        <v>0</v>
      </c>
      <c r="DM6" s="78">
        <v>0</v>
      </c>
      <c r="DN6" s="76">
        <v>3</v>
      </c>
      <c r="DO6" s="1" t="s">
        <v>301</v>
      </c>
      <c r="DP6" s="78">
        <v>2</v>
      </c>
      <c r="DQ6" s="78">
        <v>0</v>
      </c>
      <c r="DR6" s="78">
        <v>0</v>
      </c>
      <c r="DS6" s="78">
        <v>0</v>
      </c>
      <c r="DT6" s="78">
        <v>2</v>
      </c>
      <c r="DU6" s="78">
        <v>2</v>
      </c>
      <c r="DV6" s="78">
        <v>0</v>
      </c>
      <c r="DW6" s="78">
        <v>0</v>
      </c>
      <c r="DX6" s="76">
        <v>0</v>
      </c>
      <c r="DY6" s="77">
        <v>1</v>
      </c>
      <c r="DZ6" s="43">
        <v>0</v>
      </c>
      <c r="EA6" s="43">
        <v>0</v>
      </c>
      <c r="EB6" s="45">
        <v>8</v>
      </c>
      <c r="EC6" s="43">
        <v>1</v>
      </c>
      <c r="ED6" s="44">
        <v>2</v>
      </c>
      <c r="EE6" s="71">
        <v>0</v>
      </c>
      <c r="EF6" s="43">
        <v>0</v>
      </c>
      <c r="EG6" s="43">
        <v>0</v>
      </c>
      <c r="EH6" s="43">
        <v>0</v>
      </c>
      <c r="EI6" s="43">
        <v>1</v>
      </c>
      <c r="EJ6" s="43">
        <v>0</v>
      </c>
      <c r="EK6" s="43">
        <v>0</v>
      </c>
      <c r="EL6" s="43">
        <v>0</v>
      </c>
      <c r="EM6" s="43">
        <v>2</v>
      </c>
      <c r="EN6" s="43"/>
      <c r="EO6" s="43"/>
      <c r="EP6" s="43"/>
      <c r="EQ6" s="43"/>
      <c r="ER6" s="44">
        <f t="shared" si="0"/>
        <v>3</v>
      </c>
      <c r="ES6" s="43">
        <v>1</v>
      </c>
      <c r="ET6" s="43">
        <v>0</v>
      </c>
      <c r="EU6" s="43">
        <v>1</v>
      </c>
      <c r="EV6" s="43">
        <v>0</v>
      </c>
      <c r="EW6" s="43">
        <v>5</v>
      </c>
      <c r="EX6" s="43">
        <v>0</v>
      </c>
      <c r="EY6" s="43">
        <v>0</v>
      </c>
      <c r="EZ6" s="43">
        <v>0</v>
      </c>
      <c r="FA6" s="43">
        <v>0</v>
      </c>
      <c r="FB6" s="43"/>
      <c r="FC6" s="43"/>
      <c r="FD6" s="43"/>
      <c r="FE6" s="43"/>
      <c r="FF6" s="43">
        <f t="shared" si="1"/>
        <v>7</v>
      </c>
      <c r="FG6" s="73">
        <f t="shared" si="2"/>
        <v>0</v>
      </c>
      <c r="FH6" s="73">
        <f t="shared" si="3"/>
        <v>0</v>
      </c>
      <c r="FI6" s="38"/>
    </row>
    <row r="7" spans="1:165" x14ac:dyDescent="0.25">
      <c r="A7" s="53">
        <v>40354</v>
      </c>
      <c r="B7" s="53" t="s">
        <v>133</v>
      </c>
      <c r="C7" s="53" t="s">
        <v>131</v>
      </c>
      <c r="D7" s="53" t="s">
        <v>309</v>
      </c>
      <c r="E7" s="54">
        <v>585</v>
      </c>
      <c r="F7" s="58">
        <v>4</v>
      </c>
      <c r="G7" s="59" t="s">
        <v>307</v>
      </c>
      <c r="H7" s="6">
        <v>0</v>
      </c>
      <c r="I7" s="6">
        <v>1</v>
      </c>
      <c r="J7" s="60">
        <f>4+1/3</f>
        <v>4.333333333333333</v>
      </c>
      <c r="K7" s="6">
        <v>5</v>
      </c>
      <c r="L7" s="6">
        <v>3</v>
      </c>
      <c r="M7" s="6">
        <v>3</v>
      </c>
      <c r="N7" s="6">
        <v>4</v>
      </c>
      <c r="O7" s="6">
        <v>2</v>
      </c>
      <c r="P7" s="6">
        <v>0</v>
      </c>
      <c r="Q7" s="6">
        <v>0</v>
      </c>
      <c r="R7" s="6">
        <v>20</v>
      </c>
      <c r="S7" s="6"/>
      <c r="T7" s="6"/>
      <c r="U7" s="6">
        <v>1</v>
      </c>
      <c r="V7" s="61">
        <v>0</v>
      </c>
      <c r="W7" s="62">
        <v>0</v>
      </c>
      <c r="X7" s="62">
        <v>0</v>
      </c>
      <c r="Y7" s="62">
        <v>0</v>
      </c>
      <c r="Z7" s="62">
        <v>0</v>
      </c>
      <c r="AA7" s="62">
        <v>0</v>
      </c>
      <c r="AB7" s="63">
        <f>3+2/3</f>
        <v>3.6666666666666665</v>
      </c>
      <c r="AC7" s="62">
        <v>4</v>
      </c>
      <c r="AD7" s="62">
        <v>2</v>
      </c>
      <c r="AE7" s="62">
        <v>2</v>
      </c>
      <c r="AF7" s="62">
        <v>1</v>
      </c>
      <c r="AG7" s="62">
        <v>4</v>
      </c>
      <c r="AH7" s="62">
        <v>0</v>
      </c>
      <c r="AI7" s="62">
        <v>1</v>
      </c>
      <c r="AJ7" s="62">
        <v>18</v>
      </c>
      <c r="AK7" s="62"/>
      <c r="AL7" s="62"/>
      <c r="AM7" s="1" t="s">
        <v>429</v>
      </c>
      <c r="AN7" s="78">
        <v>4</v>
      </c>
      <c r="AO7" s="78">
        <v>1</v>
      </c>
      <c r="AP7" s="78">
        <v>2</v>
      </c>
      <c r="AQ7" s="78">
        <v>0</v>
      </c>
      <c r="AR7" s="78">
        <v>0</v>
      </c>
      <c r="AS7" s="78">
        <v>0</v>
      </c>
      <c r="AT7" s="78">
        <v>0</v>
      </c>
      <c r="AU7" s="78">
        <v>0</v>
      </c>
      <c r="AV7" s="76">
        <v>3</v>
      </c>
      <c r="AW7" s="1" t="s">
        <v>298</v>
      </c>
      <c r="AX7" s="78">
        <v>4</v>
      </c>
      <c r="AY7" s="78">
        <v>0</v>
      </c>
      <c r="AZ7" s="78">
        <v>1</v>
      </c>
      <c r="BA7" s="78">
        <v>0</v>
      </c>
      <c r="BB7" s="78">
        <v>0</v>
      </c>
      <c r="BC7" s="78">
        <v>2</v>
      </c>
      <c r="BD7" s="78">
        <v>0</v>
      </c>
      <c r="BE7" s="78">
        <v>0</v>
      </c>
      <c r="BF7" s="76">
        <v>1</v>
      </c>
      <c r="BG7" s="1" t="s">
        <v>431</v>
      </c>
      <c r="BH7" s="78">
        <v>3</v>
      </c>
      <c r="BI7" s="78">
        <v>0</v>
      </c>
      <c r="BJ7" s="78">
        <v>1</v>
      </c>
      <c r="BK7" s="78">
        <v>2</v>
      </c>
      <c r="BL7" s="78">
        <v>1</v>
      </c>
      <c r="BM7" s="78">
        <v>0</v>
      </c>
      <c r="BN7" s="78">
        <v>0</v>
      </c>
      <c r="BO7" s="78">
        <v>0</v>
      </c>
      <c r="BP7" s="76">
        <v>2</v>
      </c>
      <c r="BQ7" s="1" t="s">
        <v>297</v>
      </c>
      <c r="BR7" s="78">
        <v>4</v>
      </c>
      <c r="BS7" s="78">
        <v>0</v>
      </c>
      <c r="BT7" s="78">
        <v>0</v>
      </c>
      <c r="BU7" s="78">
        <v>0</v>
      </c>
      <c r="BV7" s="78">
        <v>0</v>
      </c>
      <c r="BW7" s="78">
        <v>1</v>
      </c>
      <c r="BX7" s="78">
        <v>0</v>
      </c>
      <c r="BY7" s="78">
        <v>0</v>
      </c>
      <c r="BZ7" s="76">
        <v>0</v>
      </c>
      <c r="CA7" s="1" t="s">
        <v>296</v>
      </c>
      <c r="CB7" s="78">
        <v>4</v>
      </c>
      <c r="CC7" s="78">
        <v>0</v>
      </c>
      <c r="CD7" s="78">
        <v>0</v>
      </c>
      <c r="CE7" s="78">
        <v>0</v>
      </c>
      <c r="CF7" s="78">
        <v>0</v>
      </c>
      <c r="CG7" s="78">
        <v>0</v>
      </c>
      <c r="CH7" s="78">
        <v>0</v>
      </c>
      <c r="CI7" s="78">
        <v>0</v>
      </c>
      <c r="CJ7" s="76">
        <v>0</v>
      </c>
      <c r="CK7" s="1" t="s">
        <v>432</v>
      </c>
      <c r="CL7" s="78">
        <v>4</v>
      </c>
      <c r="CM7" s="78">
        <v>0</v>
      </c>
      <c r="CN7" s="78">
        <v>1</v>
      </c>
      <c r="CO7" s="78">
        <v>0</v>
      </c>
      <c r="CP7" s="78">
        <v>0</v>
      </c>
      <c r="CQ7" s="78">
        <v>1</v>
      </c>
      <c r="CR7" s="78">
        <v>0</v>
      </c>
      <c r="CS7" s="78">
        <v>0</v>
      </c>
      <c r="CT7" s="76">
        <v>1</v>
      </c>
      <c r="CU7" s="1" t="s">
        <v>304</v>
      </c>
      <c r="CV7" s="78">
        <v>4</v>
      </c>
      <c r="CW7" s="78">
        <v>0</v>
      </c>
      <c r="CX7" s="78">
        <v>0</v>
      </c>
      <c r="CY7" s="78">
        <v>0</v>
      </c>
      <c r="CZ7" s="78">
        <v>0</v>
      </c>
      <c r="DA7" s="78">
        <v>2</v>
      </c>
      <c r="DB7" s="78">
        <v>0</v>
      </c>
      <c r="DC7" s="78">
        <v>0</v>
      </c>
      <c r="DD7" s="76">
        <v>0</v>
      </c>
      <c r="DE7" s="1" t="s">
        <v>434</v>
      </c>
      <c r="DF7" s="78">
        <v>4</v>
      </c>
      <c r="DG7" s="78">
        <v>1</v>
      </c>
      <c r="DH7" s="78">
        <v>1</v>
      </c>
      <c r="DI7" s="78">
        <v>0</v>
      </c>
      <c r="DJ7" s="78">
        <v>0</v>
      </c>
      <c r="DK7" s="78">
        <v>1</v>
      </c>
      <c r="DL7" s="78">
        <v>0</v>
      </c>
      <c r="DM7" s="78">
        <v>0</v>
      </c>
      <c r="DN7" s="76">
        <v>1</v>
      </c>
      <c r="DO7" s="1" t="s">
        <v>295</v>
      </c>
      <c r="DP7" s="78">
        <v>3</v>
      </c>
      <c r="DQ7" s="78">
        <v>0</v>
      </c>
      <c r="DR7" s="78">
        <v>0</v>
      </c>
      <c r="DS7" s="78">
        <v>0</v>
      </c>
      <c r="DT7" s="78">
        <v>0</v>
      </c>
      <c r="DU7" s="78">
        <v>1</v>
      </c>
      <c r="DV7" s="78">
        <v>0</v>
      </c>
      <c r="DW7" s="78">
        <v>0</v>
      </c>
      <c r="DX7" s="76">
        <v>0</v>
      </c>
      <c r="DY7" s="77">
        <v>2</v>
      </c>
      <c r="DZ7" s="43">
        <v>0</v>
      </c>
      <c r="EA7" s="43">
        <v>0</v>
      </c>
      <c r="EB7" s="45">
        <v>7</v>
      </c>
      <c r="EC7" s="43">
        <v>0</v>
      </c>
      <c r="ED7" s="44">
        <v>0</v>
      </c>
      <c r="EE7" s="71">
        <v>0</v>
      </c>
      <c r="EF7" s="43">
        <v>0</v>
      </c>
      <c r="EG7" s="43">
        <v>2</v>
      </c>
      <c r="EH7" s="43">
        <v>0</v>
      </c>
      <c r="EI7" s="43">
        <v>0</v>
      </c>
      <c r="EJ7" s="43">
        <v>0</v>
      </c>
      <c r="EK7" s="43">
        <v>0</v>
      </c>
      <c r="EL7" s="43">
        <v>0</v>
      </c>
      <c r="EM7" s="43">
        <v>0</v>
      </c>
      <c r="EN7" s="43"/>
      <c r="EO7" s="43"/>
      <c r="EP7" s="43"/>
      <c r="EQ7" s="43"/>
      <c r="ER7" s="44">
        <f t="shared" si="0"/>
        <v>2</v>
      </c>
      <c r="ES7" s="43">
        <v>0</v>
      </c>
      <c r="ET7" s="43">
        <v>0</v>
      </c>
      <c r="EU7" s="43">
        <v>0</v>
      </c>
      <c r="EV7" s="43">
        <v>2</v>
      </c>
      <c r="EW7" s="43">
        <v>1</v>
      </c>
      <c r="EX7" s="43">
        <v>0</v>
      </c>
      <c r="EY7" s="43">
        <v>2</v>
      </c>
      <c r="EZ7" s="43">
        <v>0</v>
      </c>
      <c r="FA7" s="43"/>
      <c r="FB7" s="43"/>
      <c r="FC7" s="43"/>
      <c r="FD7" s="43"/>
      <c r="FE7" s="43"/>
      <c r="FF7" s="43">
        <f t="shared" si="1"/>
        <v>5</v>
      </c>
      <c r="FG7" s="73">
        <f t="shared" si="2"/>
        <v>0</v>
      </c>
      <c r="FH7" s="73">
        <f t="shared" si="3"/>
        <v>0</v>
      </c>
      <c r="FI7" s="38"/>
    </row>
    <row r="8" spans="1:165" x14ac:dyDescent="0.25">
      <c r="A8" s="53">
        <v>40355</v>
      </c>
      <c r="B8" s="53" t="s">
        <v>133</v>
      </c>
      <c r="C8" s="53" t="s">
        <v>129</v>
      </c>
      <c r="D8" s="53" t="s">
        <v>309</v>
      </c>
      <c r="E8" s="54">
        <v>726</v>
      </c>
      <c r="F8" s="58">
        <v>5</v>
      </c>
      <c r="G8" s="59" t="s">
        <v>306</v>
      </c>
      <c r="H8" s="6">
        <v>1</v>
      </c>
      <c r="I8" s="6">
        <v>0</v>
      </c>
      <c r="J8" s="60">
        <v>6</v>
      </c>
      <c r="K8" s="6">
        <v>4</v>
      </c>
      <c r="L8" s="6">
        <v>0</v>
      </c>
      <c r="M8" s="6">
        <v>0</v>
      </c>
      <c r="N8" s="6">
        <v>1</v>
      </c>
      <c r="O8" s="6">
        <v>5</v>
      </c>
      <c r="P8" s="6">
        <v>0</v>
      </c>
      <c r="Q8" s="6">
        <v>1</v>
      </c>
      <c r="R8" s="6">
        <v>22</v>
      </c>
      <c r="S8" s="6"/>
      <c r="T8" s="6"/>
      <c r="U8" s="6">
        <v>0</v>
      </c>
      <c r="V8" s="61">
        <v>0</v>
      </c>
      <c r="W8" s="62">
        <v>0</v>
      </c>
      <c r="X8" s="62">
        <v>0</v>
      </c>
      <c r="Y8" s="62">
        <v>0</v>
      </c>
      <c r="Z8" s="62">
        <v>1</v>
      </c>
      <c r="AA8" s="62">
        <v>0</v>
      </c>
      <c r="AB8" s="63">
        <v>3</v>
      </c>
      <c r="AC8" s="62">
        <v>3</v>
      </c>
      <c r="AD8" s="62">
        <v>0</v>
      </c>
      <c r="AE8" s="62">
        <v>0</v>
      </c>
      <c r="AF8" s="62">
        <v>1</v>
      </c>
      <c r="AG8" s="62">
        <v>2</v>
      </c>
      <c r="AH8" s="62">
        <v>0</v>
      </c>
      <c r="AI8" s="62">
        <v>0</v>
      </c>
      <c r="AJ8" s="62">
        <v>13</v>
      </c>
      <c r="AK8" s="62"/>
      <c r="AL8" s="62"/>
      <c r="AM8" s="1" t="s">
        <v>429</v>
      </c>
      <c r="AN8" s="78">
        <v>4</v>
      </c>
      <c r="AO8" s="78">
        <v>1</v>
      </c>
      <c r="AP8" s="78">
        <v>3</v>
      </c>
      <c r="AQ8" s="78">
        <v>0</v>
      </c>
      <c r="AR8" s="78">
        <v>0</v>
      </c>
      <c r="AS8" s="78">
        <v>0</v>
      </c>
      <c r="AT8" s="78">
        <v>0</v>
      </c>
      <c r="AU8" s="78">
        <v>0</v>
      </c>
      <c r="AV8" s="76">
        <v>4</v>
      </c>
      <c r="AW8" s="1" t="s">
        <v>430</v>
      </c>
      <c r="AX8" s="78">
        <v>4</v>
      </c>
      <c r="AY8" s="78">
        <v>1</v>
      </c>
      <c r="AZ8" s="78">
        <v>1</v>
      </c>
      <c r="BA8" s="78">
        <v>0</v>
      </c>
      <c r="BB8" s="78">
        <v>0</v>
      </c>
      <c r="BC8" s="78">
        <v>0</v>
      </c>
      <c r="BD8" s="78">
        <v>0</v>
      </c>
      <c r="BE8" s="78">
        <v>0</v>
      </c>
      <c r="BF8" s="76">
        <v>1</v>
      </c>
      <c r="BG8" s="1" t="s">
        <v>431</v>
      </c>
      <c r="BH8" s="78">
        <v>4</v>
      </c>
      <c r="BI8" s="78">
        <v>0</v>
      </c>
      <c r="BJ8" s="78">
        <v>0</v>
      </c>
      <c r="BK8" s="78">
        <v>0</v>
      </c>
      <c r="BL8" s="78">
        <v>0</v>
      </c>
      <c r="BM8" s="78">
        <v>2</v>
      </c>
      <c r="BN8" s="78">
        <v>0</v>
      </c>
      <c r="BO8" s="78">
        <v>0</v>
      </c>
      <c r="BP8" s="76">
        <v>0</v>
      </c>
      <c r="BQ8" s="1" t="s">
        <v>302</v>
      </c>
      <c r="BR8" s="78">
        <v>4</v>
      </c>
      <c r="BS8" s="78">
        <v>0</v>
      </c>
      <c r="BT8" s="78">
        <v>0</v>
      </c>
      <c r="BU8" s="78">
        <v>0</v>
      </c>
      <c r="BV8" s="78">
        <v>0</v>
      </c>
      <c r="BW8" s="78">
        <v>3</v>
      </c>
      <c r="BX8" s="78">
        <v>0</v>
      </c>
      <c r="BY8" s="78">
        <v>0</v>
      </c>
      <c r="BZ8" s="76">
        <v>0</v>
      </c>
      <c r="CA8" s="1" t="s">
        <v>297</v>
      </c>
      <c r="CB8" s="78">
        <v>4</v>
      </c>
      <c r="CC8" s="78">
        <v>0</v>
      </c>
      <c r="CD8" s="78">
        <v>2</v>
      </c>
      <c r="CE8" s="78">
        <v>2</v>
      </c>
      <c r="CF8" s="78">
        <v>0</v>
      </c>
      <c r="CG8" s="78">
        <v>1</v>
      </c>
      <c r="CH8" s="78">
        <v>0</v>
      </c>
      <c r="CI8" s="78">
        <v>0</v>
      </c>
      <c r="CJ8" s="76">
        <v>4</v>
      </c>
      <c r="CK8" s="1" t="s">
        <v>296</v>
      </c>
      <c r="CL8" s="78">
        <v>4</v>
      </c>
      <c r="CM8" s="78">
        <v>0</v>
      </c>
      <c r="CN8" s="78">
        <v>0</v>
      </c>
      <c r="CO8" s="78">
        <v>0</v>
      </c>
      <c r="CP8" s="78">
        <v>0</v>
      </c>
      <c r="CQ8" s="78">
        <v>2</v>
      </c>
      <c r="CR8" s="78">
        <v>0</v>
      </c>
      <c r="CS8" s="78">
        <v>0</v>
      </c>
      <c r="CT8" s="76">
        <v>0</v>
      </c>
      <c r="CU8" s="1" t="s">
        <v>433</v>
      </c>
      <c r="CV8" s="78">
        <v>3</v>
      </c>
      <c r="CW8" s="78">
        <v>0</v>
      </c>
      <c r="CX8" s="78">
        <v>0</v>
      </c>
      <c r="CY8" s="78">
        <v>0</v>
      </c>
      <c r="CZ8" s="78">
        <v>0</v>
      </c>
      <c r="DA8" s="78">
        <v>1</v>
      </c>
      <c r="DB8" s="78">
        <v>0</v>
      </c>
      <c r="DC8" s="78">
        <v>0</v>
      </c>
      <c r="DD8" s="76">
        <v>0</v>
      </c>
      <c r="DE8" s="1" t="s">
        <v>434</v>
      </c>
      <c r="DF8" s="78">
        <v>3</v>
      </c>
      <c r="DG8" s="78">
        <v>0</v>
      </c>
      <c r="DH8" s="78">
        <v>0</v>
      </c>
      <c r="DI8" s="78">
        <v>0</v>
      </c>
      <c r="DJ8" s="78">
        <v>0</v>
      </c>
      <c r="DK8" s="78">
        <v>0</v>
      </c>
      <c r="DL8" s="78">
        <v>0</v>
      </c>
      <c r="DM8" s="78">
        <v>0</v>
      </c>
      <c r="DN8" s="76">
        <v>0</v>
      </c>
      <c r="DO8" s="1" t="s">
        <v>301</v>
      </c>
      <c r="DP8" s="78">
        <v>3</v>
      </c>
      <c r="DQ8" s="78">
        <v>0</v>
      </c>
      <c r="DR8" s="78">
        <v>0</v>
      </c>
      <c r="DS8" s="78">
        <v>0</v>
      </c>
      <c r="DT8" s="78">
        <v>0</v>
      </c>
      <c r="DU8" s="78">
        <v>2</v>
      </c>
      <c r="DV8" s="78">
        <v>0</v>
      </c>
      <c r="DW8" s="78">
        <v>0</v>
      </c>
      <c r="DX8" s="76">
        <v>0</v>
      </c>
      <c r="DY8" s="77">
        <v>3</v>
      </c>
      <c r="DZ8" s="43">
        <v>0</v>
      </c>
      <c r="EA8" s="43">
        <v>0</v>
      </c>
      <c r="EB8" s="45">
        <v>6</v>
      </c>
      <c r="EC8" s="43">
        <v>2</v>
      </c>
      <c r="ED8" s="44">
        <v>0</v>
      </c>
      <c r="EE8" s="71">
        <v>2</v>
      </c>
      <c r="EF8" s="43">
        <v>0</v>
      </c>
      <c r="EG8" s="43">
        <v>0</v>
      </c>
      <c r="EH8" s="43">
        <v>0</v>
      </c>
      <c r="EI8" s="43">
        <v>0</v>
      </c>
      <c r="EJ8" s="43">
        <v>0</v>
      </c>
      <c r="EK8" s="43">
        <v>0</v>
      </c>
      <c r="EL8" s="43">
        <v>0</v>
      </c>
      <c r="EM8" s="43">
        <v>0</v>
      </c>
      <c r="EN8" s="43"/>
      <c r="EO8" s="43"/>
      <c r="EP8" s="43"/>
      <c r="EQ8" s="43"/>
      <c r="ER8" s="44">
        <f t="shared" si="0"/>
        <v>2</v>
      </c>
      <c r="ES8" s="43">
        <v>0</v>
      </c>
      <c r="ET8" s="43">
        <v>0</v>
      </c>
      <c r="EU8" s="43">
        <v>0</v>
      </c>
      <c r="EV8" s="43">
        <v>0</v>
      </c>
      <c r="EW8" s="43">
        <v>0</v>
      </c>
      <c r="EX8" s="43">
        <v>0</v>
      </c>
      <c r="EY8" s="43">
        <v>0</v>
      </c>
      <c r="EZ8" s="43">
        <v>0</v>
      </c>
      <c r="FA8" s="43">
        <v>0</v>
      </c>
      <c r="FB8" s="43"/>
      <c r="FC8" s="43"/>
      <c r="FD8" s="43"/>
      <c r="FE8" s="43"/>
      <c r="FF8" s="43">
        <f t="shared" si="1"/>
        <v>0</v>
      </c>
      <c r="FG8" s="73">
        <f t="shared" si="2"/>
        <v>0</v>
      </c>
      <c r="FH8" s="73">
        <f t="shared" si="3"/>
        <v>0</v>
      </c>
      <c r="FI8" s="38"/>
    </row>
    <row r="9" spans="1:165" x14ac:dyDescent="0.25">
      <c r="A9" s="53">
        <v>40356</v>
      </c>
      <c r="B9" s="53" t="s">
        <v>133</v>
      </c>
      <c r="C9" s="53" t="s">
        <v>129</v>
      </c>
      <c r="D9" s="53" t="s">
        <v>309</v>
      </c>
      <c r="E9" s="54">
        <v>588</v>
      </c>
      <c r="F9" s="58">
        <v>1</v>
      </c>
      <c r="G9" s="59" t="s">
        <v>305</v>
      </c>
      <c r="H9" s="6">
        <v>0</v>
      </c>
      <c r="I9" s="6">
        <v>0</v>
      </c>
      <c r="J9" s="60">
        <v>6</v>
      </c>
      <c r="K9" s="6">
        <v>2</v>
      </c>
      <c r="L9" s="6">
        <v>1</v>
      </c>
      <c r="M9" s="6">
        <v>1</v>
      </c>
      <c r="N9" s="6">
        <v>2</v>
      </c>
      <c r="O9" s="6">
        <v>7</v>
      </c>
      <c r="P9" s="6">
        <v>0</v>
      </c>
      <c r="Q9" s="6">
        <v>1</v>
      </c>
      <c r="R9" s="6">
        <v>22</v>
      </c>
      <c r="S9" s="6"/>
      <c r="T9" s="6"/>
      <c r="U9" s="6">
        <v>0</v>
      </c>
      <c r="V9" s="61">
        <v>0</v>
      </c>
      <c r="W9" s="62">
        <v>1</v>
      </c>
      <c r="X9" s="62">
        <v>0</v>
      </c>
      <c r="Y9" s="62">
        <v>0</v>
      </c>
      <c r="Z9" s="62">
        <v>0</v>
      </c>
      <c r="AA9" s="62">
        <v>0</v>
      </c>
      <c r="AB9" s="63">
        <v>3</v>
      </c>
      <c r="AC9" s="62">
        <v>1</v>
      </c>
      <c r="AD9" s="62">
        <v>0</v>
      </c>
      <c r="AE9" s="62">
        <v>0</v>
      </c>
      <c r="AF9" s="62">
        <v>2</v>
      </c>
      <c r="AG9" s="62">
        <v>3</v>
      </c>
      <c r="AH9" s="62">
        <v>0</v>
      </c>
      <c r="AI9" s="62">
        <v>0</v>
      </c>
      <c r="AJ9" s="62">
        <v>13</v>
      </c>
      <c r="AK9" s="62"/>
      <c r="AL9" s="62"/>
      <c r="AM9" s="1" t="s">
        <v>430</v>
      </c>
      <c r="AN9" s="78">
        <v>4</v>
      </c>
      <c r="AO9" s="78">
        <v>0</v>
      </c>
      <c r="AP9" s="78">
        <v>1</v>
      </c>
      <c r="AQ9" s="78">
        <v>2</v>
      </c>
      <c r="AR9" s="78">
        <v>1</v>
      </c>
      <c r="AS9" s="78">
        <v>0</v>
      </c>
      <c r="AT9" s="78">
        <v>0</v>
      </c>
      <c r="AU9" s="78">
        <v>0</v>
      </c>
      <c r="AV9" s="76">
        <v>1</v>
      </c>
      <c r="AW9" s="1" t="s">
        <v>298</v>
      </c>
      <c r="AX9" s="78">
        <v>4</v>
      </c>
      <c r="AY9" s="78">
        <v>1</v>
      </c>
      <c r="AZ9" s="78">
        <v>1</v>
      </c>
      <c r="BA9" s="78">
        <v>0</v>
      </c>
      <c r="BB9" s="78">
        <v>0</v>
      </c>
      <c r="BC9" s="78">
        <v>1</v>
      </c>
      <c r="BD9" s="78">
        <v>1</v>
      </c>
      <c r="BE9" s="78">
        <v>0</v>
      </c>
      <c r="BF9" s="76">
        <v>2</v>
      </c>
      <c r="BG9" s="1" t="s">
        <v>431</v>
      </c>
      <c r="BH9" s="78">
        <v>4</v>
      </c>
      <c r="BI9" s="78">
        <v>1</v>
      </c>
      <c r="BJ9" s="78">
        <v>1</v>
      </c>
      <c r="BK9" s="78">
        <v>0</v>
      </c>
      <c r="BL9" s="78">
        <v>1</v>
      </c>
      <c r="BM9" s="78">
        <v>0</v>
      </c>
      <c r="BN9" s="78">
        <v>0</v>
      </c>
      <c r="BO9" s="78">
        <v>0</v>
      </c>
      <c r="BP9" s="76">
        <v>2</v>
      </c>
      <c r="BQ9" s="1" t="s">
        <v>302</v>
      </c>
      <c r="BR9" s="78">
        <v>5</v>
      </c>
      <c r="BS9" s="78">
        <v>1</v>
      </c>
      <c r="BT9" s="78">
        <v>1</v>
      </c>
      <c r="BU9" s="78">
        <v>1</v>
      </c>
      <c r="BV9" s="78">
        <v>0</v>
      </c>
      <c r="BW9" s="78">
        <v>3</v>
      </c>
      <c r="BX9" s="78">
        <v>0</v>
      </c>
      <c r="BY9" s="78">
        <v>0</v>
      </c>
      <c r="BZ9" s="76">
        <v>4</v>
      </c>
      <c r="CA9" s="1" t="s">
        <v>297</v>
      </c>
      <c r="CB9" s="78">
        <v>4</v>
      </c>
      <c r="CC9" s="78">
        <v>1</v>
      </c>
      <c r="CD9" s="78">
        <v>2</v>
      </c>
      <c r="CE9" s="78">
        <v>1</v>
      </c>
      <c r="CF9" s="78">
        <v>1</v>
      </c>
      <c r="CG9" s="78">
        <v>1</v>
      </c>
      <c r="CH9" s="78">
        <v>0</v>
      </c>
      <c r="CI9" s="78">
        <v>0</v>
      </c>
      <c r="CJ9" s="76">
        <v>4</v>
      </c>
      <c r="CK9" s="1" t="s">
        <v>296</v>
      </c>
      <c r="CL9" s="78">
        <v>5</v>
      </c>
      <c r="CM9" s="78">
        <v>1</v>
      </c>
      <c r="CN9" s="78">
        <v>2</v>
      </c>
      <c r="CO9" s="78">
        <v>1</v>
      </c>
      <c r="CP9" s="78">
        <v>0</v>
      </c>
      <c r="CQ9" s="78">
        <v>1</v>
      </c>
      <c r="CR9" s="78">
        <v>0</v>
      </c>
      <c r="CS9" s="78">
        <v>0</v>
      </c>
      <c r="CT9" s="76">
        <v>2</v>
      </c>
      <c r="CU9" s="1" t="s">
        <v>433</v>
      </c>
      <c r="CV9" s="78">
        <v>4</v>
      </c>
      <c r="CW9" s="78">
        <v>0</v>
      </c>
      <c r="CX9" s="78">
        <v>0</v>
      </c>
      <c r="CY9" s="78">
        <v>0</v>
      </c>
      <c r="CZ9" s="78">
        <v>0</v>
      </c>
      <c r="DA9" s="78">
        <v>1</v>
      </c>
      <c r="DB9" s="78">
        <v>0</v>
      </c>
      <c r="DC9" s="78">
        <v>0</v>
      </c>
      <c r="DD9" s="76">
        <v>0</v>
      </c>
      <c r="DE9" s="1" t="s">
        <v>434</v>
      </c>
      <c r="DF9" s="78">
        <v>3</v>
      </c>
      <c r="DG9" s="78">
        <v>1</v>
      </c>
      <c r="DH9" s="78">
        <v>0</v>
      </c>
      <c r="DI9" s="78">
        <v>0</v>
      </c>
      <c r="DJ9" s="78">
        <v>0</v>
      </c>
      <c r="DK9" s="78">
        <v>1</v>
      </c>
      <c r="DL9" s="78">
        <v>1</v>
      </c>
      <c r="DM9" s="78">
        <v>0</v>
      </c>
      <c r="DN9" s="76">
        <v>0</v>
      </c>
      <c r="DO9" s="1" t="s">
        <v>295</v>
      </c>
      <c r="DP9" s="78">
        <v>1</v>
      </c>
      <c r="DQ9" s="78">
        <v>1</v>
      </c>
      <c r="DR9" s="78">
        <v>0</v>
      </c>
      <c r="DS9" s="78">
        <v>0</v>
      </c>
      <c r="DT9" s="78">
        <v>2</v>
      </c>
      <c r="DU9" s="78">
        <v>1</v>
      </c>
      <c r="DV9" s="78">
        <v>1</v>
      </c>
      <c r="DW9" s="78">
        <v>0</v>
      </c>
      <c r="DX9" s="76">
        <v>0</v>
      </c>
      <c r="DY9" s="77">
        <f>0+2/3</f>
        <v>0.66666666666666663</v>
      </c>
      <c r="DZ9" s="43">
        <v>0</v>
      </c>
      <c r="EA9" s="43">
        <v>0</v>
      </c>
      <c r="EB9" s="45">
        <f>8+1/3</f>
        <v>8.3333333333333339</v>
      </c>
      <c r="EC9" s="43">
        <v>2</v>
      </c>
      <c r="ED9" s="44">
        <v>0</v>
      </c>
      <c r="EE9" s="71">
        <v>0</v>
      </c>
      <c r="EF9" s="43">
        <v>0</v>
      </c>
      <c r="EG9" s="43">
        <v>0</v>
      </c>
      <c r="EH9" s="43">
        <v>1</v>
      </c>
      <c r="EI9" s="43">
        <v>0</v>
      </c>
      <c r="EJ9" s="43">
        <v>0</v>
      </c>
      <c r="EK9" s="43">
        <v>0</v>
      </c>
      <c r="EL9" s="43">
        <v>6</v>
      </c>
      <c r="EM9" s="43">
        <v>0</v>
      </c>
      <c r="EN9" s="43"/>
      <c r="EO9" s="43"/>
      <c r="EP9" s="43"/>
      <c r="EQ9" s="43"/>
      <c r="ER9" s="44">
        <f t="shared" si="0"/>
        <v>7</v>
      </c>
      <c r="ES9" s="43">
        <v>0</v>
      </c>
      <c r="ET9" s="43">
        <v>0</v>
      </c>
      <c r="EU9" s="43">
        <v>0</v>
      </c>
      <c r="EV9" s="43">
        <v>1</v>
      </c>
      <c r="EW9" s="43">
        <v>0</v>
      </c>
      <c r="EX9" s="43">
        <v>0</v>
      </c>
      <c r="EY9" s="43">
        <v>0</v>
      </c>
      <c r="EZ9" s="43">
        <v>0</v>
      </c>
      <c r="FA9" s="43">
        <v>0</v>
      </c>
      <c r="FB9" s="43"/>
      <c r="FC9" s="43"/>
      <c r="FD9" s="43"/>
      <c r="FE9" s="43"/>
      <c r="FF9" s="43">
        <f t="shared" si="1"/>
        <v>1</v>
      </c>
      <c r="FG9" s="73">
        <f t="shared" si="2"/>
        <v>0</v>
      </c>
      <c r="FH9" s="73">
        <f t="shared" si="3"/>
        <v>0</v>
      </c>
      <c r="FI9" s="38"/>
    </row>
    <row r="10" spans="1:165" x14ac:dyDescent="0.25">
      <c r="A10" s="53">
        <v>40357</v>
      </c>
      <c r="B10" s="53" t="s">
        <v>19</v>
      </c>
      <c r="C10" s="53" t="s">
        <v>131</v>
      </c>
      <c r="D10" s="53" t="s">
        <v>308</v>
      </c>
      <c r="E10" s="54">
        <v>565</v>
      </c>
      <c r="F10" s="58">
        <v>2</v>
      </c>
      <c r="G10" s="59" t="s">
        <v>428</v>
      </c>
      <c r="H10" s="6">
        <v>0</v>
      </c>
      <c r="I10" s="6">
        <v>0</v>
      </c>
      <c r="J10" s="60">
        <v>6</v>
      </c>
      <c r="K10" s="6">
        <v>5</v>
      </c>
      <c r="L10" s="6">
        <v>2</v>
      </c>
      <c r="M10" s="6">
        <v>0</v>
      </c>
      <c r="N10" s="6">
        <v>0</v>
      </c>
      <c r="O10" s="6">
        <v>5</v>
      </c>
      <c r="P10" s="6">
        <v>0</v>
      </c>
      <c r="Q10" s="6">
        <v>0</v>
      </c>
      <c r="R10" s="6">
        <v>23</v>
      </c>
      <c r="S10" s="6"/>
      <c r="T10" s="6"/>
      <c r="U10" s="6">
        <v>0</v>
      </c>
      <c r="V10" s="61">
        <v>0</v>
      </c>
      <c r="W10" s="62">
        <v>0</v>
      </c>
      <c r="X10" s="62">
        <v>1</v>
      </c>
      <c r="Y10" s="62">
        <v>1</v>
      </c>
      <c r="Z10" s="62">
        <v>0</v>
      </c>
      <c r="AA10" s="62">
        <v>1</v>
      </c>
      <c r="AB10" s="63">
        <v>3</v>
      </c>
      <c r="AC10" s="62">
        <v>3</v>
      </c>
      <c r="AD10" s="62">
        <v>5</v>
      </c>
      <c r="AE10" s="62">
        <v>2</v>
      </c>
      <c r="AF10" s="62">
        <v>3</v>
      </c>
      <c r="AG10" s="62">
        <v>1</v>
      </c>
      <c r="AH10" s="62">
        <v>0</v>
      </c>
      <c r="AI10" s="62">
        <v>0</v>
      </c>
      <c r="AJ10" s="62">
        <v>15</v>
      </c>
      <c r="AK10" s="62"/>
      <c r="AL10" s="62"/>
      <c r="AM10" s="1" t="s">
        <v>429</v>
      </c>
      <c r="AN10" s="78">
        <v>3</v>
      </c>
      <c r="AO10" s="78">
        <v>1</v>
      </c>
      <c r="AP10" s="78">
        <v>0</v>
      </c>
      <c r="AQ10" s="78">
        <v>0</v>
      </c>
      <c r="AR10" s="78">
        <v>1</v>
      </c>
      <c r="AS10" s="78">
        <v>0</v>
      </c>
      <c r="AT10" s="78">
        <v>0</v>
      </c>
      <c r="AU10" s="78">
        <v>0</v>
      </c>
      <c r="AV10" s="76">
        <v>0</v>
      </c>
      <c r="AW10" s="1" t="s">
        <v>298</v>
      </c>
      <c r="AX10" s="78">
        <v>3</v>
      </c>
      <c r="AY10" s="78">
        <v>0</v>
      </c>
      <c r="AZ10" s="78">
        <v>0</v>
      </c>
      <c r="BA10" s="78">
        <v>0</v>
      </c>
      <c r="BB10" s="78">
        <v>0</v>
      </c>
      <c r="BC10" s="78">
        <v>1</v>
      </c>
      <c r="BD10" s="78">
        <v>1</v>
      </c>
      <c r="BE10" s="78">
        <v>0</v>
      </c>
      <c r="BF10" s="76">
        <v>0</v>
      </c>
      <c r="BG10" s="1" t="s">
        <v>431</v>
      </c>
      <c r="BH10" s="78">
        <v>4</v>
      </c>
      <c r="BI10" s="78">
        <v>1</v>
      </c>
      <c r="BJ10" s="78">
        <v>2</v>
      </c>
      <c r="BK10" s="78">
        <v>1</v>
      </c>
      <c r="BL10" s="78">
        <v>0</v>
      </c>
      <c r="BM10" s="78">
        <v>2</v>
      </c>
      <c r="BN10" s="78">
        <v>0</v>
      </c>
      <c r="BO10" s="78">
        <v>0</v>
      </c>
      <c r="BP10" s="76">
        <v>2</v>
      </c>
      <c r="BQ10" s="1" t="s">
        <v>297</v>
      </c>
      <c r="BR10" s="78">
        <v>3</v>
      </c>
      <c r="BS10" s="78">
        <v>0</v>
      </c>
      <c r="BT10" s="78">
        <v>0</v>
      </c>
      <c r="BU10" s="78">
        <v>0</v>
      </c>
      <c r="BV10" s="78">
        <v>1</v>
      </c>
      <c r="BW10" s="78">
        <v>0</v>
      </c>
      <c r="BX10" s="78">
        <v>0</v>
      </c>
      <c r="BY10" s="78">
        <v>0</v>
      </c>
      <c r="BZ10" s="76">
        <v>0</v>
      </c>
      <c r="CA10" s="1" t="s">
        <v>432</v>
      </c>
      <c r="CB10" s="78">
        <v>4</v>
      </c>
      <c r="CC10" s="78">
        <v>1</v>
      </c>
      <c r="CD10" s="78">
        <v>1</v>
      </c>
      <c r="CE10" s="78">
        <v>1</v>
      </c>
      <c r="CF10" s="78">
        <v>0</v>
      </c>
      <c r="CG10" s="78">
        <v>1</v>
      </c>
      <c r="CH10" s="78">
        <v>0</v>
      </c>
      <c r="CI10" s="78">
        <v>0</v>
      </c>
      <c r="CJ10" s="76">
        <v>2</v>
      </c>
      <c r="CK10" s="1" t="s">
        <v>296</v>
      </c>
      <c r="CL10" s="78">
        <v>4</v>
      </c>
      <c r="CM10" s="78">
        <v>0</v>
      </c>
      <c r="CN10" s="78">
        <v>2</v>
      </c>
      <c r="CO10" s="78">
        <v>1</v>
      </c>
      <c r="CP10" s="78">
        <v>0</v>
      </c>
      <c r="CQ10" s="78">
        <v>0</v>
      </c>
      <c r="CR10" s="78">
        <v>0</v>
      </c>
      <c r="CS10" s="78">
        <v>0</v>
      </c>
      <c r="CT10" s="76">
        <v>4</v>
      </c>
      <c r="CU10" s="1" t="s">
        <v>430</v>
      </c>
      <c r="CV10" s="78">
        <v>4</v>
      </c>
      <c r="CW10" s="78">
        <v>0</v>
      </c>
      <c r="CX10" s="78">
        <v>1</v>
      </c>
      <c r="CY10" s="78">
        <v>0</v>
      </c>
      <c r="CZ10" s="78">
        <v>0</v>
      </c>
      <c r="DA10" s="78">
        <v>2</v>
      </c>
      <c r="DB10" s="78">
        <v>0</v>
      </c>
      <c r="DC10" s="78">
        <v>0</v>
      </c>
      <c r="DD10" s="76">
        <v>1</v>
      </c>
      <c r="DE10" s="1" t="s">
        <v>304</v>
      </c>
      <c r="DF10" s="78">
        <v>4</v>
      </c>
      <c r="DG10" s="78">
        <v>0</v>
      </c>
      <c r="DH10" s="78">
        <v>0</v>
      </c>
      <c r="DI10" s="78">
        <v>0</v>
      </c>
      <c r="DJ10" s="78">
        <v>0</v>
      </c>
      <c r="DK10" s="78">
        <v>1</v>
      </c>
      <c r="DL10" s="78">
        <v>0</v>
      </c>
      <c r="DM10" s="78">
        <v>0</v>
      </c>
      <c r="DN10" s="76">
        <v>0</v>
      </c>
      <c r="DO10" s="1" t="s">
        <v>295</v>
      </c>
      <c r="DP10" s="78">
        <v>3</v>
      </c>
      <c r="DQ10" s="78">
        <v>0</v>
      </c>
      <c r="DR10" s="78">
        <v>1</v>
      </c>
      <c r="DS10" s="78">
        <v>0</v>
      </c>
      <c r="DT10" s="78">
        <v>0</v>
      </c>
      <c r="DU10" s="78">
        <v>1</v>
      </c>
      <c r="DV10" s="78">
        <v>0</v>
      </c>
      <c r="DW10" s="78">
        <v>0</v>
      </c>
      <c r="DX10" s="76">
        <v>1</v>
      </c>
      <c r="DY10" s="77">
        <v>0</v>
      </c>
      <c r="DZ10" s="43">
        <v>0</v>
      </c>
      <c r="EA10" s="43">
        <v>0</v>
      </c>
      <c r="EB10" s="45">
        <v>9</v>
      </c>
      <c r="EC10" s="43">
        <v>0</v>
      </c>
      <c r="ED10" s="44">
        <v>0</v>
      </c>
      <c r="EE10" s="71">
        <v>0</v>
      </c>
      <c r="EF10" s="43">
        <v>0</v>
      </c>
      <c r="EG10" s="43">
        <v>0</v>
      </c>
      <c r="EH10" s="43">
        <v>0</v>
      </c>
      <c r="EI10" s="43">
        <v>0</v>
      </c>
      <c r="EJ10" s="43">
        <v>3</v>
      </c>
      <c r="EK10" s="43">
        <v>0</v>
      </c>
      <c r="EL10" s="43">
        <v>0</v>
      </c>
      <c r="EM10" s="43">
        <v>0</v>
      </c>
      <c r="EN10" s="43"/>
      <c r="EO10" s="43"/>
      <c r="EP10" s="43"/>
      <c r="EQ10" s="43"/>
      <c r="ER10" s="44">
        <f t="shared" si="0"/>
        <v>3</v>
      </c>
      <c r="ES10" s="43">
        <v>0</v>
      </c>
      <c r="ET10" s="43">
        <v>0</v>
      </c>
      <c r="EU10" s="43">
        <v>0</v>
      </c>
      <c r="EV10" s="43">
        <v>1</v>
      </c>
      <c r="EW10" s="43">
        <v>1</v>
      </c>
      <c r="EX10" s="43">
        <v>0</v>
      </c>
      <c r="EY10" s="43">
        <v>0</v>
      </c>
      <c r="EZ10" s="43">
        <v>5</v>
      </c>
      <c r="FA10" s="43">
        <v>0</v>
      </c>
      <c r="FB10" s="43"/>
      <c r="FC10" s="43"/>
      <c r="FD10" s="43"/>
      <c r="FE10" s="43"/>
      <c r="FF10" s="43">
        <f t="shared" si="1"/>
        <v>7</v>
      </c>
      <c r="FG10" s="73">
        <f t="shared" si="2"/>
        <v>0</v>
      </c>
      <c r="FH10" s="73">
        <f t="shared" si="3"/>
        <v>0</v>
      </c>
      <c r="FI10" s="38"/>
    </row>
    <row r="11" spans="1:165" x14ac:dyDescent="0.25">
      <c r="A11" s="53">
        <v>40358</v>
      </c>
      <c r="B11" s="53" t="s">
        <v>19</v>
      </c>
      <c r="C11" s="53" t="s">
        <v>129</v>
      </c>
      <c r="D11" s="53" t="s">
        <v>308</v>
      </c>
      <c r="E11" s="54">
        <v>994</v>
      </c>
      <c r="F11" s="58">
        <v>3</v>
      </c>
      <c r="G11" s="59" t="s">
        <v>299</v>
      </c>
      <c r="H11" s="6">
        <v>1</v>
      </c>
      <c r="I11" s="6">
        <v>0</v>
      </c>
      <c r="J11" s="60">
        <v>6</v>
      </c>
      <c r="K11" s="6">
        <v>3</v>
      </c>
      <c r="L11" s="6">
        <v>0</v>
      </c>
      <c r="M11" s="6">
        <v>0</v>
      </c>
      <c r="N11" s="6">
        <v>0</v>
      </c>
      <c r="O11" s="6">
        <v>6</v>
      </c>
      <c r="P11" s="6">
        <v>0</v>
      </c>
      <c r="Q11" s="6">
        <v>1</v>
      </c>
      <c r="R11" s="6">
        <v>22</v>
      </c>
      <c r="S11" s="6"/>
      <c r="T11" s="6"/>
      <c r="U11" s="6">
        <v>0</v>
      </c>
      <c r="V11" s="61">
        <v>0</v>
      </c>
      <c r="W11" s="62">
        <v>0</v>
      </c>
      <c r="X11" s="62">
        <v>0</v>
      </c>
      <c r="Y11" s="62">
        <v>0</v>
      </c>
      <c r="Z11" s="62">
        <v>1</v>
      </c>
      <c r="AA11" s="62">
        <v>0</v>
      </c>
      <c r="AB11" s="63">
        <v>3</v>
      </c>
      <c r="AC11" s="62">
        <v>1</v>
      </c>
      <c r="AD11" s="62">
        <v>0</v>
      </c>
      <c r="AE11" s="62">
        <v>0</v>
      </c>
      <c r="AF11" s="62">
        <v>0</v>
      </c>
      <c r="AG11" s="62">
        <v>3</v>
      </c>
      <c r="AH11" s="62">
        <v>0</v>
      </c>
      <c r="AI11" s="62">
        <v>0</v>
      </c>
      <c r="AJ11" s="62">
        <v>10</v>
      </c>
      <c r="AK11" s="62"/>
      <c r="AL11" s="62"/>
      <c r="AM11" s="1" t="s">
        <v>430</v>
      </c>
      <c r="AN11" s="78">
        <v>4</v>
      </c>
      <c r="AO11" s="78">
        <v>1</v>
      </c>
      <c r="AP11" s="78">
        <v>2</v>
      </c>
      <c r="AQ11" s="78">
        <v>0</v>
      </c>
      <c r="AR11" s="78">
        <v>0</v>
      </c>
      <c r="AS11" s="78">
        <v>0</v>
      </c>
      <c r="AT11" s="78">
        <v>0</v>
      </c>
      <c r="AU11" s="78">
        <v>0</v>
      </c>
      <c r="AV11" s="76">
        <v>4</v>
      </c>
      <c r="AW11" s="1" t="s">
        <v>298</v>
      </c>
      <c r="AX11" s="78">
        <v>3</v>
      </c>
      <c r="AY11" s="78">
        <v>0</v>
      </c>
      <c r="AZ11" s="78">
        <v>0</v>
      </c>
      <c r="BA11" s="78">
        <v>0</v>
      </c>
      <c r="BB11" s="78">
        <v>0</v>
      </c>
      <c r="BC11" s="78">
        <v>0</v>
      </c>
      <c r="BD11" s="78">
        <v>0</v>
      </c>
      <c r="BE11" s="78">
        <v>0</v>
      </c>
      <c r="BF11" s="76">
        <v>0</v>
      </c>
      <c r="BG11" s="1" t="s">
        <v>429</v>
      </c>
      <c r="BH11" s="78">
        <v>3</v>
      </c>
      <c r="BI11" s="78">
        <v>0</v>
      </c>
      <c r="BJ11" s="78">
        <v>2</v>
      </c>
      <c r="BK11" s="78">
        <v>1</v>
      </c>
      <c r="BL11" s="78">
        <v>0</v>
      </c>
      <c r="BM11" s="78">
        <v>1</v>
      </c>
      <c r="BN11" s="78">
        <v>0</v>
      </c>
      <c r="BO11" s="78">
        <v>0</v>
      </c>
      <c r="BP11" s="76">
        <v>4</v>
      </c>
      <c r="BQ11" s="1" t="s">
        <v>302</v>
      </c>
      <c r="BR11" s="78">
        <v>3</v>
      </c>
      <c r="BS11" s="78">
        <v>0</v>
      </c>
      <c r="BT11" s="78">
        <v>0</v>
      </c>
      <c r="BU11" s="78">
        <v>0</v>
      </c>
      <c r="BV11" s="78">
        <v>0</v>
      </c>
      <c r="BW11" s="78">
        <v>1</v>
      </c>
      <c r="BX11" s="78">
        <v>0</v>
      </c>
      <c r="BY11" s="78">
        <v>0</v>
      </c>
      <c r="BZ11" s="76">
        <v>0</v>
      </c>
      <c r="CA11" s="1" t="s">
        <v>432</v>
      </c>
      <c r="CB11" s="78">
        <v>3</v>
      </c>
      <c r="CC11" s="78">
        <v>0</v>
      </c>
      <c r="CD11" s="78">
        <v>1</v>
      </c>
      <c r="CE11" s="78">
        <v>0</v>
      </c>
      <c r="CF11" s="78">
        <v>0</v>
      </c>
      <c r="CG11" s="78">
        <v>1</v>
      </c>
      <c r="CH11" s="78">
        <v>0</v>
      </c>
      <c r="CI11" s="78">
        <v>0</v>
      </c>
      <c r="CJ11" s="76">
        <v>1</v>
      </c>
      <c r="CK11" s="1" t="s">
        <v>296</v>
      </c>
      <c r="CL11" s="78">
        <v>3</v>
      </c>
      <c r="CM11" s="78">
        <v>0</v>
      </c>
      <c r="CN11" s="78">
        <v>0</v>
      </c>
      <c r="CO11" s="78">
        <v>0</v>
      </c>
      <c r="CP11" s="78">
        <v>0</v>
      </c>
      <c r="CQ11" s="78">
        <v>1</v>
      </c>
      <c r="CR11" s="78">
        <v>0</v>
      </c>
      <c r="CS11" s="78">
        <v>0</v>
      </c>
      <c r="CT11" s="76">
        <v>0</v>
      </c>
      <c r="CU11" s="1" t="s">
        <v>295</v>
      </c>
      <c r="CV11" s="78">
        <v>3</v>
      </c>
      <c r="CW11" s="78">
        <v>0</v>
      </c>
      <c r="CX11" s="78">
        <v>0</v>
      </c>
      <c r="CY11" s="78">
        <v>0</v>
      </c>
      <c r="CZ11" s="78">
        <v>0</v>
      </c>
      <c r="DA11" s="78">
        <v>1</v>
      </c>
      <c r="DB11" s="78">
        <v>0</v>
      </c>
      <c r="DC11" s="78">
        <v>0</v>
      </c>
      <c r="DD11" s="76">
        <v>0</v>
      </c>
      <c r="DE11" s="1" t="s">
        <v>434</v>
      </c>
      <c r="DF11" s="78">
        <v>2</v>
      </c>
      <c r="DG11" s="78">
        <v>0</v>
      </c>
      <c r="DH11" s="78">
        <v>0</v>
      </c>
      <c r="DI11" s="78">
        <v>0</v>
      </c>
      <c r="DJ11" s="78">
        <v>1</v>
      </c>
      <c r="DK11" s="78">
        <v>1</v>
      </c>
      <c r="DL11" s="78">
        <v>0</v>
      </c>
      <c r="DM11" s="78">
        <v>0</v>
      </c>
      <c r="DN11" s="76">
        <v>0</v>
      </c>
      <c r="DO11" s="1" t="s">
        <v>301</v>
      </c>
      <c r="DP11" s="78">
        <v>3</v>
      </c>
      <c r="DQ11" s="78">
        <v>0</v>
      </c>
      <c r="DR11" s="78">
        <v>0</v>
      </c>
      <c r="DS11" s="78">
        <v>0</v>
      </c>
      <c r="DT11" s="78">
        <v>0</v>
      </c>
      <c r="DU11" s="78">
        <v>2</v>
      </c>
      <c r="DV11" s="78">
        <v>0</v>
      </c>
      <c r="DW11" s="78">
        <v>0</v>
      </c>
      <c r="DX11" s="76">
        <v>0</v>
      </c>
      <c r="DY11" s="77">
        <v>0</v>
      </c>
      <c r="DZ11" s="43">
        <v>0</v>
      </c>
      <c r="EA11" s="43">
        <v>0</v>
      </c>
      <c r="EB11" s="45">
        <v>8</v>
      </c>
      <c r="EC11" s="43">
        <v>0</v>
      </c>
      <c r="ED11" s="44">
        <v>1</v>
      </c>
      <c r="EE11" s="71">
        <v>1</v>
      </c>
      <c r="EF11" s="43">
        <v>0</v>
      </c>
      <c r="EG11" s="43">
        <v>0</v>
      </c>
      <c r="EH11" s="43">
        <v>0</v>
      </c>
      <c r="EI11" s="43">
        <v>0</v>
      </c>
      <c r="EJ11" s="43">
        <v>0</v>
      </c>
      <c r="EK11" s="43">
        <v>0</v>
      </c>
      <c r="EL11" s="43">
        <v>0</v>
      </c>
      <c r="EM11" s="43"/>
      <c r="EN11" s="43"/>
      <c r="EO11" s="43"/>
      <c r="EP11" s="43"/>
      <c r="EQ11" s="43"/>
      <c r="ER11" s="44">
        <f t="shared" si="0"/>
        <v>1</v>
      </c>
      <c r="ES11" s="43">
        <v>0</v>
      </c>
      <c r="ET11" s="43">
        <v>0</v>
      </c>
      <c r="EU11" s="43">
        <v>0</v>
      </c>
      <c r="EV11" s="43">
        <v>0</v>
      </c>
      <c r="EW11" s="43">
        <v>0</v>
      </c>
      <c r="EX11" s="43">
        <v>0</v>
      </c>
      <c r="EY11" s="43">
        <v>0</v>
      </c>
      <c r="EZ11" s="43">
        <v>0</v>
      </c>
      <c r="FA11" s="43">
        <v>0</v>
      </c>
      <c r="FB11" s="43"/>
      <c r="FC11" s="43"/>
      <c r="FD11" s="43"/>
      <c r="FE11" s="43"/>
      <c r="FF11" s="43">
        <f t="shared" si="1"/>
        <v>0</v>
      </c>
      <c r="FG11" s="73">
        <f t="shared" si="2"/>
        <v>0</v>
      </c>
      <c r="FH11" s="73">
        <f t="shared" si="3"/>
        <v>0</v>
      </c>
      <c r="FI11" s="38"/>
    </row>
    <row r="12" spans="1:165" x14ac:dyDescent="0.25">
      <c r="A12" s="53">
        <v>40359</v>
      </c>
      <c r="B12" s="53" t="s">
        <v>19</v>
      </c>
      <c r="C12" s="53" t="s">
        <v>129</v>
      </c>
      <c r="D12" s="53" t="s">
        <v>308</v>
      </c>
      <c r="E12" s="54">
        <v>839</v>
      </c>
      <c r="F12" s="58">
        <v>4</v>
      </c>
      <c r="G12" s="59" t="s">
        <v>307</v>
      </c>
      <c r="H12" s="6">
        <v>0</v>
      </c>
      <c r="I12" s="6">
        <v>0</v>
      </c>
      <c r="J12" s="60">
        <v>3</v>
      </c>
      <c r="K12" s="6">
        <v>5</v>
      </c>
      <c r="L12" s="6">
        <v>2</v>
      </c>
      <c r="M12" s="6">
        <v>2</v>
      </c>
      <c r="N12" s="6">
        <v>1</v>
      </c>
      <c r="O12" s="6">
        <v>4</v>
      </c>
      <c r="P12" s="6">
        <v>0</v>
      </c>
      <c r="Q12" s="6">
        <v>1</v>
      </c>
      <c r="R12" s="6">
        <v>16</v>
      </c>
      <c r="S12" s="6"/>
      <c r="T12" s="6"/>
      <c r="U12" s="6">
        <v>0</v>
      </c>
      <c r="V12" s="61">
        <v>0</v>
      </c>
      <c r="W12" s="62">
        <v>1</v>
      </c>
      <c r="X12" s="62">
        <v>0</v>
      </c>
      <c r="Y12" s="62">
        <v>0</v>
      </c>
      <c r="Z12" s="62">
        <v>0</v>
      </c>
      <c r="AA12" s="62">
        <v>0</v>
      </c>
      <c r="AB12" s="63">
        <v>6</v>
      </c>
      <c r="AC12" s="62">
        <v>4</v>
      </c>
      <c r="AD12" s="62">
        <v>0</v>
      </c>
      <c r="AE12" s="62">
        <v>0</v>
      </c>
      <c r="AF12" s="62">
        <v>1</v>
      </c>
      <c r="AG12" s="62">
        <v>4</v>
      </c>
      <c r="AH12" s="62">
        <v>0</v>
      </c>
      <c r="AI12" s="62">
        <v>0</v>
      </c>
      <c r="AJ12" s="62">
        <v>21</v>
      </c>
      <c r="AK12" s="62"/>
      <c r="AL12" s="62"/>
      <c r="AM12" s="1" t="s">
        <v>429</v>
      </c>
      <c r="AN12" s="78">
        <v>5</v>
      </c>
      <c r="AO12" s="78">
        <v>2</v>
      </c>
      <c r="AP12" s="78">
        <v>1</v>
      </c>
      <c r="AQ12" s="78">
        <v>0</v>
      </c>
      <c r="AR12" s="78">
        <v>0</v>
      </c>
      <c r="AS12" s="78">
        <v>2</v>
      </c>
      <c r="AT12" s="78">
        <v>0</v>
      </c>
      <c r="AU12" s="78">
        <v>0</v>
      </c>
      <c r="AV12" s="76">
        <v>1</v>
      </c>
      <c r="AW12" s="1" t="s">
        <v>298</v>
      </c>
      <c r="AX12" s="78">
        <v>4</v>
      </c>
      <c r="AY12" s="78">
        <v>1</v>
      </c>
      <c r="AZ12" s="78">
        <v>1</v>
      </c>
      <c r="BA12" s="78">
        <v>0</v>
      </c>
      <c r="BB12" s="78">
        <v>1</v>
      </c>
      <c r="BC12" s="78">
        <v>3</v>
      </c>
      <c r="BD12" s="78">
        <v>0</v>
      </c>
      <c r="BE12" s="78">
        <v>0</v>
      </c>
      <c r="BF12" s="76">
        <v>1</v>
      </c>
      <c r="BG12" s="1" t="s">
        <v>431</v>
      </c>
      <c r="BH12" s="78">
        <v>3</v>
      </c>
      <c r="BI12" s="78">
        <v>2</v>
      </c>
      <c r="BJ12" s="78">
        <v>1</v>
      </c>
      <c r="BK12" s="78">
        <v>0</v>
      </c>
      <c r="BL12" s="78">
        <v>2</v>
      </c>
      <c r="BM12" s="78">
        <v>1</v>
      </c>
      <c r="BN12" s="78">
        <v>0</v>
      </c>
      <c r="BO12" s="78">
        <v>0</v>
      </c>
      <c r="BP12" s="76">
        <v>1</v>
      </c>
      <c r="BQ12" s="1" t="s">
        <v>302</v>
      </c>
      <c r="BR12" s="78">
        <v>5</v>
      </c>
      <c r="BS12" s="78">
        <v>2</v>
      </c>
      <c r="BT12" s="78">
        <v>3</v>
      </c>
      <c r="BU12" s="78">
        <v>2</v>
      </c>
      <c r="BV12" s="78">
        <v>0</v>
      </c>
      <c r="BW12" s="78">
        <v>1</v>
      </c>
      <c r="BX12" s="78">
        <v>0</v>
      </c>
      <c r="BY12" s="78">
        <v>0</v>
      </c>
      <c r="BZ12" s="76">
        <v>5</v>
      </c>
      <c r="CA12" s="1" t="s">
        <v>297</v>
      </c>
      <c r="CB12" s="78">
        <v>3</v>
      </c>
      <c r="CC12" s="78">
        <v>1</v>
      </c>
      <c r="CD12" s="78">
        <v>1</v>
      </c>
      <c r="CE12" s="78">
        <v>2</v>
      </c>
      <c r="CF12" s="78">
        <v>0</v>
      </c>
      <c r="CG12" s="78">
        <v>1</v>
      </c>
      <c r="CH12" s="78">
        <v>1</v>
      </c>
      <c r="CI12" s="78">
        <v>1</v>
      </c>
      <c r="CJ12" s="76">
        <v>1</v>
      </c>
      <c r="CK12" s="1" t="s">
        <v>433</v>
      </c>
      <c r="CL12" s="78">
        <v>5</v>
      </c>
      <c r="CM12" s="78">
        <v>2</v>
      </c>
      <c r="CN12" s="78">
        <v>2</v>
      </c>
      <c r="CO12" s="78">
        <v>2</v>
      </c>
      <c r="CP12" s="78">
        <v>0</v>
      </c>
      <c r="CQ12" s="78">
        <v>1</v>
      </c>
      <c r="CR12" s="78">
        <v>0</v>
      </c>
      <c r="CS12" s="78">
        <v>0</v>
      </c>
      <c r="CT12" s="76">
        <v>6</v>
      </c>
      <c r="CU12" s="1" t="s">
        <v>430</v>
      </c>
      <c r="CV12" s="78">
        <v>4</v>
      </c>
      <c r="CW12" s="78">
        <v>1</v>
      </c>
      <c r="CX12" s="78">
        <v>3</v>
      </c>
      <c r="CY12" s="78">
        <v>2</v>
      </c>
      <c r="CZ12" s="78">
        <v>1</v>
      </c>
      <c r="DA12" s="78">
        <v>0</v>
      </c>
      <c r="DB12" s="78">
        <v>0</v>
      </c>
      <c r="DC12" s="78">
        <v>0</v>
      </c>
      <c r="DD12" s="76">
        <v>3</v>
      </c>
      <c r="DE12" s="1" t="s">
        <v>434</v>
      </c>
      <c r="DF12" s="78">
        <v>4</v>
      </c>
      <c r="DG12" s="78">
        <v>0</v>
      </c>
      <c r="DH12" s="78">
        <v>0</v>
      </c>
      <c r="DI12" s="78">
        <v>0</v>
      </c>
      <c r="DJ12" s="78">
        <v>1</v>
      </c>
      <c r="DK12" s="78">
        <v>1</v>
      </c>
      <c r="DL12" s="78">
        <v>0</v>
      </c>
      <c r="DM12" s="78">
        <v>0</v>
      </c>
      <c r="DN12" s="76">
        <v>0</v>
      </c>
      <c r="DO12" s="1" t="s">
        <v>304</v>
      </c>
      <c r="DP12" s="78">
        <v>4</v>
      </c>
      <c r="DQ12" s="78">
        <v>0</v>
      </c>
      <c r="DR12" s="78">
        <v>2</v>
      </c>
      <c r="DS12" s="78">
        <v>1</v>
      </c>
      <c r="DT12" s="78">
        <v>0</v>
      </c>
      <c r="DU12" s="78">
        <v>0</v>
      </c>
      <c r="DV12" s="78">
        <v>0</v>
      </c>
      <c r="DW12" s="78">
        <v>0</v>
      </c>
      <c r="DX12" s="76">
        <v>2</v>
      </c>
      <c r="DY12" s="77">
        <v>2</v>
      </c>
      <c r="DZ12" s="43">
        <v>0</v>
      </c>
      <c r="EA12" s="43">
        <v>0</v>
      </c>
      <c r="EB12" s="45">
        <v>6</v>
      </c>
      <c r="EC12" s="43">
        <v>2</v>
      </c>
      <c r="ED12" s="44">
        <v>1</v>
      </c>
      <c r="EE12" s="71">
        <v>1</v>
      </c>
      <c r="EF12" s="43">
        <v>1</v>
      </c>
      <c r="EG12" s="43">
        <v>4</v>
      </c>
      <c r="EH12" s="43">
        <v>0</v>
      </c>
      <c r="EI12" s="43">
        <v>2</v>
      </c>
      <c r="EJ12" s="43">
        <v>0</v>
      </c>
      <c r="EK12" s="43">
        <v>0</v>
      </c>
      <c r="EL12" s="43">
        <v>3</v>
      </c>
      <c r="EM12" s="43"/>
      <c r="EN12" s="43"/>
      <c r="EO12" s="43"/>
      <c r="EP12" s="43"/>
      <c r="EQ12" s="43"/>
      <c r="ER12" s="44">
        <f t="shared" si="0"/>
        <v>11</v>
      </c>
      <c r="ES12" s="43">
        <v>0</v>
      </c>
      <c r="ET12" s="43">
        <v>1</v>
      </c>
      <c r="EU12" s="43">
        <v>1</v>
      </c>
      <c r="EV12" s="43">
        <v>0</v>
      </c>
      <c r="EW12" s="43">
        <v>0</v>
      </c>
      <c r="EX12" s="43">
        <v>0</v>
      </c>
      <c r="EY12" s="43">
        <v>0</v>
      </c>
      <c r="EZ12" s="43">
        <v>0</v>
      </c>
      <c r="FA12" s="43">
        <v>0</v>
      </c>
      <c r="FB12" s="43"/>
      <c r="FC12" s="43"/>
      <c r="FD12" s="43"/>
      <c r="FE12" s="43"/>
      <c r="FF12" s="43">
        <f t="shared" si="1"/>
        <v>2</v>
      </c>
      <c r="FG12" s="73">
        <f t="shared" si="2"/>
        <v>0</v>
      </c>
      <c r="FH12" s="73">
        <f t="shared" si="3"/>
        <v>0</v>
      </c>
      <c r="FI12" s="38"/>
    </row>
    <row r="13" spans="1:165" x14ac:dyDescent="0.25">
      <c r="A13" s="53">
        <v>40360</v>
      </c>
      <c r="B13" s="53" t="s">
        <v>133</v>
      </c>
      <c r="C13" s="53" t="s">
        <v>129</v>
      </c>
      <c r="D13" s="53" t="s">
        <v>303</v>
      </c>
      <c r="E13" s="54">
        <v>1115</v>
      </c>
      <c r="F13" s="58">
        <v>5</v>
      </c>
      <c r="G13" s="59" t="s">
        <v>306</v>
      </c>
      <c r="H13" s="6">
        <v>1</v>
      </c>
      <c r="I13" s="6">
        <v>0</v>
      </c>
      <c r="J13" s="60">
        <f>5+1/3</f>
        <v>5.333333333333333</v>
      </c>
      <c r="K13" s="6">
        <v>4</v>
      </c>
      <c r="L13" s="6">
        <v>2</v>
      </c>
      <c r="M13" s="6">
        <v>2</v>
      </c>
      <c r="N13" s="6">
        <v>2</v>
      </c>
      <c r="O13" s="6">
        <v>2</v>
      </c>
      <c r="P13" s="6">
        <v>0</v>
      </c>
      <c r="Q13" s="6">
        <v>1</v>
      </c>
      <c r="R13" s="6">
        <v>21</v>
      </c>
      <c r="S13" s="6"/>
      <c r="T13" s="6"/>
      <c r="U13" s="6">
        <v>2</v>
      </c>
      <c r="V13" s="61">
        <v>2</v>
      </c>
      <c r="W13" s="62">
        <v>0</v>
      </c>
      <c r="X13" s="62">
        <v>0</v>
      </c>
      <c r="Y13" s="62">
        <v>1</v>
      </c>
      <c r="Z13" s="62">
        <v>1</v>
      </c>
      <c r="AA13" s="62">
        <v>0</v>
      </c>
      <c r="AB13" s="63">
        <f>3+2/3</f>
        <v>3.6666666666666665</v>
      </c>
      <c r="AC13" s="62">
        <v>3</v>
      </c>
      <c r="AD13" s="62">
        <v>1</v>
      </c>
      <c r="AE13" s="62">
        <v>1</v>
      </c>
      <c r="AF13" s="62">
        <v>0</v>
      </c>
      <c r="AG13" s="62">
        <v>2</v>
      </c>
      <c r="AH13" s="62">
        <v>0</v>
      </c>
      <c r="AI13" s="62">
        <v>1</v>
      </c>
      <c r="AJ13" s="62">
        <v>17</v>
      </c>
      <c r="AK13" s="62"/>
      <c r="AL13" s="62"/>
      <c r="AM13" s="1" t="s">
        <v>295</v>
      </c>
      <c r="AN13" s="78">
        <v>4</v>
      </c>
      <c r="AO13" s="78">
        <v>0</v>
      </c>
      <c r="AP13" s="78">
        <v>1</v>
      </c>
      <c r="AQ13" s="78">
        <v>0</v>
      </c>
      <c r="AR13" s="78">
        <v>1</v>
      </c>
      <c r="AS13" s="78">
        <v>1</v>
      </c>
      <c r="AT13" s="78">
        <v>0</v>
      </c>
      <c r="AU13" s="78">
        <v>0</v>
      </c>
      <c r="AV13" s="76">
        <v>1</v>
      </c>
      <c r="AW13" s="1" t="s">
        <v>298</v>
      </c>
      <c r="AX13" s="78">
        <v>5</v>
      </c>
      <c r="AY13" s="78">
        <v>1</v>
      </c>
      <c r="AZ13" s="78">
        <v>0</v>
      </c>
      <c r="BA13" s="78">
        <v>0</v>
      </c>
      <c r="BB13" s="78">
        <v>0</v>
      </c>
      <c r="BC13" s="78">
        <v>3</v>
      </c>
      <c r="BD13" s="78">
        <v>0</v>
      </c>
      <c r="BE13" s="78">
        <v>0</v>
      </c>
      <c r="BF13" s="76">
        <v>0</v>
      </c>
      <c r="BG13" s="1" t="s">
        <v>429</v>
      </c>
      <c r="BH13" s="78">
        <v>4</v>
      </c>
      <c r="BI13" s="78">
        <v>0</v>
      </c>
      <c r="BJ13" s="78">
        <v>1</v>
      </c>
      <c r="BK13" s="78">
        <v>0</v>
      </c>
      <c r="BL13" s="78">
        <v>1</v>
      </c>
      <c r="BM13" s="78">
        <v>1</v>
      </c>
      <c r="BN13" s="78">
        <v>0</v>
      </c>
      <c r="BO13" s="78">
        <v>0</v>
      </c>
      <c r="BP13" s="76">
        <v>1</v>
      </c>
      <c r="BQ13" s="1" t="s">
        <v>302</v>
      </c>
      <c r="BR13" s="78">
        <v>5</v>
      </c>
      <c r="BS13" s="78">
        <v>1</v>
      </c>
      <c r="BT13" s="78">
        <v>2</v>
      </c>
      <c r="BU13" s="78">
        <v>0</v>
      </c>
      <c r="BV13" s="78">
        <v>0</v>
      </c>
      <c r="BW13" s="78">
        <v>1</v>
      </c>
      <c r="BX13" s="78">
        <v>0</v>
      </c>
      <c r="BY13" s="78">
        <v>0</v>
      </c>
      <c r="BZ13" s="76">
        <v>2</v>
      </c>
      <c r="CA13" s="1" t="s">
        <v>297</v>
      </c>
      <c r="CB13" s="78">
        <v>4</v>
      </c>
      <c r="CC13" s="78">
        <v>2</v>
      </c>
      <c r="CD13" s="78">
        <v>2</v>
      </c>
      <c r="CE13" s="78">
        <v>1</v>
      </c>
      <c r="CF13" s="78">
        <v>1</v>
      </c>
      <c r="CG13" s="78">
        <v>0</v>
      </c>
      <c r="CH13" s="78">
        <v>0</v>
      </c>
      <c r="CI13" s="78">
        <v>0</v>
      </c>
      <c r="CJ13" s="76">
        <v>5</v>
      </c>
      <c r="CK13" s="1" t="s">
        <v>296</v>
      </c>
      <c r="CL13" s="78">
        <v>3</v>
      </c>
      <c r="CM13" s="78">
        <v>0</v>
      </c>
      <c r="CN13" s="78">
        <v>0</v>
      </c>
      <c r="CO13" s="78">
        <v>2</v>
      </c>
      <c r="CP13" s="78">
        <v>0</v>
      </c>
      <c r="CQ13" s="78">
        <v>0</v>
      </c>
      <c r="CR13" s="78">
        <v>0</v>
      </c>
      <c r="CS13" s="78">
        <v>1</v>
      </c>
      <c r="CT13" s="76">
        <v>0</v>
      </c>
      <c r="CU13" s="1" t="s">
        <v>433</v>
      </c>
      <c r="CV13" s="78">
        <v>3</v>
      </c>
      <c r="CW13" s="78">
        <v>1</v>
      </c>
      <c r="CX13" s="78">
        <v>1</v>
      </c>
      <c r="CY13" s="78">
        <v>1</v>
      </c>
      <c r="CZ13" s="78">
        <v>0</v>
      </c>
      <c r="DA13" s="78">
        <v>1</v>
      </c>
      <c r="DB13" s="78">
        <v>1</v>
      </c>
      <c r="DC13" s="78">
        <v>0</v>
      </c>
      <c r="DD13" s="76">
        <v>1</v>
      </c>
      <c r="DE13" s="1" t="s">
        <v>434</v>
      </c>
      <c r="DF13" s="78">
        <v>4</v>
      </c>
      <c r="DG13" s="78">
        <v>1</v>
      </c>
      <c r="DH13" s="78">
        <v>1</v>
      </c>
      <c r="DI13" s="78">
        <v>1</v>
      </c>
      <c r="DJ13" s="78">
        <v>0</v>
      </c>
      <c r="DK13" s="78">
        <v>0</v>
      </c>
      <c r="DL13" s="78">
        <v>0</v>
      </c>
      <c r="DM13" s="78">
        <v>0</v>
      </c>
      <c r="DN13" s="76">
        <v>2</v>
      </c>
      <c r="DO13" s="1" t="s">
        <v>304</v>
      </c>
      <c r="DP13" s="78">
        <v>3</v>
      </c>
      <c r="DQ13" s="78">
        <v>0</v>
      </c>
      <c r="DR13" s="78">
        <v>1</v>
      </c>
      <c r="DS13" s="78">
        <v>1</v>
      </c>
      <c r="DT13" s="78">
        <v>1</v>
      </c>
      <c r="DU13" s="78">
        <v>1</v>
      </c>
      <c r="DV13" s="78">
        <v>0</v>
      </c>
      <c r="DW13" s="78">
        <v>0</v>
      </c>
      <c r="DX13" s="76">
        <v>1</v>
      </c>
      <c r="DY13" s="77">
        <v>0</v>
      </c>
      <c r="DZ13" s="43">
        <v>0</v>
      </c>
      <c r="EA13" s="43">
        <v>0</v>
      </c>
      <c r="EB13" s="45">
        <v>9</v>
      </c>
      <c r="EC13" s="43">
        <v>4</v>
      </c>
      <c r="ED13" s="44">
        <v>1</v>
      </c>
      <c r="EE13" s="71">
        <v>0</v>
      </c>
      <c r="EF13" s="43">
        <v>0</v>
      </c>
      <c r="EG13" s="43">
        <v>0</v>
      </c>
      <c r="EH13" s="43">
        <v>1</v>
      </c>
      <c r="EI13" s="43">
        <v>0</v>
      </c>
      <c r="EJ13" s="43">
        <v>2</v>
      </c>
      <c r="EK13" s="43">
        <v>0</v>
      </c>
      <c r="EL13" s="43">
        <v>3</v>
      </c>
      <c r="EM13" s="43">
        <v>0</v>
      </c>
      <c r="EN13" s="43"/>
      <c r="EO13" s="43"/>
      <c r="EP13" s="43"/>
      <c r="EQ13" s="43"/>
      <c r="ER13" s="44">
        <f t="shared" si="0"/>
        <v>6</v>
      </c>
      <c r="ES13" s="43">
        <v>0</v>
      </c>
      <c r="ET13" s="43">
        <v>0</v>
      </c>
      <c r="EU13" s="43">
        <v>0</v>
      </c>
      <c r="EV13" s="43">
        <v>0</v>
      </c>
      <c r="EW13" s="43">
        <v>0</v>
      </c>
      <c r="EX13" s="43">
        <v>2</v>
      </c>
      <c r="EY13" s="43">
        <v>0</v>
      </c>
      <c r="EZ13" s="43">
        <v>0</v>
      </c>
      <c r="FA13" s="43">
        <v>1</v>
      </c>
      <c r="FB13" s="43"/>
      <c r="FC13" s="43"/>
      <c r="FD13" s="43"/>
      <c r="FE13" s="43"/>
      <c r="FF13" s="43">
        <f t="shared" si="1"/>
        <v>3</v>
      </c>
      <c r="FG13" s="73">
        <f t="shared" si="2"/>
        <v>0</v>
      </c>
      <c r="FH13" s="73">
        <f t="shared" si="3"/>
        <v>0</v>
      </c>
      <c r="FI13" s="38"/>
    </row>
    <row r="14" spans="1:165" x14ac:dyDescent="0.25">
      <c r="A14" s="53">
        <v>40361</v>
      </c>
      <c r="B14" s="53" t="s">
        <v>133</v>
      </c>
      <c r="C14" s="53" t="s">
        <v>129</v>
      </c>
      <c r="D14" s="53" t="s">
        <v>303</v>
      </c>
      <c r="E14" s="54">
        <v>701</v>
      </c>
      <c r="F14" s="58">
        <v>1</v>
      </c>
      <c r="G14" s="59" t="s">
        <v>305</v>
      </c>
      <c r="H14" s="6">
        <v>0</v>
      </c>
      <c r="I14" s="6">
        <v>0</v>
      </c>
      <c r="J14" s="60">
        <f>4+2/3</f>
        <v>4.666666666666667</v>
      </c>
      <c r="K14" s="6">
        <v>5</v>
      </c>
      <c r="L14" s="6">
        <v>2</v>
      </c>
      <c r="M14" s="6">
        <v>2</v>
      </c>
      <c r="N14" s="6">
        <v>1</v>
      </c>
      <c r="O14" s="6">
        <v>3</v>
      </c>
      <c r="P14" s="6">
        <v>1</v>
      </c>
      <c r="Q14" s="6">
        <v>2</v>
      </c>
      <c r="R14" s="6">
        <v>22</v>
      </c>
      <c r="S14" s="6"/>
      <c r="T14" s="6"/>
      <c r="U14" s="6">
        <v>2</v>
      </c>
      <c r="V14" s="61">
        <v>0</v>
      </c>
      <c r="W14" s="62">
        <v>1</v>
      </c>
      <c r="X14" s="62">
        <v>0</v>
      </c>
      <c r="Y14" s="62">
        <v>0</v>
      </c>
      <c r="Z14" s="62">
        <v>0</v>
      </c>
      <c r="AA14" s="62">
        <v>0</v>
      </c>
      <c r="AB14" s="63">
        <f>4+1/3</f>
        <v>4.333333333333333</v>
      </c>
      <c r="AC14" s="62">
        <v>2</v>
      </c>
      <c r="AD14" s="62">
        <v>0</v>
      </c>
      <c r="AE14" s="62">
        <v>0</v>
      </c>
      <c r="AF14" s="62">
        <v>0</v>
      </c>
      <c r="AG14" s="62">
        <v>0</v>
      </c>
      <c r="AH14" s="62">
        <v>0</v>
      </c>
      <c r="AI14" s="62">
        <v>0</v>
      </c>
      <c r="AJ14" s="62">
        <v>17</v>
      </c>
      <c r="AK14" s="62"/>
      <c r="AL14" s="62"/>
      <c r="AM14" s="1" t="s">
        <v>429</v>
      </c>
      <c r="AN14" s="78">
        <v>5</v>
      </c>
      <c r="AO14" s="78">
        <v>0</v>
      </c>
      <c r="AP14" s="78">
        <v>0</v>
      </c>
      <c r="AQ14" s="78">
        <v>0</v>
      </c>
      <c r="AR14" s="78">
        <v>0</v>
      </c>
      <c r="AS14" s="78">
        <v>0</v>
      </c>
      <c r="AT14" s="78">
        <v>0</v>
      </c>
      <c r="AU14" s="78">
        <v>0</v>
      </c>
      <c r="AV14" s="76">
        <v>0</v>
      </c>
      <c r="AW14" s="1" t="s">
        <v>430</v>
      </c>
      <c r="AX14" s="78">
        <v>5</v>
      </c>
      <c r="AY14" s="78">
        <v>0</v>
      </c>
      <c r="AZ14" s="78">
        <v>1</v>
      </c>
      <c r="BA14" s="78">
        <v>0</v>
      </c>
      <c r="BB14" s="78">
        <v>0</v>
      </c>
      <c r="BC14" s="78">
        <v>0</v>
      </c>
      <c r="BD14" s="78">
        <v>0</v>
      </c>
      <c r="BE14" s="78">
        <v>0</v>
      </c>
      <c r="BF14" s="76">
        <v>1</v>
      </c>
      <c r="BG14" s="1" t="s">
        <v>431</v>
      </c>
      <c r="BH14" s="78">
        <v>4</v>
      </c>
      <c r="BI14" s="78">
        <v>1</v>
      </c>
      <c r="BJ14" s="78">
        <v>0</v>
      </c>
      <c r="BK14" s="78">
        <v>0</v>
      </c>
      <c r="BL14" s="78">
        <v>1</v>
      </c>
      <c r="BM14" s="78">
        <v>0</v>
      </c>
      <c r="BN14" s="78">
        <v>0</v>
      </c>
      <c r="BO14" s="78">
        <v>0</v>
      </c>
      <c r="BP14" s="76">
        <v>0</v>
      </c>
      <c r="BQ14" s="1" t="s">
        <v>302</v>
      </c>
      <c r="BR14" s="78">
        <v>4</v>
      </c>
      <c r="BS14" s="78">
        <v>1</v>
      </c>
      <c r="BT14" s="78">
        <v>1</v>
      </c>
      <c r="BU14" s="78">
        <v>1</v>
      </c>
      <c r="BV14" s="78">
        <v>0</v>
      </c>
      <c r="BW14" s="78">
        <v>0</v>
      </c>
      <c r="BX14" s="78">
        <v>0</v>
      </c>
      <c r="BY14" s="78">
        <v>0</v>
      </c>
      <c r="BZ14" s="76">
        <v>2</v>
      </c>
      <c r="CA14" s="1" t="s">
        <v>297</v>
      </c>
      <c r="CB14" s="78">
        <v>4</v>
      </c>
      <c r="CC14" s="78">
        <v>2</v>
      </c>
      <c r="CD14" s="78">
        <v>3</v>
      </c>
      <c r="CE14" s="78">
        <v>1</v>
      </c>
      <c r="CF14" s="78">
        <v>0</v>
      </c>
      <c r="CG14" s="78">
        <v>0</v>
      </c>
      <c r="CH14" s="78">
        <v>0</v>
      </c>
      <c r="CI14" s="78">
        <v>0</v>
      </c>
      <c r="CJ14" s="76">
        <v>5</v>
      </c>
      <c r="CK14" s="1" t="s">
        <v>296</v>
      </c>
      <c r="CL14" s="78">
        <v>2</v>
      </c>
      <c r="CM14" s="78">
        <v>0</v>
      </c>
      <c r="CN14" s="78">
        <v>0</v>
      </c>
      <c r="CO14" s="78">
        <v>1</v>
      </c>
      <c r="CP14" s="78">
        <v>0</v>
      </c>
      <c r="CQ14" s="78">
        <v>0</v>
      </c>
      <c r="CR14" s="78">
        <v>0</v>
      </c>
      <c r="CS14" s="78">
        <v>1</v>
      </c>
      <c r="CT14" s="76">
        <v>0</v>
      </c>
      <c r="CU14" s="1" t="s">
        <v>432</v>
      </c>
      <c r="CV14" s="78">
        <v>4</v>
      </c>
      <c r="CW14" s="78">
        <v>1</v>
      </c>
      <c r="CX14" s="78">
        <v>3</v>
      </c>
      <c r="CY14" s="78">
        <v>1</v>
      </c>
      <c r="CZ14" s="78">
        <v>0</v>
      </c>
      <c r="DA14" s="78">
        <v>0</v>
      </c>
      <c r="DB14" s="78">
        <v>0</v>
      </c>
      <c r="DC14" s="78">
        <v>0</v>
      </c>
      <c r="DD14" s="76">
        <v>4</v>
      </c>
      <c r="DE14" s="1" t="s">
        <v>434</v>
      </c>
      <c r="DF14" s="78">
        <v>3</v>
      </c>
      <c r="DG14" s="78">
        <v>0</v>
      </c>
      <c r="DH14" s="78">
        <v>1</v>
      </c>
      <c r="DI14" s="78">
        <v>0</v>
      </c>
      <c r="DJ14" s="78">
        <v>1</v>
      </c>
      <c r="DK14" s="78">
        <v>0</v>
      </c>
      <c r="DL14" s="78">
        <v>0</v>
      </c>
      <c r="DM14" s="78">
        <v>0</v>
      </c>
      <c r="DN14" s="76">
        <v>1</v>
      </c>
      <c r="DO14" s="1" t="s">
        <v>304</v>
      </c>
      <c r="DP14" s="78">
        <v>4</v>
      </c>
      <c r="DQ14" s="78">
        <v>0</v>
      </c>
      <c r="DR14" s="78">
        <v>0</v>
      </c>
      <c r="DS14" s="78">
        <v>0</v>
      </c>
      <c r="DT14" s="78">
        <v>0</v>
      </c>
      <c r="DU14" s="78">
        <v>1</v>
      </c>
      <c r="DV14" s="78">
        <v>0</v>
      </c>
      <c r="DW14" s="78">
        <v>0</v>
      </c>
      <c r="DX14" s="76">
        <v>0</v>
      </c>
      <c r="DY14" s="77">
        <v>1</v>
      </c>
      <c r="DZ14" s="43">
        <v>0</v>
      </c>
      <c r="EA14" s="43">
        <v>0</v>
      </c>
      <c r="EB14" s="45">
        <v>8</v>
      </c>
      <c r="EC14" s="43">
        <v>0</v>
      </c>
      <c r="ED14" s="44">
        <v>0</v>
      </c>
      <c r="EE14" s="71">
        <v>0</v>
      </c>
      <c r="EF14" s="43">
        <v>0</v>
      </c>
      <c r="EG14" s="43">
        <v>0</v>
      </c>
      <c r="EH14" s="43">
        <v>0</v>
      </c>
      <c r="EI14" s="43">
        <v>0</v>
      </c>
      <c r="EJ14" s="43">
        <v>0</v>
      </c>
      <c r="EK14" s="43">
        <v>2</v>
      </c>
      <c r="EL14" s="43">
        <v>3</v>
      </c>
      <c r="EM14" s="43">
        <v>0</v>
      </c>
      <c r="EN14" s="43"/>
      <c r="EO14" s="43"/>
      <c r="EP14" s="43"/>
      <c r="EQ14" s="43"/>
      <c r="ER14" s="44">
        <f t="shared" si="0"/>
        <v>5</v>
      </c>
      <c r="ES14" s="43">
        <v>0</v>
      </c>
      <c r="ET14" s="43">
        <v>0</v>
      </c>
      <c r="EU14" s="43">
        <v>1</v>
      </c>
      <c r="EV14" s="43">
        <v>1</v>
      </c>
      <c r="EW14" s="43">
        <v>0</v>
      </c>
      <c r="EX14" s="43">
        <v>0</v>
      </c>
      <c r="EY14" s="43">
        <v>0</v>
      </c>
      <c r="EZ14" s="43">
        <v>0</v>
      </c>
      <c r="FA14" s="43">
        <v>0</v>
      </c>
      <c r="FB14" s="43"/>
      <c r="FC14" s="43"/>
      <c r="FD14" s="43"/>
      <c r="FE14" s="43"/>
      <c r="FF14" s="43">
        <f t="shared" si="1"/>
        <v>2</v>
      </c>
      <c r="FG14" s="73">
        <f t="shared" si="2"/>
        <v>0</v>
      </c>
      <c r="FH14" s="73">
        <f t="shared" si="3"/>
        <v>0</v>
      </c>
      <c r="FI14" s="38"/>
    </row>
    <row r="15" spans="1:165" x14ac:dyDescent="0.25">
      <c r="A15" s="53">
        <v>40362</v>
      </c>
      <c r="B15" s="53" t="s">
        <v>133</v>
      </c>
      <c r="C15" s="53" t="s">
        <v>131</v>
      </c>
      <c r="D15" s="53" t="s">
        <v>303</v>
      </c>
      <c r="E15" s="54">
        <v>2554</v>
      </c>
      <c r="F15" s="58">
        <v>2</v>
      </c>
      <c r="G15" s="59" t="s">
        <v>428</v>
      </c>
      <c r="H15" s="6">
        <v>0</v>
      </c>
      <c r="I15" s="6">
        <v>1</v>
      </c>
      <c r="J15" s="60">
        <f>5+2/3</f>
        <v>5.666666666666667</v>
      </c>
      <c r="K15" s="6">
        <v>9</v>
      </c>
      <c r="L15" s="6">
        <v>5</v>
      </c>
      <c r="M15" s="6">
        <v>5</v>
      </c>
      <c r="N15" s="6">
        <v>0</v>
      </c>
      <c r="O15" s="6">
        <v>6</v>
      </c>
      <c r="P15" s="6">
        <v>0</v>
      </c>
      <c r="Q15" s="6">
        <v>0</v>
      </c>
      <c r="R15" s="6">
        <v>26</v>
      </c>
      <c r="S15" s="6"/>
      <c r="T15" s="6"/>
      <c r="U15" s="6">
        <v>1</v>
      </c>
      <c r="V15" s="61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3">
        <f>2+1/3</f>
        <v>2.3333333333333335</v>
      </c>
      <c r="AC15" s="62">
        <v>2</v>
      </c>
      <c r="AD15" s="62">
        <v>0</v>
      </c>
      <c r="AE15" s="62">
        <v>0</v>
      </c>
      <c r="AF15" s="62">
        <v>1</v>
      </c>
      <c r="AG15" s="62">
        <v>0</v>
      </c>
      <c r="AH15" s="62">
        <v>0</v>
      </c>
      <c r="AI15" s="62">
        <v>0</v>
      </c>
      <c r="AJ15" s="62">
        <v>9</v>
      </c>
      <c r="AK15" s="62"/>
      <c r="AL15" s="62"/>
      <c r="AM15" s="1" t="s">
        <v>430</v>
      </c>
      <c r="AN15" s="78">
        <v>4</v>
      </c>
      <c r="AO15" s="78">
        <v>0</v>
      </c>
      <c r="AP15" s="78">
        <v>0</v>
      </c>
      <c r="AQ15" s="78">
        <v>0</v>
      </c>
      <c r="AR15" s="78">
        <v>1</v>
      </c>
      <c r="AS15" s="78">
        <v>0</v>
      </c>
      <c r="AT15" s="78">
        <v>0</v>
      </c>
      <c r="AU15" s="78">
        <v>0</v>
      </c>
      <c r="AV15" s="76">
        <v>0</v>
      </c>
      <c r="AW15" s="1" t="s">
        <v>298</v>
      </c>
      <c r="AX15" s="78">
        <v>4</v>
      </c>
      <c r="AY15" s="78">
        <v>0</v>
      </c>
      <c r="AZ15" s="78">
        <v>0</v>
      </c>
      <c r="BA15" s="78">
        <v>0</v>
      </c>
      <c r="BB15" s="78">
        <v>0</v>
      </c>
      <c r="BC15" s="78">
        <v>4</v>
      </c>
      <c r="BD15" s="78">
        <v>0</v>
      </c>
      <c r="BE15" s="78">
        <v>0</v>
      </c>
      <c r="BF15" s="76">
        <v>0</v>
      </c>
      <c r="BG15" s="1" t="s">
        <v>431</v>
      </c>
      <c r="BH15" s="78">
        <v>3</v>
      </c>
      <c r="BI15" s="78">
        <v>0</v>
      </c>
      <c r="BJ15" s="78">
        <v>0</v>
      </c>
      <c r="BK15" s="78">
        <v>0</v>
      </c>
      <c r="BL15" s="78">
        <v>1</v>
      </c>
      <c r="BM15" s="78">
        <v>1</v>
      </c>
      <c r="BN15" s="78">
        <v>0</v>
      </c>
      <c r="BO15" s="78">
        <v>0</v>
      </c>
      <c r="BP15" s="76">
        <v>0</v>
      </c>
      <c r="BQ15" s="1" t="s">
        <v>302</v>
      </c>
      <c r="BR15" s="78">
        <v>4</v>
      </c>
      <c r="BS15" s="78">
        <v>1</v>
      </c>
      <c r="BT15" s="78">
        <v>0</v>
      </c>
      <c r="BU15" s="78">
        <v>0</v>
      </c>
      <c r="BV15" s="78">
        <v>0</v>
      </c>
      <c r="BW15" s="78">
        <v>3</v>
      </c>
      <c r="BX15" s="78">
        <v>0</v>
      </c>
      <c r="BY15" s="78">
        <v>0</v>
      </c>
      <c r="BZ15" s="76">
        <v>0</v>
      </c>
      <c r="CA15" s="1" t="s">
        <v>297</v>
      </c>
      <c r="CB15" s="78">
        <v>4</v>
      </c>
      <c r="CC15" s="78">
        <v>1</v>
      </c>
      <c r="CD15" s="78">
        <v>1</v>
      </c>
      <c r="CE15" s="78">
        <v>0</v>
      </c>
      <c r="CF15" s="78">
        <v>0</v>
      </c>
      <c r="CG15" s="78">
        <v>0</v>
      </c>
      <c r="CH15" s="78">
        <v>0</v>
      </c>
      <c r="CI15" s="78">
        <v>0</v>
      </c>
      <c r="CJ15" s="76">
        <v>1</v>
      </c>
      <c r="CK15" s="1" t="s">
        <v>296</v>
      </c>
      <c r="CL15" s="78">
        <v>4</v>
      </c>
      <c r="CM15" s="78">
        <v>0</v>
      </c>
      <c r="CN15" s="78">
        <v>1</v>
      </c>
      <c r="CO15" s="78">
        <v>2</v>
      </c>
      <c r="CP15" s="78">
        <v>0</v>
      </c>
      <c r="CQ15" s="78">
        <v>1</v>
      </c>
      <c r="CR15" s="78">
        <v>0</v>
      </c>
      <c r="CS15" s="78">
        <v>0</v>
      </c>
      <c r="CT15" s="76">
        <v>2</v>
      </c>
      <c r="CU15" s="1" t="s">
        <v>432</v>
      </c>
      <c r="CV15" s="78">
        <v>4</v>
      </c>
      <c r="CW15" s="78">
        <v>1</v>
      </c>
      <c r="CX15" s="78">
        <v>2</v>
      </c>
      <c r="CY15" s="78">
        <v>0</v>
      </c>
      <c r="CZ15" s="78">
        <v>0</v>
      </c>
      <c r="DA15" s="78">
        <v>0</v>
      </c>
      <c r="DB15" s="78">
        <v>0</v>
      </c>
      <c r="DC15" s="78">
        <v>0</v>
      </c>
      <c r="DD15" s="76">
        <v>2</v>
      </c>
      <c r="DE15" s="1" t="s">
        <v>434</v>
      </c>
      <c r="DF15" s="78">
        <v>4</v>
      </c>
      <c r="DG15" s="78">
        <v>0</v>
      </c>
      <c r="DH15" s="78">
        <v>0</v>
      </c>
      <c r="DI15" s="78">
        <v>0</v>
      </c>
      <c r="DJ15" s="78">
        <v>0</v>
      </c>
      <c r="DK15" s="78">
        <v>2</v>
      </c>
      <c r="DL15" s="78">
        <v>0</v>
      </c>
      <c r="DM15" s="78">
        <v>0</v>
      </c>
      <c r="DN15" s="76">
        <v>0</v>
      </c>
      <c r="DO15" s="1" t="s">
        <v>301</v>
      </c>
      <c r="DP15" s="78">
        <v>2</v>
      </c>
      <c r="DQ15" s="78">
        <v>0</v>
      </c>
      <c r="DR15" s="78">
        <v>0</v>
      </c>
      <c r="DS15" s="78">
        <v>0</v>
      </c>
      <c r="DT15" s="78">
        <v>2</v>
      </c>
      <c r="DU15" s="78">
        <v>1</v>
      </c>
      <c r="DV15" s="78">
        <v>0</v>
      </c>
      <c r="DW15" s="78">
        <v>0</v>
      </c>
      <c r="DX15" s="76">
        <v>0</v>
      </c>
      <c r="DY15" s="77">
        <v>9</v>
      </c>
      <c r="DZ15" s="43">
        <v>0</v>
      </c>
      <c r="EA15" s="43">
        <v>0</v>
      </c>
      <c r="EB15" s="45">
        <v>0</v>
      </c>
      <c r="EC15" s="43">
        <v>0</v>
      </c>
      <c r="ED15" s="44">
        <v>0</v>
      </c>
      <c r="EE15" s="71">
        <v>0</v>
      </c>
      <c r="EF15" s="43">
        <v>0</v>
      </c>
      <c r="EG15" s="43">
        <v>0</v>
      </c>
      <c r="EH15" s="43">
        <v>2</v>
      </c>
      <c r="EI15" s="43">
        <v>0</v>
      </c>
      <c r="EJ15" s="43">
        <v>0</v>
      </c>
      <c r="EK15" s="43">
        <v>0</v>
      </c>
      <c r="EL15" s="43">
        <v>0</v>
      </c>
      <c r="EM15" s="43">
        <v>1</v>
      </c>
      <c r="EN15" s="43"/>
      <c r="EO15" s="43"/>
      <c r="EP15" s="43"/>
      <c r="EQ15" s="43"/>
      <c r="ER15" s="44">
        <f t="shared" si="0"/>
        <v>3</v>
      </c>
      <c r="ES15" s="43">
        <v>0</v>
      </c>
      <c r="ET15" s="43">
        <v>1</v>
      </c>
      <c r="EU15" s="43">
        <v>4</v>
      </c>
      <c r="EV15" s="43">
        <v>0</v>
      </c>
      <c r="EW15" s="43">
        <v>0</v>
      </c>
      <c r="EX15" s="43">
        <v>0</v>
      </c>
      <c r="EY15" s="43">
        <v>0</v>
      </c>
      <c r="EZ15" s="43">
        <v>0</v>
      </c>
      <c r="FA15" s="43"/>
      <c r="FB15" s="43"/>
      <c r="FC15" s="43"/>
      <c r="FD15" s="43"/>
      <c r="FE15" s="43"/>
      <c r="FF15" s="43">
        <f t="shared" si="1"/>
        <v>5</v>
      </c>
      <c r="FG15" s="73">
        <f t="shared" si="2"/>
        <v>0</v>
      </c>
      <c r="FH15" s="73">
        <f t="shared" si="3"/>
        <v>0</v>
      </c>
      <c r="FI15" s="38"/>
    </row>
    <row r="16" spans="1:165" x14ac:dyDescent="0.25">
      <c r="A16" s="53">
        <v>40363</v>
      </c>
      <c r="B16" s="53" t="s">
        <v>19</v>
      </c>
      <c r="C16" s="53" t="s">
        <v>131</v>
      </c>
      <c r="D16" s="53" t="s">
        <v>300</v>
      </c>
      <c r="E16" s="54">
        <v>786</v>
      </c>
      <c r="F16" s="58">
        <v>3</v>
      </c>
      <c r="G16" s="59" t="s">
        <v>299</v>
      </c>
      <c r="H16" s="6">
        <v>0</v>
      </c>
      <c r="I16" s="6">
        <v>1</v>
      </c>
      <c r="J16" s="60">
        <f>3+2/3</f>
        <v>3.6666666666666665</v>
      </c>
      <c r="K16" s="6">
        <v>5</v>
      </c>
      <c r="L16" s="6">
        <v>3</v>
      </c>
      <c r="M16" s="6">
        <v>3</v>
      </c>
      <c r="N16" s="6">
        <v>2</v>
      </c>
      <c r="O16" s="6">
        <v>5</v>
      </c>
      <c r="P16" s="6">
        <v>0</v>
      </c>
      <c r="Q16" s="6">
        <v>1</v>
      </c>
      <c r="R16" s="6">
        <v>20</v>
      </c>
      <c r="S16" s="6"/>
      <c r="T16" s="6"/>
      <c r="U16" s="6">
        <v>1</v>
      </c>
      <c r="V16" s="61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3">
        <f>5+1/3</f>
        <v>5.333333333333333</v>
      </c>
      <c r="AC16" s="62">
        <v>1</v>
      </c>
      <c r="AD16" s="62">
        <v>0</v>
      </c>
      <c r="AE16" s="62">
        <v>0</v>
      </c>
      <c r="AF16" s="62">
        <v>1</v>
      </c>
      <c r="AG16" s="62">
        <v>7</v>
      </c>
      <c r="AH16" s="62">
        <v>0</v>
      </c>
      <c r="AI16" s="62">
        <v>0</v>
      </c>
      <c r="AJ16" s="62">
        <v>16</v>
      </c>
      <c r="AK16" s="62"/>
      <c r="AL16" s="62"/>
      <c r="AM16" s="1" t="s">
        <v>429</v>
      </c>
      <c r="AN16" s="78">
        <v>4</v>
      </c>
      <c r="AO16" s="78">
        <v>0</v>
      </c>
      <c r="AP16" s="78">
        <v>1</v>
      </c>
      <c r="AQ16" s="78">
        <v>0</v>
      </c>
      <c r="AR16" s="78">
        <v>0</v>
      </c>
      <c r="AS16" s="78">
        <v>3</v>
      </c>
      <c r="AT16" s="78">
        <v>0</v>
      </c>
      <c r="AU16" s="78">
        <v>0</v>
      </c>
      <c r="AV16" s="76">
        <v>1</v>
      </c>
      <c r="AW16" s="1" t="s">
        <v>298</v>
      </c>
      <c r="AX16" s="78">
        <v>3</v>
      </c>
      <c r="AY16" s="78">
        <v>0</v>
      </c>
      <c r="AZ16" s="78">
        <v>0</v>
      </c>
      <c r="BA16" s="78">
        <v>0</v>
      </c>
      <c r="BB16" s="78">
        <v>1</v>
      </c>
      <c r="BC16" s="78">
        <v>1</v>
      </c>
      <c r="BD16" s="78">
        <v>0</v>
      </c>
      <c r="BE16" s="78">
        <v>0</v>
      </c>
      <c r="BF16" s="76">
        <v>0</v>
      </c>
      <c r="BG16" s="1" t="s">
        <v>431</v>
      </c>
      <c r="BH16" s="78">
        <v>2</v>
      </c>
      <c r="BI16" s="78">
        <v>0</v>
      </c>
      <c r="BJ16" s="78">
        <v>0</v>
      </c>
      <c r="BK16" s="78">
        <v>0</v>
      </c>
      <c r="BL16" s="78">
        <v>2</v>
      </c>
      <c r="BM16" s="78">
        <v>0</v>
      </c>
      <c r="BN16" s="78">
        <v>0</v>
      </c>
      <c r="BO16" s="78">
        <v>0</v>
      </c>
      <c r="BP16" s="76">
        <v>0</v>
      </c>
      <c r="BQ16" s="1" t="s">
        <v>297</v>
      </c>
      <c r="BR16" s="78">
        <v>4</v>
      </c>
      <c r="BS16" s="78">
        <v>0</v>
      </c>
      <c r="BT16" s="78">
        <v>0</v>
      </c>
      <c r="BU16" s="78">
        <v>0</v>
      </c>
      <c r="BV16" s="78">
        <v>0</v>
      </c>
      <c r="BW16" s="78">
        <v>1</v>
      </c>
      <c r="BX16" s="78">
        <v>0</v>
      </c>
      <c r="BY16" s="78">
        <v>0</v>
      </c>
      <c r="BZ16" s="76">
        <v>0</v>
      </c>
      <c r="CA16" s="1" t="s">
        <v>432</v>
      </c>
      <c r="CB16" s="78">
        <v>4</v>
      </c>
      <c r="CC16" s="78">
        <v>0</v>
      </c>
      <c r="CD16" s="78">
        <v>0</v>
      </c>
      <c r="CE16" s="78">
        <v>0</v>
      </c>
      <c r="CF16" s="78">
        <v>0</v>
      </c>
      <c r="CG16" s="78">
        <v>1</v>
      </c>
      <c r="CH16" s="78">
        <v>0</v>
      </c>
      <c r="CI16" s="78">
        <v>0</v>
      </c>
      <c r="CJ16" s="76">
        <v>0</v>
      </c>
      <c r="CK16" s="1" t="s">
        <v>296</v>
      </c>
      <c r="CL16" s="78">
        <v>4</v>
      </c>
      <c r="CM16" s="78">
        <v>0</v>
      </c>
      <c r="CN16" s="78">
        <v>0</v>
      </c>
      <c r="CO16" s="78">
        <v>0</v>
      </c>
      <c r="CP16" s="78">
        <v>0</v>
      </c>
      <c r="CQ16" s="78">
        <v>1</v>
      </c>
      <c r="CR16" s="78">
        <v>0</v>
      </c>
      <c r="CS16" s="78">
        <v>0</v>
      </c>
      <c r="CT16" s="76">
        <v>0</v>
      </c>
      <c r="CU16" s="1" t="s">
        <v>433</v>
      </c>
      <c r="CV16" s="78">
        <v>2</v>
      </c>
      <c r="CW16" s="78">
        <v>0</v>
      </c>
      <c r="CX16" s="78">
        <v>1</v>
      </c>
      <c r="CY16" s="78">
        <v>0</v>
      </c>
      <c r="CZ16" s="78">
        <v>1</v>
      </c>
      <c r="DA16" s="78">
        <v>0</v>
      </c>
      <c r="DB16" s="78">
        <v>0</v>
      </c>
      <c r="DC16" s="78">
        <v>0</v>
      </c>
      <c r="DD16" s="76">
        <v>1</v>
      </c>
      <c r="DE16" s="1" t="s">
        <v>430</v>
      </c>
      <c r="DF16" s="78">
        <v>3</v>
      </c>
      <c r="DG16" s="78">
        <v>0</v>
      </c>
      <c r="DH16" s="78">
        <v>1</v>
      </c>
      <c r="DI16" s="78">
        <v>0</v>
      </c>
      <c r="DJ16" s="78">
        <v>0</v>
      </c>
      <c r="DK16" s="78">
        <v>0</v>
      </c>
      <c r="DL16" s="78">
        <v>0</v>
      </c>
      <c r="DM16" s="78">
        <v>0</v>
      </c>
      <c r="DN16" s="76">
        <v>1</v>
      </c>
      <c r="DO16" s="1" t="s">
        <v>295</v>
      </c>
      <c r="DP16" s="78">
        <v>3</v>
      </c>
      <c r="DQ16" s="78">
        <v>0</v>
      </c>
      <c r="DR16" s="78">
        <v>0</v>
      </c>
      <c r="DS16" s="78">
        <v>0</v>
      </c>
      <c r="DT16" s="78">
        <v>0</v>
      </c>
      <c r="DU16" s="78">
        <v>1</v>
      </c>
      <c r="DV16" s="78">
        <v>0</v>
      </c>
      <c r="DW16" s="78">
        <v>0</v>
      </c>
      <c r="DX16" s="76">
        <v>0</v>
      </c>
      <c r="DY16" s="77">
        <v>5</v>
      </c>
      <c r="DZ16" s="43">
        <v>0</v>
      </c>
      <c r="EA16" s="43">
        <v>1</v>
      </c>
      <c r="EB16" s="45">
        <v>4</v>
      </c>
      <c r="EC16" s="43">
        <v>0</v>
      </c>
      <c r="ED16" s="44">
        <v>1</v>
      </c>
      <c r="EE16" s="71">
        <v>0</v>
      </c>
      <c r="EF16" s="43">
        <v>0</v>
      </c>
      <c r="EG16" s="43">
        <v>0</v>
      </c>
      <c r="EH16" s="43">
        <v>0</v>
      </c>
      <c r="EI16" s="43">
        <v>0</v>
      </c>
      <c r="EJ16" s="43">
        <v>0</v>
      </c>
      <c r="EK16" s="43">
        <v>0</v>
      </c>
      <c r="EL16" s="43">
        <v>0</v>
      </c>
      <c r="EM16" s="43">
        <v>0</v>
      </c>
      <c r="EN16" s="43"/>
      <c r="EO16" s="43"/>
      <c r="EP16" s="43"/>
      <c r="EQ16" s="43"/>
      <c r="ER16" s="44">
        <f t="shared" si="0"/>
        <v>0</v>
      </c>
      <c r="ES16" s="43">
        <v>1</v>
      </c>
      <c r="ET16" s="43">
        <v>0</v>
      </c>
      <c r="EU16" s="43">
        <v>2</v>
      </c>
      <c r="EV16" s="43">
        <v>0</v>
      </c>
      <c r="EW16" s="43">
        <v>0</v>
      </c>
      <c r="EX16" s="43">
        <v>0</v>
      </c>
      <c r="EY16" s="43">
        <v>0</v>
      </c>
      <c r="EZ16" s="43">
        <v>0</v>
      </c>
      <c r="FA16" s="43">
        <v>0</v>
      </c>
      <c r="FB16" s="43"/>
      <c r="FC16" s="43"/>
      <c r="FD16" s="43"/>
      <c r="FE16" s="43"/>
      <c r="FF16" s="43">
        <f t="shared" si="1"/>
        <v>3</v>
      </c>
      <c r="FG16" s="73">
        <f t="shared" si="2"/>
        <v>0</v>
      </c>
      <c r="FH16" s="73">
        <f t="shared" si="3"/>
        <v>0</v>
      </c>
      <c r="FI16" s="38"/>
    </row>
    <row r="17" spans="1:165" x14ac:dyDescent="0.25">
      <c r="A17" s="91">
        <v>40364</v>
      </c>
      <c r="B17" s="91" t="s">
        <v>19</v>
      </c>
      <c r="C17" s="91" t="s">
        <v>131</v>
      </c>
      <c r="D17" s="91" t="s">
        <v>300</v>
      </c>
      <c r="E17" s="92">
        <v>994</v>
      </c>
      <c r="F17" s="93">
        <v>4</v>
      </c>
      <c r="G17" s="94" t="s">
        <v>307</v>
      </c>
      <c r="H17" s="95">
        <v>0</v>
      </c>
      <c r="I17" s="95">
        <v>0</v>
      </c>
      <c r="J17" s="96">
        <v>5</v>
      </c>
      <c r="K17" s="95">
        <v>5</v>
      </c>
      <c r="L17" s="95">
        <v>0</v>
      </c>
      <c r="M17" s="95">
        <v>0</v>
      </c>
      <c r="N17" s="95">
        <v>2</v>
      </c>
      <c r="O17" s="95">
        <v>3</v>
      </c>
      <c r="P17" s="95">
        <v>0</v>
      </c>
      <c r="Q17" s="95">
        <v>1</v>
      </c>
      <c r="R17" s="95">
        <v>21</v>
      </c>
      <c r="S17" s="95"/>
      <c r="T17" s="95"/>
      <c r="U17" s="95">
        <v>0</v>
      </c>
      <c r="V17" s="97">
        <v>0</v>
      </c>
      <c r="W17" s="98">
        <v>0</v>
      </c>
      <c r="X17" s="98">
        <v>1</v>
      </c>
      <c r="Y17" s="98">
        <v>0</v>
      </c>
      <c r="Z17" s="98">
        <v>0</v>
      </c>
      <c r="AA17" s="98">
        <v>0</v>
      </c>
      <c r="AB17" s="99">
        <v>5</v>
      </c>
      <c r="AC17" s="98">
        <v>5</v>
      </c>
      <c r="AD17" s="98">
        <v>1</v>
      </c>
      <c r="AE17" s="98">
        <v>0</v>
      </c>
      <c r="AF17" s="98">
        <v>1</v>
      </c>
      <c r="AG17" s="98">
        <v>3</v>
      </c>
      <c r="AH17" s="98">
        <v>0</v>
      </c>
      <c r="AI17" s="98">
        <v>0</v>
      </c>
      <c r="AJ17" s="98">
        <v>22</v>
      </c>
      <c r="AK17" s="98"/>
      <c r="AL17" s="98"/>
      <c r="AM17" s="100" t="s">
        <v>430</v>
      </c>
      <c r="AN17" s="101">
        <v>4</v>
      </c>
      <c r="AO17" s="101">
        <v>0</v>
      </c>
      <c r="AP17" s="101">
        <v>0</v>
      </c>
      <c r="AQ17" s="101">
        <v>0</v>
      </c>
      <c r="AR17" s="101">
        <v>1</v>
      </c>
      <c r="AS17" s="101">
        <v>2</v>
      </c>
      <c r="AT17" s="101">
        <v>0</v>
      </c>
      <c r="AU17" s="101">
        <v>0</v>
      </c>
      <c r="AV17" s="102">
        <v>0</v>
      </c>
      <c r="AW17" s="100" t="s">
        <v>298</v>
      </c>
      <c r="AX17" s="101">
        <v>5</v>
      </c>
      <c r="AY17" s="101">
        <v>0</v>
      </c>
      <c r="AZ17" s="101">
        <v>0</v>
      </c>
      <c r="BA17" s="101">
        <v>0</v>
      </c>
      <c r="BB17" s="101">
        <v>0</v>
      </c>
      <c r="BC17" s="101">
        <v>2</v>
      </c>
      <c r="BD17" s="101">
        <v>0</v>
      </c>
      <c r="BE17" s="101">
        <v>0</v>
      </c>
      <c r="BF17" s="102">
        <v>0</v>
      </c>
      <c r="BG17" s="100" t="s">
        <v>429</v>
      </c>
      <c r="BH17" s="101">
        <v>5</v>
      </c>
      <c r="BI17" s="101">
        <v>0</v>
      </c>
      <c r="BJ17" s="101">
        <v>2</v>
      </c>
      <c r="BK17" s="101">
        <v>0</v>
      </c>
      <c r="BL17" s="101">
        <v>0</v>
      </c>
      <c r="BM17" s="101">
        <v>0</v>
      </c>
      <c r="BN17" s="101">
        <v>0</v>
      </c>
      <c r="BO17" s="101">
        <v>0</v>
      </c>
      <c r="BP17" s="102">
        <v>2</v>
      </c>
      <c r="BQ17" s="100" t="s">
        <v>302</v>
      </c>
      <c r="BR17" s="101">
        <v>4</v>
      </c>
      <c r="BS17" s="101">
        <v>0</v>
      </c>
      <c r="BT17" s="101">
        <v>0</v>
      </c>
      <c r="BU17" s="101">
        <v>0</v>
      </c>
      <c r="BV17" s="101">
        <v>0</v>
      </c>
      <c r="BW17" s="101">
        <v>2</v>
      </c>
      <c r="BX17" s="101">
        <v>0</v>
      </c>
      <c r="BY17" s="101">
        <v>0</v>
      </c>
      <c r="BZ17" s="102">
        <v>0</v>
      </c>
      <c r="CA17" s="100" t="s">
        <v>433</v>
      </c>
      <c r="CB17" s="101">
        <v>3</v>
      </c>
      <c r="CC17" s="101">
        <v>0</v>
      </c>
      <c r="CD17" s="101">
        <v>0</v>
      </c>
      <c r="CE17" s="101">
        <v>0</v>
      </c>
      <c r="CF17" s="101">
        <v>1</v>
      </c>
      <c r="CG17" s="101">
        <v>0</v>
      </c>
      <c r="CH17" s="101">
        <v>0</v>
      </c>
      <c r="CI17" s="101">
        <v>0</v>
      </c>
      <c r="CJ17" s="102">
        <v>0</v>
      </c>
      <c r="CK17" s="100" t="s">
        <v>304</v>
      </c>
      <c r="CL17" s="101">
        <v>4</v>
      </c>
      <c r="CM17" s="101">
        <v>0</v>
      </c>
      <c r="CN17" s="101">
        <v>2</v>
      </c>
      <c r="CO17" s="101">
        <v>0</v>
      </c>
      <c r="CP17" s="101">
        <v>0</v>
      </c>
      <c r="CQ17" s="101">
        <v>1</v>
      </c>
      <c r="CR17" s="101">
        <v>0</v>
      </c>
      <c r="CS17" s="101">
        <v>0</v>
      </c>
      <c r="CT17" s="102">
        <v>2</v>
      </c>
      <c r="CU17" s="100" t="s">
        <v>295</v>
      </c>
      <c r="CV17" s="101">
        <v>2</v>
      </c>
      <c r="CW17" s="101">
        <v>0</v>
      </c>
      <c r="CX17" s="101">
        <v>0</v>
      </c>
      <c r="CY17" s="101">
        <v>0</v>
      </c>
      <c r="CZ17" s="101">
        <v>0</v>
      </c>
      <c r="DA17" s="101">
        <v>0</v>
      </c>
      <c r="DB17" s="101">
        <v>1</v>
      </c>
      <c r="DC17" s="101">
        <v>0</v>
      </c>
      <c r="DD17" s="102">
        <v>0</v>
      </c>
      <c r="DE17" s="100" t="s">
        <v>434</v>
      </c>
      <c r="DF17" s="101">
        <v>4</v>
      </c>
      <c r="DG17" s="101">
        <v>0</v>
      </c>
      <c r="DH17" s="101">
        <v>1</v>
      </c>
      <c r="DI17" s="101">
        <v>0</v>
      </c>
      <c r="DJ17" s="101">
        <v>0</v>
      </c>
      <c r="DK17" s="101">
        <v>1</v>
      </c>
      <c r="DL17" s="101">
        <v>0</v>
      </c>
      <c r="DM17" s="101">
        <v>0</v>
      </c>
      <c r="DN17" s="102">
        <v>1</v>
      </c>
      <c r="DO17" s="100" t="s">
        <v>301</v>
      </c>
      <c r="DP17" s="101">
        <v>4</v>
      </c>
      <c r="DQ17" s="101">
        <v>0</v>
      </c>
      <c r="DR17" s="101">
        <v>0</v>
      </c>
      <c r="DS17" s="101">
        <v>0</v>
      </c>
      <c r="DT17" s="101">
        <v>0</v>
      </c>
      <c r="DU17" s="101">
        <v>0</v>
      </c>
      <c r="DV17" s="101">
        <v>0</v>
      </c>
      <c r="DW17" s="101">
        <v>0</v>
      </c>
      <c r="DX17" s="102">
        <v>0</v>
      </c>
      <c r="DY17" s="103">
        <v>0</v>
      </c>
      <c r="DZ17" s="104">
        <v>0</v>
      </c>
      <c r="EA17" s="104">
        <v>0</v>
      </c>
      <c r="EB17" s="105">
        <v>10</v>
      </c>
      <c r="EC17" s="104">
        <v>0</v>
      </c>
      <c r="ED17" s="106">
        <v>0</v>
      </c>
      <c r="EE17" s="107">
        <v>0</v>
      </c>
      <c r="EF17" s="104">
        <v>0</v>
      </c>
      <c r="EG17" s="104">
        <v>0</v>
      </c>
      <c r="EH17" s="104">
        <v>0</v>
      </c>
      <c r="EI17" s="104">
        <v>0</v>
      </c>
      <c r="EJ17" s="104">
        <v>0</v>
      </c>
      <c r="EK17" s="104">
        <v>0</v>
      </c>
      <c r="EL17" s="104">
        <v>0</v>
      </c>
      <c r="EM17" s="104">
        <v>0</v>
      </c>
      <c r="EN17" s="104">
        <v>0</v>
      </c>
      <c r="EO17" s="104"/>
      <c r="EP17" s="104"/>
      <c r="EQ17" s="104"/>
      <c r="ER17" s="106">
        <f t="shared" si="0"/>
        <v>0</v>
      </c>
      <c r="ES17" s="104">
        <v>0</v>
      </c>
      <c r="ET17" s="104">
        <v>0</v>
      </c>
      <c r="EU17" s="104">
        <v>0</v>
      </c>
      <c r="EV17" s="104">
        <v>0</v>
      </c>
      <c r="EW17" s="104">
        <v>0</v>
      </c>
      <c r="EX17" s="104">
        <v>0</v>
      </c>
      <c r="EY17" s="104">
        <v>0</v>
      </c>
      <c r="EZ17" s="104">
        <v>0</v>
      </c>
      <c r="FA17" s="104">
        <v>0</v>
      </c>
      <c r="FB17" s="104">
        <v>1</v>
      </c>
      <c r="FC17" s="104"/>
      <c r="FD17" s="104"/>
      <c r="FE17" s="104"/>
      <c r="FF17" s="104">
        <f t="shared" si="1"/>
        <v>1</v>
      </c>
      <c r="FG17" s="108">
        <f t="shared" ref="FG17:FG22" si="4">((SUM(L17,AD17))-(FF17))</f>
        <v>0</v>
      </c>
      <c r="FH17" s="108">
        <f t="shared" ref="FH17:FH22" si="5">((SUM(AO17,AY17,BI17,BS17,CC17,CM17,CW17,DG17,DQ17))-(ER17))</f>
        <v>0</v>
      </c>
      <c r="FI17" s="109"/>
    </row>
    <row r="18" spans="1:165" x14ac:dyDescent="0.25">
      <c r="A18" s="91">
        <v>40365</v>
      </c>
      <c r="B18" s="91" t="s">
        <v>19</v>
      </c>
      <c r="C18" s="91" t="s">
        <v>129</v>
      </c>
      <c r="D18" s="91" t="s">
        <v>300</v>
      </c>
      <c r="E18" s="92">
        <v>1619</v>
      </c>
      <c r="F18" s="93">
        <v>5</v>
      </c>
      <c r="G18" s="94" t="s">
        <v>306</v>
      </c>
      <c r="H18" s="95">
        <v>0</v>
      </c>
      <c r="I18" s="95">
        <v>0</v>
      </c>
      <c r="J18" s="96">
        <v>3</v>
      </c>
      <c r="K18" s="95">
        <v>6</v>
      </c>
      <c r="L18" s="95">
        <v>2</v>
      </c>
      <c r="M18" s="95">
        <v>1</v>
      </c>
      <c r="N18" s="95">
        <v>2</v>
      </c>
      <c r="O18" s="95">
        <v>4</v>
      </c>
      <c r="P18" s="95">
        <v>0</v>
      </c>
      <c r="Q18" s="95">
        <v>0</v>
      </c>
      <c r="R18" s="95">
        <v>17</v>
      </c>
      <c r="S18" s="95"/>
      <c r="T18" s="95"/>
      <c r="U18" s="95">
        <v>0</v>
      </c>
      <c r="V18" s="97">
        <v>0</v>
      </c>
      <c r="W18" s="98">
        <v>1</v>
      </c>
      <c r="X18" s="98">
        <v>0</v>
      </c>
      <c r="Y18" s="98">
        <v>0</v>
      </c>
      <c r="Z18" s="98">
        <v>0</v>
      </c>
      <c r="AA18" s="98">
        <v>0</v>
      </c>
      <c r="AB18" s="99">
        <v>6</v>
      </c>
      <c r="AC18" s="98">
        <v>7</v>
      </c>
      <c r="AD18" s="98">
        <v>1</v>
      </c>
      <c r="AE18" s="98">
        <v>1</v>
      </c>
      <c r="AF18" s="98">
        <v>0</v>
      </c>
      <c r="AG18" s="98">
        <v>4</v>
      </c>
      <c r="AH18" s="98">
        <v>0</v>
      </c>
      <c r="AI18" s="98">
        <v>0</v>
      </c>
      <c r="AJ18" s="98">
        <v>26</v>
      </c>
      <c r="AK18" s="98"/>
      <c r="AL18" s="98"/>
      <c r="AM18" s="100" t="s">
        <v>429</v>
      </c>
      <c r="AN18" s="101">
        <v>3</v>
      </c>
      <c r="AO18" s="101">
        <v>2</v>
      </c>
      <c r="AP18" s="101">
        <v>0</v>
      </c>
      <c r="AQ18" s="101">
        <v>0</v>
      </c>
      <c r="AR18" s="101">
        <v>2</v>
      </c>
      <c r="AS18" s="101">
        <v>1</v>
      </c>
      <c r="AT18" s="101">
        <v>0</v>
      </c>
      <c r="AU18" s="101">
        <v>0</v>
      </c>
      <c r="AV18" s="102">
        <v>0</v>
      </c>
      <c r="AW18" s="100" t="s">
        <v>298</v>
      </c>
      <c r="AX18" s="101">
        <v>4</v>
      </c>
      <c r="AY18" s="101">
        <v>1</v>
      </c>
      <c r="AZ18" s="101">
        <v>1</v>
      </c>
      <c r="BA18" s="101">
        <v>0</v>
      </c>
      <c r="BB18" s="101">
        <v>1</v>
      </c>
      <c r="BC18" s="101">
        <v>1</v>
      </c>
      <c r="BD18" s="101">
        <v>0</v>
      </c>
      <c r="BE18" s="101">
        <v>0</v>
      </c>
      <c r="BF18" s="102">
        <v>1</v>
      </c>
      <c r="BG18" s="100" t="s">
        <v>431</v>
      </c>
      <c r="BH18" s="101">
        <v>3</v>
      </c>
      <c r="BI18" s="101">
        <v>0</v>
      </c>
      <c r="BJ18" s="101">
        <v>1</v>
      </c>
      <c r="BK18" s="101">
        <v>1</v>
      </c>
      <c r="BL18" s="101">
        <v>1</v>
      </c>
      <c r="BM18" s="101">
        <v>0</v>
      </c>
      <c r="BN18" s="101">
        <v>0</v>
      </c>
      <c r="BO18" s="101">
        <v>0</v>
      </c>
      <c r="BP18" s="102">
        <v>1</v>
      </c>
      <c r="BQ18" s="100" t="s">
        <v>297</v>
      </c>
      <c r="BR18" s="101">
        <v>5</v>
      </c>
      <c r="BS18" s="101">
        <v>0</v>
      </c>
      <c r="BT18" s="101">
        <v>1</v>
      </c>
      <c r="BU18" s="101">
        <v>1</v>
      </c>
      <c r="BV18" s="101">
        <v>0</v>
      </c>
      <c r="BW18" s="101">
        <v>2</v>
      </c>
      <c r="BX18" s="101">
        <v>0</v>
      </c>
      <c r="BY18" s="101">
        <v>0</v>
      </c>
      <c r="BZ18" s="102">
        <v>1</v>
      </c>
      <c r="CA18" s="100" t="s">
        <v>304</v>
      </c>
      <c r="CB18" s="101">
        <v>4</v>
      </c>
      <c r="CC18" s="101">
        <v>0</v>
      </c>
      <c r="CD18" s="101">
        <v>0</v>
      </c>
      <c r="CE18" s="101">
        <v>0</v>
      </c>
      <c r="CF18" s="101">
        <v>0</v>
      </c>
      <c r="CG18" s="101">
        <v>1</v>
      </c>
      <c r="CH18" s="101">
        <v>0</v>
      </c>
      <c r="CI18" s="101">
        <v>0</v>
      </c>
      <c r="CJ18" s="102">
        <v>0</v>
      </c>
      <c r="CK18" s="100" t="s">
        <v>296</v>
      </c>
      <c r="CL18" s="101">
        <v>4</v>
      </c>
      <c r="CM18" s="101">
        <v>0</v>
      </c>
      <c r="CN18" s="101">
        <v>1</v>
      </c>
      <c r="CO18" s="101">
        <v>1</v>
      </c>
      <c r="CP18" s="101">
        <v>0</v>
      </c>
      <c r="CQ18" s="101">
        <v>1</v>
      </c>
      <c r="CR18" s="101">
        <v>0</v>
      </c>
      <c r="CS18" s="101">
        <v>0</v>
      </c>
      <c r="CT18" s="102">
        <v>1</v>
      </c>
      <c r="CU18" s="100" t="s">
        <v>430</v>
      </c>
      <c r="CV18" s="101">
        <v>4</v>
      </c>
      <c r="CW18" s="101">
        <v>0</v>
      </c>
      <c r="CX18" s="101">
        <v>0</v>
      </c>
      <c r="CY18" s="101">
        <v>0</v>
      </c>
      <c r="CZ18" s="101">
        <v>0</v>
      </c>
      <c r="DA18" s="101">
        <v>1</v>
      </c>
      <c r="DB18" s="101">
        <v>0</v>
      </c>
      <c r="DC18" s="101">
        <v>0</v>
      </c>
      <c r="DD18" s="102">
        <v>0</v>
      </c>
      <c r="DE18" s="100" t="s">
        <v>434</v>
      </c>
      <c r="DF18" s="101">
        <v>4</v>
      </c>
      <c r="DG18" s="101">
        <v>0</v>
      </c>
      <c r="DH18" s="101">
        <v>1</v>
      </c>
      <c r="DI18" s="101">
        <v>0</v>
      </c>
      <c r="DJ18" s="101">
        <v>0</v>
      </c>
      <c r="DK18" s="101">
        <v>2</v>
      </c>
      <c r="DL18" s="101">
        <v>0</v>
      </c>
      <c r="DM18" s="101">
        <v>0</v>
      </c>
      <c r="DN18" s="102">
        <v>1</v>
      </c>
      <c r="DO18" s="100" t="s">
        <v>301</v>
      </c>
      <c r="DP18" s="101">
        <v>3</v>
      </c>
      <c r="DQ18" s="101">
        <v>1</v>
      </c>
      <c r="DR18" s="101">
        <v>1</v>
      </c>
      <c r="DS18" s="101">
        <v>0</v>
      </c>
      <c r="DT18" s="101">
        <v>1</v>
      </c>
      <c r="DU18" s="101">
        <v>0</v>
      </c>
      <c r="DV18" s="101">
        <v>0</v>
      </c>
      <c r="DW18" s="101">
        <v>0</v>
      </c>
      <c r="DX18" s="102">
        <v>1</v>
      </c>
      <c r="DY18" s="103">
        <v>0</v>
      </c>
      <c r="DZ18" s="104">
        <v>0</v>
      </c>
      <c r="EA18" s="104">
        <v>0</v>
      </c>
      <c r="EB18" s="105">
        <f>8+1/3</f>
        <v>8.3333333333333339</v>
      </c>
      <c r="EC18" s="104">
        <v>1</v>
      </c>
      <c r="ED18" s="106">
        <v>0</v>
      </c>
      <c r="EE18" s="107">
        <v>0</v>
      </c>
      <c r="EF18" s="104">
        <v>0</v>
      </c>
      <c r="EG18" s="104">
        <v>0</v>
      </c>
      <c r="EH18" s="104">
        <v>0</v>
      </c>
      <c r="EI18" s="104">
        <v>0</v>
      </c>
      <c r="EJ18" s="104">
        <v>0</v>
      </c>
      <c r="EK18" s="104">
        <v>0</v>
      </c>
      <c r="EL18" s="104">
        <v>1</v>
      </c>
      <c r="EM18" s="104">
        <v>3</v>
      </c>
      <c r="EN18" s="104"/>
      <c r="EO18" s="104"/>
      <c r="EP18" s="104"/>
      <c r="EQ18" s="104"/>
      <c r="ER18" s="106">
        <f t="shared" si="0"/>
        <v>4</v>
      </c>
      <c r="ES18" s="104">
        <v>1</v>
      </c>
      <c r="ET18" s="104">
        <v>1</v>
      </c>
      <c r="EU18" s="104">
        <v>0</v>
      </c>
      <c r="EV18" s="104">
        <v>0</v>
      </c>
      <c r="EW18" s="104">
        <v>1</v>
      </c>
      <c r="EX18" s="104">
        <v>0</v>
      </c>
      <c r="EY18" s="104">
        <v>0</v>
      </c>
      <c r="EZ18" s="104">
        <v>0</v>
      </c>
      <c r="FA18" s="104">
        <v>0</v>
      </c>
      <c r="FB18" s="104"/>
      <c r="FC18" s="104"/>
      <c r="FD18" s="104"/>
      <c r="FE18" s="104"/>
      <c r="FF18" s="104">
        <f t="shared" si="1"/>
        <v>3</v>
      </c>
      <c r="FG18" s="108">
        <f t="shared" si="4"/>
        <v>0</v>
      </c>
      <c r="FH18" s="108">
        <f t="shared" si="5"/>
        <v>0</v>
      </c>
      <c r="FI18" s="109"/>
    </row>
    <row r="19" spans="1:165" x14ac:dyDescent="0.25">
      <c r="A19" s="91">
        <v>40366</v>
      </c>
      <c r="B19" s="91" t="s">
        <v>19</v>
      </c>
      <c r="C19" s="91" t="s">
        <v>131</v>
      </c>
      <c r="D19" s="91" t="s">
        <v>435</v>
      </c>
      <c r="E19" s="92">
        <v>413</v>
      </c>
      <c r="F19" s="93">
        <v>1</v>
      </c>
      <c r="G19" s="94" t="s">
        <v>305</v>
      </c>
      <c r="H19" s="95">
        <v>0</v>
      </c>
      <c r="I19" s="95">
        <v>0</v>
      </c>
      <c r="J19" s="96">
        <v>4</v>
      </c>
      <c r="K19" s="95">
        <v>3</v>
      </c>
      <c r="L19" s="95">
        <v>0</v>
      </c>
      <c r="M19" s="95">
        <v>0</v>
      </c>
      <c r="N19" s="95">
        <v>0</v>
      </c>
      <c r="O19" s="95">
        <v>7</v>
      </c>
      <c r="P19" s="95">
        <v>0</v>
      </c>
      <c r="Q19" s="95">
        <v>2</v>
      </c>
      <c r="R19" s="95">
        <v>17</v>
      </c>
      <c r="S19" s="95"/>
      <c r="T19" s="95"/>
      <c r="U19" s="95">
        <v>0</v>
      </c>
      <c r="V19" s="97">
        <v>0</v>
      </c>
      <c r="W19" s="98">
        <v>0</v>
      </c>
      <c r="X19" s="98">
        <v>1</v>
      </c>
      <c r="Y19" s="98">
        <v>0</v>
      </c>
      <c r="Z19" s="98">
        <v>0</v>
      </c>
      <c r="AA19" s="98">
        <v>1</v>
      </c>
      <c r="AB19" s="99">
        <v>5</v>
      </c>
      <c r="AC19" s="98">
        <v>12</v>
      </c>
      <c r="AD19" s="98">
        <v>7</v>
      </c>
      <c r="AE19" s="98">
        <v>7</v>
      </c>
      <c r="AF19" s="98">
        <v>1</v>
      </c>
      <c r="AG19" s="98">
        <v>5</v>
      </c>
      <c r="AH19" s="98">
        <v>1</v>
      </c>
      <c r="AI19" s="98">
        <v>1</v>
      </c>
      <c r="AJ19" s="98">
        <v>32</v>
      </c>
      <c r="AK19" s="98"/>
      <c r="AL19" s="98"/>
      <c r="AM19" s="100" t="s">
        <v>429</v>
      </c>
      <c r="AN19" s="101">
        <v>4</v>
      </c>
      <c r="AO19" s="101">
        <v>0</v>
      </c>
      <c r="AP19" s="101">
        <v>0</v>
      </c>
      <c r="AQ19" s="101">
        <v>0</v>
      </c>
      <c r="AR19" s="101">
        <v>0</v>
      </c>
      <c r="AS19" s="101">
        <v>2</v>
      </c>
      <c r="AT19" s="101">
        <v>0</v>
      </c>
      <c r="AU19" s="101">
        <v>0</v>
      </c>
      <c r="AV19" s="102">
        <v>0</v>
      </c>
      <c r="AW19" s="100" t="s">
        <v>298</v>
      </c>
      <c r="AX19" s="101">
        <v>4</v>
      </c>
      <c r="AY19" s="101">
        <v>1</v>
      </c>
      <c r="AZ19" s="101">
        <v>1</v>
      </c>
      <c r="BA19" s="101">
        <v>0</v>
      </c>
      <c r="BB19" s="101">
        <v>0</v>
      </c>
      <c r="BC19" s="101">
        <v>0</v>
      </c>
      <c r="BD19" s="101">
        <v>0</v>
      </c>
      <c r="BE19" s="101">
        <v>0</v>
      </c>
      <c r="BF19" s="102">
        <v>1</v>
      </c>
      <c r="BG19" s="100" t="s">
        <v>431</v>
      </c>
      <c r="BH19" s="101">
        <v>4</v>
      </c>
      <c r="BI19" s="101">
        <v>1</v>
      </c>
      <c r="BJ19" s="101">
        <v>1</v>
      </c>
      <c r="BK19" s="101">
        <v>0</v>
      </c>
      <c r="BL19" s="101">
        <v>0</v>
      </c>
      <c r="BM19" s="101">
        <v>2</v>
      </c>
      <c r="BN19" s="101">
        <v>0</v>
      </c>
      <c r="BO19" s="101">
        <v>0</v>
      </c>
      <c r="BP19" s="102">
        <v>1</v>
      </c>
      <c r="BQ19" s="100" t="s">
        <v>297</v>
      </c>
      <c r="BR19" s="101">
        <v>3</v>
      </c>
      <c r="BS19" s="101">
        <v>0</v>
      </c>
      <c r="BT19" s="101">
        <v>0</v>
      </c>
      <c r="BU19" s="101">
        <v>1</v>
      </c>
      <c r="BV19" s="101">
        <v>0</v>
      </c>
      <c r="BW19" s="101">
        <v>0</v>
      </c>
      <c r="BX19" s="101">
        <v>0</v>
      </c>
      <c r="BY19" s="101">
        <v>1</v>
      </c>
      <c r="BZ19" s="102">
        <v>0</v>
      </c>
      <c r="CA19" s="100" t="s">
        <v>432</v>
      </c>
      <c r="CB19" s="101">
        <v>4</v>
      </c>
      <c r="CC19" s="101">
        <v>1</v>
      </c>
      <c r="CD19" s="101">
        <v>2</v>
      </c>
      <c r="CE19" s="101">
        <v>1</v>
      </c>
      <c r="CF19" s="101">
        <v>0</v>
      </c>
      <c r="CG19" s="101">
        <v>0</v>
      </c>
      <c r="CH19" s="101">
        <v>0</v>
      </c>
      <c r="CI19" s="101">
        <v>0</v>
      </c>
      <c r="CJ19" s="102">
        <v>4</v>
      </c>
      <c r="CK19" s="100" t="s">
        <v>296</v>
      </c>
      <c r="CL19" s="101">
        <v>2</v>
      </c>
      <c r="CM19" s="101">
        <v>1</v>
      </c>
      <c r="CN19" s="101">
        <v>0</v>
      </c>
      <c r="CO19" s="101">
        <v>0</v>
      </c>
      <c r="CP19" s="101">
        <v>0</v>
      </c>
      <c r="CQ19" s="101">
        <v>0</v>
      </c>
      <c r="CR19" s="101">
        <v>2</v>
      </c>
      <c r="CS19" s="101">
        <v>0</v>
      </c>
      <c r="CT19" s="102">
        <v>0</v>
      </c>
      <c r="CU19" s="100" t="s">
        <v>436</v>
      </c>
      <c r="CV19" s="101">
        <v>4</v>
      </c>
      <c r="CW19" s="101">
        <v>0</v>
      </c>
      <c r="CX19" s="101">
        <v>3</v>
      </c>
      <c r="CY19" s="101">
        <v>0</v>
      </c>
      <c r="CZ19" s="101">
        <v>0</v>
      </c>
      <c r="DA19" s="101">
        <v>0</v>
      </c>
      <c r="DB19" s="101">
        <v>0</v>
      </c>
      <c r="DC19" s="101">
        <v>0</v>
      </c>
      <c r="DD19" s="102">
        <v>3</v>
      </c>
      <c r="DE19" s="100" t="s">
        <v>434</v>
      </c>
      <c r="DF19" s="101">
        <v>3</v>
      </c>
      <c r="DG19" s="101">
        <v>0</v>
      </c>
      <c r="DH19" s="101">
        <v>0</v>
      </c>
      <c r="DI19" s="101">
        <v>1</v>
      </c>
      <c r="DJ19" s="101">
        <v>0</v>
      </c>
      <c r="DK19" s="101">
        <v>2</v>
      </c>
      <c r="DL19" s="101">
        <v>1</v>
      </c>
      <c r="DM19" s="101">
        <v>0</v>
      </c>
      <c r="DN19" s="102">
        <v>0</v>
      </c>
      <c r="DO19" s="100" t="s">
        <v>295</v>
      </c>
      <c r="DP19" s="101">
        <v>4</v>
      </c>
      <c r="DQ19" s="101">
        <v>0</v>
      </c>
      <c r="DR19" s="101">
        <v>1</v>
      </c>
      <c r="DS19" s="101">
        <v>0</v>
      </c>
      <c r="DT19" s="101">
        <v>0</v>
      </c>
      <c r="DU19" s="101">
        <v>0</v>
      </c>
      <c r="DV19" s="101">
        <v>0</v>
      </c>
      <c r="DW19" s="101">
        <v>0</v>
      </c>
      <c r="DX19" s="102">
        <v>2</v>
      </c>
      <c r="DY19" s="103">
        <v>1</v>
      </c>
      <c r="DZ19" s="104">
        <v>0</v>
      </c>
      <c r="EA19" s="104">
        <v>0</v>
      </c>
      <c r="EB19" s="105">
        <v>8</v>
      </c>
      <c r="EC19" s="104">
        <v>0</v>
      </c>
      <c r="ED19" s="106">
        <v>1</v>
      </c>
      <c r="EE19" s="107">
        <v>2</v>
      </c>
      <c r="EF19" s="104">
        <v>0</v>
      </c>
      <c r="EG19" s="104">
        <v>0</v>
      </c>
      <c r="EH19" s="104">
        <v>0</v>
      </c>
      <c r="EI19" s="104">
        <v>0</v>
      </c>
      <c r="EJ19" s="104">
        <v>0</v>
      </c>
      <c r="EK19" s="104">
        <v>2</v>
      </c>
      <c r="EL19" s="104">
        <v>0</v>
      </c>
      <c r="EM19" s="104">
        <v>0</v>
      </c>
      <c r="EN19" s="104"/>
      <c r="EO19" s="104"/>
      <c r="EP19" s="104"/>
      <c r="EQ19" s="104"/>
      <c r="ER19" s="106">
        <f t="shared" si="0"/>
        <v>4</v>
      </c>
      <c r="ES19" s="104">
        <v>0</v>
      </c>
      <c r="ET19" s="104">
        <v>0</v>
      </c>
      <c r="EU19" s="104">
        <v>0</v>
      </c>
      <c r="EV19" s="104">
        <v>0</v>
      </c>
      <c r="EW19" s="104">
        <v>3</v>
      </c>
      <c r="EX19" s="104">
        <v>0</v>
      </c>
      <c r="EY19" s="104">
        <v>0</v>
      </c>
      <c r="EZ19" s="104">
        <v>4</v>
      </c>
      <c r="FA19" s="104">
        <v>0</v>
      </c>
      <c r="FB19" s="104"/>
      <c r="FC19" s="104"/>
      <c r="FD19" s="104"/>
      <c r="FE19" s="104"/>
      <c r="FF19" s="104">
        <f t="shared" si="1"/>
        <v>7</v>
      </c>
      <c r="FG19" s="108">
        <f t="shared" si="4"/>
        <v>0</v>
      </c>
      <c r="FH19" s="108">
        <f t="shared" si="5"/>
        <v>0</v>
      </c>
      <c r="FI19" s="109"/>
    </row>
    <row r="20" spans="1:165" x14ac:dyDescent="0.25">
      <c r="A20" s="91">
        <v>40367</v>
      </c>
      <c r="B20" s="91" t="s">
        <v>19</v>
      </c>
      <c r="C20" s="91" t="s">
        <v>131</v>
      </c>
      <c r="D20" s="91" t="s">
        <v>435</v>
      </c>
      <c r="E20" s="92">
        <v>616</v>
      </c>
      <c r="F20" s="93">
        <v>2</v>
      </c>
      <c r="G20" s="94" t="s">
        <v>428</v>
      </c>
      <c r="H20" s="95">
        <v>0</v>
      </c>
      <c r="I20" s="95">
        <v>0</v>
      </c>
      <c r="J20" s="96">
        <f>5+1/3</f>
        <v>5.333333333333333</v>
      </c>
      <c r="K20" s="95">
        <v>5</v>
      </c>
      <c r="L20" s="95">
        <v>2</v>
      </c>
      <c r="M20" s="95">
        <v>2</v>
      </c>
      <c r="N20" s="95">
        <v>2</v>
      </c>
      <c r="O20" s="95">
        <v>3</v>
      </c>
      <c r="P20" s="95">
        <v>1</v>
      </c>
      <c r="Q20" s="95">
        <v>0</v>
      </c>
      <c r="R20" s="95">
        <v>21</v>
      </c>
      <c r="S20" s="95"/>
      <c r="T20" s="95"/>
      <c r="U20" s="95">
        <v>1</v>
      </c>
      <c r="V20" s="97">
        <v>0</v>
      </c>
      <c r="W20" s="98">
        <v>0</v>
      </c>
      <c r="X20" s="98">
        <v>1</v>
      </c>
      <c r="Y20" s="98">
        <v>0</v>
      </c>
      <c r="Z20" s="98">
        <v>0</v>
      </c>
      <c r="AA20" s="98">
        <v>1</v>
      </c>
      <c r="AB20" s="99">
        <f>4+2/3</f>
        <v>4.666666666666667</v>
      </c>
      <c r="AC20" s="98">
        <v>5</v>
      </c>
      <c r="AD20" s="98">
        <v>3</v>
      </c>
      <c r="AE20" s="98">
        <v>2</v>
      </c>
      <c r="AF20" s="98">
        <v>0</v>
      </c>
      <c r="AG20" s="98">
        <v>5</v>
      </c>
      <c r="AH20" s="98">
        <v>1</v>
      </c>
      <c r="AI20" s="98">
        <v>0</v>
      </c>
      <c r="AJ20" s="98">
        <v>20</v>
      </c>
      <c r="AK20" s="98"/>
      <c r="AL20" s="98"/>
      <c r="AM20" s="100" t="s">
        <v>430</v>
      </c>
      <c r="AN20" s="101">
        <v>5</v>
      </c>
      <c r="AO20" s="101">
        <v>1</v>
      </c>
      <c r="AP20" s="101">
        <v>2</v>
      </c>
      <c r="AQ20" s="101">
        <v>0</v>
      </c>
      <c r="AR20" s="101">
        <v>0</v>
      </c>
      <c r="AS20" s="101">
        <v>1</v>
      </c>
      <c r="AT20" s="101">
        <v>0</v>
      </c>
      <c r="AU20" s="101">
        <v>0</v>
      </c>
      <c r="AV20" s="102">
        <v>3</v>
      </c>
      <c r="AW20" s="100" t="s">
        <v>298</v>
      </c>
      <c r="AX20" s="101">
        <v>4</v>
      </c>
      <c r="AY20" s="101">
        <v>0</v>
      </c>
      <c r="AZ20" s="101">
        <v>2</v>
      </c>
      <c r="BA20" s="101">
        <v>0</v>
      </c>
      <c r="BB20" s="101">
        <v>1</v>
      </c>
      <c r="BC20" s="101">
        <v>1</v>
      </c>
      <c r="BD20" s="101">
        <v>0</v>
      </c>
      <c r="BE20" s="101">
        <v>0</v>
      </c>
      <c r="BF20" s="102">
        <v>3</v>
      </c>
      <c r="BG20" s="100" t="s">
        <v>429</v>
      </c>
      <c r="BH20" s="101">
        <v>4</v>
      </c>
      <c r="BI20" s="101">
        <v>0</v>
      </c>
      <c r="BJ20" s="101">
        <v>2</v>
      </c>
      <c r="BK20" s="101">
        <v>1</v>
      </c>
      <c r="BL20" s="101">
        <v>1</v>
      </c>
      <c r="BM20" s="101">
        <v>1</v>
      </c>
      <c r="BN20" s="101">
        <v>0</v>
      </c>
      <c r="BO20" s="101">
        <v>0</v>
      </c>
      <c r="BP20" s="102">
        <v>2</v>
      </c>
      <c r="BQ20" s="100" t="s">
        <v>302</v>
      </c>
      <c r="BR20" s="101">
        <v>5</v>
      </c>
      <c r="BS20" s="101">
        <v>0</v>
      </c>
      <c r="BT20" s="101">
        <v>0</v>
      </c>
      <c r="BU20" s="101">
        <v>0</v>
      </c>
      <c r="BV20" s="101">
        <v>0</v>
      </c>
      <c r="BW20" s="101">
        <v>2</v>
      </c>
      <c r="BX20" s="101">
        <v>0</v>
      </c>
      <c r="BY20" s="101">
        <v>0</v>
      </c>
      <c r="BZ20" s="102">
        <v>0</v>
      </c>
      <c r="CA20" s="100" t="s">
        <v>433</v>
      </c>
      <c r="CB20" s="101">
        <v>5</v>
      </c>
      <c r="CC20" s="101">
        <v>0</v>
      </c>
      <c r="CD20" s="101">
        <v>0</v>
      </c>
      <c r="CE20" s="101">
        <v>0</v>
      </c>
      <c r="CF20" s="101">
        <v>0</v>
      </c>
      <c r="CG20" s="101">
        <v>3</v>
      </c>
      <c r="CH20" s="101">
        <v>0</v>
      </c>
      <c r="CI20" s="101">
        <v>0</v>
      </c>
      <c r="CJ20" s="102">
        <v>0</v>
      </c>
      <c r="CK20" s="100" t="s">
        <v>296</v>
      </c>
      <c r="CL20" s="101">
        <v>5</v>
      </c>
      <c r="CM20" s="101">
        <v>0</v>
      </c>
      <c r="CN20" s="101">
        <v>1</v>
      </c>
      <c r="CO20" s="101">
        <v>0</v>
      </c>
      <c r="CP20" s="101">
        <v>0</v>
      </c>
      <c r="CQ20" s="101">
        <v>1</v>
      </c>
      <c r="CR20" s="101">
        <v>0</v>
      </c>
      <c r="CS20" s="101">
        <v>0</v>
      </c>
      <c r="CT20" s="102">
        <v>1</v>
      </c>
      <c r="CU20" s="100" t="s">
        <v>436</v>
      </c>
      <c r="CV20" s="101">
        <v>5</v>
      </c>
      <c r="CW20" s="101">
        <v>1</v>
      </c>
      <c r="CX20" s="101">
        <v>1</v>
      </c>
      <c r="CY20" s="101">
        <v>0</v>
      </c>
      <c r="CZ20" s="101">
        <v>0</v>
      </c>
      <c r="DA20" s="101">
        <v>0</v>
      </c>
      <c r="DB20" s="101">
        <v>0</v>
      </c>
      <c r="DC20" s="101">
        <v>0</v>
      </c>
      <c r="DD20" s="102">
        <v>1</v>
      </c>
      <c r="DE20" s="100" t="s">
        <v>434</v>
      </c>
      <c r="DF20" s="101">
        <v>4</v>
      </c>
      <c r="DG20" s="101">
        <v>1</v>
      </c>
      <c r="DH20" s="101">
        <v>1</v>
      </c>
      <c r="DI20" s="101">
        <v>2</v>
      </c>
      <c r="DJ20" s="101">
        <v>0</v>
      </c>
      <c r="DK20" s="101">
        <v>2</v>
      </c>
      <c r="DL20" s="101">
        <v>0</v>
      </c>
      <c r="DM20" s="101">
        <v>0</v>
      </c>
      <c r="DN20" s="102">
        <v>4</v>
      </c>
      <c r="DO20" s="100" t="s">
        <v>304</v>
      </c>
      <c r="DP20" s="101">
        <v>4</v>
      </c>
      <c r="DQ20" s="101">
        <v>0</v>
      </c>
      <c r="DR20" s="101">
        <v>0</v>
      </c>
      <c r="DS20" s="101">
        <v>0</v>
      </c>
      <c r="DT20" s="101">
        <v>0</v>
      </c>
      <c r="DU20" s="101">
        <v>2</v>
      </c>
      <c r="DV20" s="101">
        <v>0</v>
      </c>
      <c r="DW20" s="101">
        <v>0</v>
      </c>
      <c r="DX20" s="102">
        <v>0</v>
      </c>
      <c r="DY20" s="103">
        <v>4</v>
      </c>
      <c r="DZ20" s="104">
        <v>1</v>
      </c>
      <c r="EA20" s="104">
        <v>1</v>
      </c>
      <c r="EB20" s="105">
        <v>6</v>
      </c>
      <c r="EC20" s="104">
        <v>0</v>
      </c>
      <c r="ED20" s="106">
        <v>1</v>
      </c>
      <c r="EE20" s="107">
        <v>0</v>
      </c>
      <c r="EF20" s="104">
        <v>0</v>
      </c>
      <c r="EG20" s="104">
        <v>0</v>
      </c>
      <c r="EH20" s="104">
        <v>0</v>
      </c>
      <c r="EI20" s="104">
        <v>3</v>
      </c>
      <c r="EJ20" s="104">
        <v>0</v>
      </c>
      <c r="EK20" s="104">
        <v>0</v>
      </c>
      <c r="EL20" s="104">
        <v>0</v>
      </c>
      <c r="EM20" s="104">
        <v>0</v>
      </c>
      <c r="EN20" s="104">
        <v>0</v>
      </c>
      <c r="EO20" s="104"/>
      <c r="EP20" s="104"/>
      <c r="EQ20" s="104"/>
      <c r="ER20" s="106">
        <f t="shared" si="0"/>
        <v>3</v>
      </c>
      <c r="ES20" s="104">
        <v>0</v>
      </c>
      <c r="ET20" s="104">
        <v>0</v>
      </c>
      <c r="EU20" s="104">
        <v>0</v>
      </c>
      <c r="EV20" s="104">
        <v>0</v>
      </c>
      <c r="EW20" s="104">
        <v>0</v>
      </c>
      <c r="EX20" s="104">
        <v>2</v>
      </c>
      <c r="EY20" s="104">
        <v>1</v>
      </c>
      <c r="EZ20" s="104">
        <v>0</v>
      </c>
      <c r="FA20" s="104">
        <v>0</v>
      </c>
      <c r="FB20" s="104">
        <v>2</v>
      </c>
      <c r="FC20" s="104"/>
      <c r="FD20" s="104"/>
      <c r="FE20" s="104"/>
      <c r="FF20" s="104">
        <f t="shared" si="1"/>
        <v>5</v>
      </c>
      <c r="FG20" s="108">
        <f t="shared" si="4"/>
        <v>0</v>
      </c>
      <c r="FH20" s="108">
        <f t="shared" si="5"/>
        <v>0</v>
      </c>
      <c r="FI20" s="109"/>
    </row>
    <row r="21" spans="1:165" x14ac:dyDescent="0.25">
      <c r="A21" s="91">
        <v>40368</v>
      </c>
      <c r="B21" s="91" t="s">
        <v>19</v>
      </c>
      <c r="C21" s="91" t="s">
        <v>129</v>
      </c>
      <c r="D21" s="91" t="s">
        <v>435</v>
      </c>
      <c r="E21" s="92">
        <v>519</v>
      </c>
      <c r="F21" s="93">
        <v>3</v>
      </c>
      <c r="G21" s="94" t="s">
        <v>299</v>
      </c>
      <c r="H21" s="95">
        <v>1</v>
      </c>
      <c r="I21" s="95">
        <v>0</v>
      </c>
      <c r="J21" s="96">
        <v>7</v>
      </c>
      <c r="K21" s="95">
        <v>5</v>
      </c>
      <c r="L21" s="95">
        <v>2</v>
      </c>
      <c r="M21" s="95">
        <v>1</v>
      </c>
      <c r="N21" s="95">
        <v>2</v>
      </c>
      <c r="O21" s="95">
        <v>6</v>
      </c>
      <c r="P21" s="95">
        <v>0</v>
      </c>
      <c r="Q21" s="95">
        <v>0</v>
      </c>
      <c r="R21" s="95">
        <v>28</v>
      </c>
      <c r="S21" s="95"/>
      <c r="T21" s="95"/>
      <c r="U21" s="95">
        <v>0</v>
      </c>
      <c r="V21" s="97">
        <v>0</v>
      </c>
      <c r="W21" s="98">
        <v>0</v>
      </c>
      <c r="X21" s="98">
        <v>0</v>
      </c>
      <c r="Y21" s="98">
        <v>0</v>
      </c>
      <c r="Z21" s="98">
        <v>0</v>
      </c>
      <c r="AA21" s="98">
        <v>0</v>
      </c>
      <c r="AB21" s="99">
        <v>0</v>
      </c>
      <c r="AC21" s="98">
        <v>0</v>
      </c>
      <c r="AD21" s="98">
        <v>0</v>
      </c>
      <c r="AE21" s="98">
        <v>0</v>
      </c>
      <c r="AF21" s="98">
        <v>0</v>
      </c>
      <c r="AG21" s="98">
        <v>0</v>
      </c>
      <c r="AH21" s="98">
        <v>0</v>
      </c>
      <c r="AI21" s="98">
        <v>0</v>
      </c>
      <c r="AJ21" s="98">
        <v>0</v>
      </c>
      <c r="AK21" s="98"/>
      <c r="AL21" s="98"/>
      <c r="AM21" s="100" t="s">
        <v>430</v>
      </c>
      <c r="AN21" s="101">
        <v>3</v>
      </c>
      <c r="AO21" s="101">
        <v>0</v>
      </c>
      <c r="AP21" s="101">
        <v>0</v>
      </c>
      <c r="AQ21" s="101">
        <v>0</v>
      </c>
      <c r="AR21" s="101">
        <v>0</v>
      </c>
      <c r="AS21" s="101">
        <v>2</v>
      </c>
      <c r="AT21" s="101">
        <v>0</v>
      </c>
      <c r="AU21" s="101">
        <v>0</v>
      </c>
      <c r="AV21" s="102">
        <v>0</v>
      </c>
      <c r="AW21" s="100" t="s">
        <v>298</v>
      </c>
      <c r="AX21" s="101">
        <v>3</v>
      </c>
      <c r="AY21" s="101">
        <v>1</v>
      </c>
      <c r="AZ21" s="101">
        <v>1</v>
      </c>
      <c r="BA21" s="101">
        <v>1</v>
      </c>
      <c r="BB21" s="101">
        <v>0</v>
      </c>
      <c r="BC21" s="101">
        <v>0</v>
      </c>
      <c r="BD21" s="101">
        <v>0</v>
      </c>
      <c r="BE21" s="101">
        <v>0</v>
      </c>
      <c r="BF21" s="102">
        <v>4</v>
      </c>
      <c r="BG21" s="100" t="s">
        <v>431</v>
      </c>
      <c r="BH21" s="101">
        <v>3</v>
      </c>
      <c r="BI21" s="101">
        <v>0</v>
      </c>
      <c r="BJ21" s="101">
        <v>0</v>
      </c>
      <c r="BK21" s="101">
        <v>0</v>
      </c>
      <c r="BL21" s="101">
        <v>0</v>
      </c>
      <c r="BM21" s="101">
        <v>2</v>
      </c>
      <c r="BN21" s="101">
        <v>0</v>
      </c>
      <c r="BO21" s="101">
        <v>0</v>
      </c>
      <c r="BP21" s="102">
        <v>0</v>
      </c>
      <c r="BQ21" s="100" t="s">
        <v>302</v>
      </c>
      <c r="BR21" s="101">
        <v>3</v>
      </c>
      <c r="BS21" s="101">
        <v>2</v>
      </c>
      <c r="BT21" s="101">
        <v>2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2">
        <v>3</v>
      </c>
      <c r="CA21" s="100" t="s">
        <v>297</v>
      </c>
      <c r="CB21" s="101">
        <v>1</v>
      </c>
      <c r="CC21" s="101">
        <v>1</v>
      </c>
      <c r="CD21" s="101">
        <v>1</v>
      </c>
      <c r="CE21" s="101">
        <v>0</v>
      </c>
      <c r="CF21" s="101">
        <v>1</v>
      </c>
      <c r="CG21" s="101">
        <v>0</v>
      </c>
      <c r="CH21" s="101">
        <v>0</v>
      </c>
      <c r="CI21" s="101">
        <v>0</v>
      </c>
      <c r="CJ21" s="102">
        <v>1</v>
      </c>
      <c r="CK21" s="100" t="s">
        <v>432</v>
      </c>
      <c r="CL21" s="101">
        <v>2</v>
      </c>
      <c r="CM21" s="101">
        <v>0</v>
      </c>
      <c r="CN21" s="101">
        <v>1</v>
      </c>
      <c r="CO21" s="101">
        <v>1</v>
      </c>
      <c r="CP21" s="101">
        <v>0</v>
      </c>
      <c r="CQ21" s="101">
        <v>1</v>
      </c>
      <c r="CR21" s="101">
        <v>0</v>
      </c>
      <c r="CS21" s="101">
        <v>1</v>
      </c>
      <c r="CT21" s="102">
        <v>1</v>
      </c>
      <c r="CU21" s="100" t="s">
        <v>296</v>
      </c>
      <c r="CV21" s="101">
        <v>3</v>
      </c>
      <c r="CW21" s="101">
        <v>0</v>
      </c>
      <c r="CX21" s="101">
        <v>1</v>
      </c>
      <c r="CY21" s="101">
        <v>0</v>
      </c>
      <c r="CZ21" s="101">
        <v>0</v>
      </c>
      <c r="DA21" s="101">
        <v>2</v>
      </c>
      <c r="DB21" s="101">
        <v>0</v>
      </c>
      <c r="DC21" s="101">
        <v>0</v>
      </c>
      <c r="DD21" s="102">
        <v>2</v>
      </c>
      <c r="DE21" s="100" t="s">
        <v>434</v>
      </c>
      <c r="DF21" s="101">
        <v>2</v>
      </c>
      <c r="DG21" s="101">
        <v>0</v>
      </c>
      <c r="DH21" s="101">
        <v>0</v>
      </c>
      <c r="DI21" s="101">
        <v>0</v>
      </c>
      <c r="DJ21" s="101">
        <v>0</v>
      </c>
      <c r="DK21" s="101">
        <v>1</v>
      </c>
      <c r="DL21" s="101">
        <v>0</v>
      </c>
      <c r="DM21" s="101">
        <v>0</v>
      </c>
      <c r="DN21" s="102">
        <v>0</v>
      </c>
      <c r="DO21" s="100" t="s">
        <v>436</v>
      </c>
      <c r="DP21" s="101">
        <v>2</v>
      </c>
      <c r="DQ21" s="101">
        <v>0</v>
      </c>
      <c r="DR21" s="101">
        <v>1</v>
      </c>
      <c r="DS21" s="101">
        <v>2</v>
      </c>
      <c r="DT21" s="101">
        <v>0</v>
      </c>
      <c r="DU21" s="101">
        <v>0</v>
      </c>
      <c r="DV21" s="101">
        <v>0</v>
      </c>
      <c r="DW21" s="101">
        <v>0</v>
      </c>
      <c r="DX21" s="102">
        <v>1</v>
      </c>
      <c r="DY21" s="103">
        <v>6</v>
      </c>
      <c r="DZ21" s="104">
        <v>0</v>
      </c>
      <c r="EA21" s="104">
        <v>1</v>
      </c>
      <c r="EB21" s="105">
        <v>0</v>
      </c>
      <c r="EC21" s="104">
        <v>0</v>
      </c>
      <c r="ED21" s="106">
        <v>0</v>
      </c>
      <c r="EE21" s="107">
        <v>0</v>
      </c>
      <c r="EF21" s="104">
        <v>1</v>
      </c>
      <c r="EG21" s="104">
        <v>1</v>
      </c>
      <c r="EH21" s="104">
        <v>2</v>
      </c>
      <c r="EI21" s="104">
        <v>0</v>
      </c>
      <c r="EJ21" s="104">
        <v>0</v>
      </c>
      <c r="EK21" s="104"/>
      <c r="EL21" s="104"/>
      <c r="EM21" s="104"/>
      <c r="EN21" s="104"/>
      <c r="EO21" s="104"/>
      <c r="EP21" s="104"/>
      <c r="EQ21" s="104"/>
      <c r="ER21" s="106">
        <f t="shared" si="0"/>
        <v>4</v>
      </c>
      <c r="ES21" s="104">
        <v>1</v>
      </c>
      <c r="ET21" s="104">
        <v>0</v>
      </c>
      <c r="EU21" s="104">
        <v>0</v>
      </c>
      <c r="EV21" s="104">
        <v>0</v>
      </c>
      <c r="EW21" s="104">
        <v>0</v>
      </c>
      <c r="EX21" s="104">
        <v>0</v>
      </c>
      <c r="EY21" s="104">
        <v>1</v>
      </c>
      <c r="EZ21" s="104"/>
      <c r="FA21" s="104"/>
      <c r="FB21" s="104"/>
      <c r="FC21" s="104"/>
      <c r="FD21" s="104"/>
      <c r="FE21" s="104"/>
      <c r="FF21" s="104">
        <f t="shared" si="1"/>
        <v>2</v>
      </c>
      <c r="FG21" s="108">
        <f t="shared" si="4"/>
        <v>0</v>
      </c>
      <c r="FH21" s="108">
        <f t="shared" si="5"/>
        <v>0</v>
      </c>
      <c r="FI21" s="109" t="s">
        <v>351</v>
      </c>
    </row>
    <row r="22" spans="1:165" x14ac:dyDescent="0.25">
      <c r="A22" s="91">
        <v>40369</v>
      </c>
      <c r="B22" s="91" t="s">
        <v>133</v>
      </c>
      <c r="C22" s="91" t="s">
        <v>129</v>
      </c>
      <c r="D22" s="91" t="s">
        <v>453</v>
      </c>
      <c r="E22" s="92">
        <v>1621</v>
      </c>
      <c r="F22" s="93">
        <v>4</v>
      </c>
      <c r="G22" s="94" t="s">
        <v>307</v>
      </c>
      <c r="H22" s="95">
        <v>0</v>
      </c>
      <c r="I22" s="95">
        <v>0</v>
      </c>
      <c r="J22" s="96">
        <v>6</v>
      </c>
      <c r="K22" s="95">
        <v>3</v>
      </c>
      <c r="L22" s="95">
        <v>0</v>
      </c>
      <c r="M22" s="95">
        <v>0</v>
      </c>
      <c r="N22" s="95">
        <v>0</v>
      </c>
      <c r="O22" s="95">
        <v>3</v>
      </c>
      <c r="P22" s="95">
        <v>0</v>
      </c>
      <c r="Q22" s="95">
        <v>1</v>
      </c>
      <c r="R22" s="95">
        <v>21</v>
      </c>
      <c r="S22" s="95"/>
      <c r="T22" s="95"/>
      <c r="U22" s="95">
        <v>0</v>
      </c>
      <c r="V22" s="97">
        <v>0</v>
      </c>
      <c r="W22" s="98">
        <v>1</v>
      </c>
      <c r="X22" s="98">
        <v>0</v>
      </c>
      <c r="Y22" s="98">
        <v>0</v>
      </c>
      <c r="Z22" s="98">
        <v>0</v>
      </c>
      <c r="AA22" s="98">
        <v>1</v>
      </c>
      <c r="AB22" s="99">
        <v>5</v>
      </c>
      <c r="AC22" s="98">
        <v>7</v>
      </c>
      <c r="AD22" s="98">
        <v>3</v>
      </c>
      <c r="AE22" s="98">
        <v>3</v>
      </c>
      <c r="AF22" s="98">
        <v>3</v>
      </c>
      <c r="AG22" s="98">
        <v>4</v>
      </c>
      <c r="AH22" s="98">
        <v>1</v>
      </c>
      <c r="AI22" s="98">
        <v>0</v>
      </c>
      <c r="AJ22" s="98">
        <v>23</v>
      </c>
      <c r="AK22" s="98"/>
      <c r="AL22" s="98"/>
      <c r="AM22" s="100" t="s">
        <v>429</v>
      </c>
      <c r="AN22" s="101">
        <v>3</v>
      </c>
      <c r="AO22" s="101">
        <v>1</v>
      </c>
      <c r="AP22" s="101">
        <v>0</v>
      </c>
      <c r="AQ22" s="101">
        <v>0</v>
      </c>
      <c r="AR22" s="101">
        <v>2</v>
      </c>
      <c r="AS22" s="101">
        <v>0</v>
      </c>
      <c r="AT22" s="101">
        <v>0</v>
      </c>
      <c r="AU22" s="101">
        <v>0</v>
      </c>
      <c r="AV22" s="102">
        <v>0</v>
      </c>
      <c r="AW22" s="100" t="s">
        <v>298</v>
      </c>
      <c r="AX22" s="101">
        <v>4</v>
      </c>
      <c r="AY22" s="101">
        <v>1</v>
      </c>
      <c r="AZ22" s="101">
        <v>0</v>
      </c>
      <c r="BA22" s="101">
        <v>0</v>
      </c>
      <c r="BB22" s="101">
        <v>1</v>
      </c>
      <c r="BC22" s="101">
        <v>0</v>
      </c>
      <c r="BD22" s="101">
        <v>0</v>
      </c>
      <c r="BE22" s="101">
        <v>0</v>
      </c>
      <c r="BF22" s="102">
        <v>0</v>
      </c>
      <c r="BG22" s="100" t="s">
        <v>431</v>
      </c>
      <c r="BH22" s="101">
        <v>5</v>
      </c>
      <c r="BI22" s="101">
        <v>0</v>
      </c>
      <c r="BJ22" s="101">
        <v>1</v>
      </c>
      <c r="BK22" s="101">
        <v>2</v>
      </c>
      <c r="BL22" s="101">
        <v>0</v>
      </c>
      <c r="BM22" s="101">
        <v>0</v>
      </c>
      <c r="BN22" s="101">
        <v>0</v>
      </c>
      <c r="BO22" s="101">
        <v>0</v>
      </c>
      <c r="BP22" s="102">
        <v>3</v>
      </c>
      <c r="BQ22" s="100" t="s">
        <v>302</v>
      </c>
      <c r="BR22" s="101">
        <v>4</v>
      </c>
      <c r="BS22" s="101">
        <v>0</v>
      </c>
      <c r="BT22" s="101">
        <v>0</v>
      </c>
      <c r="BU22" s="101">
        <v>0</v>
      </c>
      <c r="BV22" s="101">
        <v>1</v>
      </c>
      <c r="BW22" s="101">
        <v>3</v>
      </c>
      <c r="BX22" s="101">
        <v>0</v>
      </c>
      <c r="BY22" s="101">
        <v>0</v>
      </c>
      <c r="BZ22" s="102">
        <v>0</v>
      </c>
      <c r="CA22" s="100" t="s">
        <v>297</v>
      </c>
      <c r="CB22" s="101">
        <v>5</v>
      </c>
      <c r="CC22" s="101">
        <v>2</v>
      </c>
      <c r="CD22" s="101">
        <v>2</v>
      </c>
      <c r="CE22" s="101">
        <v>0</v>
      </c>
      <c r="CF22" s="101">
        <v>0</v>
      </c>
      <c r="CG22" s="101">
        <v>1</v>
      </c>
      <c r="CH22" s="101">
        <v>0</v>
      </c>
      <c r="CI22" s="101">
        <v>0</v>
      </c>
      <c r="CJ22" s="102">
        <v>3</v>
      </c>
      <c r="CK22" s="100" t="s">
        <v>432</v>
      </c>
      <c r="CL22" s="101">
        <v>5</v>
      </c>
      <c r="CM22" s="101">
        <v>0</v>
      </c>
      <c r="CN22" s="101">
        <v>2</v>
      </c>
      <c r="CO22" s="101">
        <v>2</v>
      </c>
      <c r="CP22" s="101">
        <v>0</v>
      </c>
      <c r="CQ22" s="101">
        <v>1</v>
      </c>
      <c r="CR22" s="101">
        <v>0</v>
      </c>
      <c r="CS22" s="101">
        <v>0</v>
      </c>
      <c r="CT22" s="102">
        <v>2</v>
      </c>
      <c r="CU22" s="100" t="s">
        <v>296</v>
      </c>
      <c r="CV22" s="101">
        <v>4</v>
      </c>
      <c r="CW22" s="101">
        <v>0</v>
      </c>
      <c r="CX22" s="101">
        <v>0</v>
      </c>
      <c r="CY22" s="101">
        <v>0</v>
      </c>
      <c r="CZ22" s="101">
        <v>1</v>
      </c>
      <c r="DA22" s="101">
        <v>1</v>
      </c>
      <c r="DB22" s="101">
        <v>0</v>
      </c>
      <c r="DC22" s="101">
        <v>0</v>
      </c>
      <c r="DD22" s="102">
        <v>0</v>
      </c>
      <c r="DE22" s="100" t="s">
        <v>304</v>
      </c>
      <c r="DF22" s="101">
        <v>5</v>
      </c>
      <c r="DG22" s="101">
        <v>0</v>
      </c>
      <c r="DH22" s="101">
        <v>2</v>
      </c>
      <c r="DI22" s="101">
        <v>0</v>
      </c>
      <c r="DJ22" s="101">
        <v>0</v>
      </c>
      <c r="DK22" s="101">
        <v>2</v>
      </c>
      <c r="DL22" s="101">
        <v>0</v>
      </c>
      <c r="DM22" s="101">
        <v>0</v>
      </c>
      <c r="DN22" s="102">
        <v>2</v>
      </c>
      <c r="DO22" s="100" t="s">
        <v>295</v>
      </c>
      <c r="DP22" s="101">
        <v>3</v>
      </c>
      <c r="DQ22" s="101">
        <v>0</v>
      </c>
      <c r="DR22" s="101">
        <v>1</v>
      </c>
      <c r="DS22" s="101">
        <v>0</v>
      </c>
      <c r="DT22" s="101">
        <v>1</v>
      </c>
      <c r="DU22" s="101">
        <v>2</v>
      </c>
      <c r="DV22" s="101">
        <v>0</v>
      </c>
      <c r="DW22" s="101">
        <v>0</v>
      </c>
      <c r="DX22" s="102">
        <v>1</v>
      </c>
      <c r="DY22" s="103">
        <f>2+2/3</f>
        <v>2.6666666666666665</v>
      </c>
      <c r="DZ22" s="104">
        <v>1</v>
      </c>
      <c r="EA22" s="104">
        <v>0</v>
      </c>
      <c r="EB22" s="105">
        <f>8+1/3</f>
        <v>8.3333333333333339</v>
      </c>
      <c r="EC22" s="104">
        <v>1</v>
      </c>
      <c r="ED22" s="106">
        <v>1</v>
      </c>
      <c r="EE22" s="107">
        <v>0</v>
      </c>
      <c r="EF22" s="104">
        <v>0</v>
      </c>
      <c r="EG22" s="104">
        <v>0</v>
      </c>
      <c r="EH22" s="104">
        <v>1</v>
      </c>
      <c r="EI22" s="104">
        <v>0</v>
      </c>
      <c r="EJ22" s="104">
        <v>0</v>
      </c>
      <c r="EK22" s="104">
        <v>0</v>
      </c>
      <c r="EL22" s="104">
        <v>2</v>
      </c>
      <c r="EM22" s="104">
        <v>0</v>
      </c>
      <c r="EN22" s="104">
        <v>0</v>
      </c>
      <c r="EO22" s="104">
        <v>1</v>
      </c>
      <c r="EP22" s="104"/>
      <c r="EQ22" s="104"/>
      <c r="ER22" s="106">
        <f t="shared" si="0"/>
        <v>4</v>
      </c>
      <c r="ES22" s="104">
        <v>0</v>
      </c>
      <c r="ET22" s="104">
        <v>0</v>
      </c>
      <c r="EU22" s="104">
        <v>0</v>
      </c>
      <c r="EV22" s="104">
        <v>0</v>
      </c>
      <c r="EW22" s="104">
        <v>0</v>
      </c>
      <c r="EX22" s="104">
        <v>0</v>
      </c>
      <c r="EY22" s="104">
        <v>3</v>
      </c>
      <c r="EZ22" s="104">
        <v>0</v>
      </c>
      <c r="FA22" s="104">
        <v>0</v>
      </c>
      <c r="FB22" s="104">
        <v>0</v>
      </c>
      <c r="FC22" s="104">
        <v>0</v>
      </c>
      <c r="FD22" s="104"/>
      <c r="FE22" s="104"/>
      <c r="FF22" s="104">
        <f t="shared" si="1"/>
        <v>3</v>
      </c>
      <c r="FG22" s="108">
        <f t="shared" si="4"/>
        <v>0</v>
      </c>
      <c r="FH22" s="108">
        <f t="shared" si="5"/>
        <v>0</v>
      </c>
      <c r="FI22" s="109"/>
    </row>
    <row r="23" spans="1:165" x14ac:dyDescent="0.25">
      <c r="A23" s="53">
        <v>40370</v>
      </c>
      <c r="B23" s="53" t="s">
        <v>133</v>
      </c>
      <c r="C23" s="53" t="s">
        <v>131</v>
      </c>
      <c r="D23" s="53" t="s">
        <v>453</v>
      </c>
      <c r="E23" s="54">
        <v>1019</v>
      </c>
      <c r="F23" s="58">
        <v>5</v>
      </c>
      <c r="G23" s="59" t="s">
        <v>306</v>
      </c>
      <c r="H23" s="6">
        <v>0</v>
      </c>
      <c r="I23" s="6">
        <v>1</v>
      </c>
      <c r="J23" s="60">
        <f>4+2/3</f>
        <v>4.666666666666667</v>
      </c>
      <c r="K23" s="6">
        <v>5</v>
      </c>
      <c r="L23" s="6">
        <v>2</v>
      </c>
      <c r="M23" s="6">
        <v>1</v>
      </c>
      <c r="N23" s="6">
        <v>1</v>
      </c>
      <c r="O23" s="6">
        <v>3</v>
      </c>
      <c r="P23" s="6">
        <v>0</v>
      </c>
      <c r="Q23" s="6">
        <v>1</v>
      </c>
      <c r="R23" s="6">
        <v>19</v>
      </c>
      <c r="S23" s="6"/>
      <c r="T23" s="6"/>
      <c r="U23" s="6">
        <v>1</v>
      </c>
      <c r="V23" s="61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3">
        <f>3+1/3</f>
        <v>3.3333333333333335</v>
      </c>
      <c r="AC23" s="62">
        <v>1</v>
      </c>
      <c r="AD23" s="62">
        <v>0</v>
      </c>
      <c r="AE23" s="62">
        <v>0</v>
      </c>
      <c r="AF23" s="62">
        <v>1</v>
      </c>
      <c r="AG23" s="62">
        <v>2</v>
      </c>
      <c r="AH23" s="62">
        <v>0</v>
      </c>
      <c r="AI23" s="62">
        <v>0</v>
      </c>
      <c r="AJ23" s="62">
        <v>13</v>
      </c>
      <c r="AK23" s="62"/>
      <c r="AL23" s="62"/>
      <c r="AM23" s="1" t="s">
        <v>429</v>
      </c>
      <c r="AN23" s="78">
        <v>4</v>
      </c>
      <c r="AO23" s="78">
        <v>0</v>
      </c>
      <c r="AP23" s="78">
        <v>0</v>
      </c>
      <c r="AQ23" s="78">
        <v>0</v>
      </c>
      <c r="AR23" s="78">
        <v>0</v>
      </c>
      <c r="AS23" s="78">
        <v>0</v>
      </c>
      <c r="AT23" s="78">
        <v>0</v>
      </c>
      <c r="AU23" s="78">
        <v>0</v>
      </c>
      <c r="AV23" s="76">
        <v>0</v>
      </c>
      <c r="AW23" s="1" t="s">
        <v>436</v>
      </c>
      <c r="AX23" s="78">
        <v>4</v>
      </c>
      <c r="AY23" s="78">
        <v>0</v>
      </c>
      <c r="AZ23" s="78">
        <v>0</v>
      </c>
      <c r="BA23" s="78">
        <v>0</v>
      </c>
      <c r="BB23" s="78">
        <v>0</v>
      </c>
      <c r="BC23" s="78">
        <v>2</v>
      </c>
      <c r="BD23" s="78">
        <v>0</v>
      </c>
      <c r="BE23" s="78">
        <v>0</v>
      </c>
      <c r="BF23" s="76">
        <v>0</v>
      </c>
      <c r="BG23" s="1" t="s">
        <v>431</v>
      </c>
      <c r="BH23" s="78">
        <v>4</v>
      </c>
      <c r="BI23" s="78">
        <v>0</v>
      </c>
      <c r="BJ23" s="78">
        <v>0</v>
      </c>
      <c r="BK23" s="78">
        <v>0</v>
      </c>
      <c r="BL23" s="78">
        <v>0</v>
      </c>
      <c r="BM23" s="78">
        <v>2</v>
      </c>
      <c r="BN23" s="78">
        <v>0</v>
      </c>
      <c r="BO23" s="78">
        <v>0</v>
      </c>
      <c r="BP23" s="76">
        <v>0</v>
      </c>
      <c r="BQ23" s="1" t="s">
        <v>423</v>
      </c>
      <c r="BR23" s="78">
        <v>4</v>
      </c>
      <c r="BS23" s="78">
        <v>0</v>
      </c>
      <c r="BT23" s="78">
        <v>1</v>
      </c>
      <c r="BU23" s="78">
        <v>0</v>
      </c>
      <c r="BV23" s="78">
        <v>0</v>
      </c>
      <c r="BW23" s="78">
        <v>2</v>
      </c>
      <c r="BX23" s="78">
        <v>0</v>
      </c>
      <c r="BY23" s="78">
        <v>0</v>
      </c>
      <c r="BZ23" s="76">
        <v>2</v>
      </c>
      <c r="CA23" s="1" t="s">
        <v>297</v>
      </c>
      <c r="CB23" s="78">
        <v>4</v>
      </c>
      <c r="CC23" s="78">
        <v>0</v>
      </c>
      <c r="CD23" s="78">
        <v>2</v>
      </c>
      <c r="CE23" s="78">
        <v>0</v>
      </c>
      <c r="CF23" s="78">
        <v>0</v>
      </c>
      <c r="CG23" s="78">
        <v>0</v>
      </c>
      <c r="CH23" s="78">
        <v>0</v>
      </c>
      <c r="CI23" s="78">
        <v>0</v>
      </c>
      <c r="CJ23" s="76">
        <v>2</v>
      </c>
      <c r="CK23" s="1" t="s">
        <v>433</v>
      </c>
      <c r="CL23" s="78">
        <v>3</v>
      </c>
      <c r="CM23" s="78">
        <v>0</v>
      </c>
      <c r="CN23" s="78">
        <v>0</v>
      </c>
      <c r="CO23" s="78">
        <v>0</v>
      </c>
      <c r="CP23" s="78">
        <v>0</v>
      </c>
      <c r="CQ23" s="78">
        <v>1</v>
      </c>
      <c r="CR23" s="78">
        <v>0</v>
      </c>
      <c r="CS23" s="78">
        <v>0</v>
      </c>
      <c r="CT23" s="76">
        <v>0</v>
      </c>
      <c r="CU23" s="1" t="s">
        <v>304</v>
      </c>
      <c r="CV23" s="78">
        <v>2</v>
      </c>
      <c r="CW23" s="78">
        <v>0</v>
      </c>
      <c r="CX23" s="78">
        <v>0</v>
      </c>
      <c r="CY23" s="78">
        <v>0</v>
      </c>
      <c r="CZ23" s="78">
        <v>1</v>
      </c>
      <c r="DA23" s="78">
        <v>1</v>
      </c>
      <c r="DB23" s="78">
        <v>0</v>
      </c>
      <c r="DC23" s="78">
        <v>0</v>
      </c>
      <c r="DD23" s="76">
        <v>0</v>
      </c>
      <c r="DE23" s="1" t="s">
        <v>434</v>
      </c>
      <c r="DF23" s="78">
        <v>3</v>
      </c>
      <c r="DG23" s="78">
        <v>0</v>
      </c>
      <c r="DH23" s="78">
        <v>1</v>
      </c>
      <c r="DI23" s="78">
        <v>0</v>
      </c>
      <c r="DJ23" s="78">
        <v>0</v>
      </c>
      <c r="DK23" s="78">
        <v>0</v>
      </c>
      <c r="DL23" s="78">
        <v>0</v>
      </c>
      <c r="DM23" s="78">
        <v>0</v>
      </c>
      <c r="DN23" s="76">
        <v>1</v>
      </c>
      <c r="DO23" s="1" t="s">
        <v>295</v>
      </c>
      <c r="DP23" s="78">
        <v>3</v>
      </c>
      <c r="DQ23" s="78">
        <v>0</v>
      </c>
      <c r="DR23" s="78">
        <v>2</v>
      </c>
      <c r="DS23" s="78">
        <v>0</v>
      </c>
      <c r="DT23" s="78">
        <v>0</v>
      </c>
      <c r="DU23" s="78">
        <v>0</v>
      </c>
      <c r="DV23" s="78">
        <v>0</v>
      </c>
      <c r="DW23" s="78">
        <v>0</v>
      </c>
      <c r="DX23" s="76">
        <v>2</v>
      </c>
      <c r="DY23" s="77">
        <v>0</v>
      </c>
      <c r="DZ23" s="43">
        <v>0</v>
      </c>
      <c r="EA23" s="43">
        <v>0</v>
      </c>
      <c r="EB23" s="45">
        <v>9</v>
      </c>
      <c r="EC23" s="43">
        <v>1</v>
      </c>
      <c r="ED23" s="44">
        <v>1</v>
      </c>
      <c r="EE23" s="71">
        <v>0</v>
      </c>
      <c r="EF23" s="43">
        <v>0</v>
      </c>
      <c r="EG23" s="43">
        <v>0</v>
      </c>
      <c r="EH23" s="43">
        <v>0</v>
      </c>
      <c r="EI23" s="43">
        <v>0</v>
      </c>
      <c r="EJ23" s="43">
        <v>0</v>
      </c>
      <c r="EK23" s="43">
        <v>0</v>
      </c>
      <c r="EL23" s="43">
        <v>0</v>
      </c>
      <c r="EM23" s="43">
        <v>0</v>
      </c>
      <c r="EN23" s="43"/>
      <c r="EO23" s="43"/>
      <c r="EP23" s="43"/>
      <c r="EQ23" s="43"/>
      <c r="ER23" s="44">
        <f t="shared" si="0"/>
        <v>0</v>
      </c>
      <c r="ES23" s="43">
        <v>0</v>
      </c>
      <c r="ET23" s="43">
        <v>1</v>
      </c>
      <c r="EU23" s="43">
        <v>1</v>
      </c>
      <c r="EV23" s="43">
        <v>0</v>
      </c>
      <c r="EW23" s="43">
        <v>0</v>
      </c>
      <c r="EX23" s="43">
        <v>0</v>
      </c>
      <c r="EY23" s="43">
        <v>0</v>
      </c>
      <c r="EZ23" s="43">
        <v>0</v>
      </c>
      <c r="FA23" s="43"/>
      <c r="FB23" s="43"/>
      <c r="FC23" s="43"/>
      <c r="FD23" s="43"/>
      <c r="FE23" s="43"/>
      <c r="FF23" s="43">
        <f t="shared" si="1"/>
        <v>2</v>
      </c>
      <c r="FG23" s="73">
        <f t="shared" ref="FG23:FG29" si="6">((SUM(L23,AD23))-(FF23))</f>
        <v>0</v>
      </c>
      <c r="FH23" s="73">
        <f t="shared" ref="FH23:FH29" si="7">((SUM(AO23,AY23,BI23,BS23,CC23,CM23,CW23,DG23,DQ23))-(ER23))</f>
        <v>0</v>
      </c>
      <c r="FI23" s="38"/>
    </row>
    <row r="24" spans="1:165" x14ac:dyDescent="0.25">
      <c r="A24" s="53">
        <v>40371</v>
      </c>
      <c r="B24" s="53" t="s">
        <v>133</v>
      </c>
      <c r="C24" s="53" t="s">
        <v>131</v>
      </c>
      <c r="D24" s="53" t="s">
        <v>453</v>
      </c>
      <c r="E24" s="54">
        <v>948</v>
      </c>
      <c r="F24" s="58">
        <v>1</v>
      </c>
      <c r="G24" s="59" t="s">
        <v>305</v>
      </c>
      <c r="H24" s="6">
        <v>0</v>
      </c>
      <c r="I24" s="6">
        <v>0</v>
      </c>
      <c r="J24" s="60">
        <v>6</v>
      </c>
      <c r="K24" s="6">
        <v>6</v>
      </c>
      <c r="L24" s="6">
        <v>1</v>
      </c>
      <c r="M24" s="6">
        <v>1</v>
      </c>
      <c r="N24" s="6">
        <v>0</v>
      </c>
      <c r="O24" s="6">
        <v>8</v>
      </c>
      <c r="P24" s="6">
        <v>0</v>
      </c>
      <c r="Q24" s="6">
        <v>0</v>
      </c>
      <c r="R24" s="6">
        <v>24</v>
      </c>
      <c r="S24" s="6"/>
      <c r="T24" s="6"/>
      <c r="U24" s="6">
        <v>0</v>
      </c>
      <c r="V24" s="61">
        <v>0</v>
      </c>
      <c r="W24" s="62">
        <v>0</v>
      </c>
      <c r="X24" s="62">
        <v>1</v>
      </c>
      <c r="Y24" s="62">
        <v>1</v>
      </c>
      <c r="Z24" s="62">
        <v>0</v>
      </c>
      <c r="AA24" s="62">
        <v>1</v>
      </c>
      <c r="AB24" s="63">
        <f>4+2/3</f>
        <v>4.666666666666667</v>
      </c>
      <c r="AC24" s="62">
        <v>8</v>
      </c>
      <c r="AD24" s="62">
        <v>3</v>
      </c>
      <c r="AE24" s="62">
        <v>3</v>
      </c>
      <c r="AF24" s="62">
        <v>3</v>
      </c>
      <c r="AG24" s="62">
        <v>3</v>
      </c>
      <c r="AH24" s="62">
        <v>0</v>
      </c>
      <c r="AI24" s="62">
        <v>2</v>
      </c>
      <c r="AJ24" s="62">
        <v>27</v>
      </c>
      <c r="AK24" s="62"/>
      <c r="AL24" s="62"/>
      <c r="AM24" s="1" t="s">
        <v>429</v>
      </c>
      <c r="AN24" s="78">
        <v>5</v>
      </c>
      <c r="AO24" s="78">
        <v>1</v>
      </c>
      <c r="AP24" s="78">
        <v>1</v>
      </c>
      <c r="AQ24" s="78">
        <v>0</v>
      </c>
      <c r="AR24" s="78">
        <v>0</v>
      </c>
      <c r="AS24" s="78">
        <v>2</v>
      </c>
      <c r="AT24" s="78">
        <v>0</v>
      </c>
      <c r="AU24" s="78">
        <v>0</v>
      </c>
      <c r="AV24" s="76">
        <v>2</v>
      </c>
      <c r="AW24" s="1" t="s">
        <v>298</v>
      </c>
      <c r="AX24" s="78">
        <v>5</v>
      </c>
      <c r="AY24" s="78">
        <v>0</v>
      </c>
      <c r="AZ24" s="78">
        <v>1</v>
      </c>
      <c r="BA24" s="78">
        <v>0</v>
      </c>
      <c r="BB24" s="78">
        <v>0</v>
      </c>
      <c r="BC24" s="78">
        <v>2</v>
      </c>
      <c r="BD24" s="78">
        <v>0</v>
      </c>
      <c r="BE24" s="78">
        <v>0</v>
      </c>
      <c r="BF24" s="76">
        <v>1</v>
      </c>
      <c r="BG24" s="1" t="s">
        <v>431</v>
      </c>
      <c r="BH24" s="78">
        <v>3</v>
      </c>
      <c r="BI24" s="78">
        <v>0</v>
      </c>
      <c r="BJ24" s="78">
        <v>2</v>
      </c>
      <c r="BK24" s="78">
        <v>0</v>
      </c>
      <c r="BL24" s="78">
        <v>1</v>
      </c>
      <c r="BM24" s="78">
        <v>0</v>
      </c>
      <c r="BN24" s="78">
        <v>0</v>
      </c>
      <c r="BO24" s="78">
        <v>0</v>
      </c>
      <c r="BP24" s="76">
        <v>2</v>
      </c>
      <c r="BQ24" s="1" t="s">
        <v>297</v>
      </c>
      <c r="BR24" s="78">
        <v>4</v>
      </c>
      <c r="BS24" s="78">
        <v>1</v>
      </c>
      <c r="BT24" s="78">
        <v>1</v>
      </c>
      <c r="BU24" s="78">
        <v>1</v>
      </c>
      <c r="BV24" s="78">
        <v>0</v>
      </c>
      <c r="BW24" s="78">
        <v>2</v>
      </c>
      <c r="BX24" s="78">
        <v>0</v>
      </c>
      <c r="BY24" s="78">
        <v>1</v>
      </c>
      <c r="BZ24" s="76">
        <v>2</v>
      </c>
      <c r="CA24" s="1" t="s">
        <v>433</v>
      </c>
      <c r="CB24" s="78">
        <v>5</v>
      </c>
      <c r="CC24" s="78">
        <v>0</v>
      </c>
      <c r="CD24" s="78">
        <v>0</v>
      </c>
      <c r="CE24" s="78">
        <v>0</v>
      </c>
      <c r="CF24" s="78">
        <v>0</v>
      </c>
      <c r="CG24" s="78">
        <v>0</v>
      </c>
      <c r="CH24" s="78">
        <v>0</v>
      </c>
      <c r="CI24" s="78">
        <v>0</v>
      </c>
      <c r="CJ24" s="76">
        <v>0</v>
      </c>
      <c r="CK24" s="1" t="s">
        <v>296</v>
      </c>
      <c r="CL24" s="78">
        <v>4</v>
      </c>
      <c r="CM24" s="78">
        <v>1</v>
      </c>
      <c r="CN24" s="78">
        <v>2</v>
      </c>
      <c r="CO24" s="78">
        <v>1</v>
      </c>
      <c r="CP24" s="78">
        <v>0</v>
      </c>
      <c r="CQ24" s="78">
        <v>1</v>
      </c>
      <c r="CR24" s="78">
        <v>0</v>
      </c>
      <c r="CS24" s="78">
        <v>0</v>
      </c>
      <c r="CT24" s="76">
        <v>5</v>
      </c>
      <c r="CU24" s="1" t="s">
        <v>436</v>
      </c>
      <c r="CV24" s="78">
        <v>4</v>
      </c>
      <c r="CW24" s="78">
        <v>0</v>
      </c>
      <c r="CX24" s="78">
        <v>1</v>
      </c>
      <c r="CY24" s="78">
        <v>0</v>
      </c>
      <c r="CZ24" s="78">
        <v>0</v>
      </c>
      <c r="DA24" s="78">
        <v>1</v>
      </c>
      <c r="DB24" s="78">
        <v>0</v>
      </c>
      <c r="DC24" s="78">
        <v>0</v>
      </c>
      <c r="DD24" s="76">
        <v>1</v>
      </c>
      <c r="DE24" s="1" t="s">
        <v>434</v>
      </c>
      <c r="DF24" s="78">
        <v>4</v>
      </c>
      <c r="DG24" s="78">
        <v>0</v>
      </c>
      <c r="DH24" s="78">
        <v>0</v>
      </c>
      <c r="DI24" s="78">
        <v>0</v>
      </c>
      <c r="DJ24" s="78">
        <v>0</v>
      </c>
      <c r="DK24" s="78">
        <v>1</v>
      </c>
      <c r="DL24" s="78">
        <v>0</v>
      </c>
      <c r="DM24" s="78">
        <v>0</v>
      </c>
      <c r="DN24" s="76">
        <v>0</v>
      </c>
      <c r="DO24" s="1" t="s">
        <v>295</v>
      </c>
      <c r="DP24" s="78">
        <v>4</v>
      </c>
      <c r="DQ24" s="78">
        <v>0</v>
      </c>
      <c r="DR24" s="78">
        <v>0</v>
      </c>
      <c r="DS24" s="78">
        <v>0</v>
      </c>
      <c r="DT24" s="78">
        <v>0</v>
      </c>
      <c r="DU24" s="78">
        <v>0</v>
      </c>
      <c r="DV24" s="78">
        <v>0</v>
      </c>
      <c r="DW24" s="78">
        <v>0</v>
      </c>
      <c r="DX24" s="76">
        <v>0</v>
      </c>
      <c r="DY24" s="77">
        <v>5</v>
      </c>
      <c r="DZ24" s="43">
        <v>0</v>
      </c>
      <c r="EA24" s="43">
        <v>0</v>
      </c>
      <c r="EB24" s="45">
        <v>6</v>
      </c>
      <c r="EC24" s="43">
        <v>1</v>
      </c>
      <c r="ED24" s="44">
        <v>0</v>
      </c>
      <c r="EE24" s="71">
        <v>1</v>
      </c>
      <c r="EF24" s="43">
        <v>1</v>
      </c>
      <c r="EG24" s="43">
        <v>0</v>
      </c>
      <c r="EH24" s="43">
        <v>1</v>
      </c>
      <c r="EI24" s="43">
        <v>0</v>
      </c>
      <c r="EJ24" s="43">
        <v>0</v>
      </c>
      <c r="EK24" s="43">
        <v>0</v>
      </c>
      <c r="EL24" s="43">
        <v>0</v>
      </c>
      <c r="EM24" s="43">
        <v>0</v>
      </c>
      <c r="EN24" s="43">
        <v>0</v>
      </c>
      <c r="EO24" s="43">
        <v>0</v>
      </c>
      <c r="EP24" s="43"/>
      <c r="EQ24" s="43"/>
      <c r="ER24" s="44">
        <f t="shared" si="0"/>
        <v>3</v>
      </c>
      <c r="ES24" s="43">
        <v>0</v>
      </c>
      <c r="ET24" s="43">
        <v>0</v>
      </c>
      <c r="EU24" s="43">
        <v>0</v>
      </c>
      <c r="EV24" s="43">
        <v>0</v>
      </c>
      <c r="EW24" s="43">
        <v>1</v>
      </c>
      <c r="EX24" s="43">
        <v>0</v>
      </c>
      <c r="EY24" s="43">
        <v>0</v>
      </c>
      <c r="EZ24" s="43">
        <v>1</v>
      </c>
      <c r="FA24" s="43">
        <v>1</v>
      </c>
      <c r="FB24" s="43">
        <v>0</v>
      </c>
      <c r="FC24" s="43">
        <v>1</v>
      </c>
      <c r="FD24" s="43"/>
      <c r="FE24" s="43"/>
      <c r="FF24" s="43">
        <f t="shared" si="1"/>
        <v>4</v>
      </c>
      <c r="FG24" s="73">
        <f t="shared" si="6"/>
        <v>0</v>
      </c>
      <c r="FH24" s="73">
        <f t="shared" si="7"/>
        <v>0</v>
      </c>
      <c r="FI24" s="38"/>
    </row>
    <row r="25" spans="1:165" x14ac:dyDescent="0.25">
      <c r="A25" s="53">
        <v>40373</v>
      </c>
      <c r="B25" s="53" t="s">
        <v>19</v>
      </c>
      <c r="C25" s="53" t="s">
        <v>129</v>
      </c>
      <c r="D25" s="53" t="s">
        <v>309</v>
      </c>
      <c r="E25" s="54">
        <v>511</v>
      </c>
      <c r="F25" s="58">
        <v>2</v>
      </c>
      <c r="G25" s="59" t="s">
        <v>428</v>
      </c>
      <c r="H25" s="6">
        <v>1</v>
      </c>
      <c r="I25" s="6">
        <v>0</v>
      </c>
      <c r="J25" s="60">
        <v>6</v>
      </c>
      <c r="K25" s="6">
        <v>2</v>
      </c>
      <c r="L25" s="6">
        <v>1</v>
      </c>
      <c r="M25" s="6">
        <v>1</v>
      </c>
      <c r="N25" s="6">
        <v>0</v>
      </c>
      <c r="O25" s="6">
        <v>5</v>
      </c>
      <c r="P25" s="6">
        <v>0</v>
      </c>
      <c r="Q25" s="6">
        <v>0</v>
      </c>
      <c r="R25" s="6">
        <v>20</v>
      </c>
      <c r="S25" s="6"/>
      <c r="T25" s="6"/>
      <c r="U25" s="6">
        <v>0</v>
      </c>
      <c r="V25" s="61">
        <v>0</v>
      </c>
      <c r="W25" s="62">
        <v>0</v>
      </c>
      <c r="X25" s="62">
        <v>0</v>
      </c>
      <c r="Y25" s="62">
        <v>0</v>
      </c>
      <c r="Z25" s="62">
        <v>1</v>
      </c>
      <c r="AA25" s="62">
        <v>0</v>
      </c>
      <c r="AB25" s="63">
        <v>3</v>
      </c>
      <c r="AC25" s="62">
        <v>3</v>
      </c>
      <c r="AD25" s="62">
        <v>0</v>
      </c>
      <c r="AE25" s="62">
        <v>0</v>
      </c>
      <c r="AF25" s="62">
        <v>1</v>
      </c>
      <c r="AG25" s="62">
        <v>3</v>
      </c>
      <c r="AH25" s="62">
        <v>0</v>
      </c>
      <c r="AI25" s="62">
        <v>0</v>
      </c>
      <c r="AJ25" s="62">
        <v>11</v>
      </c>
      <c r="AK25" s="62"/>
      <c r="AL25" s="62"/>
      <c r="AM25" s="1" t="s">
        <v>429</v>
      </c>
      <c r="AN25" s="78">
        <v>4</v>
      </c>
      <c r="AO25" s="78">
        <v>0</v>
      </c>
      <c r="AP25" s="78">
        <v>0</v>
      </c>
      <c r="AQ25" s="78">
        <v>0</v>
      </c>
      <c r="AR25" s="78">
        <v>0</v>
      </c>
      <c r="AS25" s="78">
        <v>2</v>
      </c>
      <c r="AT25" s="78">
        <v>0</v>
      </c>
      <c r="AU25" s="78">
        <v>0</v>
      </c>
      <c r="AV25" s="76">
        <v>0</v>
      </c>
      <c r="AW25" s="1" t="s">
        <v>298</v>
      </c>
      <c r="AX25" s="78">
        <v>4</v>
      </c>
      <c r="AY25" s="78">
        <v>1</v>
      </c>
      <c r="AZ25" s="78">
        <v>2</v>
      </c>
      <c r="BA25" s="78">
        <v>0</v>
      </c>
      <c r="BB25" s="78">
        <v>0</v>
      </c>
      <c r="BC25" s="78">
        <v>0</v>
      </c>
      <c r="BD25" s="78">
        <v>0</v>
      </c>
      <c r="BE25" s="78">
        <v>0</v>
      </c>
      <c r="BF25" s="76">
        <v>3</v>
      </c>
      <c r="BG25" s="1" t="s">
        <v>431</v>
      </c>
      <c r="BH25" s="78">
        <v>4</v>
      </c>
      <c r="BI25" s="78">
        <v>2</v>
      </c>
      <c r="BJ25" s="78">
        <v>2</v>
      </c>
      <c r="BK25" s="78">
        <v>2</v>
      </c>
      <c r="BL25" s="78">
        <v>0</v>
      </c>
      <c r="BM25" s="78">
        <v>0</v>
      </c>
      <c r="BN25" s="78">
        <v>0</v>
      </c>
      <c r="BO25" s="78">
        <v>0</v>
      </c>
      <c r="BP25" s="76">
        <v>5</v>
      </c>
      <c r="BQ25" s="1" t="s">
        <v>297</v>
      </c>
      <c r="BR25" s="78">
        <v>4</v>
      </c>
      <c r="BS25" s="78">
        <v>1</v>
      </c>
      <c r="BT25" s="78">
        <v>1</v>
      </c>
      <c r="BU25" s="78">
        <v>0</v>
      </c>
      <c r="BV25" s="78">
        <v>0</v>
      </c>
      <c r="BW25" s="78">
        <v>1</v>
      </c>
      <c r="BX25" s="78">
        <v>0</v>
      </c>
      <c r="BY25" s="78">
        <v>0</v>
      </c>
      <c r="BZ25" s="76">
        <v>1</v>
      </c>
      <c r="CA25" s="1" t="s">
        <v>432</v>
      </c>
      <c r="CB25" s="78">
        <v>3</v>
      </c>
      <c r="CC25" s="78">
        <v>1</v>
      </c>
      <c r="CD25" s="78">
        <v>0</v>
      </c>
      <c r="CE25" s="78">
        <v>0</v>
      </c>
      <c r="CF25" s="78">
        <v>0</v>
      </c>
      <c r="CG25" s="78">
        <v>0</v>
      </c>
      <c r="CH25" s="78">
        <v>1</v>
      </c>
      <c r="CI25" s="78">
        <v>0</v>
      </c>
      <c r="CJ25" s="76">
        <v>0</v>
      </c>
      <c r="CK25" s="1" t="s">
        <v>296</v>
      </c>
      <c r="CL25" s="78">
        <v>4</v>
      </c>
      <c r="CM25" s="78">
        <v>0</v>
      </c>
      <c r="CN25" s="78">
        <v>2</v>
      </c>
      <c r="CO25" s="78">
        <v>1</v>
      </c>
      <c r="CP25" s="78">
        <v>0</v>
      </c>
      <c r="CQ25" s="78">
        <v>0</v>
      </c>
      <c r="CR25" s="78">
        <v>0</v>
      </c>
      <c r="CS25" s="78">
        <v>0</v>
      </c>
      <c r="CT25" s="76">
        <v>2</v>
      </c>
      <c r="CU25" s="1" t="s">
        <v>436</v>
      </c>
      <c r="CV25" s="78">
        <v>4</v>
      </c>
      <c r="CW25" s="78">
        <v>0</v>
      </c>
      <c r="CX25" s="78">
        <v>0</v>
      </c>
      <c r="CY25" s="78">
        <v>0</v>
      </c>
      <c r="CZ25" s="78">
        <v>0</v>
      </c>
      <c r="DA25" s="78">
        <v>1</v>
      </c>
      <c r="DB25" s="78">
        <v>0</v>
      </c>
      <c r="DC25" s="78">
        <v>0</v>
      </c>
      <c r="DD25" s="76">
        <v>0</v>
      </c>
      <c r="DE25" s="1" t="s">
        <v>434</v>
      </c>
      <c r="DF25" s="78">
        <v>2</v>
      </c>
      <c r="DG25" s="78">
        <v>0</v>
      </c>
      <c r="DH25" s="78">
        <v>0</v>
      </c>
      <c r="DI25" s="78">
        <v>0</v>
      </c>
      <c r="DJ25" s="78">
        <v>1</v>
      </c>
      <c r="DK25" s="78">
        <v>0</v>
      </c>
      <c r="DL25" s="78">
        <v>0</v>
      </c>
      <c r="DM25" s="78">
        <v>0</v>
      </c>
      <c r="DN25" s="76">
        <v>0</v>
      </c>
      <c r="DO25" s="1" t="s">
        <v>304</v>
      </c>
      <c r="DP25" s="78">
        <v>3</v>
      </c>
      <c r="DQ25" s="78">
        <v>0</v>
      </c>
      <c r="DR25" s="78">
        <v>1</v>
      </c>
      <c r="DS25" s="78">
        <v>0</v>
      </c>
      <c r="DT25" s="78">
        <v>0</v>
      </c>
      <c r="DU25" s="78">
        <v>0</v>
      </c>
      <c r="DV25" s="78">
        <v>0</v>
      </c>
      <c r="DW25" s="78">
        <v>0</v>
      </c>
      <c r="DX25" s="76">
        <v>1</v>
      </c>
      <c r="DY25" s="77">
        <v>1</v>
      </c>
      <c r="DZ25" s="43">
        <v>0</v>
      </c>
      <c r="EA25" s="43">
        <v>0</v>
      </c>
      <c r="EB25" s="45">
        <v>7</v>
      </c>
      <c r="EC25" s="43">
        <v>2</v>
      </c>
      <c r="ED25" s="44">
        <v>1</v>
      </c>
      <c r="EE25" s="71">
        <v>0</v>
      </c>
      <c r="EF25" s="43">
        <v>1</v>
      </c>
      <c r="EG25" s="43">
        <v>0</v>
      </c>
      <c r="EH25" s="43">
        <v>0</v>
      </c>
      <c r="EI25" s="43">
        <v>0</v>
      </c>
      <c r="EJ25" s="43">
        <v>2</v>
      </c>
      <c r="EK25" s="43">
        <v>0</v>
      </c>
      <c r="EL25" s="43">
        <v>2</v>
      </c>
      <c r="EM25" s="43"/>
      <c r="EN25" s="43"/>
      <c r="EO25" s="43"/>
      <c r="EP25" s="43"/>
      <c r="EQ25" s="43"/>
      <c r="ER25" s="44">
        <f t="shared" si="0"/>
        <v>5</v>
      </c>
      <c r="ES25" s="43">
        <v>0</v>
      </c>
      <c r="ET25" s="43">
        <v>1</v>
      </c>
      <c r="EU25" s="43">
        <v>0</v>
      </c>
      <c r="EV25" s="43">
        <v>0</v>
      </c>
      <c r="EW25" s="43">
        <v>0</v>
      </c>
      <c r="EX25" s="43">
        <v>0</v>
      </c>
      <c r="EY25" s="43">
        <v>0</v>
      </c>
      <c r="EZ25" s="43">
        <v>0</v>
      </c>
      <c r="FA25" s="43">
        <v>0</v>
      </c>
      <c r="FB25" s="43"/>
      <c r="FC25" s="43"/>
      <c r="FD25" s="43"/>
      <c r="FE25" s="43"/>
      <c r="FF25" s="43">
        <f t="shared" si="1"/>
        <v>1</v>
      </c>
      <c r="FG25" s="73">
        <f t="shared" si="6"/>
        <v>0</v>
      </c>
      <c r="FH25" s="73">
        <f t="shared" si="7"/>
        <v>0</v>
      </c>
      <c r="FI25" s="38"/>
    </row>
    <row r="26" spans="1:165" x14ac:dyDescent="0.25">
      <c r="A26" s="53">
        <v>40374</v>
      </c>
      <c r="B26" s="53" t="s">
        <v>19</v>
      </c>
      <c r="C26" s="53" t="s">
        <v>131</v>
      </c>
      <c r="D26" s="53" t="s">
        <v>309</v>
      </c>
      <c r="E26" s="54">
        <v>675</v>
      </c>
      <c r="F26" s="58">
        <v>3</v>
      </c>
      <c r="G26" s="59" t="s">
        <v>299</v>
      </c>
      <c r="H26" s="6">
        <v>0</v>
      </c>
      <c r="I26" s="6">
        <v>1</v>
      </c>
      <c r="J26" s="60">
        <v>5</v>
      </c>
      <c r="K26" s="6">
        <v>4</v>
      </c>
      <c r="L26" s="6">
        <v>1</v>
      </c>
      <c r="M26" s="6">
        <v>1</v>
      </c>
      <c r="N26" s="6">
        <v>4</v>
      </c>
      <c r="O26" s="6">
        <v>4</v>
      </c>
      <c r="P26" s="6">
        <v>1</v>
      </c>
      <c r="Q26" s="6">
        <v>0</v>
      </c>
      <c r="R26" s="6">
        <v>21</v>
      </c>
      <c r="S26" s="6"/>
      <c r="T26" s="6"/>
      <c r="U26" s="6">
        <v>0</v>
      </c>
      <c r="V26" s="61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3">
        <v>4</v>
      </c>
      <c r="AC26" s="62">
        <v>2</v>
      </c>
      <c r="AD26" s="62">
        <v>1</v>
      </c>
      <c r="AE26" s="62">
        <v>1</v>
      </c>
      <c r="AF26" s="62">
        <v>3</v>
      </c>
      <c r="AG26" s="62">
        <v>5</v>
      </c>
      <c r="AH26" s="62">
        <v>0</v>
      </c>
      <c r="AI26" s="62">
        <v>0</v>
      </c>
      <c r="AJ26" s="62">
        <v>16</v>
      </c>
      <c r="AK26" s="62"/>
      <c r="AL26" s="62"/>
      <c r="AM26" s="1" t="s">
        <v>429</v>
      </c>
      <c r="AN26" s="78">
        <v>4</v>
      </c>
      <c r="AO26" s="78">
        <v>0</v>
      </c>
      <c r="AP26" s="78">
        <v>0</v>
      </c>
      <c r="AQ26" s="78">
        <v>0</v>
      </c>
      <c r="AR26" s="78">
        <v>0</v>
      </c>
      <c r="AS26" s="78">
        <v>3</v>
      </c>
      <c r="AT26" s="78">
        <v>0</v>
      </c>
      <c r="AU26" s="78">
        <v>0</v>
      </c>
      <c r="AV26" s="76">
        <v>0</v>
      </c>
      <c r="AW26" s="1" t="s">
        <v>298</v>
      </c>
      <c r="AX26" s="78">
        <v>4</v>
      </c>
      <c r="AY26" s="78">
        <v>0</v>
      </c>
      <c r="AZ26" s="78">
        <v>0</v>
      </c>
      <c r="BA26" s="78">
        <v>0</v>
      </c>
      <c r="BB26" s="78">
        <v>0</v>
      </c>
      <c r="BC26" s="78">
        <v>1</v>
      </c>
      <c r="BD26" s="78">
        <v>0</v>
      </c>
      <c r="BE26" s="78">
        <v>0</v>
      </c>
      <c r="BF26" s="76">
        <v>0</v>
      </c>
      <c r="BG26" s="1" t="s">
        <v>431</v>
      </c>
      <c r="BH26" s="78">
        <v>2</v>
      </c>
      <c r="BI26" s="78">
        <v>1</v>
      </c>
      <c r="BJ26" s="78">
        <v>0</v>
      </c>
      <c r="BK26" s="78">
        <v>0</v>
      </c>
      <c r="BL26" s="78">
        <v>1</v>
      </c>
      <c r="BM26" s="78">
        <v>0</v>
      </c>
      <c r="BN26" s="78">
        <v>1</v>
      </c>
      <c r="BO26" s="78">
        <v>0</v>
      </c>
      <c r="BP26" s="76">
        <v>0</v>
      </c>
      <c r="BQ26" s="1" t="s">
        <v>297</v>
      </c>
      <c r="BR26" s="78">
        <v>3</v>
      </c>
      <c r="BS26" s="78">
        <v>0</v>
      </c>
      <c r="BT26" s="78">
        <v>1</v>
      </c>
      <c r="BU26" s="78">
        <v>0</v>
      </c>
      <c r="BV26" s="78">
        <v>1</v>
      </c>
      <c r="BW26" s="78">
        <v>0</v>
      </c>
      <c r="BX26" s="78">
        <v>0</v>
      </c>
      <c r="BY26" s="78">
        <v>0</v>
      </c>
      <c r="BZ26" s="76">
        <v>1</v>
      </c>
      <c r="CA26" s="1" t="s">
        <v>432</v>
      </c>
      <c r="CB26" s="78">
        <v>4</v>
      </c>
      <c r="CC26" s="78">
        <v>0</v>
      </c>
      <c r="CD26" s="78">
        <v>0</v>
      </c>
      <c r="CE26" s="78">
        <v>0</v>
      </c>
      <c r="CF26" s="78">
        <v>0</v>
      </c>
      <c r="CG26" s="78">
        <v>1</v>
      </c>
      <c r="CH26" s="78">
        <v>0</v>
      </c>
      <c r="CI26" s="78">
        <v>0</v>
      </c>
      <c r="CJ26" s="76">
        <v>0</v>
      </c>
      <c r="CK26" s="1" t="s">
        <v>296</v>
      </c>
      <c r="CL26" s="78">
        <v>3</v>
      </c>
      <c r="CM26" s="78">
        <v>0</v>
      </c>
      <c r="CN26" s="78">
        <v>1</v>
      </c>
      <c r="CO26" s="78">
        <v>0</v>
      </c>
      <c r="CP26" s="78">
        <v>1</v>
      </c>
      <c r="CQ26" s="78">
        <v>0</v>
      </c>
      <c r="CR26" s="78">
        <v>0</v>
      </c>
      <c r="CS26" s="78">
        <v>0</v>
      </c>
      <c r="CT26" s="76">
        <v>1</v>
      </c>
      <c r="CU26" s="1" t="s">
        <v>436</v>
      </c>
      <c r="CV26" s="78">
        <v>4</v>
      </c>
      <c r="CW26" s="78">
        <v>0</v>
      </c>
      <c r="CX26" s="78">
        <v>1</v>
      </c>
      <c r="CY26" s="78">
        <v>0</v>
      </c>
      <c r="CZ26" s="78">
        <v>0</v>
      </c>
      <c r="DA26" s="78">
        <v>2</v>
      </c>
      <c r="DB26" s="78">
        <v>0</v>
      </c>
      <c r="DC26" s="78">
        <v>0</v>
      </c>
      <c r="DD26" s="76">
        <v>2</v>
      </c>
      <c r="DE26" s="1" t="s">
        <v>423</v>
      </c>
      <c r="DF26" s="78">
        <v>2</v>
      </c>
      <c r="DG26" s="78">
        <v>0</v>
      </c>
      <c r="DH26" s="78">
        <v>1</v>
      </c>
      <c r="DI26" s="78">
        <v>0</v>
      </c>
      <c r="DJ26" s="78">
        <v>1</v>
      </c>
      <c r="DK26" s="78">
        <v>0</v>
      </c>
      <c r="DL26" s="78">
        <v>0</v>
      </c>
      <c r="DM26" s="78">
        <v>0</v>
      </c>
      <c r="DN26" s="76">
        <v>1</v>
      </c>
      <c r="DO26" s="1" t="s">
        <v>304</v>
      </c>
      <c r="DP26" s="78">
        <v>3</v>
      </c>
      <c r="DQ26" s="78">
        <v>0</v>
      </c>
      <c r="DR26" s="78">
        <v>0</v>
      </c>
      <c r="DS26" s="78">
        <v>0</v>
      </c>
      <c r="DT26" s="78">
        <v>0</v>
      </c>
      <c r="DU26" s="78">
        <v>0</v>
      </c>
      <c r="DV26" s="78">
        <v>0</v>
      </c>
      <c r="DW26" s="78">
        <v>0</v>
      </c>
      <c r="DX26" s="76">
        <v>0</v>
      </c>
      <c r="DY26" s="77">
        <v>6</v>
      </c>
      <c r="DZ26" s="43">
        <v>0</v>
      </c>
      <c r="EA26" s="43">
        <v>0</v>
      </c>
      <c r="EB26" s="45">
        <v>3</v>
      </c>
      <c r="EC26" s="43">
        <v>0</v>
      </c>
      <c r="ED26" s="44">
        <v>0</v>
      </c>
      <c r="EE26" s="71">
        <v>0</v>
      </c>
      <c r="EF26" s="43">
        <v>0</v>
      </c>
      <c r="EG26" s="43">
        <v>0</v>
      </c>
      <c r="EH26" s="43">
        <v>0</v>
      </c>
      <c r="EI26" s="43">
        <v>0</v>
      </c>
      <c r="EJ26" s="43">
        <v>0</v>
      </c>
      <c r="EK26" s="43">
        <v>0</v>
      </c>
      <c r="EL26" s="43">
        <v>0</v>
      </c>
      <c r="EM26" s="43">
        <v>1</v>
      </c>
      <c r="EN26" s="43"/>
      <c r="EO26" s="43"/>
      <c r="EP26" s="43"/>
      <c r="EQ26" s="43"/>
      <c r="ER26" s="44">
        <f t="shared" si="0"/>
        <v>1</v>
      </c>
      <c r="ES26" s="43">
        <v>0</v>
      </c>
      <c r="ET26" s="43">
        <v>0</v>
      </c>
      <c r="EU26" s="43">
        <v>0</v>
      </c>
      <c r="EV26" s="43">
        <v>0</v>
      </c>
      <c r="EW26" s="43">
        <v>1</v>
      </c>
      <c r="EX26" s="43">
        <v>1</v>
      </c>
      <c r="EY26" s="43">
        <v>0</v>
      </c>
      <c r="EZ26" s="43">
        <v>0</v>
      </c>
      <c r="FA26" s="43">
        <v>0</v>
      </c>
      <c r="FB26" s="43"/>
      <c r="FC26" s="43"/>
      <c r="FD26" s="43"/>
      <c r="FE26" s="43"/>
      <c r="FF26" s="43">
        <f t="shared" si="1"/>
        <v>2</v>
      </c>
      <c r="FG26" s="73">
        <f t="shared" si="6"/>
        <v>0</v>
      </c>
      <c r="FH26" s="73">
        <f t="shared" si="7"/>
        <v>0</v>
      </c>
      <c r="FI26" s="38"/>
    </row>
    <row r="27" spans="1:165" x14ac:dyDescent="0.25">
      <c r="A27" s="204">
        <v>40375</v>
      </c>
      <c r="B27" s="204" t="s">
        <v>19</v>
      </c>
      <c r="C27" s="204" t="s">
        <v>129</v>
      </c>
      <c r="D27" s="204" t="s">
        <v>309</v>
      </c>
      <c r="E27" s="205">
        <v>545</v>
      </c>
      <c r="F27" s="206">
        <v>4</v>
      </c>
      <c r="G27" s="207" t="s">
        <v>307</v>
      </c>
      <c r="H27" s="208">
        <v>1</v>
      </c>
      <c r="I27" s="208">
        <v>0</v>
      </c>
      <c r="J27" s="209">
        <v>7</v>
      </c>
      <c r="K27" s="208">
        <v>3</v>
      </c>
      <c r="L27" s="208">
        <v>0</v>
      </c>
      <c r="M27" s="208">
        <v>0</v>
      </c>
      <c r="N27" s="208">
        <v>0</v>
      </c>
      <c r="O27" s="208">
        <v>9</v>
      </c>
      <c r="P27" s="208">
        <v>0</v>
      </c>
      <c r="Q27" s="208">
        <v>0</v>
      </c>
      <c r="R27" s="208">
        <v>22</v>
      </c>
      <c r="S27" s="208"/>
      <c r="T27" s="208"/>
      <c r="U27" s="208">
        <v>0</v>
      </c>
      <c r="V27" s="210">
        <v>0</v>
      </c>
      <c r="W27" s="211">
        <v>0</v>
      </c>
      <c r="X27" s="211">
        <v>0</v>
      </c>
      <c r="Y27" s="211">
        <v>0</v>
      </c>
      <c r="Z27" s="211">
        <v>0</v>
      </c>
      <c r="AA27" s="211">
        <v>0</v>
      </c>
      <c r="AB27" s="212">
        <v>2</v>
      </c>
      <c r="AC27" s="211">
        <v>0</v>
      </c>
      <c r="AD27" s="211">
        <v>0</v>
      </c>
      <c r="AE27" s="211">
        <v>0</v>
      </c>
      <c r="AF27" s="211">
        <v>0</v>
      </c>
      <c r="AG27" s="211">
        <v>2</v>
      </c>
      <c r="AH27" s="211">
        <v>0</v>
      </c>
      <c r="AI27" s="211">
        <v>0</v>
      </c>
      <c r="AJ27" s="211">
        <v>6</v>
      </c>
      <c r="AK27" s="211"/>
      <c r="AL27" s="211"/>
      <c r="AM27" s="213" t="s">
        <v>436</v>
      </c>
      <c r="AN27" s="214">
        <v>4</v>
      </c>
      <c r="AO27" s="214">
        <v>0</v>
      </c>
      <c r="AP27" s="214">
        <v>0</v>
      </c>
      <c r="AQ27" s="214">
        <v>0</v>
      </c>
      <c r="AR27" s="214">
        <v>0</v>
      </c>
      <c r="AS27" s="214">
        <v>1</v>
      </c>
      <c r="AT27" s="214">
        <v>0</v>
      </c>
      <c r="AU27" s="214">
        <v>0</v>
      </c>
      <c r="AV27" s="215">
        <v>0</v>
      </c>
      <c r="AW27" s="213" t="s">
        <v>298</v>
      </c>
      <c r="AX27" s="214">
        <v>3</v>
      </c>
      <c r="AY27" s="214">
        <v>2</v>
      </c>
      <c r="AZ27" s="214">
        <v>1</v>
      </c>
      <c r="BA27" s="214">
        <v>0</v>
      </c>
      <c r="BB27" s="214">
        <v>0</v>
      </c>
      <c r="BC27" s="214">
        <v>0</v>
      </c>
      <c r="BD27" s="214">
        <v>1</v>
      </c>
      <c r="BE27" s="214">
        <v>0</v>
      </c>
      <c r="BF27" s="215">
        <v>2</v>
      </c>
      <c r="BG27" s="213" t="s">
        <v>431</v>
      </c>
      <c r="BH27" s="214">
        <v>1</v>
      </c>
      <c r="BI27" s="214">
        <v>1</v>
      </c>
      <c r="BJ27" s="214">
        <v>1</v>
      </c>
      <c r="BK27" s="214">
        <v>0</v>
      </c>
      <c r="BL27" s="214">
        <v>2</v>
      </c>
      <c r="BM27" s="214">
        <v>0</v>
      </c>
      <c r="BN27" s="214">
        <v>1</v>
      </c>
      <c r="BO27" s="214">
        <v>0</v>
      </c>
      <c r="BP27" s="215">
        <v>2</v>
      </c>
      <c r="BQ27" s="213" t="s">
        <v>302</v>
      </c>
      <c r="BR27" s="214">
        <v>4</v>
      </c>
      <c r="BS27" s="214">
        <v>1</v>
      </c>
      <c r="BT27" s="214">
        <v>1</v>
      </c>
      <c r="BU27" s="214">
        <v>2</v>
      </c>
      <c r="BV27" s="214">
        <v>0</v>
      </c>
      <c r="BW27" s="214">
        <v>2</v>
      </c>
      <c r="BX27" s="214">
        <v>0</v>
      </c>
      <c r="BY27" s="214">
        <v>0</v>
      </c>
      <c r="BZ27" s="215">
        <v>2</v>
      </c>
      <c r="CA27" s="213" t="s">
        <v>297</v>
      </c>
      <c r="CB27" s="214">
        <v>4</v>
      </c>
      <c r="CC27" s="214">
        <v>1</v>
      </c>
      <c r="CD27" s="214">
        <v>2</v>
      </c>
      <c r="CE27" s="214">
        <v>1</v>
      </c>
      <c r="CF27" s="214">
        <v>0</v>
      </c>
      <c r="CG27" s="214">
        <v>1</v>
      </c>
      <c r="CH27" s="214">
        <v>0</v>
      </c>
      <c r="CI27" s="214">
        <v>0</v>
      </c>
      <c r="CJ27" s="215">
        <v>2</v>
      </c>
      <c r="CK27" s="213" t="s">
        <v>296</v>
      </c>
      <c r="CL27" s="214">
        <v>3</v>
      </c>
      <c r="CM27" s="214">
        <v>0</v>
      </c>
      <c r="CN27" s="214">
        <v>1</v>
      </c>
      <c r="CO27" s="214">
        <v>1</v>
      </c>
      <c r="CP27" s="214">
        <v>1</v>
      </c>
      <c r="CQ27" s="214">
        <v>0</v>
      </c>
      <c r="CR27" s="214">
        <v>0</v>
      </c>
      <c r="CS27" s="214">
        <v>0</v>
      </c>
      <c r="CT27" s="215">
        <v>2</v>
      </c>
      <c r="CU27" s="213" t="s">
        <v>433</v>
      </c>
      <c r="CV27" s="214">
        <v>4</v>
      </c>
      <c r="CW27" s="214">
        <v>0</v>
      </c>
      <c r="CX27" s="214">
        <v>1</v>
      </c>
      <c r="CY27" s="214">
        <v>1</v>
      </c>
      <c r="CZ27" s="214">
        <v>0</v>
      </c>
      <c r="DA27" s="214">
        <v>1</v>
      </c>
      <c r="DB27" s="214">
        <v>0</v>
      </c>
      <c r="DC27" s="214">
        <v>0</v>
      </c>
      <c r="DD27" s="215">
        <v>2</v>
      </c>
      <c r="DE27" s="213" t="s">
        <v>434</v>
      </c>
      <c r="DF27" s="214">
        <v>4</v>
      </c>
      <c r="DG27" s="214">
        <v>0</v>
      </c>
      <c r="DH27" s="214">
        <v>1</v>
      </c>
      <c r="DI27" s="214">
        <v>0</v>
      </c>
      <c r="DJ27" s="214">
        <v>0</v>
      </c>
      <c r="DK27" s="214">
        <v>1</v>
      </c>
      <c r="DL27" s="214">
        <v>0</v>
      </c>
      <c r="DM27" s="214">
        <v>0</v>
      </c>
      <c r="DN27" s="215">
        <v>1</v>
      </c>
      <c r="DO27" s="213" t="s">
        <v>295</v>
      </c>
      <c r="DP27" s="214">
        <v>3</v>
      </c>
      <c r="DQ27" s="214">
        <v>0</v>
      </c>
      <c r="DR27" s="214">
        <v>0</v>
      </c>
      <c r="DS27" s="214">
        <v>0</v>
      </c>
      <c r="DT27" s="214">
        <v>0</v>
      </c>
      <c r="DU27" s="214">
        <v>0</v>
      </c>
      <c r="DV27" s="214">
        <v>0</v>
      </c>
      <c r="DW27" s="214">
        <v>0</v>
      </c>
      <c r="DX27" s="215">
        <v>0</v>
      </c>
      <c r="DY27" s="216">
        <v>5</v>
      </c>
      <c r="DZ27" s="217">
        <v>0</v>
      </c>
      <c r="EA27" s="217">
        <v>0</v>
      </c>
      <c r="EB27" s="218">
        <v>3</v>
      </c>
      <c r="EC27" s="217">
        <v>0</v>
      </c>
      <c r="ED27" s="219">
        <v>0</v>
      </c>
      <c r="EE27" s="220">
        <v>0</v>
      </c>
      <c r="EF27" s="217">
        <v>0</v>
      </c>
      <c r="EG27" s="217">
        <v>0</v>
      </c>
      <c r="EH27" s="217">
        <v>1</v>
      </c>
      <c r="EI27" s="217">
        <v>0</v>
      </c>
      <c r="EJ27" s="217">
        <v>4</v>
      </c>
      <c r="EK27" s="217">
        <v>0</v>
      </c>
      <c r="EL27" s="217">
        <v>0</v>
      </c>
      <c r="EM27" s="217"/>
      <c r="EN27" s="217"/>
      <c r="EO27" s="217"/>
      <c r="EP27" s="217"/>
      <c r="EQ27" s="217"/>
      <c r="ER27" s="219">
        <f t="shared" si="0"/>
        <v>5</v>
      </c>
      <c r="ES27" s="217">
        <v>0</v>
      </c>
      <c r="ET27" s="217">
        <v>0</v>
      </c>
      <c r="EU27" s="217">
        <v>0</v>
      </c>
      <c r="EV27" s="217">
        <v>0</v>
      </c>
      <c r="EW27" s="217">
        <v>0</v>
      </c>
      <c r="EX27" s="217">
        <v>0</v>
      </c>
      <c r="EY27" s="217">
        <v>0</v>
      </c>
      <c r="EZ27" s="217">
        <v>0</v>
      </c>
      <c r="FA27" s="217">
        <v>0</v>
      </c>
      <c r="FB27" s="217"/>
      <c r="FC27" s="217"/>
      <c r="FD27" s="217"/>
      <c r="FE27" s="217"/>
      <c r="FF27" s="217">
        <f t="shared" si="1"/>
        <v>0</v>
      </c>
      <c r="FG27" s="221">
        <f t="shared" si="6"/>
        <v>0</v>
      </c>
      <c r="FH27" s="221">
        <f t="shared" si="7"/>
        <v>0</v>
      </c>
      <c r="FI27" s="222"/>
    </row>
    <row r="28" spans="1:165" x14ac:dyDescent="0.25">
      <c r="A28" s="204">
        <v>40376</v>
      </c>
      <c r="B28" s="204" t="s">
        <v>19</v>
      </c>
      <c r="C28" s="204" t="s">
        <v>131</v>
      </c>
      <c r="D28" s="204" t="s">
        <v>453</v>
      </c>
      <c r="E28" s="205">
        <v>930</v>
      </c>
      <c r="F28" s="206">
        <v>5</v>
      </c>
      <c r="G28" s="207" t="s">
        <v>306</v>
      </c>
      <c r="H28" s="208">
        <v>0</v>
      </c>
      <c r="I28" s="208">
        <v>1</v>
      </c>
      <c r="J28" s="209">
        <v>5</v>
      </c>
      <c r="K28" s="208">
        <v>5</v>
      </c>
      <c r="L28" s="208">
        <v>3</v>
      </c>
      <c r="M28" s="208">
        <v>3</v>
      </c>
      <c r="N28" s="208">
        <v>2</v>
      </c>
      <c r="O28" s="208">
        <v>2</v>
      </c>
      <c r="P28" s="208">
        <v>2</v>
      </c>
      <c r="Q28" s="208">
        <v>0</v>
      </c>
      <c r="R28" s="208">
        <v>19</v>
      </c>
      <c r="S28" s="208"/>
      <c r="T28" s="208"/>
      <c r="U28" s="208">
        <v>0</v>
      </c>
      <c r="V28" s="210">
        <v>0</v>
      </c>
      <c r="W28" s="211">
        <v>0</v>
      </c>
      <c r="X28" s="211">
        <v>0</v>
      </c>
      <c r="Y28" s="211">
        <v>0</v>
      </c>
      <c r="Z28" s="211">
        <v>0</v>
      </c>
      <c r="AA28" s="211">
        <v>0</v>
      </c>
      <c r="AB28" s="212">
        <v>1</v>
      </c>
      <c r="AC28" s="211">
        <v>0</v>
      </c>
      <c r="AD28" s="211">
        <v>0</v>
      </c>
      <c r="AE28" s="211">
        <v>0</v>
      </c>
      <c r="AF28" s="211">
        <v>0</v>
      </c>
      <c r="AG28" s="211">
        <v>0</v>
      </c>
      <c r="AH28" s="211">
        <v>0</v>
      </c>
      <c r="AI28" s="211">
        <v>0</v>
      </c>
      <c r="AJ28" s="211">
        <v>3</v>
      </c>
      <c r="AK28" s="211"/>
      <c r="AL28" s="211"/>
      <c r="AM28" s="213" t="s">
        <v>429</v>
      </c>
      <c r="AN28" s="214">
        <v>3</v>
      </c>
      <c r="AO28" s="214">
        <v>1</v>
      </c>
      <c r="AP28" s="214">
        <v>0</v>
      </c>
      <c r="AQ28" s="214">
        <v>0</v>
      </c>
      <c r="AR28" s="214">
        <v>0</v>
      </c>
      <c r="AS28" s="214">
        <v>1</v>
      </c>
      <c r="AT28" s="214">
        <v>0</v>
      </c>
      <c r="AU28" s="214">
        <v>0</v>
      </c>
      <c r="AV28" s="215">
        <v>0</v>
      </c>
      <c r="AW28" s="213" t="s">
        <v>298</v>
      </c>
      <c r="AX28" s="214">
        <v>3</v>
      </c>
      <c r="AY28" s="214">
        <v>0</v>
      </c>
      <c r="AZ28" s="214">
        <v>0</v>
      </c>
      <c r="BA28" s="214">
        <v>0</v>
      </c>
      <c r="BB28" s="214">
        <v>0</v>
      </c>
      <c r="BC28" s="214">
        <v>2</v>
      </c>
      <c r="BD28" s="214">
        <v>0</v>
      </c>
      <c r="BE28" s="214">
        <v>0</v>
      </c>
      <c r="BF28" s="215">
        <v>0</v>
      </c>
      <c r="BG28" s="213" t="s">
        <v>431</v>
      </c>
      <c r="BH28" s="214">
        <v>3</v>
      </c>
      <c r="BI28" s="214">
        <v>0</v>
      </c>
      <c r="BJ28" s="214">
        <v>1</v>
      </c>
      <c r="BK28" s="214">
        <v>0</v>
      </c>
      <c r="BL28" s="214">
        <v>0</v>
      </c>
      <c r="BM28" s="214">
        <v>0</v>
      </c>
      <c r="BN28" s="214">
        <v>0</v>
      </c>
      <c r="BO28" s="214">
        <v>0</v>
      </c>
      <c r="BP28" s="215">
        <v>2</v>
      </c>
      <c r="BQ28" s="213" t="s">
        <v>302</v>
      </c>
      <c r="BR28" s="214">
        <v>2</v>
      </c>
      <c r="BS28" s="214">
        <v>1</v>
      </c>
      <c r="BT28" s="214">
        <v>2</v>
      </c>
      <c r="BU28" s="214">
        <v>1</v>
      </c>
      <c r="BV28" s="214">
        <v>0</v>
      </c>
      <c r="BW28" s="214">
        <v>0</v>
      </c>
      <c r="BX28" s="214">
        <v>0</v>
      </c>
      <c r="BY28" s="214">
        <v>0</v>
      </c>
      <c r="BZ28" s="215">
        <v>4</v>
      </c>
      <c r="CA28" s="213" t="s">
        <v>297</v>
      </c>
      <c r="CB28" s="214">
        <v>2</v>
      </c>
      <c r="CC28" s="214">
        <v>0</v>
      </c>
      <c r="CD28" s="214">
        <v>0</v>
      </c>
      <c r="CE28" s="214">
        <v>0</v>
      </c>
      <c r="CF28" s="214">
        <v>0</v>
      </c>
      <c r="CG28" s="214">
        <v>0</v>
      </c>
      <c r="CH28" s="214">
        <v>0</v>
      </c>
      <c r="CI28" s="214">
        <v>0</v>
      </c>
      <c r="CJ28" s="215">
        <v>0</v>
      </c>
      <c r="CK28" s="213" t="s">
        <v>296</v>
      </c>
      <c r="CL28" s="214">
        <v>2</v>
      </c>
      <c r="CM28" s="214">
        <v>0</v>
      </c>
      <c r="CN28" s="214">
        <v>2</v>
      </c>
      <c r="CO28" s="214">
        <v>1</v>
      </c>
      <c r="CP28" s="214">
        <v>0</v>
      </c>
      <c r="CQ28" s="214">
        <v>0</v>
      </c>
      <c r="CR28" s="214">
        <v>0</v>
      </c>
      <c r="CS28" s="214">
        <v>0</v>
      </c>
      <c r="CT28" s="215">
        <v>2</v>
      </c>
      <c r="CU28" s="213" t="s">
        <v>433</v>
      </c>
      <c r="CV28" s="214">
        <v>2</v>
      </c>
      <c r="CW28" s="214">
        <v>0</v>
      </c>
      <c r="CX28" s="214">
        <v>0</v>
      </c>
      <c r="CY28" s="214">
        <v>0</v>
      </c>
      <c r="CZ28" s="214">
        <v>0</v>
      </c>
      <c r="DA28" s="214">
        <v>0</v>
      </c>
      <c r="DB28" s="214">
        <v>0</v>
      </c>
      <c r="DC28" s="214">
        <v>0</v>
      </c>
      <c r="DD28" s="215">
        <v>0</v>
      </c>
      <c r="DE28" s="213" t="s">
        <v>434</v>
      </c>
      <c r="DF28" s="214">
        <v>1</v>
      </c>
      <c r="DG28" s="214">
        <v>0</v>
      </c>
      <c r="DH28" s="214">
        <v>0</v>
      </c>
      <c r="DI28" s="214">
        <v>0</v>
      </c>
      <c r="DJ28" s="214">
        <v>1</v>
      </c>
      <c r="DK28" s="214">
        <v>0</v>
      </c>
      <c r="DL28" s="214">
        <v>0</v>
      </c>
      <c r="DM28" s="214">
        <v>0</v>
      </c>
      <c r="DN28" s="215">
        <v>0</v>
      </c>
      <c r="DO28" s="213" t="s">
        <v>304</v>
      </c>
      <c r="DP28" s="214">
        <v>2</v>
      </c>
      <c r="DQ28" s="214">
        <v>0</v>
      </c>
      <c r="DR28" s="214">
        <v>0</v>
      </c>
      <c r="DS28" s="214">
        <v>0</v>
      </c>
      <c r="DT28" s="214">
        <v>0</v>
      </c>
      <c r="DU28" s="214">
        <v>1</v>
      </c>
      <c r="DV28" s="214">
        <v>0</v>
      </c>
      <c r="DW28" s="214">
        <v>0</v>
      </c>
      <c r="DX28" s="215">
        <v>0</v>
      </c>
      <c r="DY28" s="216">
        <v>0</v>
      </c>
      <c r="DZ28" s="217">
        <v>0</v>
      </c>
      <c r="EA28" s="217">
        <v>0</v>
      </c>
      <c r="EB28" s="218">
        <v>5</v>
      </c>
      <c r="EC28" s="217">
        <v>2</v>
      </c>
      <c r="ED28" s="219">
        <v>0</v>
      </c>
      <c r="EE28" s="220">
        <v>1</v>
      </c>
      <c r="EF28" s="217">
        <v>0</v>
      </c>
      <c r="EG28" s="217">
        <v>0</v>
      </c>
      <c r="EH28" s="217">
        <v>1</v>
      </c>
      <c r="EI28" s="217">
        <v>0</v>
      </c>
      <c r="EJ28" s="217">
        <v>0</v>
      </c>
      <c r="EK28" s="217"/>
      <c r="EL28" s="217"/>
      <c r="EM28" s="217"/>
      <c r="EN28" s="217"/>
      <c r="EO28" s="217"/>
      <c r="EP28" s="217"/>
      <c r="EQ28" s="217"/>
      <c r="ER28" s="219">
        <f t="shared" si="0"/>
        <v>2</v>
      </c>
      <c r="ES28" s="217">
        <v>1</v>
      </c>
      <c r="ET28" s="217">
        <v>1</v>
      </c>
      <c r="EU28" s="217">
        <v>0</v>
      </c>
      <c r="EV28" s="217">
        <v>1</v>
      </c>
      <c r="EW28" s="217">
        <v>0</v>
      </c>
      <c r="EX28" s="217">
        <v>0</v>
      </c>
      <c r="EY28" s="217"/>
      <c r="EZ28" s="217"/>
      <c r="FA28" s="217"/>
      <c r="FB28" s="217"/>
      <c r="FC28" s="217"/>
      <c r="FD28" s="217"/>
      <c r="FE28" s="217"/>
      <c r="FF28" s="217">
        <f t="shared" si="1"/>
        <v>3</v>
      </c>
      <c r="FG28" s="221">
        <f t="shared" si="6"/>
        <v>0</v>
      </c>
      <c r="FH28" s="221">
        <f t="shared" si="7"/>
        <v>0</v>
      </c>
      <c r="FI28" s="222" t="s">
        <v>351</v>
      </c>
    </row>
    <row r="29" spans="1:165" x14ac:dyDescent="0.25">
      <c r="A29" s="204">
        <v>40377</v>
      </c>
      <c r="B29" s="204" t="s">
        <v>19</v>
      </c>
      <c r="C29" s="204" t="s">
        <v>131</v>
      </c>
      <c r="D29" s="204" t="s">
        <v>453</v>
      </c>
      <c r="E29" s="205">
        <v>431</v>
      </c>
      <c r="F29" s="206">
        <v>1</v>
      </c>
      <c r="G29" s="207" t="s">
        <v>305</v>
      </c>
      <c r="H29" s="208">
        <v>0</v>
      </c>
      <c r="I29" s="208">
        <v>1</v>
      </c>
      <c r="J29" s="209">
        <v>6</v>
      </c>
      <c r="K29" s="208">
        <v>3</v>
      </c>
      <c r="L29" s="208">
        <v>2</v>
      </c>
      <c r="M29" s="208">
        <v>2</v>
      </c>
      <c r="N29" s="208">
        <v>1</v>
      </c>
      <c r="O29" s="208">
        <v>6</v>
      </c>
      <c r="P29" s="208">
        <v>0</v>
      </c>
      <c r="Q29" s="208">
        <v>0</v>
      </c>
      <c r="R29" s="208">
        <v>22</v>
      </c>
      <c r="S29" s="208"/>
      <c r="T29" s="208"/>
      <c r="U29" s="208">
        <v>0</v>
      </c>
      <c r="V29" s="210">
        <v>0</v>
      </c>
      <c r="W29" s="211">
        <v>0</v>
      </c>
      <c r="X29" s="211">
        <v>0</v>
      </c>
      <c r="Y29" s="211">
        <v>0</v>
      </c>
      <c r="Z29" s="211">
        <v>0</v>
      </c>
      <c r="AA29" s="211">
        <v>0</v>
      </c>
      <c r="AB29" s="212">
        <v>3</v>
      </c>
      <c r="AC29" s="211">
        <v>7</v>
      </c>
      <c r="AD29" s="211">
        <v>1</v>
      </c>
      <c r="AE29" s="211">
        <v>1</v>
      </c>
      <c r="AF29" s="211">
        <v>1</v>
      </c>
      <c r="AG29" s="211">
        <v>4</v>
      </c>
      <c r="AH29" s="211">
        <v>0</v>
      </c>
      <c r="AI29" s="211">
        <v>1</v>
      </c>
      <c r="AJ29" s="211">
        <v>17</v>
      </c>
      <c r="AK29" s="211"/>
      <c r="AL29" s="211"/>
      <c r="AM29" s="213" t="s">
        <v>429</v>
      </c>
      <c r="AN29" s="214">
        <v>4</v>
      </c>
      <c r="AO29" s="214">
        <v>0</v>
      </c>
      <c r="AP29" s="214">
        <v>0</v>
      </c>
      <c r="AQ29" s="214">
        <v>0</v>
      </c>
      <c r="AR29" s="214">
        <v>0</v>
      </c>
      <c r="AS29" s="214">
        <v>1</v>
      </c>
      <c r="AT29" s="214">
        <v>0</v>
      </c>
      <c r="AU29" s="214">
        <v>0</v>
      </c>
      <c r="AV29" s="215">
        <v>0</v>
      </c>
      <c r="AW29" s="213" t="s">
        <v>436</v>
      </c>
      <c r="AX29" s="214">
        <v>4</v>
      </c>
      <c r="AY29" s="214">
        <v>0</v>
      </c>
      <c r="AZ29" s="214">
        <v>1</v>
      </c>
      <c r="BA29" s="214">
        <v>0</v>
      </c>
      <c r="BB29" s="214">
        <v>0</v>
      </c>
      <c r="BC29" s="214">
        <v>2</v>
      </c>
      <c r="BD29" s="214">
        <v>0</v>
      </c>
      <c r="BE29" s="214">
        <v>0</v>
      </c>
      <c r="BF29" s="215">
        <v>1</v>
      </c>
      <c r="BG29" s="213" t="s">
        <v>297</v>
      </c>
      <c r="BH29" s="214">
        <v>3</v>
      </c>
      <c r="BI29" s="214">
        <v>0</v>
      </c>
      <c r="BJ29" s="214">
        <v>0</v>
      </c>
      <c r="BK29" s="214">
        <v>0</v>
      </c>
      <c r="BL29" s="214">
        <v>1</v>
      </c>
      <c r="BM29" s="214">
        <v>2</v>
      </c>
      <c r="BN29" s="214">
        <v>0</v>
      </c>
      <c r="BO29" s="214">
        <v>0</v>
      </c>
      <c r="BP29" s="215">
        <v>0</v>
      </c>
      <c r="BQ29" s="213" t="s">
        <v>302</v>
      </c>
      <c r="BR29" s="214">
        <v>4</v>
      </c>
      <c r="BS29" s="214">
        <v>0</v>
      </c>
      <c r="BT29" s="214">
        <v>1</v>
      </c>
      <c r="BU29" s="214">
        <v>0</v>
      </c>
      <c r="BV29" s="214">
        <v>0</v>
      </c>
      <c r="BW29" s="214">
        <v>2</v>
      </c>
      <c r="BX29" s="214">
        <v>0</v>
      </c>
      <c r="BY29" s="214">
        <v>0</v>
      </c>
      <c r="BZ29" s="215">
        <v>1</v>
      </c>
      <c r="CA29" s="213" t="s">
        <v>432</v>
      </c>
      <c r="CB29" s="214">
        <v>4</v>
      </c>
      <c r="CC29" s="214">
        <v>0</v>
      </c>
      <c r="CD29" s="214">
        <v>2</v>
      </c>
      <c r="CE29" s="214">
        <v>0</v>
      </c>
      <c r="CF29" s="214">
        <v>0</v>
      </c>
      <c r="CG29" s="214">
        <v>0</v>
      </c>
      <c r="CH29" s="214">
        <v>0</v>
      </c>
      <c r="CI29" s="214">
        <v>0</v>
      </c>
      <c r="CJ29" s="215">
        <v>2</v>
      </c>
      <c r="CK29" s="213" t="s">
        <v>296</v>
      </c>
      <c r="CL29" s="214">
        <v>3</v>
      </c>
      <c r="CM29" s="214">
        <v>0</v>
      </c>
      <c r="CN29" s="214">
        <v>0</v>
      </c>
      <c r="CO29" s="214">
        <v>0</v>
      </c>
      <c r="CP29" s="214">
        <v>0</v>
      </c>
      <c r="CQ29" s="214">
        <v>0</v>
      </c>
      <c r="CR29" s="214">
        <v>0</v>
      </c>
      <c r="CS29" s="214">
        <v>0</v>
      </c>
      <c r="CT29" s="215">
        <v>0</v>
      </c>
      <c r="CU29" s="213" t="s">
        <v>423</v>
      </c>
      <c r="CV29" s="214">
        <v>3</v>
      </c>
      <c r="CW29" s="214">
        <v>0</v>
      </c>
      <c r="CX29" s="214">
        <v>0</v>
      </c>
      <c r="CY29" s="214">
        <v>0</v>
      </c>
      <c r="CZ29" s="214">
        <v>0</v>
      </c>
      <c r="DA29" s="214">
        <v>0</v>
      </c>
      <c r="DB29" s="214">
        <v>0</v>
      </c>
      <c r="DC29" s="214">
        <v>0</v>
      </c>
      <c r="DD29" s="215">
        <v>0</v>
      </c>
      <c r="DE29" s="213" t="s">
        <v>434</v>
      </c>
      <c r="DF29" s="214">
        <v>2</v>
      </c>
      <c r="DG29" s="214">
        <v>0</v>
      </c>
      <c r="DH29" s="214">
        <v>0</v>
      </c>
      <c r="DI29" s="214">
        <v>0</v>
      </c>
      <c r="DJ29" s="214">
        <v>1</v>
      </c>
      <c r="DK29" s="214">
        <v>0</v>
      </c>
      <c r="DL29" s="214">
        <v>0</v>
      </c>
      <c r="DM29" s="214">
        <v>0</v>
      </c>
      <c r="DN29" s="215">
        <v>0</v>
      </c>
      <c r="DO29" s="213" t="s">
        <v>304</v>
      </c>
      <c r="DP29" s="214">
        <v>3</v>
      </c>
      <c r="DQ29" s="214">
        <v>0</v>
      </c>
      <c r="DR29" s="214">
        <v>0</v>
      </c>
      <c r="DS29" s="214">
        <v>0</v>
      </c>
      <c r="DT29" s="214">
        <v>0</v>
      </c>
      <c r="DU29" s="214">
        <v>2</v>
      </c>
      <c r="DV29" s="214">
        <v>0</v>
      </c>
      <c r="DW29" s="214">
        <v>0</v>
      </c>
      <c r="DX29" s="215">
        <v>0</v>
      </c>
      <c r="DY29" s="216">
        <v>6</v>
      </c>
      <c r="DZ29" s="217">
        <v>0</v>
      </c>
      <c r="EA29" s="217">
        <v>0</v>
      </c>
      <c r="EB29" s="218">
        <v>3</v>
      </c>
      <c r="EC29" s="217">
        <v>0</v>
      </c>
      <c r="ED29" s="219">
        <v>0</v>
      </c>
      <c r="EE29" s="220">
        <v>0</v>
      </c>
      <c r="EF29" s="217">
        <v>0</v>
      </c>
      <c r="EG29" s="217">
        <v>0</v>
      </c>
      <c r="EH29" s="217">
        <v>0</v>
      </c>
      <c r="EI29" s="217">
        <v>0</v>
      </c>
      <c r="EJ29" s="217">
        <v>0</v>
      </c>
      <c r="EK29" s="217">
        <v>0</v>
      </c>
      <c r="EL29" s="217">
        <v>0</v>
      </c>
      <c r="EM29" s="217">
        <v>0</v>
      </c>
      <c r="EN29" s="217"/>
      <c r="EO29" s="217"/>
      <c r="EP29" s="217"/>
      <c r="EQ29" s="217"/>
      <c r="ER29" s="219">
        <f t="shared" si="0"/>
        <v>0</v>
      </c>
      <c r="ES29" s="217">
        <v>0</v>
      </c>
      <c r="ET29" s="217">
        <v>0</v>
      </c>
      <c r="EU29" s="217">
        <v>2</v>
      </c>
      <c r="EV29" s="217">
        <v>0</v>
      </c>
      <c r="EW29" s="217">
        <v>0</v>
      </c>
      <c r="EX29" s="217">
        <v>0</v>
      </c>
      <c r="EY29" s="217">
        <v>1</v>
      </c>
      <c r="EZ29" s="217">
        <v>0</v>
      </c>
      <c r="FA29" s="217">
        <v>0</v>
      </c>
      <c r="FB29" s="217"/>
      <c r="FC29" s="217"/>
      <c r="FD29" s="217"/>
      <c r="FE29" s="217"/>
      <c r="FF29" s="217">
        <f t="shared" si="1"/>
        <v>3</v>
      </c>
      <c r="FG29" s="221">
        <f t="shared" si="6"/>
        <v>0</v>
      </c>
      <c r="FH29" s="221">
        <f t="shared" si="7"/>
        <v>0</v>
      </c>
      <c r="FI29" s="222"/>
    </row>
    <row r="30" spans="1:165" x14ac:dyDescent="0.25">
      <c r="A30" s="204">
        <v>40378</v>
      </c>
      <c r="B30" s="204" t="s">
        <v>19</v>
      </c>
      <c r="C30" s="204" t="s">
        <v>129</v>
      </c>
      <c r="D30" s="204" t="s">
        <v>453</v>
      </c>
      <c r="E30" s="205">
        <v>1315</v>
      </c>
      <c r="F30" s="206">
        <v>2</v>
      </c>
      <c r="G30" s="207" t="s">
        <v>428</v>
      </c>
      <c r="H30" s="208">
        <v>0</v>
      </c>
      <c r="I30" s="208">
        <v>0</v>
      </c>
      <c r="J30" s="209">
        <v>6</v>
      </c>
      <c r="K30" s="208">
        <v>4</v>
      </c>
      <c r="L30" s="208">
        <v>1</v>
      </c>
      <c r="M30" s="208">
        <v>1</v>
      </c>
      <c r="N30" s="208">
        <v>1</v>
      </c>
      <c r="O30" s="208">
        <v>8</v>
      </c>
      <c r="P30" s="208">
        <v>0</v>
      </c>
      <c r="Q30" s="208">
        <v>0</v>
      </c>
      <c r="R30" s="208">
        <v>23</v>
      </c>
      <c r="S30" s="208"/>
      <c r="T30" s="208"/>
      <c r="U30" s="208">
        <v>0</v>
      </c>
      <c r="V30" s="210">
        <v>0</v>
      </c>
      <c r="W30" s="211">
        <v>1</v>
      </c>
      <c r="X30" s="211">
        <v>0</v>
      </c>
      <c r="Y30" s="211">
        <v>0</v>
      </c>
      <c r="Z30" s="211">
        <v>1</v>
      </c>
      <c r="AA30" s="211">
        <v>1</v>
      </c>
      <c r="AB30" s="212">
        <v>3</v>
      </c>
      <c r="AC30" s="211">
        <v>4</v>
      </c>
      <c r="AD30" s="211">
        <v>4</v>
      </c>
      <c r="AE30" s="211">
        <v>0</v>
      </c>
      <c r="AF30" s="211">
        <v>0</v>
      </c>
      <c r="AG30" s="211">
        <v>3</v>
      </c>
      <c r="AH30" s="211">
        <v>0</v>
      </c>
      <c r="AI30" s="211">
        <v>0</v>
      </c>
      <c r="AJ30" s="211">
        <v>14</v>
      </c>
      <c r="AK30" s="211"/>
      <c r="AL30" s="211"/>
      <c r="AM30" s="213" t="s">
        <v>429</v>
      </c>
      <c r="AN30" s="214">
        <v>5</v>
      </c>
      <c r="AO30" s="214">
        <v>0</v>
      </c>
      <c r="AP30" s="214">
        <v>2</v>
      </c>
      <c r="AQ30" s="214">
        <v>1</v>
      </c>
      <c r="AR30" s="214">
        <v>0</v>
      </c>
      <c r="AS30" s="214">
        <v>1</v>
      </c>
      <c r="AT30" s="214">
        <v>0</v>
      </c>
      <c r="AU30" s="214">
        <v>0</v>
      </c>
      <c r="AV30" s="215">
        <v>2</v>
      </c>
      <c r="AW30" s="213" t="s">
        <v>298</v>
      </c>
      <c r="AX30" s="214">
        <v>5</v>
      </c>
      <c r="AY30" s="214">
        <v>0</v>
      </c>
      <c r="AZ30" s="214">
        <v>0</v>
      </c>
      <c r="BA30" s="214">
        <v>0</v>
      </c>
      <c r="BB30" s="214">
        <v>0</v>
      </c>
      <c r="BC30" s="214">
        <v>1</v>
      </c>
      <c r="BD30" s="214">
        <v>0</v>
      </c>
      <c r="BE30" s="214">
        <v>0</v>
      </c>
      <c r="BF30" s="215">
        <v>0</v>
      </c>
      <c r="BG30" s="213" t="s">
        <v>431</v>
      </c>
      <c r="BH30" s="214">
        <v>3</v>
      </c>
      <c r="BI30" s="214">
        <v>2</v>
      </c>
      <c r="BJ30" s="214">
        <v>2</v>
      </c>
      <c r="BK30" s="214">
        <v>0</v>
      </c>
      <c r="BL30" s="214">
        <v>1</v>
      </c>
      <c r="BM30" s="214">
        <v>0</v>
      </c>
      <c r="BN30" s="214">
        <v>0</v>
      </c>
      <c r="BO30" s="214">
        <v>0</v>
      </c>
      <c r="BP30" s="215">
        <v>2</v>
      </c>
      <c r="BQ30" s="213" t="s">
        <v>297</v>
      </c>
      <c r="BR30" s="214">
        <v>3</v>
      </c>
      <c r="BS30" s="214">
        <v>1</v>
      </c>
      <c r="BT30" s="214">
        <v>0</v>
      </c>
      <c r="BU30" s="214">
        <v>0</v>
      </c>
      <c r="BV30" s="214">
        <v>1</v>
      </c>
      <c r="BW30" s="214">
        <v>1</v>
      </c>
      <c r="BX30" s="214">
        <v>0</v>
      </c>
      <c r="BY30" s="214">
        <v>0</v>
      </c>
      <c r="BZ30" s="215">
        <v>0</v>
      </c>
      <c r="CA30" s="213" t="s">
        <v>432</v>
      </c>
      <c r="CB30" s="214">
        <v>3</v>
      </c>
      <c r="CC30" s="214">
        <v>1</v>
      </c>
      <c r="CD30" s="214">
        <v>1</v>
      </c>
      <c r="CE30" s="214">
        <v>1</v>
      </c>
      <c r="CF30" s="214">
        <v>1</v>
      </c>
      <c r="CG30" s="214">
        <v>0</v>
      </c>
      <c r="CH30" s="214">
        <v>0</v>
      </c>
      <c r="CI30" s="214">
        <v>0</v>
      </c>
      <c r="CJ30" s="215">
        <v>1</v>
      </c>
      <c r="CK30" s="213" t="s">
        <v>296</v>
      </c>
      <c r="CL30" s="214">
        <v>4</v>
      </c>
      <c r="CM30" s="214">
        <v>0</v>
      </c>
      <c r="CN30" s="214">
        <v>1</v>
      </c>
      <c r="CO30" s="214">
        <v>0</v>
      </c>
      <c r="CP30" s="214">
        <v>0</v>
      </c>
      <c r="CQ30" s="214">
        <v>0</v>
      </c>
      <c r="CR30" s="214">
        <v>0</v>
      </c>
      <c r="CS30" s="214">
        <v>0</v>
      </c>
      <c r="CT30" s="215">
        <v>1</v>
      </c>
      <c r="CU30" s="213" t="s">
        <v>436</v>
      </c>
      <c r="CV30" s="214">
        <v>3</v>
      </c>
      <c r="CW30" s="214">
        <v>1</v>
      </c>
      <c r="CX30" s="214">
        <v>2</v>
      </c>
      <c r="CY30" s="214">
        <v>0</v>
      </c>
      <c r="CZ30" s="214">
        <v>1</v>
      </c>
      <c r="DA30" s="214">
        <v>0</v>
      </c>
      <c r="DB30" s="214">
        <v>0</v>
      </c>
      <c r="DC30" s="214">
        <v>0</v>
      </c>
      <c r="DD30" s="215">
        <v>2</v>
      </c>
      <c r="DE30" s="213" t="s">
        <v>434</v>
      </c>
      <c r="DF30" s="214">
        <v>4</v>
      </c>
      <c r="DG30" s="214">
        <v>1</v>
      </c>
      <c r="DH30" s="214">
        <v>0</v>
      </c>
      <c r="DI30" s="214">
        <v>1</v>
      </c>
      <c r="DJ30" s="214">
        <v>0</v>
      </c>
      <c r="DK30" s="214">
        <v>1</v>
      </c>
      <c r="DL30" s="214">
        <v>0</v>
      </c>
      <c r="DM30" s="214">
        <v>0</v>
      </c>
      <c r="DN30" s="215">
        <v>0</v>
      </c>
      <c r="DO30" s="213" t="s">
        <v>295</v>
      </c>
      <c r="DP30" s="214">
        <v>2</v>
      </c>
      <c r="DQ30" s="214">
        <v>1</v>
      </c>
      <c r="DR30" s="214">
        <v>0</v>
      </c>
      <c r="DS30" s="214">
        <v>0</v>
      </c>
      <c r="DT30" s="214">
        <v>2</v>
      </c>
      <c r="DU30" s="214">
        <v>0</v>
      </c>
      <c r="DV30" s="214">
        <v>0</v>
      </c>
      <c r="DW30" s="214">
        <v>0</v>
      </c>
      <c r="DX30" s="215">
        <v>0</v>
      </c>
      <c r="DY30" s="216">
        <f>1+1/3</f>
        <v>1.3333333333333333</v>
      </c>
      <c r="DZ30" s="217">
        <v>1</v>
      </c>
      <c r="EA30" s="217">
        <v>0</v>
      </c>
      <c r="EB30" s="218">
        <f>6+2/3</f>
        <v>6.666666666666667</v>
      </c>
      <c r="EC30" s="217">
        <v>1</v>
      </c>
      <c r="ED30" s="219">
        <v>0</v>
      </c>
      <c r="EE30" s="220">
        <v>0</v>
      </c>
      <c r="EF30" s="217">
        <v>0</v>
      </c>
      <c r="EG30" s="217">
        <v>0</v>
      </c>
      <c r="EH30" s="217">
        <v>2</v>
      </c>
      <c r="EI30" s="217">
        <v>0</v>
      </c>
      <c r="EJ30" s="217">
        <v>0</v>
      </c>
      <c r="EK30" s="217">
        <v>0</v>
      </c>
      <c r="EL30" s="217">
        <v>5</v>
      </c>
      <c r="EM30" s="217"/>
      <c r="EN30" s="217"/>
      <c r="EO30" s="217"/>
      <c r="EP30" s="217"/>
      <c r="EQ30" s="217"/>
      <c r="ER30" s="219">
        <f t="shared" si="0"/>
        <v>7</v>
      </c>
      <c r="ES30" s="217">
        <v>0</v>
      </c>
      <c r="ET30" s="217">
        <v>0</v>
      </c>
      <c r="EU30" s="217">
        <v>0</v>
      </c>
      <c r="EV30" s="217">
        <v>0</v>
      </c>
      <c r="EW30" s="217">
        <v>1</v>
      </c>
      <c r="EX30" s="217">
        <v>0</v>
      </c>
      <c r="EY30" s="217">
        <v>0</v>
      </c>
      <c r="EZ30" s="217">
        <v>4</v>
      </c>
      <c r="FA30" s="217">
        <v>0</v>
      </c>
      <c r="FB30" s="217"/>
      <c r="FC30" s="217"/>
      <c r="FD30" s="217"/>
      <c r="FE30" s="217"/>
      <c r="FF30" s="217">
        <f t="shared" si="1"/>
        <v>5</v>
      </c>
      <c r="FG30" s="221">
        <f t="shared" ref="FG30:FG35" si="8">((SUM(L30,AD30))-(FF30))</f>
        <v>0</v>
      </c>
      <c r="FH30" s="221">
        <f t="shared" ref="FH30:FH35" si="9">((SUM(AO30,AY30,BI30,BS30,CC30,CM30,CW30,DG30,DQ30))-(ER30))</f>
        <v>0</v>
      </c>
      <c r="FI30" s="222"/>
    </row>
    <row r="31" spans="1:165" x14ac:dyDescent="0.25">
      <c r="A31" s="204">
        <v>40379</v>
      </c>
      <c r="B31" s="204" t="s">
        <v>133</v>
      </c>
      <c r="C31" s="204" t="s">
        <v>129</v>
      </c>
      <c r="D31" s="204" t="s">
        <v>453</v>
      </c>
      <c r="E31" s="205">
        <v>478</v>
      </c>
      <c r="F31" s="206">
        <v>3</v>
      </c>
      <c r="G31" s="207" t="s">
        <v>299</v>
      </c>
      <c r="H31" s="208">
        <v>1</v>
      </c>
      <c r="I31" s="208">
        <v>0</v>
      </c>
      <c r="J31" s="209">
        <v>5</v>
      </c>
      <c r="K31" s="208">
        <v>3</v>
      </c>
      <c r="L31" s="208">
        <v>1</v>
      </c>
      <c r="M31" s="208">
        <v>1</v>
      </c>
      <c r="N31" s="208">
        <v>2</v>
      </c>
      <c r="O31" s="208">
        <v>2</v>
      </c>
      <c r="P31" s="208">
        <v>0</v>
      </c>
      <c r="Q31" s="208">
        <v>1</v>
      </c>
      <c r="R31" s="208">
        <v>20</v>
      </c>
      <c r="S31" s="208"/>
      <c r="T31" s="208"/>
      <c r="U31" s="208">
        <v>0</v>
      </c>
      <c r="V31" s="210">
        <v>0</v>
      </c>
      <c r="W31" s="211">
        <v>0</v>
      </c>
      <c r="X31" s="211">
        <v>0</v>
      </c>
      <c r="Y31" s="211">
        <v>0</v>
      </c>
      <c r="Z31" s="211">
        <v>0</v>
      </c>
      <c r="AA31" s="211">
        <v>0</v>
      </c>
      <c r="AB31" s="212">
        <v>4</v>
      </c>
      <c r="AC31" s="211">
        <v>3</v>
      </c>
      <c r="AD31" s="211">
        <v>1</v>
      </c>
      <c r="AE31" s="211">
        <v>0</v>
      </c>
      <c r="AF31" s="211">
        <v>1</v>
      </c>
      <c r="AG31" s="211">
        <v>2</v>
      </c>
      <c r="AH31" s="211">
        <v>0</v>
      </c>
      <c r="AI31" s="211">
        <v>0</v>
      </c>
      <c r="AJ31" s="211">
        <v>16</v>
      </c>
      <c r="AK31" s="211"/>
      <c r="AL31" s="211"/>
      <c r="AM31" s="213" t="s">
        <v>429</v>
      </c>
      <c r="AN31" s="214">
        <v>5</v>
      </c>
      <c r="AO31" s="214">
        <v>0</v>
      </c>
      <c r="AP31" s="214">
        <v>2</v>
      </c>
      <c r="AQ31" s="214">
        <v>1</v>
      </c>
      <c r="AR31" s="214">
        <v>0</v>
      </c>
      <c r="AS31" s="214">
        <v>2</v>
      </c>
      <c r="AT31" s="214">
        <v>0</v>
      </c>
      <c r="AU31" s="214">
        <v>0</v>
      </c>
      <c r="AV31" s="215">
        <v>3</v>
      </c>
      <c r="AW31" s="213" t="s">
        <v>298</v>
      </c>
      <c r="AX31" s="214">
        <v>4</v>
      </c>
      <c r="AY31" s="214">
        <v>0</v>
      </c>
      <c r="AZ31" s="214">
        <v>1</v>
      </c>
      <c r="BA31" s="214">
        <v>2</v>
      </c>
      <c r="BB31" s="214">
        <v>1</v>
      </c>
      <c r="BC31" s="214">
        <v>1</v>
      </c>
      <c r="BD31" s="214">
        <v>0</v>
      </c>
      <c r="BE31" s="214">
        <v>0</v>
      </c>
      <c r="BF31" s="215">
        <v>1</v>
      </c>
      <c r="BG31" s="213" t="s">
        <v>431</v>
      </c>
      <c r="BH31" s="214">
        <v>4</v>
      </c>
      <c r="BI31" s="214">
        <v>1</v>
      </c>
      <c r="BJ31" s="214">
        <v>0</v>
      </c>
      <c r="BK31" s="214">
        <v>0</v>
      </c>
      <c r="BL31" s="214">
        <v>1</v>
      </c>
      <c r="BM31" s="214">
        <v>1</v>
      </c>
      <c r="BN31" s="214">
        <v>0</v>
      </c>
      <c r="BO31" s="214">
        <v>0</v>
      </c>
      <c r="BP31" s="215">
        <v>0</v>
      </c>
      <c r="BQ31" s="213" t="s">
        <v>302</v>
      </c>
      <c r="BR31" s="214">
        <v>4</v>
      </c>
      <c r="BS31" s="214">
        <v>1</v>
      </c>
      <c r="BT31" s="214">
        <v>2</v>
      </c>
      <c r="BU31" s="214">
        <v>1</v>
      </c>
      <c r="BV31" s="214">
        <v>0</v>
      </c>
      <c r="BW31" s="214">
        <v>1</v>
      </c>
      <c r="BX31" s="214">
        <v>0</v>
      </c>
      <c r="BY31" s="214">
        <v>0</v>
      </c>
      <c r="BZ31" s="215">
        <v>3</v>
      </c>
      <c r="CA31" s="213" t="s">
        <v>436</v>
      </c>
      <c r="CB31" s="214">
        <v>3</v>
      </c>
      <c r="CC31" s="214">
        <v>1</v>
      </c>
      <c r="CD31" s="214">
        <v>0</v>
      </c>
      <c r="CE31" s="214">
        <v>0</v>
      </c>
      <c r="CF31" s="214">
        <v>1</v>
      </c>
      <c r="CG31" s="214">
        <v>1</v>
      </c>
      <c r="CH31" s="214">
        <v>0</v>
      </c>
      <c r="CI31" s="214">
        <v>0</v>
      </c>
      <c r="CJ31" s="215">
        <v>0</v>
      </c>
      <c r="CK31" s="213" t="s">
        <v>433</v>
      </c>
      <c r="CL31" s="214">
        <v>3</v>
      </c>
      <c r="CM31" s="214">
        <v>1</v>
      </c>
      <c r="CN31" s="214">
        <v>1</v>
      </c>
      <c r="CO31" s="214">
        <v>0</v>
      </c>
      <c r="CP31" s="214">
        <v>0</v>
      </c>
      <c r="CQ31" s="214">
        <v>1</v>
      </c>
      <c r="CR31" s="214">
        <v>0</v>
      </c>
      <c r="CS31" s="214">
        <v>0</v>
      </c>
      <c r="CT31" s="215">
        <v>2</v>
      </c>
      <c r="CU31" s="213" t="s">
        <v>304</v>
      </c>
      <c r="CV31" s="214">
        <v>4</v>
      </c>
      <c r="CW31" s="214">
        <v>3</v>
      </c>
      <c r="CX31" s="214">
        <v>3</v>
      </c>
      <c r="CY31" s="214">
        <v>2</v>
      </c>
      <c r="CZ31" s="214">
        <v>0</v>
      </c>
      <c r="DA31" s="214">
        <v>0</v>
      </c>
      <c r="DB31" s="214">
        <v>0</v>
      </c>
      <c r="DC31" s="214">
        <v>0</v>
      </c>
      <c r="DD31" s="215">
        <v>4</v>
      </c>
      <c r="DE31" s="213" t="s">
        <v>434</v>
      </c>
      <c r="DF31" s="214">
        <v>1</v>
      </c>
      <c r="DG31" s="214">
        <v>1</v>
      </c>
      <c r="DH31" s="214">
        <v>0</v>
      </c>
      <c r="DI31" s="214">
        <v>0</v>
      </c>
      <c r="DJ31" s="214">
        <v>3</v>
      </c>
      <c r="DK31" s="214">
        <v>0</v>
      </c>
      <c r="DL31" s="214">
        <v>0</v>
      </c>
      <c r="DM31" s="214">
        <v>0</v>
      </c>
      <c r="DN31" s="215">
        <v>0</v>
      </c>
      <c r="DO31" s="213" t="s">
        <v>295</v>
      </c>
      <c r="DP31" s="214">
        <v>3</v>
      </c>
      <c r="DQ31" s="214">
        <v>0</v>
      </c>
      <c r="DR31" s="214">
        <v>1</v>
      </c>
      <c r="DS31" s="214">
        <v>0</v>
      </c>
      <c r="DT31" s="214">
        <v>1</v>
      </c>
      <c r="DU31" s="214">
        <v>1</v>
      </c>
      <c r="DV31" s="214">
        <v>0</v>
      </c>
      <c r="DW31" s="214">
        <v>0</v>
      </c>
      <c r="DX31" s="215">
        <v>1</v>
      </c>
      <c r="DY31" s="216">
        <v>2</v>
      </c>
      <c r="DZ31" s="217">
        <v>0</v>
      </c>
      <c r="EA31" s="217">
        <v>0</v>
      </c>
      <c r="EB31" s="218">
        <v>7</v>
      </c>
      <c r="EC31" s="217">
        <v>1</v>
      </c>
      <c r="ED31" s="219">
        <v>1</v>
      </c>
      <c r="EE31" s="220">
        <v>0</v>
      </c>
      <c r="EF31" s="217">
        <v>0</v>
      </c>
      <c r="EG31" s="217">
        <v>1</v>
      </c>
      <c r="EH31" s="217">
        <v>5</v>
      </c>
      <c r="EI31" s="217">
        <v>0</v>
      </c>
      <c r="EJ31" s="217">
        <v>2</v>
      </c>
      <c r="EK31" s="217">
        <v>0</v>
      </c>
      <c r="EL31" s="217">
        <v>0</v>
      </c>
      <c r="EM31" s="217">
        <v>0</v>
      </c>
      <c r="EN31" s="217"/>
      <c r="EO31" s="217"/>
      <c r="EP31" s="217"/>
      <c r="EQ31" s="217"/>
      <c r="ER31" s="219">
        <f t="shared" si="0"/>
        <v>8</v>
      </c>
      <c r="ES31" s="217">
        <v>0</v>
      </c>
      <c r="ET31" s="217">
        <v>0</v>
      </c>
      <c r="EU31" s="217">
        <v>0</v>
      </c>
      <c r="EV31" s="217">
        <v>0</v>
      </c>
      <c r="EW31" s="217">
        <v>1</v>
      </c>
      <c r="EX31" s="217">
        <v>0</v>
      </c>
      <c r="EY31" s="217">
        <v>0</v>
      </c>
      <c r="EZ31" s="217">
        <v>1</v>
      </c>
      <c r="FA31" s="217">
        <v>0</v>
      </c>
      <c r="FB31" s="217"/>
      <c r="FC31" s="217"/>
      <c r="FD31" s="217"/>
      <c r="FE31" s="217"/>
      <c r="FF31" s="217">
        <f t="shared" si="1"/>
        <v>2</v>
      </c>
      <c r="FG31" s="221">
        <f t="shared" si="8"/>
        <v>0</v>
      </c>
      <c r="FH31" s="221">
        <f t="shared" si="9"/>
        <v>0</v>
      </c>
      <c r="FI31" s="222"/>
    </row>
    <row r="32" spans="1:165" x14ac:dyDescent="0.25">
      <c r="A32" s="204">
        <v>40380</v>
      </c>
      <c r="B32" s="204" t="s">
        <v>133</v>
      </c>
      <c r="C32" s="204" t="s">
        <v>131</v>
      </c>
      <c r="D32" s="204" t="s">
        <v>453</v>
      </c>
      <c r="E32" s="205">
        <v>485</v>
      </c>
      <c r="F32" s="206">
        <v>4</v>
      </c>
      <c r="G32" s="207" t="s">
        <v>307</v>
      </c>
      <c r="H32" s="208">
        <v>0</v>
      </c>
      <c r="I32" s="208">
        <v>0</v>
      </c>
      <c r="J32" s="209">
        <v>5</v>
      </c>
      <c r="K32" s="208">
        <v>6</v>
      </c>
      <c r="L32" s="208">
        <v>2</v>
      </c>
      <c r="M32" s="208">
        <v>2</v>
      </c>
      <c r="N32" s="208">
        <v>0</v>
      </c>
      <c r="O32" s="208">
        <v>3</v>
      </c>
      <c r="P32" s="208">
        <v>1</v>
      </c>
      <c r="Q32" s="208">
        <v>0</v>
      </c>
      <c r="R32" s="208">
        <v>20</v>
      </c>
      <c r="S32" s="208"/>
      <c r="T32" s="208"/>
      <c r="U32" s="208">
        <v>0</v>
      </c>
      <c r="V32" s="210">
        <v>0</v>
      </c>
      <c r="W32" s="211">
        <v>0</v>
      </c>
      <c r="X32" s="211">
        <v>1</v>
      </c>
      <c r="Y32" s="211">
        <v>0</v>
      </c>
      <c r="Z32" s="211">
        <v>0</v>
      </c>
      <c r="AA32" s="211">
        <v>1</v>
      </c>
      <c r="AB32" s="212">
        <f>7+1/3</f>
        <v>7.333333333333333</v>
      </c>
      <c r="AC32" s="211">
        <v>7</v>
      </c>
      <c r="AD32" s="211">
        <v>4</v>
      </c>
      <c r="AE32" s="211">
        <v>4</v>
      </c>
      <c r="AF32" s="211">
        <v>0</v>
      </c>
      <c r="AG32" s="211">
        <v>6</v>
      </c>
      <c r="AH32" s="211">
        <v>1</v>
      </c>
      <c r="AI32" s="211">
        <v>1</v>
      </c>
      <c r="AJ32" s="211">
        <v>30</v>
      </c>
      <c r="AK32" s="211"/>
      <c r="AL32" s="211"/>
      <c r="AM32" s="213" t="s">
        <v>429</v>
      </c>
      <c r="AN32" s="214">
        <v>6</v>
      </c>
      <c r="AO32" s="214">
        <v>0</v>
      </c>
      <c r="AP32" s="214">
        <v>1</v>
      </c>
      <c r="AQ32" s="214">
        <v>0</v>
      </c>
      <c r="AR32" s="214">
        <v>0</v>
      </c>
      <c r="AS32" s="214">
        <v>3</v>
      </c>
      <c r="AT32" s="214">
        <v>0</v>
      </c>
      <c r="AU32" s="214">
        <v>0</v>
      </c>
      <c r="AV32" s="215">
        <v>1</v>
      </c>
      <c r="AW32" s="213" t="s">
        <v>298</v>
      </c>
      <c r="AX32" s="214">
        <v>5</v>
      </c>
      <c r="AY32" s="214">
        <v>1</v>
      </c>
      <c r="AZ32" s="214">
        <v>1</v>
      </c>
      <c r="BA32" s="214">
        <v>1</v>
      </c>
      <c r="BB32" s="214">
        <v>1</v>
      </c>
      <c r="BC32" s="214">
        <v>0</v>
      </c>
      <c r="BD32" s="214">
        <v>0</v>
      </c>
      <c r="BE32" s="214">
        <v>0</v>
      </c>
      <c r="BF32" s="215">
        <v>3</v>
      </c>
      <c r="BG32" s="213" t="s">
        <v>431</v>
      </c>
      <c r="BH32" s="214">
        <v>5</v>
      </c>
      <c r="BI32" s="214">
        <v>1</v>
      </c>
      <c r="BJ32" s="214">
        <v>1</v>
      </c>
      <c r="BK32" s="214">
        <v>2</v>
      </c>
      <c r="BL32" s="214">
        <v>1</v>
      </c>
      <c r="BM32" s="214">
        <v>1</v>
      </c>
      <c r="BN32" s="214">
        <v>0</v>
      </c>
      <c r="BO32" s="214">
        <v>0</v>
      </c>
      <c r="BP32" s="215">
        <v>4</v>
      </c>
      <c r="BQ32" s="213" t="s">
        <v>297</v>
      </c>
      <c r="BR32" s="214">
        <v>6</v>
      </c>
      <c r="BS32" s="214">
        <v>0</v>
      </c>
      <c r="BT32" s="214">
        <v>1</v>
      </c>
      <c r="BU32" s="214">
        <v>0</v>
      </c>
      <c r="BV32" s="214">
        <v>0</v>
      </c>
      <c r="BW32" s="214">
        <v>3</v>
      </c>
      <c r="BX32" s="214">
        <v>0</v>
      </c>
      <c r="BY32" s="214">
        <v>0</v>
      </c>
      <c r="BZ32" s="215">
        <v>1</v>
      </c>
      <c r="CA32" s="213" t="s">
        <v>433</v>
      </c>
      <c r="CB32" s="214">
        <v>5</v>
      </c>
      <c r="CC32" s="214">
        <v>0</v>
      </c>
      <c r="CD32" s="214">
        <v>0</v>
      </c>
      <c r="CE32" s="214">
        <v>0</v>
      </c>
      <c r="CF32" s="214">
        <v>0</v>
      </c>
      <c r="CG32" s="214">
        <v>1</v>
      </c>
      <c r="CH32" s="214">
        <v>0</v>
      </c>
      <c r="CI32" s="214">
        <v>0</v>
      </c>
      <c r="CJ32" s="215">
        <v>0</v>
      </c>
      <c r="CK32" s="213" t="s">
        <v>296</v>
      </c>
      <c r="CL32" s="214">
        <v>4</v>
      </c>
      <c r="CM32" s="214">
        <v>0</v>
      </c>
      <c r="CN32" s="214">
        <v>1</v>
      </c>
      <c r="CO32" s="214">
        <v>0</v>
      </c>
      <c r="CP32" s="214">
        <v>1</v>
      </c>
      <c r="CQ32" s="214">
        <v>1</v>
      </c>
      <c r="CR32" s="214">
        <v>0</v>
      </c>
      <c r="CS32" s="214">
        <v>0</v>
      </c>
      <c r="CT32" s="215">
        <v>1</v>
      </c>
      <c r="CU32" s="213" t="s">
        <v>423</v>
      </c>
      <c r="CV32" s="214">
        <v>4</v>
      </c>
      <c r="CW32" s="214">
        <v>0</v>
      </c>
      <c r="CX32" s="214">
        <v>0</v>
      </c>
      <c r="CY32" s="214">
        <v>0</v>
      </c>
      <c r="CZ32" s="214">
        <v>1</v>
      </c>
      <c r="DA32" s="214">
        <v>3</v>
      </c>
      <c r="DB32" s="214">
        <v>0</v>
      </c>
      <c r="DC32" s="214">
        <v>0</v>
      </c>
      <c r="DD32" s="215">
        <v>0</v>
      </c>
      <c r="DE32" s="213" t="s">
        <v>304</v>
      </c>
      <c r="DF32" s="214">
        <v>5</v>
      </c>
      <c r="DG32" s="214">
        <v>1</v>
      </c>
      <c r="DH32" s="214">
        <v>1</v>
      </c>
      <c r="DI32" s="214">
        <v>0</v>
      </c>
      <c r="DJ32" s="214">
        <v>0</v>
      </c>
      <c r="DK32" s="214">
        <v>0</v>
      </c>
      <c r="DL32" s="214">
        <v>0</v>
      </c>
      <c r="DM32" s="214">
        <v>0</v>
      </c>
      <c r="DN32" s="215">
        <v>2</v>
      </c>
      <c r="DO32" s="213" t="s">
        <v>436</v>
      </c>
      <c r="DP32" s="214">
        <v>5</v>
      </c>
      <c r="DQ32" s="214">
        <v>2</v>
      </c>
      <c r="DR32" s="214">
        <v>2</v>
      </c>
      <c r="DS32" s="214">
        <v>1</v>
      </c>
      <c r="DT32" s="214">
        <v>0</v>
      </c>
      <c r="DU32" s="214">
        <v>0</v>
      </c>
      <c r="DV32" s="214">
        <v>0</v>
      </c>
      <c r="DW32" s="214">
        <v>0</v>
      </c>
      <c r="DX32" s="215">
        <v>3</v>
      </c>
      <c r="DY32" s="216">
        <v>0</v>
      </c>
      <c r="DZ32" s="217">
        <v>0</v>
      </c>
      <c r="EA32" s="217">
        <v>0</v>
      </c>
      <c r="EB32" s="218">
        <v>13</v>
      </c>
      <c r="EC32" s="217">
        <v>4</v>
      </c>
      <c r="ED32" s="219">
        <v>2</v>
      </c>
      <c r="EE32" s="220">
        <v>0</v>
      </c>
      <c r="EF32" s="217">
        <v>0</v>
      </c>
      <c r="EG32" s="217">
        <v>0</v>
      </c>
      <c r="EH32" s="217">
        <v>0</v>
      </c>
      <c r="EI32" s="217">
        <v>0</v>
      </c>
      <c r="EJ32" s="217">
        <v>4</v>
      </c>
      <c r="EK32" s="217">
        <v>0</v>
      </c>
      <c r="EL32" s="217">
        <v>1</v>
      </c>
      <c r="EM32" s="217">
        <v>0</v>
      </c>
      <c r="EN32" s="217">
        <v>0</v>
      </c>
      <c r="EO32" s="217">
        <v>0</v>
      </c>
      <c r="EP32" s="217">
        <v>0</v>
      </c>
      <c r="EQ32" s="217">
        <v>0</v>
      </c>
      <c r="ER32" s="219">
        <f t="shared" si="0"/>
        <v>5</v>
      </c>
      <c r="ES32" s="217">
        <v>1</v>
      </c>
      <c r="ET32" s="217">
        <v>0</v>
      </c>
      <c r="EU32" s="217">
        <v>0</v>
      </c>
      <c r="EV32" s="217">
        <v>0</v>
      </c>
      <c r="EW32" s="217">
        <v>1</v>
      </c>
      <c r="EX32" s="217">
        <v>3</v>
      </c>
      <c r="EY32" s="217">
        <v>0</v>
      </c>
      <c r="EZ32" s="217">
        <v>0</v>
      </c>
      <c r="FA32" s="217">
        <v>0</v>
      </c>
      <c r="FB32" s="217">
        <v>0</v>
      </c>
      <c r="FC32" s="217">
        <v>0</v>
      </c>
      <c r="FD32" s="217">
        <v>0</v>
      </c>
      <c r="FE32" s="217">
        <v>1</v>
      </c>
      <c r="FF32" s="217">
        <f t="shared" si="1"/>
        <v>6</v>
      </c>
      <c r="FG32" s="221">
        <f t="shared" si="8"/>
        <v>0</v>
      </c>
      <c r="FH32" s="221">
        <f t="shared" si="9"/>
        <v>0</v>
      </c>
      <c r="FI32" s="222"/>
    </row>
    <row r="33" spans="1:165" x14ac:dyDescent="0.25">
      <c r="A33" s="204">
        <v>40381</v>
      </c>
      <c r="B33" s="204" t="s">
        <v>133</v>
      </c>
      <c r="C33" s="204" t="s">
        <v>129</v>
      </c>
      <c r="D33" s="204" t="s">
        <v>453</v>
      </c>
      <c r="E33" s="205">
        <v>2617</v>
      </c>
      <c r="F33" s="206">
        <v>5</v>
      </c>
      <c r="G33" s="207" t="s">
        <v>306</v>
      </c>
      <c r="H33" s="208">
        <v>1</v>
      </c>
      <c r="I33" s="208">
        <v>0</v>
      </c>
      <c r="J33" s="209">
        <v>5</v>
      </c>
      <c r="K33" s="208">
        <v>5</v>
      </c>
      <c r="L33" s="208">
        <v>1</v>
      </c>
      <c r="M33" s="208">
        <v>1</v>
      </c>
      <c r="N33" s="208">
        <v>3</v>
      </c>
      <c r="O33" s="208">
        <v>3</v>
      </c>
      <c r="P33" s="208">
        <v>1</v>
      </c>
      <c r="Q33" s="208">
        <v>0</v>
      </c>
      <c r="R33" s="208">
        <v>21</v>
      </c>
      <c r="S33" s="208"/>
      <c r="T33" s="208"/>
      <c r="U33" s="208">
        <v>0</v>
      </c>
      <c r="V33" s="210">
        <v>0</v>
      </c>
      <c r="W33" s="211">
        <v>0</v>
      </c>
      <c r="X33" s="211">
        <v>0</v>
      </c>
      <c r="Y33" s="211">
        <v>1</v>
      </c>
      <c r="Z33" s="211">
        <v>0</v>
      </c>
      <c r="AA33" s="211">
        <v>0</v>
      </c>
      <c r="AB33" s="212">
        <v>4</v>
      </c>
      <c r="AC33" s="211">
        <v>3</v>
      </c>
      <c r="AD33" s="211">
        <v>2</v>
      </c>
      <c r="AE33" s="211">
        <v>2</v>
      </c>
      <c r="AF33" s="211">
        <v>1</v>
      </c>
      <c r="AG33" s="211">
        <v>3</v>
      </c>
      <c r="AH33" s="211">
        <v>0</v>
      </c>
      <c r="AI33" s="211">
        <v>0</v>
      </c>
      <c r="AJ33" s="211">
        <v>15</v>
      </c>
      <c r="AK33" s="211"/>
      <c r="AL33" s="211"/>
      <c r="AM33" s="213" t="s">
        <v>429</v>
      </c>
      <c r="AN33" s="214">
        <v>2</v>
      </c>
      <c r="AO33" s="214">
        <v>2</v>
      </c>
      <c r="AP33" s="214">
        <v>0</v>
      </c>
      <c r="AQ33" s="214">
        <v>0</v>
      </c>
      <c r="AR33" s="214">
        <v>2</v>
      </c>
      <c r="AS33" s="214">
        <v>1</v>
      </c>
      <c r="AT33" s="214">
        <v>0</v>
      </c>
      <c r="AU33" s="214">
        <v>0</v>
      </c>
      <c r="AV33" s="215">
        <v>0</v>
      </c>
      <c r="AW33" s="213" t="s">
        <v>298</v>
      </c>
      <c r="AX33" s="214">
        <v>4</v>
      </c>
      <c r="AY33" s="214">
        <v>4</v>
      </c>
      <c r="AZ33" s="214">
        <v>4</v>
      </c>
      <c r="BA33" s="214">
        <v>3</v>
      </c>
      <c r="BB33" s="214">
        <v>0</v>
      </c>
      <c r="BC33" s="214">
        <v>0</v>
      </c>
      <c r="BD33" s="214">
        <v>1</v>
      </c>
      <c r="BE33" s="214">
        <v>0</v>
      </c>
      <c r="BF33" s="215">
        <v>12</v>
      </c>
      <c r="BG33" s="213" t="s">
        <v>431</v>
      </c>
      <c r="BH33" s="214">
        <v>5</v>
      </c>
      <c r="BI33" s="214">
        <v>0</v>
      </c>
      <c r="BJ33" s="214">
        <v>2</v>
      </c>
      <c r="BK33" s="214">
        <v>1</v>
      </c>
      <c r="BL33" s="214">
        <v>0</v>
      </c>
      <c r="BM33" s="214">
        <v>2</v>
      </c>
      <c r="BN33" s="214">
        <v>0</v>
      </c>
      <c r="BO33" s="214">
        <v>0</v>
      </c>
      <c r="BP33" s="215">
        <v>2</v>
      </c>
      <c r="BQ33" s="213" t="s">
        <v>302</v>
      </c>
      <c r="BR33" s="214">
        <v>4</v>
      </c>
      <c r="BS33" s="214">
        <v>0</v>
      </c>
      <c r="BT33" s="214">
        <v>1</v>
      </c>
      <c r="BU33" s="214">
        <v>2</v>
      </c>
      <c r="BV33" s="214">
        <v>0</v>
      </c>
      <c r="BW33" s="214">
        <v>1</v>
      </c>
      <c r="BX33" s="214">
        <v>0</v>
      </c>
      <c r="BY33" s="214">
        <v>0</v>
      </c>
      <c r="BZ33" s="215">
        <v>2</v>
      </c>
      <c r="CA33" s="213" t="s">
        <v>432</v>
      </c>
      <c r="CB33" s="214">
        <v>4</v>
      </c>
      <c r="CC33" s="214">
        <v>0</v>
      </c>
      <c r="CD33" s="214">
        <v>1</v>
      </c>
      <c r="CE33" s="214">
        <v>0</v>
      </c>
      <c r="CF33" s="214">
        <v>0</v>
      </c>
      <c r="CG33" s="214">
        <v>1</v>
      </c>
      <c r="CH33" s="214">
        <v>0</v>
      </c>
      <c r="CI33" s="214">
        <v>0</v>
      </c>
      <c r="CJ33" s="215">
        <v>1</v>
      </c>
      <c r="CK33" s="213" t="s">
        <v>296</v>
      </c>
      <c r="CL33" s="214">
        <v>4</v>
      </c>
      <c r="CM33" s="214">
        <v>0</v>
      </c>
      <c r="CN33" s="214">
        <v>0</v>
      </c>
      <c r="CO33" s="214">
        <v>0</v>
      </c>
      <c r="CP33" s="214">
        <v>0</v>
      </c>
      <c r="CQ33" s="214">
        <v>1</v>
      </c>
      <c r="CR33" s="214">
        <v>0</v>
      </c>
      <c r="CS33" s="214">
        <v>0</v>
      </c>
      <c r="CT33" s="215">
        <v>0</v>
      </c>
      <c r="CU33" s="213" t="s">
        <v>436</v>
      </c>
      <c r="CV33" s="214">
        <v>4</v>
      </c>
      <c r="CW33" s="214">
        <v>0</v>
      </c>
      <c r="CX33" s="214">
        <v>0</v>
      </c>
      <c r="CY33" s="214">
        <v>0</v>
      </c>
      <c r="CZ33" s="214">
        <v>0</v>
      </c>
      <c r="DA33" s="214">
        <v>1</v>
      </c>
      <c r="DB33" s="214">
        <v>0</v>
      </c>
      <c r="DC33" s="214">
        <v>0</v>
      </c>
      <c r="DD33" s="215">
        <v>0</v>
      </c>
      <c r="DE33" s="213" t="s">
        <v>434</v>
      </c>
      <c r="DF33" s="214">
        <v>4</v>
      </c>
      <c r="DG33" s="214">
        <v>0</v>
      </c>
      <c r="DH33" s="214">
        <v>0</v>
      </c>
      <c r="DI33" s="214">
        <v>0</v>
      </c>
      <c r="DJ33" s="214">
        <v>0</v>
      </c>
      <c r="DK33" s="214">
        <v>0</v>
      </c>
      <c r="DL33" s="214">
        <v>0</v>
      </c>
      <c r="DM33" s="214">
        <v>0</v>
      </c>
      <c r="DN33" s="215">
        <v>0</v>
      </c>
      <c r="DO33" s="213" t="s">
        <v>295</v>
      </c>
      <c r="DP33" s="214">
        <v>3</v>
      </c>
      <c r="DQ33" s="214">
        <v>1</v>
      </c>
      <c r="DR33" s="214">
        <v>0</v>
      </c>
      <c r="DS33" s="214">
        <v>0</v>
      </c>
      <c r="DT33" s="214">
        <v>0</v>
      </c>
      <c r="DU33" s="214">
        <v>1</v>
      </c>
      <c r="DV33" s="214">
        <v>1</v>
      </c>
      <c r="DW33" s="214">
        <v>0</v>
      </c>
      <c r="DX33" s="215">
        <v>0</v>
      </c>
      <c r="DY33" s="216">
        <v>2</v>
      </c>
      <c r="DZ33" s="217">
        <v>0</v>
      </c>
      <c r="EA33" s="217">
        <v>0</v>
      </c>
      <c r="EB33" s="218">
        <v>7</v>
      </c>
      <c r="EC33" s="217">
        <v>2</v>
      </c>
      <c r="ED33" s="219">
        <v>0</v>
      </c>
      <c r="EE33" s="220">
        <v>1</v>
      </c>
      <c r="EF33" s="217">
        <v>0</v>
      </c>
      <c r="EG33" s="217">
        <v>2</v>
      </c>
      <c r="EH33" s="217">
        <v>0</v>
      </c>
      <c r="EI33" s="217">
        <v>1</v>
      </c>
      <c r="EJ33" s="217">
        <v>0</v>
      </c>
      <c r="EK33" s="217">
        <v>0</v>
      </c>
      <c r="EL33" s="217">
        <v>1</v>
      </c>
      <c r="EM33" s="217">
        <v>2</v>
      </c>
      <c r="EN33" s="217"/>
      <c r="EO33" s="217"/>
      <c r="EP33" s="217"/>
      <c r="EQ33" s="217"/>
      <c r="ER33" s="219">
        <f t="shared" ref="ER33:ER41" si="10">SUM(EE33:EQ33)</f>
        <v>7</v>
      </c>
      <c r="ES33" s="217">
        <v>0</v>
      </c>
      <c r="ET33" s="217">
        <v>0</v>
      </c>
      <c r="EU33" s="217">
        <v>0</v>
      </c>
      <c r="EV33" s="217">
        <v>0</v>
      </c>
      <c r="EW33" s="217">
        <v>1</v>
      </c>
      <c r="EX33" s="217">
        <v>0</v>
      </c>
      <c r="EY33" s="217">
        <v>0</v>
      </c>
      <c r="EZ33" s="217">
        <v>0</v>
      </c>
      <c r="FA33" s="217">
        <v>2</v>
      </c>
      <c r="FB33" s="217"/>
      <c r="FC33" s="217"/>
      <c r="FD33" s="217"/>
      <c r="FE33" s="217"/>
      <c r="FF33" s="217">
        <f t="shared" ref="FF33:FF41" si="11">SUM(ES33:FE33)</f>
        <v>3</v>
      </c>
      <c r="FG33" s="221">
        <f t="shared" si="8"/>
        <v>0</v>
      </c>
      <c r="FH33" s="221">
        <f t="shared" si="9"/>
        <v>0</v>
      </c>
      <c r="FI33" s="222"/>
    </row>
    <row r="34" spans="1:165" x14ac:dyDescent="0.25">
      <c r="A34" s="204">
        <v>40382</v>
      </c>
      <c r="B34" s="204" t="s">
        <v>133</v>
      </c>
      <c r="C34" s="204" t="s">
        <v>129</v>
      </c>
      <c r="D34" s="204" t="s">
        <v>300</v>
      </c>
      <c r="E34" s="205">
        <v>777</v>
      </c>
      <c r="F34" s="206">
        <v>1</v>
      </c>
      <c r="G34" s="207" t="s">
        <v>305</v>
      </c>
      <c r="H34" s="208">
        <v>0</v>
      </c>
      <c r="I34" s="208">
        <v>0</v>
      </c>
      <c r="J34" s="209">
        <v>5</v>
      </c>
      <c r="K34" s="208">
        <v>4</v>
      </c>
      <c r="L34" s="208">
        <v>1</v>
      </c>
      <c r="M34" s="208">
        <v>1</v>
      </c>
      <c r="N34" s="208">
        <v>1</v>
      </c>
      <c r="O34" s="208">
        <v>5</v>
      </c>
      <c r="P34" s="208">
        <v>0</v>
      </c>
      <c r="Q34" s="208">
        <v>1</v>
      </c>
      <c r="R34" s="208">
        <v>20</v>
      </c>
      <c r="S34" s="208"/>
      <c r="T34" s="208"/>
      <c r="U34" s="208">
        <v>0</v>
      </c>
      <c r="V34" s="210">
        <v>0</v>
      </c>
      <c r="W34" s="211">
        <v>1</v>
      </c>
      <c r="X34" s="211">
        <v>0</v>
      </c>
      <c r="Y34" s="211">
        <v>0</v>
      </c>
      <c r="Z34" s="211">
        <v>1</v>
      </c>
      <c r="AA34" s="211">
        <v>0</v>
      </c>
      <c r="AB34" s="212">
        <v>4</v>
      </c>
      <c r="AC34" s="211">
        <v>4</v>
      </c>
      <c r="AD34" s="211">
        <v>1</v>
      </c>
      <c r="AE34" s="211">
        <v>1</v>
      </c>
      <c r="AF34" s="211">
        <v>1</v>
      </c>
      <c r="AG34" s="211">
        <v>5</v>
      </c>
      <c r="AH34" s="211">
        <v>0</v>
      </c>
      <c r="AI34" s="211">
        <v>0</v>
      </c>
      <c r="AJ34" s="211">
        <v>18</v>
      </c>
      <c r="AK34" s="211"/>
      <c r="AL34" s="211"/>
      <c r="AM34" s="213" t="s">
        <v>436</v>
      </c>
      <c r="AN34" s="214">
        <v>2</v>
      </c>
      <c r="AO34" s="214">
        <v>0</v>
      </c>
      <c r="AP34" s="214">
        <v>0</v>
      </c>
      <c r="AQ34" s="214">
        <v>0</v>
      </c>
      <c r="AR34" s="214">
        <v>1</v>
      </c>
      <c r="AS34" s="214">
        <v>0</v>
      </c>
      <c r="AT34" s="214">
        <v>0</v>
      </c>
      <c r="AU34" s="214">
        <v>0</v>
      </c>
      <c r="AV34" s="215">
        <v>0</v>
      </c>
      <c r="AW34" s="213" t="s">
        <v>298</v>
      </c>
      <c r="AX34" s="214">
        <v>4</v>
      </c>
      <c r="AY34" s="214">
        <v>1</v>
      </c>
      <c r="AZ34" s="214">
        <v>1</v>
      </c>
      <c r="BA34" s="214">
        <v>3</v>
      </c>
      <c r="BB34" s="214">
        <v>0</v>
      </c>
      <c r="BC34" s="214">
        <v>1</v>
      </c>
      <c r="BD34" s="214">
        <v>0</v>
      </c>
      <c r="BE34" s="214">
        <v>0</v>
      </c>
      <c r="BF34" s="215">
        <v>4</v>
      </c>
      <c r="BG34" s="213" t="s">
        <v>297</v>
      </c>
      <c r="BH34" s="214">
        <v>4</v>
      </c>
      <c r="BI34" s="214">
        <v>0</v>
      </c>
      <c r="BJ34" s="214">
        <v>0</v>
      </c>
      <c r="BK34" s="214">
        <v>0</v>
      </c>
      <c r="BL34" s="214">
        <v>0</v>
      </c>
      <c r="BM34" s="214">
        <v>0</v>
      </c>
      <c r="BN34" s="214">
        <v>0</v>
      </c>
      <c r="BO34" s="214">
        <v>0</v>
      </c>
      <c r="BP34" s="215">
        <v>0</v>
      </c>
      <c r="BQ34" s="213" t="s">
        <v>302</v>
      </c>
      <c r="BR34" s="214">
        <v>4</v>
      </c>
      <c r="BS34" s="214">
        <v>0</v>
      </c>
      <c r="BT34" s="214">
        <v>1</v>
      </c>
      <c r="BU34" s="214">
        <v>0</v>
      </c>
      <c r="BV34" s="214">
        <v>0</v>
      </c>
      <c r="BW34" s="214">
        <v>2</v>
      </c>
      <c r="BX34" s="214">
        <v>0</v>
      </c>
      <c r="BY34" s="214">
        <v>0</v>
      </c>
      <c r="BZ34" s="215">
        <v>2</v>
      </c>
      <c r="CA34" s="213" t="s">
        <v>432</v>
      </c>
      <c r="CB34" s="214">
        <v>3</v>
      </c>
      <c r="CC34" s="214">
        <v>0</v>
      </c>
      <c r="CD34" s="214">
        <v>2</v>
      </c>
      <c r="CE34" s="214">
        <v>0</v>
      </c>
      <c r="CF34" s="214">
        <v>1</v>
      </c>
      <c r="CG34" s="214">
        <v>0</v>
      </c>
      <c r="CH34" s="214">
        <v>0</v>
      </c>
      <c r="CI34" s="214">
        <v>0</v>
      </c>
      <c r="CJ34" s="215">
        <v>2</v>
      </c>
      <c r="CK34" s="213" t="s">
        <v>296</v>
      </c>
      <c r="CL34" s="214">
        <v>4</v>
      </c>
      <c r="CM34" s="214">
        <v>0</v>
      </c>
      <c r="CN34" s="214">
        <v>0</v>
      </c>
      <c r="CO34" s="214">
        <v>0</v>
      </c>
      <c r="CP34" s="214">
        <v>0</v>
      </c>
      <c r="CQ34" s="214">
        <v>2</v>
      </c>
      <c r="CR34" s="214">
        <v>0</v>
      </c>
      <c r="CS34" s="214">
        <v>0</v>
      </c>
      <c r="CT34" s="215">
        <v>0</v>
      </c>
      <c r="CU34" s="213" t="s">
        <v>304</v>
      </c>
      <c r="CV34" s="214">
        <v>4</v>
      </c>
      <c r="CW34" s="214">
        <v>0</v>
      </c>
      <c r="CX34" s="214">
        <v>1</v>
      </c>
      <c r="CY34" s="214">
        <v>0</v>
      </c>
      <c r="CZ34" s="214">
        <v>0</v>
      </c>
      <c r="DA34" s="214">
        <v>1</v>
      </c>
      <c r="DB34" s="214">
        <v>0</v>
      </c>
      <c r="DC34" s="214">
        <v>0</v>
      </c>
      <c r="DD34" s="215">
        <v>1</v>
      </c>
      <c r="DE34" s="213" t="s">
        <v>434</v>
      </c>
      <c r="DF34" s="214">
        <v>3</v>
      </c>
      <c r="DG34" s="214">
        <v>0</v>
      </c>
      <c r="DH34" s="214">
        <v>1</v>
      </c>
      <c r="DI34" s="214">
        <v>0</v>
      </c>
      <c r="DJ34" s="214">
        <v>0</v>
      </c>
      <c r="DK34" s="214">
        <v>0</v>
      </c>
      <c r="DL34" s="214">
        <v>0</v>
      </c>
      <c r="DM34" s="214">
        <v>0</v>
      </c>
      <c r="DN34" s="215">
        <v>1</v>
      </c>
      <c r="DO34" s="213" t="s">
        <v>295</v>
      </c>
      <c r="DP34" s="214">
        <v>2</v>
      </c>
      <c r="DQ34" s="214">
        <v>2</v>
      </c>
      <c r="DR34" s="214">
        <v>1</v>
      </c>
      <c r="DS34" s="214">
        <v>0</v>
      </c>
      <c r="DT34" s="214">
        <v>1</v>
      </c>
      <c r="DU34" s="214">
        <v>0</v>
      </c>
      <c r="DV34" s="214">
        <v>0</v>
      </c>
      <c r="DW34" s="214">
        <v>0</v>
      </c>
      <c r="DX34" s="215">
        <v>1</v>
      </c>
      <c r="DY34" s="216">
        <v>6</v>
      </c>
      <c r="DZ34" s="217">
        <v>0</v>
      </c>
      <c r="EA34" s="217">
        <v>1</v>
      </c>
      <c r="EB34" s="218">
        <v>3</v>
      </c>
      <c r="EC34" s="217">
        <v>1</v>
      </c>
      <c r="ED34" s="219">
        <v>0</v>
      </c>
      <c r="EE34" s="220">
        <v>0</v>
      </c>
      <c r="EF34" s="217">
        <v>0</v>
      </c>
      <c r="EG34" s="217">
        <v>0</v>
      </c>
      <c r="EH34" s="217">
        <v>0</v>
      </c>
      <c r="EI34" s="217">
        <v>0</v>
      </c>
      <c r="EJ34" s="217">
        <v>1</v>
      </c>
      <c r="EK34" s="217">
        <v>0</v>
      </c>
      <c r="EL34" s="217">
        <v>2</v>
      </c>
      <c r="EM34" s="217">
        <v>0</v>
      </c>
      <c r="EN34" s="217"/>
      <c r="EO34" s="217"/>
      <c r="EP34" s="217"/>
      <c r="EQ34" s="217"/>
      <c r="ER34" s="219">
        <f t="shared" si="10"/>
        <v>3</v>
      </c>
      <c r="ES34" s="217">
        <v>0</v>
      </c>
      <c r="ET34" s="217">
        <v>0</v>
      </c>
      <c r="EU34" s="217">
        <v>0</v>
      </c>
      <c r="EV34" s="217">
        <v>0</v>
      </c>
      <c r="EW34" s="217">
        <v>1</v>
      </c>
      <c r="EX34" s="217">
        <v>0</v>
      </c>
      <c r="EY34" s="217">
        <v>0</v>
      </c>
      <c r="EZ34" s="217">
        <v>0</v>
      </c>
      <c r="FA34" s="217">
        <v>1</v>
      </c>
      <c r="FB34" s="217"/>
      <c r="FC34" s="217"/>
      <c r="FD34" s="217"/>
      <c r="FE34" s="217"/>
      <c r="FF34" s="217">
        <f t="shared" si="11"/>
        <v>2</v>
      </c>
      <c r="FG34" s="221">
        <f t="shared" si="8"/>
        <v>0</v>
      </c>
      <c r="FH34" s="221">
        <f t="shared" si="9"/>
        <v>0</v>
      </c>
      <c r="FI34" s="222"/>
    </row>
    <row r="35" spans="1:165" x14ac:dyDescent="0.25">
      <c r="A35" s="204">
        <v>40383</v>
      </c>
      <c r="B35" s="204" t="s">
        <v>133</v>
      </c>
      <c r="C35" s="204" t="s">
        <v>131</v>
      </c>
      <c r="D35" s="204" t="s">
        <v>300</v>
      </c>
      <c r="E35" s="205">
        <v>772</v>
      </c>
      <c r="F35" s="206" t="s">
        <v>523</v>
      </c>
      <c r="G35" s="207" t="s">
        <v>632</v>
      </c>
      <c r="H35" s="208">
        <v>0</v>
      </c>
      <c r="I35" s="208">
        <v>0</v>
      </c>
      <c r="J35" s="209">
        <v>4</v>
      </c>
      <c r="K35" s="208">
        <v>6</v>
      </c>
      <c r="L35" s="208">
        <v>2</v>
      </c>
      <c r="M35" s="208">
        <v>1</v>
      </c>
      <c r="N35" s="208">
        <v>1</v>
      </c>
      <c r="O35" s="208">
        <v>4</v>
      </c>
      <c r="P35" s="208">
        <v>0</v>
      </c>
      <c r="Q35" s="208">
        <v>1</v>
      </c>
      <c r="R35" s="208">
        <v>19</v>
      </c>
      <c r="S35" s="208"/>
      <c r="T35" s="208"/>
      <c r="U35" s="208">
        <v>0</v>
      </c>
      <c r="V35" s="210">
        <v>0</v>
      </c>
      <c r="W35" s="211">
        <v>0</v>
      </c>
      <c r="X35" s="211">
        <v>1</v>
      </c>
      <c r="Y35" s="211">
        <v>0</v>
      </c>
      <c r="Z35" s="211">
        <v>0</v>
      </c>
      <c r="AA35" s="211">
        <v>0</v>
      </c>
      <c r="AB35" s="212">
        <v>4</v>
      </c>
      <c r="AC35" s="211">
        <v>9</v>
      </c>
      <c r="AD35" s="211">
        <v>6</v>
      </c>
      <c r="AE35" s="211">
        <v>5</v>
      </c>
      <c r="AF35" s="211">
        <v>2</v>
      </c>
      <c r="AG35" s="211">
        <v>3</v>
      </c>
      <c r="AH35" s="211">
        <v>0</v>
      </c>
      <c r="AI35" s="211">
        <v>0</v>
      </c>
      <c r="AJ35" s="211">
        <v>24</v>
      </c>
      <c r="AK35" s="211"/>
      <c r="AL35" s="211"/>
      <c r="AM35" s="213" t="s">
        <v>429</v>
      </c>
      <c r="AN35" s="214">
        <v>4</v>
      </c>
      <c r="AO35" s="214">
        <v>1</v>
      </c>
      <c r="AP35" s="214">
        <v>2</v>
      </c>
      <c r="AQ35" s="214">
        <v>0</v>
      </c>
      <c r="AR35" s="214">
        <v>0</v>
      </c>
      <c r="AS35" s="214">
        <v>0</v>
      </c>
      <c r="AT35" s="214">
        <v>1</v>
      </c>
      <c r="AU35" s="214">
        <v>0</v>
      </c>
      <c r="AV35" s="215">
        <v>4</v>
      </c>
      <c r="AW35" s="213" t="s">
        <v>298</v>
      </c>
      <c r="AX35" s="214">
        <v>5</v>
      </c>
      <c r="AY35" s="214">
        <v>0</v>
      </c>
      <c r="AZ35" s="214">
        <v>1</v>
      </c>
      <c r="BA35" s="214">
        <v>1</v>
      </c>
      <c r="BB35" s="214">
        <v>0</v>
      </c>
      <c r="BC35" s="214">
        <v>0</v>
      </c>
      <c r="BD35" s="214">
        <v>0</v>
      </c>
      <c r="BE35" s="214">
        <v>0</v>
      </c>
      <c r="BF35" s="215">
        <v>2</v>
      </c>
      <c r="BG35" s="213" t="s">
        <v>431</v>
      </c>
      <c r="BH35" s="214">
        <v>5</v>
      </c>
      <c r="BI35" s="214">
        <v>1</v>
      </c>
      <c r="BJ35" s="214">
        <v>1</v>
      </c>
      <c r="BK35" s="214">
        <v>0</v>
      </c>
      <c r="BL35" s="214">
        <v>0</v>
      </c>
      <c r="BM35" s="214">
        <v>0</v>
      </c>
      <c r="BN35" s="214">
        <v>0</v>
      </c>
      <c r="BO35" s="214">
        <v>0</v>
      </c>
      <c r="BP35" s="215">
        <v>1</v>
      </c>
      <c r="BQ35" s="213" t="s">
        <v>302</v>
      </c>
      <c r="BR35" s="214">
        <v>4</v>
      </c>
      <c r="BS35" s="214">
        <v>0</v>
      </c>
      <c r="BT35" s="214">
        <v>0</v>
      </c>
      <c r="BU35" s="214">
        <v>0</v>
      </c>
      <c r="BV35" s="214">
        <v>1</v>
      </c>
      <c r="BW35" s="214">
        <v>2</v>
      </c>
      <c r="BX35" s="214">
        <v>0</v>
      </c>
      <c r="BY35" s="214">
        <v>0</v>
      </c>
      <c r="BZ35" s="215">
        <v>0</v>
      </c>
      <c r="CA35" s="213" t="s">
        <v>297</v>
      </c>
      <c r="CB35" s="214">
        <v>3</v>
      </c>
      <c r="CC35" s="214">
        <v>0</v>
      </c>
      <c r="CD35" s="214">
        <v>1</v>
      </c>
      <c r="CE35" s="214">
        <v>0</v>
      </c>
      <c r="CF35" s="214">
        <v>1</v>
      </c>
      <c r="CG35" s="214">
        <v>0</v>
      </c>
      <c r="CH35" s="214">
        <v>0</v>
      </c>
      <c r="CI35" s="214">
        <v>0</v>
      </c>
      <c r="CJ35" s="215">
        <v>1</v>
      </c>
      <c r="CK35" s="213" t="s">
        <v>296</v>
      </c>
      <c r="CL35" s="214">
        <v>3</v>
      </c>
      <c r="CM35" s="214">
        <v>0</v>
      </c>
      <c r="CN35" s="214">
        <v>1</v>
      </c>
      <c r="CO35" s="214">
        <v>0</v>
      </c>
      <c r="CP35" s="214">
        <v>0</v>
      </c>
      <c r="CQ35" s="214">
        <v>0</v>
      </c>
      <c r="CR35" s="214">
        <v>1</v>
      </c>
      <c r="CS35" s="214">
        <v>0</v>
      </c>
      <c r="CT35" s="215">
        <v>1</v>
      </c>
      <c r="CU35" s="213" t="s">
        <v>433</v>
      </c>
      <c r="CV35" s="214">
        <v>4</v>
      </c>
      <c r="CW35" s="214">
        <v>0</v>
      </c>
      <c r="CX35" s="214">
        <v>1</v>
      </c>
      <c r="CY35" s="214">
        <v>0</v>
      </c>
      <c r="CZ35" s="214">
        <v>0</v>
      </c>
      <c r="DA35" s="214">
        <v>1</v>
      </c>
      <c r="DB35" s="214">
        <v>0</v>
      </c>
      <c r="DC35" s="214">
        <v>0</v>
      </c>
      <c r="DD35" s="215">
        <v>1</v>
      </c>
      <c r="DE35" s="213" t="s">
        <v>434</v>
      </c>
      <c r="DF35" s="214">
        <v>4</v>
      </c>
      <c r="DG35" s="214">
        <v>0</v>
      </c>
      <c r="DH35" s="214">
        <v>0</v>
      </c>
      <c r="DI35" s="214">
        <v>0</v>
      </c>
      <c r="DJ35" s="214">
        <v>0</v>
      </c>
      <c r="DK35" s="214">
        <v>3</v>
      </c>
      <c r="DL35" s="214">
        <v>0</v>
      </c>
      <c r="DM35" s="214">
        <v>0</v>
      </c>
      <c r="DN35" s="215">
        <v>0</v>
      </c>
      <c r="DO35" s="213" t="s">
        <v>304</v>
      </c>
      <c r="DP35" s="214">
        <v>3</v>
      </c>
      <c r="DQ35" s="214">
        <v>1</v>
      </c>
      <c r="DR35" s="214">
        <v>1</v>
      </c>
      <c r="DS35" s="214">
        <v>0</v>
      </c>
      <c r="DT35" s="214">
        <v>1</v>
      </c>
      <c r="DU35" s="214">
        <v>1</v>
      </c>
      <c r="DV35" s="214">
        <v>0</v>
      </c>
      <c r="DW35" s="214">
        <v>0</v>
      </c>
      <c r="DX35" s="215">
        <v>1</v>
      </c>
      <c r="DY35" s="216">
        <v>2</v>
      </c>
      <c r="DZ35" s="217">
        <v>0</v>
      </c>
      <c r="EA35" s="217">
        <v>0</v>
      </c>
      <c r="EB35" s="218">
        <v>7</v>
      </c>
      <c r="EC35" s="217">
        <v>2</v>
      </c>
      <c r="ED35" s="219">
        <v>0</v>
      </c>
      <c r="EE35" s="220">
        <v>1</v>
      </c>
      <c r="EF35" s="217">
        <v>0</v>
      </c>
      <c r="EG35" s="217">
        <v>1</v>
      </c>
      <c r="EH35" s="217">
        <v>0</v>
      </c>
      <c r="EI35" s="217">
        <v>0</v>
      </c>
      <c r="EJ35" s="217">
        <v>0</v>
      </c>
      <c r="EK35" s="217">
        <v>0</v>
      </c>
      <c r="EL35" s="217">
        <v>0</v>
      </c>
      <c r="EM35" s="217">
        <v>1</v>
      </c>
      <c r="EN35" s="217"/>
      <c r="EO35" s="217"/>
      <c r="EP35" s="217"/>
      <c r="EQ35" s="217"/>
      <c r="ER35" s="219">
        <f t="shared" si="10"/>
        <v>3</v>
      </c>
      <c r="ES35" s="217">
        <v>0</v>
      </c>
      <c r="ET35" s="217">
        <v>0</v>
      </c>
      <c r="EU35" s="217">
        <v>2</v>
      </c>
      <c r="EV35" s="217">
        <v>0</v>
      </c>
      <c r="EW35" s="217">
        <v>1</v>
      </c>
      <c r="EX35" s="217">
        <v>5</v>
      </c>
      <c r="EY35" s="217">
        <v>0</v>
      </c>
      <c r="EZ35" s="217">
        <v>0</v>
      </c>
      <c r="FA35" s="217"/>
      <c r="FB35" s="217"/>
      <c r="FC35" s="217"/>
      <c r="FD35" s="217"/>
      <c r="FE35" s="217"/>
      <c r="FF35" s="217">
        <f t="shared" si="11"/>
        <v>8</v>
      </c>
      <c r="FG35" s="221">
        <f t="shared" si="8"/>
        <v>0</v>
      </c>
      <c r="FH35" s="221">
        <f t="shared" si="9"/>
        <v>0</v>
      </c>
      <c r="FI35" s="222"/>
    </row>
    <row r="36" spans="1:165" x14ac:dyDescent="0.25">
      <c r="A36" s="204">
        <v>40384</v>
      </c>
      <c r="B36" s="204" t="s">
        <v>133</v>
      </c>
      <c r="C36" s="204" t="s">
        <v>129</v>
      </c>
      <c r="D36" s="204" t="s">
        <v>300</v>
      </c>
      <c r="E36" s="205">
        <v>627</v>
      </c>
      <c r="F36" s="206">
        <v>2</v>
      </c>
      <c r="G36" s="207" t="s">
        <v>428</v>
      </c>
      <c r="H36" s="208">
        <v>1</v>
      </c>
      <c r="I36" s="208">
        <v>0</v>
      </c>
      <c r="J36" s="209">
        <v>6</v>
      </c>
      <c r="K36" s="208">
        <v>4</v>
      </c>
      <c r="L36" s="208">
        <v>3</v>
      </c>
      <c r="M36" s="208">
        <v>1</v>
      </c>
      <c r="N36" s="208">
        <v>0</v>
      </c>
      <c r="O36" s="208">
        <v>7</v>
      </c>
      <c r="P36" s="208">
        <v>0</v>
      </c>
      <c r="Q36" s="208">
        <v>0</v>
      </c>
      <c r="R36" s="208">
        <v>23</v>
      </c>
      <c r="S36" s="208"/>
      <c r="T36" s="208"/>
      <c r="U36" s="208">
        <v>0</v>
      </c>
      <c r="V36" s="210">
        <v>0</v>
      </c>
      <c r="W36" s="211">
        <v>0</v>
      </c>
      <c r="X36" s="211">
        <v>0</v>
      </c>
      <c r="Y36" s="211">
        <v>0</v>
      </c>
      <c r="Z36" s="211">
        <v>0</v>
      </c>
      <c r="AA36" s="211">
        <v>0</v>
      </c>
      <c r="AB36" s="212">
        <v>3</v>
      </c>
      <c r="AC36" s="211">
        <v>7</v>
      </c>
      <c r="AD36" s="211">
        <v>6</v>
      </c>
      <c r="AE36" s="211">
        <v>5</v>
      </c>
      <c r="AF36" s="211">
        <v>1</v>
      </c>
      <c r="AG36" s="211">
        <v>2</v>
      </c>
      <c r="AH36" s="211">
        <v>1</v>
      </c>
      <c r="AI36" s="211">
        <v>0</v>
      </c>
      <c r="AJ36" s="211">
        <v>17</v>
      </c>
      <c r="AK36" s="211"/>
      <c r="AL36" s="211"/>
      <c r="AM36" s="213" t="s">
        <v>429</v>
      </c>
      <c r="AN36" s="214">
        <v>5</v>
      </c>
      <c r="AO36" s="214">
        <v>5</v>
      </c>
      <c r="AP36" s="214">
        <v>4</v>
      </c>
      <c r="AQ36" s="214">
        <v>0</v>
      </c>
      <c r="AR36" s="214">
        <v>2</v>
      </c>
      <c r="AS36" s="214">
        <v>0</v>
      </c>
      <c r="AT36" s="214">
        <v>0</v>
      </c>
      <c r="AU36" s="214">
        <v>0</v>
      </c>
      <c r="AV36" s="215">
        <v>6</v>
      </c>
      <c r="AW36" s="213" t="s">
        <v>297</v>
      </c>
      <c r="AX36" s="214">
        <v>4</v>
      </c>
      <c r="AY36" s="214">
        <v>2</v>
      </c>
      <c r="AZ36" s="214">
        <v>3</v>
      </c>
      <c r="BA36" s="214">
        <v>2</v>
      </c>
      <c r="BB36" s="214">
        <v>2</v>
      </c>
      <c r="BC36" s="214">
        <v>1</v>
      </c>
      <c r="BD36" s="214">
        <v>0</v>
      </c>
      <c r="BE36" s="214">
        <v>0</v>
      </c>
      <c r="BF36" s="215">
        <v>4</v>
      </c>
      <c r="BG36" s="213" t="s">
        <v>431</v>
      </c>
      <c r="BH36" s="214">
        <v>5</v>
      </c>
      <c r="BI36" s="214">
        <v>0</v>
      </c>
      <c r="BJ36" s="214">
        <v>1</v>
      </c>
      <c r="BK36" s="214">
        <v>3</v>
      </c>
      <c r="BL36" s="214">
        <v>0</v>
      </c>
      <c r="BM36" s="214">
        <v>0</v>
      </c>
      <c r="BN36" s="214">
        <v>0</v>
      </c>
      <c r="BO36" s="214">
        <v>1</v>
      </c>
      <c r="BP36" s="215">
        <v>1</v>
      </c>
      <c r="BQ36" s="213" t="s">
        <v>302</v>
      </c>
      <c r="BR36" s="214">
        <v>6</v>
      </c>
      <c r="BS36" s="214">
        <v>0</v>
      </c>
      <c r="BT36" s="214">
        <v>4</v>
      </c>
      <c r="BU36" s="214">
        <v>5</v>
      </c>
      <c r="BV36" s="214">
        <v>0</v>
      </c>
      <c r="BW36" s="214">
        <v>2</v>
      </c>
      <c r="BX36" s="214">
        <v>0</v>
      </c>
      <c r="BY36" s="214">
        <v>0</v>
      </c>
      <c r="BZ36" s="215">
        <v>5</v>
      </c>
      <c r="CA36" s="213" t="s">
        <v>432</v>
      </c>
      <c r="CB36" s="214">
        <v>5</v>
      </c>
      <c r="CC36" s="214">
        <v>0</v>
      </c>
      <c r="CD36" s="214">
        <v>0</v>
      </c>
      <c r="CE36" s="214">
        <v>0</v>
      </c>
      <c r="CF36" s="214">
        <v>1</v>
      </c>
      <c r="CG36" s="214">
        <v>1</v>
      </c>
      <c r="CH36" s="214">
        <v>0</v>
      </c>
      <c r="CI36" s="214">
        <v>0</v>
      </c>
      <c r="CJ36" s="215">
        <v>0</v>
      </c>
      <c r="CK36" s="213" t="s">
        <v>296</v>
      </c>
      <c r="CL36" s="214">
        <v>6</v>
      </c>
      <c r="CM36" s="214">
        <v>3</v>
      </c>
      <c r="CN36" s="214">
        <v>2</v>
      </c>
      <c r="CO36" s="214">
        <v>0</v>
      </c>
      <c r="CP36" s="214">
        <v>0</v>
      </c>
      <c r="CQ36" s="214">
        <v>1</v>
      </c>
      <c r="CR36" s="214">
        <v>0</v>
      </c>
      <c r="CS36" s="214">
        <v>0</v>
      </c>
      <c r="CT36" s="215">
        <v>4</v>
      </c>
      <c r="CU36" s="213" t="s">
        <v>436</v>
      </c>
      <c r="CV36" s="214">
        <v>5</v>
      </c>
      <c r="CW36" s="214">
        <v>3</v>
      </c>
      <c r="CX36" s="214">
        <v>4</v>
      </c>
      <c r="CY36" s="214">
        <v>2</v>
      </c>
      <c r="CZ36" s="214">
        <v>1</v>
      </c>
      <c r="DA36" s="214">
        <v>0</v>
      </c>
      <c r="DB36" s="214">
        <v>0</v>
      </c>
      <c r="DC36" s="214">
        <v>0</v>
      </c>
      <c r="DD36" s="215">
        <v>6</v>
      </c>
      <c r="DE36" s="213" t="s">
        <v>434</v>
      </c>
      <c r="DF36" s="214">
        <v>6</v>
      </c>
      <c r="DG36" s="214">
        <v>1</v>
      </c>
      <c r="DH36" s="214">
        <v>1</v>
      </c>
      <c r="DI36" s="214">
        <v>3</v>
      </c>
      <c r="DJ36" s="214">
        <v>0</v>
      </c>
      <c r="DK36" s="214">
        <v>1</v>
      </c>
      <c r="DL36" s="214">
        <v>0</v>
      </c>
      <c r="DM36" s="214">
        <v>0</v>
      </c>
      <c r="DN36" s="215">
        <v>2</v>
      </c>
      <c r="DO36" s="213" t="s">
        <v>295</v>
      </c>
      <c r="DP36" s="214">
        <v>3</v>
      </c>
      <c r="DQ36" s="214">
        <v>4</v>
      </c>
      <c r="DR36" s="214">
        <v>1</v>
      </c>
      <c r="DS36" s="214">
        <v>1</v>
      </c>
      <c r="DT36" s="214">
        <v>2</v>
      </c>
      <c r="DU36" s="214">
        <v>1</v>
      </c>
      <c r="DV36" s="214">
        <v>1</v>
      </c>
      <c r="DW36" s="214">
        <v>0</v>
      </c>
      <c r="DX36" s="215">
        <v>1</v>
      </c>
      <c r="DY36" s="216">
        <v>1</v>
      </c>
      <c r="DZ36" s="217">
        <v>0</v>
      </c>
      <c r="EA36" s="217">
        <v>0</v>
      </c>
      <c r="EB36" s="218">
        <v>8</v>
      </c>
      <c r="EC36" s="217">
        <v>0</v>
      </c>
      <c r="ED36" s="219">
        <v>0</v>
      </c>
      <c r="EE36" s="220">
        <v>1</v>
      </c>
      <c r="EF36" s="217">
        <v>4</v>
      </c>
      <c r="EG36" s="217">
        <v>4</v>
      </c>
      <c r="EH36" s="217">
        <v>0</v>
      </c>
      <c r="EI36" s="217">
        <v>2</v>
      </c>
      <c r="EJ36" s="217">
        <v>5</v>
      </c>
      <c r="EK36" s="217">
        <v>0</v>
      </c>
      <c r="EL36" s="217">
        <v>2</v>
      </c>
      <c r="EM36" s="217">
        <v>0</v>
      </c>
      <c r="EN36" s="217"/>
      <c r="EO36" s="217"/>
      <c r="EP36" s="217"/>
      <c r="EQ36" s="217"/>
      <c r="ER36" s="219">
        <f t="shared" si="10"/>
        <v>18</v>
      </c>
      <c r="ES36" s="217">
        <v>0</v>
      </c>
      <c r="ET36" s="217">
        <v>0</v>
      </c>
      <c r="EU36" s="217">
        <v>3</v>
      </c>
      <c r="EV36" s="217">
        <v>0</v>
      </c>
      <c r="EW36" s="217">
        <v>0</v>
      </c>
      <c r="EX36" s="217">
        <v>0</v>
      </c>
      <c r="EY36" s="217">
        <v>2</v>
      </c>
      <c r="EZ36" s="217">
        <v>3</v>
      </c>
      <c r="FA36" s="217">
        <v>1</v>
      </c>
      <c r="FB36" s="217"/>
      <c r="FC36" s="217"/>
      <c r="FD36" s="217"/>
      <c r="FE36" s="217"/>
      <c r="FF36" s="217">
        <f t="shared" si="11"/>
        <v>9</v>
      </c>
      <c r="FG36" s="221">
        <f t="shared" ref="FG36:FG41" si="12">((SUM(L36,AD36))-(FF36))</f>
        <v>0</v>
      </c>
      <c r="FH36" s="221">
        <f t="shared" ref="FH36:FH41" si="13">((SUM(AO36,AY36,BI36,BS36,CC36,CM36,CW36,DG36,DQ36))-(ER36))</f>
        <v>0</v>
      </c>
      <c r="FI36" s="222"/>
    </row>
    <row r="37" spans="1:165" x14ac:dyDescent="0.25">
      <c r="A37" s="204">
        <v>40385</v>
      </c>
      <c r="B37" s="204" t="s">
        <v>19</v>
      </c>
      <c r="C37" s="204" t="s">
        <v>131</v>
      </c>
      <c r="D37" s="204" t="s">
        <v>635</v>
      </c>
      <c r="E37" s="205">
        <v>576</v>
      </c>
      <c r="F37" s="206">
        <v>3</v>
      </c>
      <c r="G37" s="207" t="s">
        <v>299</v>
      </c>
      <c r="H37" s="208">
        <v>0</v>
      </c>
      <c r="I37" s="208">
        <v>0</v>
      </c>
      <c r="J37" s="209">
        <v>4</v>
      </c>
      <c r="K37" s="208">
        <v>5</v>
      </c>
      <c r="L37" s="208">
        <v>4</v>
      </c>
      <c r="M37" s="208">
        <v>1</v>
      </c>
      <c r="N37" s="208">
        <v>2</v>
      </c>
      <c r="O37" s="208">
        <v>5</v>
      </c>
      <c r="P37" s="208">
        <v>0</v>
      </c>
      <c r="Q37" s="208">
        <v>0</v>
      </c>
      <c r="R37" s="208">
        <v>20</v>
      </c>
      <c r="S37" s="208"/>
      <c r="T37" s="208"/>
      <c r="U37" s="208">
        <v>0</v>
      </c>
      <c r="V37" s="210">
        <v>0</v>
      </c>
      <c r="W37" s="211">
        <v>0</v>
      </c>
      <c r="X37" s="211">
        <v>1</v>
      </c>
      <c r="Y37" s="211">
        <v>0</v>
      </c>
      <c r="Z37" s="211">
        <v>0</v>
      </c>
      <c r="AA37" s="211">
        <v>0</v>
      </c>
      <c r="AB37" s="212">
        <v>5</v>
      </c>
      <c r="AC37" s="211">
        <v>5</v>
      </c>
      <c r="AD37" s="211">
        <v>2</v>
      </c>
      <c r="AE37" s="211">
        <v>1</v>
      </c>
      <c r="AF37" s="211">
        <v>2</v>
      </c>
      <c r="AG37" s="211">
        <v>5</v>
      </c>
      <c r="AH37" s="211">
        <v>1</v>
      </c>
      <c r="AI37" s="211">
        <v>0</v>
      </c>
      <c r="AJ37" s="211">
        <v>22</v>
      </c>
      <c r="AK37" s="211"/>
      <c r="AL37" s="211"/>
      <c r="AM37" s="213" t="s">
        <v>429</v>
      </c>
      <c r="AN37" s="214">
        <v>4</v>
      </c>
      <c r="AO37" s="214">
        <v>1</v>
      </c>
      <c r="AP37" s="214">
        <v>2</v>
      </c>
      <c r="AQ37" s="214">
        <v>1</v>
      </c>
      <c r="AR37" s="214">
        <v>1</v>
      </c>
      <c r="AS37" s="214">
        <v>1</v>
      </c>
      <c r="AT37" s="214">
        <v>0</v>
      </c>
      <c r="AU37" s="214">
        <v>0</v>
      </c>
      <c r="AV37" s="215">
        <v>4</v>
      </c>
      <c r="AW37" s="213" t="s">
        <v>298</v>
      </c>
      <c r="AX37" s="214">
        <v>5</v>
      </c>
      <c r="AY37" s="214">
        <v>1</v>
      </c>
      <c r="AZ37" s="214">
        <v>1</v>
      </c>
      <c r="BA37" s="214">
        <v>1</v>
      </c>
      <c r="BB37" s="214">
        <v>0</v>
      </c>
      <c r="BC37" s="214">
        <v>1</v>
      </c>
      <c r="BD37" s="214">
        <v>0</v>
      </c>
      <c r="BE37" s="214">
        <v>0</v>
      </c>
      <c r="BF37" s="215">
        <v>3</v>
      </c>
      <c r="BG37" s="213" t="s">
        <v>431</v>
      </c>
      <c r="BH37" s="214">
        <v>3</v>
      </c>
      <c r="BI37" s="214">
        <v>0</v>
      </c>
      <c r="BJ37" s="214">
        <v>0</v>
      </c>
      <c r="BK37" s="214">
        <v>0</v>
      </c>
      <c r="BL37" s="214">
        <v>1</v>
      </c>
      <c r="BM37" s="214">
        <v>3</v>
      </c>
      <c r="BN37" s="214">
        <v>0</v>
      </c>
      <c r="BO37" s="214">
        <v>0</v>
      </c>
      <c r="BP37" s="215">
        <v>0</v>
      </c>
      <c r="BQ37" s="213" t="s">
        <v>297</v>
      </c>
      <c r="BR37" s="214">
        <v>4</v>
      </c>
      <c r="BS37" s="214">
        <v>0</v>
      </c>
      <c r="BT37" s="214">
        <v>1</v>
      </c>
      <c r="BU37" s="214">
        <v>0</v>
      </c>
      <c r="BV37" s="214">
        <v>0</v>
      </c>
      <c r="BW37" s="214">
        <v>2</v>
      </c>
      <c r="BX37" s="214">
        <v>0</v>
      </c>
      <c r="BY37" s="214">
        <v>0</v>
      </c>
      <c r="BZ37" s="215">
        <v>2</v>
      </c>
      <c r="CA37" s="213" t="s">
        <v>432</v>
      </c>
      <c r="CB37" s="214">
        <v>4</v>
      </c>
      <c r="CC37" s="214">
        <v>0</v>
      </c>
      <c r="CD37" s="214">
        <v>1</v>
      </c>
      <c r="CE37" s="214">
        <v>1</v>
      </c>
      <c r="CF37" s="214">
        <v>0</v>
      </c>
      <c r="CG37" s="214">
        <v>0</v>
      </c>
      <c r="CH37" s="214">
        <v>0</v>
      </c>
      <c r="CI37" s="214">
        <v>0</v>
      </c>
      <c r="CJ37" s="215">
        <v>1</v>
      </c>
      <c r="CK37" s="213" t="s">
        <v>296</v>
      </c>
      <c r="CL37" s="214">
        <v>4</v>
      </c>
      <c r="CM37" s="214">
        <v>0</v>
      </c>
      <c r="CN37" s="214">
        <v>0</v>
      </c>
      <c r="CO37" s="214">
        <v>0</v>
      </c>
      <c r="CP37" s="214">
        <v>0</v>
      </c>
      <c r="CQ37" s="214">
        <v>1</v>
      </c>
      <c r="CR37" s="214">
        <v>0</v>
      </c>
      <c r="CS37" s="214">
        <v>0</v>
      </c>
      <c r="CT37" s="215">
        <v>0</v>
      </c>
      <c r="CU37" s="213" t="s">
        <v>436</v>
      </c>
      <c r="CV37" s="214">
        <v>3</v>
      </c>
      <c r="CW37" s="214">
        <v>1</v>
      </c>
      <c r="CX37" s="214">
        <v>1</v>
      </c>
      <c r="CY37" s="214">
        <v>0</v>
      </c>
      <c r="CZ37" s="214">
        <v>1</v>
      </c>
      <c r="DA37" s="214">
        <v>0</v>
      </c>
      <c r="DB37" s="214">
        <v>0</v>
      </c>
      <c r="DC37" s="214">
        <v>0</v>
      </c>
      <c r="DD37" s="215">
        <v>2</v>
      </c>
      <c r="DE37" s="213" t="s">
        <v>434</v>
      </c>
      <c r="DF37" s="214">
        <v>4</v>
      </c>
      <c r="DG37" s="214">
        <v>0</v>
      </c>
      <c r="DH37" s="214">
        <v>2</v>
      </c>
      <c r="DI37" s="214">
        <v>1</v>
      </c>
      <c r="DJ37" s="214">
        <v>0</v>
      </c>
      <c r="DK37" s="214">
        <v>1</v>
      </c>
      <c r="DL37" s="214">
        <v>0</v>
      </c>
      <c r="DM37" s="214">
        <v>0</v>
      </c>
      <c r="DN37" s="215">
        <v>3</v>
      </c>
      <c r="DO37" s="213" t="s">
        <v>304</v>
      </c>
      <c r="DP37" s="214">
        <v>4</v>
      </c>
      <c r="DQ37" s="214">
        <v>1</v>
      </c>
      <c r="DR37" s="214">
        <v>0</v>
      </c>
      <c r="DS37" s="214">
        <v>0</v>
      </c>
      <c r="DT37" s="214">
        <v>0</v>
      </c>
      <c r="DU37" s="214">
        <v>2</v>
      </c>
      <c r="DV37" s="214">
        <v>0</v>
      </c>
      <c r="DW37" s="214">
        <v>0</v>
      </c>
      <c r="DX37" s="215">
        <v>0</v>
      </c>
      <c r="DY37" s="216">
        <v>0</v>
      </c>
      <c r="DZ37" s="217">
        <v>0</v>
      </c>
      <c r="EA37" s="217">
        <v>0</v>
      </c>
      <c r="EB37" s="218">
        <v>9</v>
      </c>
      <c r="EC37" s="217">
        <v>2</v>
      </c>
      <c r="ED37" s="219">
        <v>1</v>
      </c>
      <c r="EE37" s="220">
        <v>2</v>
      </c>
      <c r="EF37" s="217">
        <v>1</v>
      </c>
      <c r="EG37" s="217">
        <v>0</v>
      </c>
      <c r="EH37" s="217">
        <v>1</v>
      </c>
      <c r="EI37" s="217">
        <v>0</v>
      </c>
      <c r="EJ37" s="217">
        <v>0</v>
      </c>
      <c r="EK37" s="217">
        <v>0</v>
      </c>
      <c r="EL37" s="217">
        <v>0</v>
      </c>
      <c r="EM37" s="217">
        <v>0</v>
      </c>
      <c r="EN37" s="217"/>
      <c r="EO37" s="217"/>
      <c r="EP37" s="217"/>
      <c r="EQ37" s="217"/>
      <c r="ER37" s="219">
        <f t="shared" si="10"/>
        <v>4</v>
      </c>
      <c r="ES37" s="217">
        <v>0</v>
      </c>
      <c r="ET37" s="217">
        <v>0</v>
      </c>
      <c r="EU37" s="217">
        <v>1</v>
      </c>
      <c r="EV37" s="217">
        <v>3</v>
      </c>
      <c r="EW37" s="217">
        <v>1</v>
      </c>
      <c r="EX37" s="217">
        <v>1</v>
      </c>
      <c r="EY37" s="217">
        <v>0</v>
      </c>
      <c r="EZ37" s="217">
        <v>0</v>
      </c>
      <c r="FA37" s="217">
        <v>0</v>
      </c>
      <c r="FB37" s="217"/>
      <c r="FC37" s="217"/>
      <c r="FD37" s="217"/>
      <c r="FE37" s="217"/>
      <c r="FF37" s="217">
        <f t="shared" si="11"/>
        <v>6</v>
      </c>
      <c r="FG37" s="221">
        <f t="shared" si="12"/>
        <v>0</v>
      </c>
      <c r="FH37" s="221">
        <f t="shared" si="13"/>
        <v>0</v>
      </c>
      <c r="FI37" s="222"/>
    </row>
    <row r="38" spans="1:165" x14ac:dyDescent="0.25">
      <c r="A38" s="204">
        <v>40386</v>
      </c>
      <c r="B38" s="204" t="s">
        <v>19</v>
      </c>
      <c r="C38" s="204" t="s">
        <v>129</v>
      </c>
      <c r="D38" s="204" t="s">
        <v>635</v>
      </c>
      <c r="E38" s="205">
        <v>720</v>
      </c>
      <c r="F38" s="206">
        <v>4</v>
      </c>
      <c r="G38" s="207" t="s">
        <v>307</v>
      </c>
      <c r="H38" s="208">
        <v>0</v>
      </c>
      <c r="I38" s="208">
        <v>0</v>
      </c>
      <c r="J38" s="209">
        <v>7</v>
      </c>
      <c r="K38" s="208">
        <v>4</v>
      </c>
      <c r="L38" s="208">
        <v>2</v>
      </c>
      <c r="M38" s="208">
        <v>2</v>
      </c>
      <c r="N38" s="208">
        <v>3</v>
      </c>
      <c r="O38" s="208">
        <v>5</v>
      </c>
      <c r="P38" s="208">
        <v>2</v>
      </c>
      <c r="Q38" s="208">
        <v>0</v>
      </c>
      <c r="R38" s="208">
        <v>26</v>
      </c>
      <c r="S38" s="208"/>
      <c r="T38" s="208"/>
      <c r="U38" s="208">
        <v>0</v>
      </c>
      <c r="V38" s="210">
        <v>0</v>
      </c>
      <c r="W38" s="211">
        <v>1</v>
      </c>
      <c r="X38" s="211">
        <v>0</v>
      </c>
      <c r="Y38" s="211">
        <v>0</v>
      </c>
      <c r="Z38" s="211">
        <v>0</v>
      </c>
      <c r="AA38" s="211">
        <v>0</v>
      </c>
      <c r="AB38" s="212">
        <v>3</v>
      </c>
      <c r="AC38" s="211">
        <v>5</v>
      </c>
      <c r="AD38" s="211">
        <v>0</v>
      </c>
      <c r="AE38" s="211">
        <v>0</v>
      </c>
      <c r="AF38" s="211">
        <v>0</v>
      </c>
      <c r="AG38" s="211">
        <v>1</v>
      </c>
      <c r="AH38" s="211">
        <v>0</v>
      </c>
      <c r="AI38" s="211">
        <v>0</v>
      </c>
      <c r="AJ38" s="211">
        <v>13</v>
      </c>
      <c r="AK38" s="211"/>
      <c r="AL38" s="211"/>
      <c r="AM38" s="213" t="s">
        <v>429</v>
      </c>
      <c r="AN38" s="214">
        <v>5</v>
      </c>
      <c r="AO38" s="214">
        <v>0</v>
      </c>
      <c r="AP38" s="214">
        <v>1</v>
      </c>
      <c r="AQ38" s="214">
        <v>0</v>
      </c>
      <c r="AR38" s="214">
        <v>0</v>
      </c>
      <c r="AS38" s="214">
        <v>1</v>
      </c>
      <c r="AT38" s="214">
        <v>0</v>
      </c>
      <c r="AU38" s="214">
        <v>0</v>
      </c>
      <c r="AV38" s="215">
        <v>1</v>
      </c>
      <c r="AW38" s="213" t="s">
        <v>298</v>
      </c>
      <c r="AX38" s="214">
        <v>4</v>
      </c>
      <c r="AY38" s="214">
        <v>0</v>
      </c>
      <c r="AZ38" s="214">
        <v>2</v>
      </c>
      <c r="BA38" s="214">
        <v>1</v>
      </c>
      <c r="BB38" s="214">
        <v>0</v>
      </c>
      <c r="BC38" s="214">
        <v>2</v>
      </c>
      <c r="BD38" s="214">
        <v>0</v>
      </c>
      <c r="BE38" s="214">
        <v>0</v>
      </c>
      <c r="BF38" s="215">
        <v>3</v>
      </c>
      <c r="BG38" s="213" t="s">
        <v>431</v>
      </c>
      <c r="BH38" s="214">
        <v>4</v>
      </c>
      <c r="BI38" s="214">
        <v>0</v>
      </c>
      <c r="BJ38" s="214">
        <v>1</v>
      </c>
      <c r="BK38" s="214">
        <v>2</v>
      </c>
      <c r="BL38" s="214">
        <v>0</v>
      </c>
      <c r="BM38" s="214">
        <v>0</v>
      </c>
      <c r="BN38" s="214">
        <v>0</v>
      </c>
      <c r="BO38" s="214">
        <v>0</v>
      </c>
      <c r="BP38" s="215">
        <v>2</v>
      </c>
      <c r="BQ38" s="213" t="s">
        <v>302</v>
      </c>
      <c r="BR38" s="214">
        <v>4</v>
      </c>
      <c r="BS38" s="214">
        <v>0</v>
      </c>
      <c r="BT38" s="214">
        <v>0</v>
      </c>
      <c r="BU38" s="214">
        <v>0</v>
      </c>
      <c r="BV38" s="214">
        <v>0</v>
      </c>
      <c r="BW38" s="214">
        <v>0</v>
      </c>
      <c r="BX38" s="214">
        <v>0</v>
      </c>
      <c r="BY38" s="214">
        <v>0</v>
      </c>
      <c r="BZ38" s="215">
        <v>0</v>
      </c>
      <c r="CA38" s="213" t="s">
        <v>432</v>
      </c>
      <c r="CB38" s="214">
        <v>4</v>
      </c>
      <c r="CC38" s="214">
        <v>0</v>
      </c>
      <c r="CD38" s="214">
        <v>0</v>
      </c>
      <c r="CE38" s="214">
        <v>0</v>
      </c>
      <c r="CF38" s="214">
        <v>0</v>
      </c>
      <c r="CG38" s="214">
        <v>1</v>
      </c>
      <c r="CH38" s="214">
        <v>0</v>
      </c>
      <c r="CI38" s="214">
        <v>0</v>
      </c>
      <c r="CJ38" s="215">
        <v>0</v>
      </c>
      <c r="CK38" s="213" t="s">
        <v>436</v>
      </c>
      <c r="CL38" s="214">
        <v>4</v>
      </c>
      <c r="CM38" s="214">
        <v>0</v>
      </c>
      <c r="CN38" s="214">
        <v>1</v>
      </c>
      <c r="CO38" s="214">
        <v>0</v>
      </c>
      <c r="CP38" s="214">
        <v>0</v>
      </c>
      <c r="CQ38" s="214">
        <v>0</v>
      </c>
      <c r="CR38" s="214">
        <v>0</v>
      </c>
      <c r="CS38" s="214">
        <v>0</v>
      </c>
      <c r="CT38" s="215">
        <v>1</v>
      </c>
      <c r="CU38" s="213" t="s">
        <v>430</v>
      </c>
      <c r="CV38" s="214">
        <v>4</v>
      </c>
      <c r="CW38" s="214">
        <v>0</v>
      </c>
      <c r="CX38" s="214">
        <v>0</v>
      </c>
      <c r="CY38" s="214">
        <v>0</v>
      </c>
      <c r="CZ38" s="214">
        <v>0</v>
      </c>
      <c r="DA38" s="214">
        <v>1</v>
      </c>
      <c r="DB38" s="214">
        <v>0</v>
      </c>
      <c r="DC38" s="214">
        <v>0</v>
      </c>
      <c r="DD38" s="215">
        <v>0</v>
      </c>
      <c r="DE38" s="213" t="s">
        <v>434</v>
      </c>
      <c r="DF38" s="214">
        <v>4</v>
      </c>
      <c r="DG38" s="214">
        <v>0</v>
      </c>
      <c r="DH38" s="214">
        <v>1</v>
      </c>
      <c r="DI38" s="214">
        <v>0</v>
      </c>
      <c r="DJ38" s="214">
        <v>0</v>
      </c>
      <c r="DK38" s="214">
        <v>0</v>
      </c>
      <c r="DL38" s="214">
        <v>0</v>
      </c>
      <c r="DM38" s="214">
        <v>0</v>
      </c>
      <c r="DN38" s="215">
        <v>1</v>
      </c>
      <c r="DO38" s="213" t="s">
        <v>295</v>
      </c>
      <c r="DP38" s="214">
        <v>3</v>
      </c>
      <c r="DQ38" s="214">
        <v>3</v>
      </c>
      <c r="DR38" s="214">
        <v>2</v>
      </c>
      <c r="DS38" s="214">
        <v>0</v>
      </c>
      <c r="DT38" s="214">
        <v>1</v>
      </c>
      <c r="DU38" s="214">
        <v>0</v>
      </c>
      <c r="DV38" s="214">
        <v>0</v>
      </c>
      <c r="DW38" s="214">
        <v>0</v>
      </c>
      <c r="DX38" s="215">
        <v>2</v>
      </c>
      <c r="DY38" s="216">
        <v>0</v>
      </c>
      <c r="DZ38" s="217">
        <v>0</v>
      </c>
      <c r="EA38" s="217">
        <v>0</v>
      </c>
      <c r="EB38" s="218">
        <f>9+1/3</f>
        <v>9.3333333333333339</v>
      </c>
      <c r="EC38" s="217">
        <v>3</v>
      </c>
      <c r="ED38" s="219">
        <v>0</v>
      </c>
      <c r="EE38" s="220">
        <v>0</v>
      </c>
      <c r="EF38" s="217">
        <v>0</v>
      </c>
      <c r="EG38" s="217">
        <v>0</v>
      </c>
      <c r="EH38" s="217">
        <v>0</v>
      </c>
      <c r="EI38" s="217">
        <v>0</v>
      </c>
      <c r="EJ38" s="217">
        <v>1</v>
      </c>
      <c r="EK38" s="217">
        <v>0</v>
      </c>
      <c r="EL38" s="217">
        <v>1</v>
      </c>
      <c r="EM38" s="217">
        <v>0</v>
      </c>
      <c r="EN38" s="217">
        <v>1</v>
      </c>
      <c r="EO38" s="217"/>
      <c r="EP38" s="217"/>
      <c r="EQ38" s="217"/>
      <c r="ER38" s="219">
        <f t="shared" si="10"/>
        <v>3</v>
      </c>
      <c r="ES38" s="217">
        <v>0</v>
      </c>
      <c r="ET38" s="217">
        <v>0</v>
      </c>
      <c r="EU38" s="217">
        <v>0</v>
      </c>
      <c r="EV38" s="217">
        <v>1</v>
      </c>
      <c r="EW38" s="217">
        <v>0</v>
      </c>
      <c r="EX38" s="217">
        <v>0</v>
      </c>
      <c r="EY38" s="217">
        <v>1</v>
      </c>
      <c r="EZ38" s="217">
        <v>0</v>
      </c>
      <c r="FA38" s="217">
        <v>0</v>
      </c>
      <c r="FB38" s="217">
        <v>0</v>
      </c>
      <c r="FC38" s="217"/>
      <c r="FD38" s="217"/>
      <c r="FE38" s="217"/>
      <c r="FF38" s="217">
        <f t="shared" si="11"/>
        <v>2</v>
      </c>
      <c r="FG38" s="221">
        <f t="shared" si="12"/>
        <v>0</v>
      </c>
      <c r="FH38" s="221">
        <f t="shared" si="13"/>
        <v>0</v>
      </c>
      <c r="FI38" s="222"/>
    </row>
    <row r="39" spans="1:165" x14ac:dyDescent="0.25">
      <c r="A39" s="204">
        <v>40387</v>
      </c>
      <c r="B39" s="204" t="s">
        <v>19</v>
      </c>
      <c r="C39" s="204" t="s">
        <v>129</v>
      </c>
      <c r="D39" s="204" t="s">
        <v>635</v>
      </c>
      <c r="E39" s="205">
        <v>938</v>
      </c>
      <c r="F39" s="206">
        <v>5</v>
      </c>
      <c r="G39" s="207" t="s">
        <v>306</v>
      </c>
      <c r="H39" s="208">
        <v>1</v>
      </c>
      <c r="I39" s="208">
        <v>0</v>
      </c>
      <c r="J39" s="209">
        <v>5</v>
      </c>
      <c r="K39" s="208">
        <v>4</v>
      </c>
      <c r="L39" s="208">
        <v>0</v>
      </c>
      <c r="M39" s="208">
        <v>0</v>
      </c>
      <c r="N39" s="208">
        <v>2</v>
      </c>
      <c r="O39" s="208">
        <v>1</v>
      </c>
      <c r="P39" s="208">
        <v>0</v>
      </c>
      <c r="Q39" s="208">
        <v>0</v>
      </c>
      <c r="R39" s="208">
        <v>21</v>
      </c>
      <c r="S39" s="208"/>
      <c r="T39" s="208"/>
      <c r="U39" s="208">
        <v>0</v>
      </c>
      <c r="V39" s="210">
        <v>0</v>
      </c>
      <c r="W39" s="211">
        <v>0</v>
      </c>
      <c r="X39" s="211">
        <v>0</v>
      </c>
      <c r="Y39" s="211">
        <v>1</v>
      </c>
      <c r="Z39" s="211">
        <v>0</v>
      </c>
      <c r="AA39" s="211">
        <v>0</v>
      </c>
      <c r="AB39" s="212">
        <v>4</v>
      </c>
      <c r="AC39" s="211">
        <v>6</v>
      </c>
      <c r="AD39" s="211">
        <v>2</v>
      </c>
      <c r="AE39" s="211">
        <v>2</v>
      </c>
      <c r="AF39" s="211">
        <v>1</v>
      </c>
      <c r="AG39" s="211">
        <v>4</v>
      </c>
      <c r="AH39" s="211">
        <v>1</v>
      </c>
      <c r="AI39" s="211">
        <v>0</v>
      </c>
      <c r="AJ39" s="211">
        <v>19</v>
      </c>
      <c r="AK39" s="211"/>
      <c r="AL39" s="211"/>
      <c r="AM39" s="213" t="s">
        <v>429</v>
      </c>
      <c r="AN39" s="214">
        <v>5</v>
      </c>
      <c r="AO39" s="214">
        <v>2</v>
      </c>
      <c r="AP39" s="214">
        <v>2</v>
      </c>
      <c r="AQ39" s="214">
        <v>0</v>
      </c>
      <c r="AR39" s="214">
        <v>0</v>
      </c>
      <c r="AS39" s="214">
        <v>2</v>
      </c>
      <c r="AT39" s="214">
        <v>0</v>
      </c>
      <c r="AU39" s="214">
        <v>0</v>
      </c>
      <c r="AV39" s="215">
        <v>4</v>
      </c>
      <c r="AW39" s="213" t="s">
        <v>298</v>
      </c>
      <c r="AX39" s="214">
        <v>2</v>
      </c>
      <c r="AY39" s="214">
        <v>2</v>
      </c>
      <c r="AZ39" s="214">
        <v>1</v>
      </c>
      <c r="BA39" s="214">
        <v>0</v>
      </c>
      <c r="BB39" s="214">
        <v>1</v>
      </c>
      <c r="BC39" s="214">
        <v>0</v>
      </c>
      <c r="BD39" s="214">
        <v>2</v>
      </c>
      <c r="BE39" s="214">
        <v>0</v>
      </c>
      <c r="BF39" s="215">
        <v>2</v>
      </c>
      <c r="BG39" s="213" t="s">
        <v>431</v>
      </c>
      <c r="BH39" s="214">
        <v>4</v>
      </c>
      <c r="BI39" s="214">
        <v>2</v>
      </c>
      <c r="BJ39" s="214">
        <v>1</v>
      </c>
      <c r="BK39" s="214">
        <v>1</v>
      </c>
      <c r="BL39" s="214">
        <v>1</v>
      </c>
      <c r="BM39" s="214">
        <v>1</v>
      </c>
      <c r="BN39" s="214">
        <v>0</v>
      </c>
      <c r="BO39" s="214">
        <v>0</v>
      </c>
      <c r="BP39" s="215">
        <v>1</v>
      </c>
      <c r="BQ39" s="213" t="s">
        <v>297</v>
      </c>
      <c r="BR39" s="214">
        <v>5</v>
      </c>
      <c r="BS39" s="214">
        <v>2</v>
      </c>
      <c r="BT39" s="214">
        <v>3</v>
      </c>
      <c r="BU39" s="214">
        <v>3</v>
      </c>
      <c r="BV39" s="214">
        <v>0</v>
      </c>
      <c r="BW39" s="214">
        <v>1</v>
      </c>
      <c r="BX39" s="214">
        <v>0</v>
      </c>
      <c r="BY39" s="214">
        <v>0</v>
      </c>
      <c r="BZ39" s="215">
        <v>4</v>
      </c>
      <c r="CA39" s="213" t="s">
        <v>436</v>
      </c>
      <c r="CB39" s="214">
        <v>4</v>
      </c>
      <c r="CC39" s="214">
        <v>0</v>
      </c>
      <c r="CD39" s="214">
        <v>0</v>
      </c>
      <c r="CE39" s="214">
        <v>2</v>
      </c>
      <c r="CF39" s="214">
        <v>0</v>
      </c>
      <c r="CG39" s="214">
        <v>1</v>
      </c>
      <c r="CH39" s="214">
        <v>0</v>
      </c>
      <c r="CI39" s="214">
        <v>1</v>
      </c>
      <c r="CJ39" s="215">
        <v>0</v>
      </c>
      <c r="CK39" s="213" t="s">
        <v>296</v>
      </c>
      <c r="CL39" s="214">
        <v>2</v>
      </c>
      <c r="CM39" s="214">
        <v>2</v>
      </c>
      <c r="CN39" s="214">
        <v>2</v>
      </c>
      <c r="CO39" s="214">
        <v>1</v>
      </c>
      <c r="CP39" s="214">
        <v>2</v>
      </c>
      <c r="CQ39" s="214">
        <v>0</v>
      </c>
      <c r="CR39" s="214">
        <v>0</v>
      </c>
      <c r="CS39" s="214">
        <v>1</v>
      </c>
      <c r="CT39" s="215">
        <v>2</v>
      </c>
      <c r="CU39" s="213" t="s">
        <v>433</v>
      </c>
      <c r="CV39" s="214">
        <v>4</v>
      </c>
      <c r="CW39" s="214">
        <v>0</v>
      </c>
      <c r="CX39" s="214">
        <v>1</v>
      </c>
      <c r="CY39" s="214">
        <v>0</v>
      </c>
      <c r="CZ39" s="214">
        <v>1</v>
      </c>
      <c r="DA39" s="214">
        <v>2</v>
      </c>
      <c r="DB39" s="214">
        <v>0</v>
      </c>
      <c r="DC39" s="214">
        <v>0</v>
      </c>
      <c r="DD39" s="215">
        <v>1</v>
      </c>
      <c r="DE39" s="213" t="s">
        <v>423</v>
      </c>
      <c r="DF39" s="214">
        <v>5</v>
      </c>
      <c r="DG39" s="214">
        <v>0</v>
      </c>
      <c r="DH39" s="214">
        <v>1</v>
      </c>
      <c r="DI39" s="214">
        <v>1</v>
      </c>
      <c r="DJ39" s="214">
        <v>0</v>
      </c>
      <c r="DK39" s="214">
        <v>1</v>
      </c>
      <c r="DL39" s="214">
        <v>0</v>
      </c>
      <c r="DM39" s="214">
        <v>0</v>
      </c>
      <c r="DN39" s="215">
        <v>1</v>
      </c>
      <c r="DO39" s="213" t="s">
        <v>304</v>
      </c>
      <c r="DP39" s="214">
        <v>4</v>
      </c>
      <c r="DQ39" s="214">
        <v>1</v>
      </c>
      <c r="DR39" s="214">
        <v>3</v>
      </c>
      <c r="DS39" s="214">
        <v>1</v>
      </c>
      <c r="DT39" s="214">
        <v>0</v>
      </c>
      <c r="DU39" s="214">
        <v>0</v>
      </c>
      <c r="DV39" s="214">
        <v>0</v>
      </c>
      <c r="DW39" s="214">
        <v>0</v>
      </c>
      <c r="DX39" s="215">
        <v>4</v>
      </c>
      <c r="DY39" s="216">
        <v>3</v>
      </c>
      <c r="DZ39" s="217">
        <v>0</v>
      </c>
      <c r="EA39" s="217">
        <v>0</v>
      </c>
      <c r="EB39" s="218">
        <v>5</v>
      </c>
      <c r="EC39" s="217">
        <v>0</v>
      </c>
      <c r="ED39" s="219">
        <v>0</v>
      </c>
      <c r="EE39" s="220">
        <v>0</v>
      </c>
      <c r="EF39" s="217">
        <v>1</v>
      </c>
      <c r="EG39" s="217">
        <v>4</v>
      </c>
      <c r="EH39" s="217">
        <v>5</v>
      </c>
      <c r="EI39" s="217">
        <v>0</v>
      </c>
      <c r="EJ39" s="217">
        <v>0</v>
      </c>
      <c r="EK39" s="217">
        <v>1</v>
      </c>
      <c r="EL39" s="217">
        <v>0</v>
      </c>
      <c r="EM39" s="217"/>
      <c r="EN39" s="217"/>
      <c r="EO39" s="217"/>
      <c r="EP39" s="217"/>
      <c r="EQ39" s="217"/>
      <c r="ER39" s="219">
        <f t="shared" si="10"/>
        <v>11</v>
      </c>
      <c r="ES39" s="217">
        <v>0</v>
      </c>
      <c r="ET39" s="217">
        <v>0</v>
      </c>
      <c r="EU39" s="217">
        <v>0</v>
      </c>
      <c r="EV39" s="217">
        <v>0</v>
      </c>
      <c r="EW39" s="217">
        <v>0</v>
      </c>
      <c r="EX39" s="217">
        <v>0</v>
      </c>
      <c r="EY39" s="217">
        <v>0</v>
      </c>
      <c r="EZ39" s="217">
        <v>1</v>
      </c>
      <c r="FA39" s="217">
        <v>1</v>
      </c>
      <c r="FB39" s="217"/>
      <c r="FC39" s="217"/>
      <c r="FD39" s="217"/>
      <c r="FE39" s="217"/>
      <c r="FF39" s="217">
        <f t="shared" si="11"/>
        <v>2</v>
      </c>
      <c r="FG39" s="221">
        <f t="shared" si="12"/>
        <v>0</v>
      </c>
      <c r="FH39" s="221">
        <f t="shared" si="13"/>
        <v>0</v>
      </c>
      <c r="FI39" s="222"/>
    </row>
    <row r="40" spans="1:165" x14ac:dyDescent="0.25">
      <c r="A40" s="204">
        <v>40388</v>
      </c>
      <c r="B40" s="204" t="s">
        <v>19</v>
      </c>
      <c r="C40" s="204" t="s">
        <v>129</v>
      </c>
      <c r="D40" s="204" t="s">
        <v>303</v>
      </c>
      <c r="E40" s="205">
        <v>681</v>
      </c>
      <c r="F40" s="206">
        <v>1</v>
      </c>
      <c r="G40" s="207" t="s">
        <v>305</v>
      </c>
      <c r="H40" s="208">
        <v>1</v>
      </c>
      <c r="I40" s="208">
        <v>0</v>
      </c>
      <c r="J40" s="209">
        <v>5</v>
      </c>
      <c r="K40" s="208">
        <v>3</v>
      </c>
      <c r="L40" s="208">
        <v>1</v>
      </c>
      <c r="M40" s="208">
        <v>1</v>
      </c>
      <c r="N40" s="208">
        <v>1</v>
      </c>
      <c r="O40" s="208">
        <v>3</v>
      </c>
      <c r="P40" s="208">
        <v>0</v>
      </c>
      <c r="Q40" s="208">
        <v>0</v>
      </c>
      <c r="R40" s="208">
        <v>20</v>
      </c>
      <c r="S40" s="208"/>
      <c r="T40" s="208"/>
      <c r="U40" s="208">
        <v>0</v>
      </c>
      <c r="V40" s="210">
        <v>0</v>
      </c>
      <c r="W40" s="211">
        <v>0</v>
      </c>
      <c r="X40" s="211">
        <v>0</v>
      </c>
      <c r="Y40" s="211">
        <v>1</v>
      </c>
      <c r="Z40" s="211">
        <v>0</v>
      </c>
      <c r="AA40" s="211">
        <v>0</v>
      </c>
      <c r="AB40" s="212">
        <v>4</v>
      </c>
      <c r="AC40" s="211">
        <v>1</v>
      </c>
      <c r="AD40" s="211">
        <v>0</v>
      </c>
      <c r="AE40" s="211">
        <v>0</v>
      </c>
      <c r="AF40" s="211">
        <v>1</v>
      </c>
      <c r="AG40" s="211">
        <v>4</v>
      </c>
      <c r="AH40" s="211">
        <v>0</v>
      </c>
      <c r="AI40" s="211">
        <v>0</v>
      </c>
      <c r="AJ40" s="211">
        <v>14</v>
      </c>
      <c r="AK40" s="211"/>
      <c r="AL40" s="211"/>
      <c r="AM40" s="213" t="s">
        <v>429</v>
      </c>
      <c r="AN40" s="214">
        <v>5</v>
      </c>
      <c r="AO40" s="214">
        <v>1</v>
      </c>
      <c r="AP40" s="214">
        <v>2</v>
      </c>
      <c r="AQ40" s="214">
        <v>1</v>
      </c>
      <c r="AR40" s="214">
        <v>0</v>
      </c>
      <c r="AS40" s="214">
        <v>0</v>
      </c>
      <c r="AT40" s="214">
        <v>0</v>
      </c>
      <c r="AU40" s="214">
        <v>0</v>
      </c>
      <c r="AV40" s="215">
        <v>5</v>
      </c>
      <c r="AW40" s="213" t="s">
        <v>298</v>
      </c>
      <c r="AX40" s="214">
        <v>3</v>
      </c>
      <c r="AY40" s="214">
        <v>2</v>
      </c>
      <c r="AZ40" s="214">
        <v>1</v>
      </c>
      <c r="BA40" s="214">
        <v>1</v>
      </c>
      <c r="BB40" s="214">
        <v>1</v>
      </c>
      <c r="BC40" s="214">
        <v>1</v>
      </c>
      <c r="BD40" s="214">
        <v>0</v>
      </c>
      <c r="BE40" s="214">
        <v>0</v>
      </c>
      <c r="BF40" s="215">
        <v>2</v>
      </c>
      <c r="BG40" s="213" t="s">
        <v>431</v>
      </c>
      <c r="BH40" s="214">
        <v>4</v>
      </c>
      <c r="BI40" s="214">
        <v>0</v>
      </c>
      <c r="BJ40" s="214">
        <v>0</v>
      </c>
      <c r="BK40" s="214">
        <v>0</v>
      </c>
      <c r="BL40" s="214">
        <v>0</v>
      </c>
      <c r="BM40" s="214">
        <v>0</v>
      </c>
      <c r="BN40" s="214">
        <v>0</v>
      </c>
      <c r="BO40" s="214">
        <v>0</v>
      </c>
      <c r="BP40" s="215">
        <v>0</v>
      </c>
      <c r="BQ40" s="213" t="s">
        <v>302</v>
      </c>
      <c r="BR40" s="214">
        <v>4</v>
      </c>
      <c r="BS40" s="214">
        <v>1</v>
      </c>
      <c r="BT40" s="214">
        <v>2</v>
      </c>
      <c r="BU40" s="214">
        <v>1</v>
      </c>
      <c r="BV40" s="214">
        <v>0</v>
      </c>
      <c r="BW40" s="214">
        <v>2</v>
      </c>
      <c r="BX40" s="214">
        <v>0</v>
      </c>
      <c r="BY40" s="214">
        <v>0</v>
      </c>
      <c r="BZ40" s="215">
        <v>3</v>
      </c>
      <c r="CA40" s="213" t="s">
        <v>432</v>
      </c>
      <c r="CB40" s="214">
        <v>4</v>
      </c>
      <c r="CC40" s="214">
        <v>0</v>
      </c>
      <c r="CD40" s="214">
        <v>2</v>
      </c>
      <c r="CE40" s="214">
        <v>1</v>
      </c>
      <c r="CF40" s="214">
        <v>0</v>
      </c>
      <c r="CG40" s="214">
        <v>0</v>
      </c>
      <c r="CH40" s="214">
        <v>0</v>
      </c>
      <c r="CI40" s="214">
        <v>0</v>
      </c>
      <c r="CJ40" s="215">
        <v>2</v>
      </c>
      <c r="CK40" s="213" t="s">
        <v>296</v>
      </c>
      <c r="CL40" s="214">
        <v>3</v>
      </c>
      <c r="CM40" s="214">
        <v>1</v>
      </c>
      <c r="CN40" s="214">
        <v>0</v>
      </c>
      <c r="CO40" s="214">
        <v>0</v>
      </c>
      <c r="CP40" s="214">
        <v>0</v>
      </c>
      <c r="CQ40" s="214">
        <v>0</v>
      </c>
      <c r="CR40" s="214">
        <v>1</v>
      </c>
      <c r="CS40" s="214">
        <v>0</v>
      </c>
      <c r="CT40" s="215">
        <v>0</v>
      </c>
      <c r="CU40" s="213" t="s">
        <v>436</v>
      </c>
      <c r="CV40" s="214">
        <v>4</v>
      </c>
      <c r="CW40" s="214">
        <v>1</v>
      </c>
      <c r="CX40" s="214">
        <v>1</v>
      </c>
      <c r="CY40" s="214">
        <v>0</v>
      </c>
      <c r="CZ40" s="214">
        <v>0</v>
      </c>
      <c r="DA40" s="214">
        <v>1</v>
      </c>
      <c r="DB40" s="214">
        <v>0</v>
      </c>
      <c r="DC40" s="214">
        <v>0</v>
      </c>
      <c r="DD40" s="215">
        <v>1</v>
      </c>
      <c r="DE40" s="213" t="s">
        <v>434</v>
      </c>
      <c r="DF40" s="214">
        <v>4</v>
      </c>
      <c r="DG40" s="214">
        <v>0</v>
      </c>
      <c r="DH40" s="214">
        <v>1</v>
      </c>
      <c r="DI40" s="214">
        <v>2</v>
      </c>
      <c r="DJ40" s="214">
        <v>0</v>
      </c>
      <c r="DK40" s="214">
        <v>1</v>
      </c>
      <c r="DL40" s="214">
        <v>0</v>
      </c>
      <c r="DM40" s="214">
        <v>0</v>
      </c>
      <c r="DN40" s="215">
        <v>2</v>
      </c>
      <c r="DO40" s="213" t="s">
        <v>304</v>
      </c>
      <c r="DP40" s="214">
        <v>4</v>
      </c>
      <c r="DQ40" s="214">
        <v>1</v>
      </c>
      <c r="DR40" s="214">
        <v>2</v>
      </c>
      <c r="DS40" s="214">
        <v>0</v>
      </c>
      <c r="DT40" s="214">
        <v>0</v>
      </c>
      <c r="DU40" s="214">
        <v>0</v>
      </c>
      <c r="DV40" s="214">
        <v>0</v>
      </c>
      <c r="DW40" s="214">
        <v>0</v>
      </c>
      <c r="DX40" s="215">
        <v>4</v>
      </c>
      <c r="DY40" s="216">
        <v>0</v>
      </c>
      <c r="DZ40" s="217">
        <v>0</v>
      </c>
      <c r="EA40" s="217">
        <v>0</v>
      </c>
      <c r="EB40" s="218">
        <v>8</v>
      </c>
      <c r="EC40" s="217">
        <v>1</v>
      </c>
      <c r="ED40" s="219">
        <v>0</v>
      </c>
      <c r="EE40" s="220">
        <v>2</v>
      </c>
      <c r="EF40" s="217">
        <v>0</v>
      </c>
      <c r="EG40" s="217">
        <v>1</v>
      </c>
      <c r="EH40" s="217">
        <v>0</v>
      </c>
      <c r="EI40" s="217">
        <v>1</v>
      </c>
      <c r="EJ40" s="217">
        <v>2</v>
      </c>
      <c r="EK40" s="217">
        <v>1</v>
      </c>
      <c r="EL40" s="217">
        <v>0</v>
      </c>
      <c r="EM40" s="217"/>
      <c r="EN40" s="217"/>
      <c r="EO40" s="217"/>
      <c r="EP40" s="217"/>
      <c r="EQ40" s="217"/>
      <c r="ER40" s="219">
        <f t="shared" si="10"/>
        <v>7</v>
      </c>
      <c r="ES40" s="217">
        <v>0</v>
      </c>
      <c r="ET40" s="217">
        <v>0</v>
      </c>
      <c r="EU40" s="217">
        <v>1</v>
      </c>
      <c r="EV40" s="217">
        <v>0</v>
      </c>
      <c r="EW40" s="217">
        <v>0</v>
      </c>
      <c r="EX40" s="217">
        <v>0</v>
      </c>
      <c r="EY40" s="217">
        <v>0</v>
      </c>
      <c r="EZ40" s="217">
        <v>0</v>
      </c>
      <c r="FA40" s="217">
        <v>0</v>
      </c>
      <c r="FB40" s="217"/>
      <c r="FC40" s="217"/>
      <c r="FD40" s="217"/>
      <c r="FE40" s="217"/>
      <c r="FF40" s="217">
        <f t="shared" si="11"/>
        <v>1</v>
      </c>
      <c r="FG40" s="221">
        <f t="shared" si="12"/>
        <v>0</v>
      </c>
      <c r="FH40" s="221">
        <f t="shared" si="13"/>
        <v>0</v>
      </c>
      <c r="FI40" s="222"/>
    </row>
    <row r="41" spans="1:165" x14ac:dyDescent="0.25">
      <c r="A41" s="204">
        <v>40389</v>
      </c>
      <c r="B41" s="204" t="s">
        <v>19</v>
      </c>
      <c r="C41" s="204" t="s">
        <v>131</v>
      </c>
      <c r="D41" s="204" t="s">
        <v>303</v>
      </c>
      <c r="E41" s="205">
        <v>898</v>
      </c>
      <c r="F41" s="206">
        <v>2</v>
      </c>
      <c r="G41" s="207" t="s">
        <v>428</v>
      </c>
      <c r="H41" s="208">
        <v>0</v>
      </c>
      <c r="I41" s="208">
        <v>1</v>
      </c>
      <c r="J41" s="209">
        <v>4</v>
      </c>
      <c r="K41" s="208">
        <v>5</v>
      </c>
      <c r="L41" s="208">
        <v>4</v>
      </c>
      <c r="M41" s="208">
        <v>2</v>
      </c>
      <c r="N41" s="208">
        <v>1</v>
      </c>
      <c r="O41" s="208">
        <v>5</v>
      </c>
      <c r="P41" s="208">
        <v>0</v>
      </c>
      <c r="Q41" s="208">
        <v>0</v>
      </c>
      <c r="R41" s="208">
        <v>16</v>
      </c>
      <c r="S41" s="208"/>
      <c r="T41" s="208"/>
      <c r="U41" s="208">
        <v>0</v>
      </c>
      <c r="V41" s="210">
        <v>0</v>
      </c>
      <c r="W41" s="211">
        <v>0</v>
      </c>
      <c r="X41" s="211">
        <v>0</v>
      </c>
      <c r="Y41" s="211">
        <v>0</v>
      </c>
      <c r="Z41" s="211">
        <v>0</v>
      </c>
      <c r="AA41" s="211">
        <v>0</v>
      </c>
      <c r="AB41" s="212">
        <v>5</v>
      </c>
      <c r="AC41" s="211">
        <v>6</v>
      </c>
      <c r="AD41" s="211">
        <v>2</v>
      </c>
      <c r="AE41" s="211">
        <v>2</v>
      </c>
      <c r="AF41" s="211">
        <v>2</v>
      </c>
      <c r="AG41" s="211">
        <v>5</v>
      </c>
      <c r="AH41" s="211">
        <v>0</v>
      </c>
      <c r="AI41" s="211">
        <v>0</v>
      </c>
      <c r="AJ41" s="211">
        <v>22</v>
      </c>
      <c r="AK41" s="211"/>
      <c r="AL41" s="211"/>
      <c r="AM41" s="213" t="s">
        <v>436</v>
      </c>
      <c r="AN41" s="214">
        <v>4</v>
      </c>
      <c r="AO41" s="214">
        <v>0</v>
      </c>
      <c r="AP41" s="214">
        <v>1</v>
      </c>
      <c r="AQ41" s="214">
        <v>0</v>
      </c>
      <c r="AR41" s="214">
        <v>0</v>
      </c>
      <c r="AS41" s="214">
        <v>2</v>
      </c>
      <c r="AT41" s="214">
        <v>0</v>
      </c>
      <c r="AU41" s="214">
        <v>0</v>
      </c>
      <c r="AV41" s="215">
        <v>2</v>
      </c>
      <c r="AW41" s="213" t="s">
        <v>298</v>
      </c>
      <c r="AX41" s="214">
        <v>4</v>
      </c>
      <c r="AY41" s="214">
        <v>0</v>
      </c>
      <c r="AZ41" s="214">
        <v>0</v>
      </c>
      <c r="BA41" s="214">
        <v>0</v>
      </c>
      <c r="BB41" s="214">
        <v>0</v>
      </c>
      <c r="BC41" s="214">
        <v>0</v>
      </c>
      <c r="BD41" s="214">
        <v>0</v>
      </c>
      <c r="BE41" s="214">
        <v>0</v>
      </c>
      <c r="BF41" s="215">
        <v>0</v>
      </c>
      <c r="BG41" s="213" t="s">
        <v>431</v>
      </c>
      <c r="BH41" s="214">
        <v>4</v>
      </c>
      <c r="BI41" s="214">
        <v>1</v>
      </c>
      <c r="BJ41" s="214">
        <v>2</v>
      </c>
      <c r="BK41" s="214">
        <v>1</v>
      </c>
      <c r="BL41" s="214">
        <v>0</v>
      </c>
      <c r="BM41" s="214">
        <v>0</v>
      </c>
      <c r="BN41" s="214">
        <v>0</v>
      </c>
      <c r="BO41" s="214">
        <v>0</v>
      </c>
      <c r="BP41" s="215">
        <v>6</v>
      </c>
      <c r="BQ41" s="213" t="s">
        <v>302</v>
      </c>
      <c r="BR41" s="214">
        <v>4</v>
      </c>
      <c r="BS41" s="214">
        <v>0</v>
      </c>
      <c r="BT41" s="214">
        <v>0</v>
      </c>
      <c r="BU41" s="214">
        <v>0</v>
      </c>
      <c r="BV41" s="214">
        <v>0</v>
      </c>
      <c r="BW41" s="214">
        <v>3</v>
      </c>
      <c r="BX41" s="214">
        <v>0</v>
      </c>
      <c r="BY41" s="214">
        <v>0</v>
      </c>
      <c r="BZ41" s="215">
        <v>0</v>
      </c>
      <c r="CA41" s="213" t="s">
        <v>297</v>
      </c>
      <c r="CB41" s="214">
        <v>4</v>
      </c>
      <c r="CC41" s="214">
        <v>0</v>
      </c>
      <c r="CD41" s="214">
        <v>0</v>
      </c>
      <c r="CE41" s="214">
        <v>0</v>
      </c>
      <c r="CF41" s="214">
        <v>0</v>
      </c>
      <c r="CG41" s="214">
        <v>2</v>
      </c>
      <c r="CH41" s="214">
        <v>0</v>
      </c>
      <c r="CI41" s="214">
        <v>0</v>
      </c>
      <c r="CJ41" s="215">
        <v>0</v>
      </c>
      <c r="CK41" s="213" t="s">
        <v>296</v>
      </c>
      <c r="CL41" s="214">
        <v>3</v>
      </c>
      <c r="CM41" s="214">
        <v>1</v>
      </c>
      <c r="CN41" s="214">
        <v>0</v>
      </c>
      <c r="CO41" s="214">
        <v>0</v>
      </c>
      <c r="CP41" s="214">
        <v>1</v>
      </c>
      <c r="CQ41" s="214">
        <v>0</v>
      </c>
      <c r="CR41" s="214">
        <v>0</v>
      </c>
      <c r="CS41" s="214">
        <v>0</v>
      </c>
      <c r="CT41" s="215">
        <v>0</v>
      </c>
      <c r="CU41" s="213" t="s">
        <v>433</v>
      </c>
      <c r="CV41" s="214">
        <v>4</v>
      </c>
      <c r="CW41" s="214">
        <v>1</v>
      </c>
      <c r="CX41" s="214">
        <v>1</v>
      </c>
      <c r="CY41" s="214">
        <v>1</v>
      </c>
      <c r="CZ41" s="214">
        <v>0</v>
      </c>
      <c r="DA41" s="214">
        <v>1</v>
      </c>
      <c r="DB41" s="214">
        <v>0</v>
      </c>
      <c r="DC41" s="214">
        <v>0</v>
      </c>
      <c r="DD41" s="215">
        <v>2</v>
      </c>
      <c r="DE41" s="213" t="s">
        <v>434</v>
      </c>
      <c r="DF41" s="214">
        <v>4</v>
      </c>
      <c r="DG41" s="214">
        <v>0</v>
      </c>
      <c r="DH41" s="214">
        <v>3</v>
      </c>
      <c r="DI41" s="214">
        <v>1</v>
      </c>
      <c r="DJ41" s="214">
        <v>0</v>
      </c>
      <c r="DK41" s="214">
        <v>0</v>
      </c>
      <c r="DL41" s="214">
        <v>0</v>
      </c>
      <c r="DM41" s="214">
        <v>0</v>
      </c>
      <c r="DN41" s="215">
        <v>3</v>
      </c>
      <c r="DO41" s="213" t="s">
        <v>295</v>
      </c>
      <c r="DP41" s="214">
        <v>4</v>
      </c>
      <c r="DQ41" s="214">
        <v>0</v>
      </c>
      <c r="DR41" s="214">
        <v>0</v>
      </c>
      <c r="DS41" s="214">
        <v>0</v>
      </c>
      <c r="DT41" s="214">
        <v>0</v>
      </c>
      <c r="DU41" s="214">
        <v>1</v>
      </c>
      <c r="DV41" s="214">
        <v>0</v>
      </c>
      <c r="DW41" s="214">
        <v>0</v>
      </c>
      <c r="DX41" s="215">
        <v>0</v>
      </c>
      <c r="DY41" s="216">
        <v>1</v>
      </c>
      <c r="DZ41" s="217">
        <v>0</v>
      </c>
      <c r="EA41" s="217">
        <v>0</v>
      </c>
      <c r="EB41" s="218">
        <v>8</v>
      </c>
      <c r="EC41" s="217">
        <v>0</v>
      </c>
      <c r="ED41" s="219">
        <v>0</v>
      </c>
      <c r="EE41" s="220">
        <v>0</v>
      </c>
      <c r="EF41" s="217">
        <v>0</v>
      </c>
      <c r="EG41" s="217">
        <v>0</v>
      </c>
      <c r="EH41" s="217">
        <v>3</v>
      </c>
      <c r="EI41" s="217">
        <v>0</v>
      </c>
      <c r="EJ41" s="217">
        <v>0</v>
      </c>
      <c r="EK41" s="217">
        <v>0</v>
      </c>
      <c r="EL41" s="217">
        <v>0</v>
      </c>
      <c r="EM41" s="217">
        <v>0</v>
      </c>
      <c r="EN41" s="217"/>
      <c r="EO41" s="217"/>
      <c r="EP41" s="217"/>
      <c r="EQ41" s="217"/>
      <c r="ER41" s="219">
        <f t="shared" si="10"/>
        <v>3</v>
      </c>
      <c r="ES41" s="217">
        <v>1</v>
      </c>
      <c r="ET41" s="217">
        <v>0</v>
      </c>
      <c r="EU41" s="217">
        <v>0</v>
      </c>
      <c r="EV41" s="217">
        <v>3</v>
      </c>
      <c r="EW41" s="217">
        <v>0</v>
      </c>
      <c r="EX41" s="217">
        <v>0</v>
      </c>
      <c r="EY41" s="217">
        <v>0</v>
      </c>
      <c r="EZ41" s="217">
        <v>2</v>
      </c>
      <c r="FA41" s="217">
        <v>0</v>
      </c>
      <c r="FB41" s="217"/>
      <c r="FC41" s="217"/>
      <c r="FD41" s="217"/>
      <c r="FE41" s="217"/>
      <c r="FF41" s="217">
        <f t="shared" si="11"/>
        <v>6</v>
      </c>
      <c r="FG41" s="221">
        <f t="shared" si="12"/>
        <v>0</v>
      </c>
      <c r="FH41" s="221">
        <f t="shared" si="13"/>
        <v>0</v>
      </c>
      <c r="FI41" s="222"/>
    </row>
    <row r="42" spans="1:165" x14ac:dyDescent="0.25">
      <c r="A42" s="53">
        <v>40390</v>
      </c>
      <c r="B42" s="53" t="s">
        <v>19</v>
      </c>
      <c r="C42" s="53" t="s">
        <v>129</v>
      </c>
      <c r="D42" s="53" t="s">
        <v>303</v>
      </c>
      <c r="E42" s="54">
        <v>546</v>
      </c>
      <c r="F42" s="58">
        <v>3</v>
      </c>
      <c r="G42" s="59" t="s">
        <v>299</v>
      </c>
      <c r="H42" s="6">
        <v>1</v>
      </c>
      <c r="I42" s="6">
        <v>0</v>
      </c>
      <c r="J42" s="60">
        <v>5</v>
      </c>
      <c r="K42" s="6">
        <v>4</v>
      </c>
      <c r="L42" s="6">
        <v>0</v>
      </c>
      <c r="M42" s="6">
        <v>0</v>
      </c>
      <c r="N42" s="6">
        <v>3</v>
      </c>
      <c r="O42" s="6">
        <v>4</v>
      </c>
      <c r="P42" s="6">
        <v>0</v>
      </c>
      <c r="Q42" s="6">
        <v>0</v>
      </c>
      <c r="R42" s="6">
        <v>21</v>
      </c>
      <c r="S42" s="6"/>
      <c r="T42" s="6"/>
      <c r="U42" s="6">
        <v>0</v>
      </c>
      <c r="V42" s="61">
        <v>0</v>
      </c>
      <c r="W42" s="62">
        <v>0</v>
      </c>
      <c r="X42" s="62">
        <v>0</v>
      </c>
      <c r="Y42" s="62">
        <v>0</v>
      </c>
      <c r="Z42" s="62">
        <v>1</v>
      </c>
      <c r="AA42" s="62">
        <v>0</v>
      </c>
      <c r="AB42" s="63">
        <v>4</v>
      </c>
      <c r="AC42" s="62">
        <v>1</v>
      </c>
      <c r="AD42" s="62">
        <v>0</v>
      </c>
      <c r="AE42" s="62">
        <v>0</v>
      </c>
      <c r="AF42" s="62">
        <v>1</v>
      </c>
      <c r="AG42" s="62">
        <v>3</v>
      </c>
      <c r="AH42" s="62">
        <v>0</v>
      </c>
      <c r="AI42" s="62">
        <v>0</v>
      </c>
      <c r="AJ42" s="62">
        <v>14</v>
      </c>
      <c r="AK42" s="62"/>
      <c r="AL42" s="62"/>
      <c r="AM42" s="1" t="s">
        <v>429</v>
      </c>
      <c r="AN42" s="78">
        <v>3</v>
      </c>
      <c r="AO42" s="78">
        <v>0</v>
      </c>
      <c r="AP42" s="78">
        <v>0</v>
      </c>
      <c r="AQ42" s="78">
        <v>0</v>
      </c>
      <c r="AR42" s="78">
        <v>1</v>
      </c>
      <c r="AS42" s="78">
        <v>0</v>
      </c>
      <c r="AT42" s="78">
        <v>0</v>
      </c>
      <c r="AU42" s="78">
        <v>0</v>
      </c>
      <c r="AV42" s="76">
        <v>0</v>
      </c>
      <c r="AW42" s="1" t="s">
        <v>298</v>
      </c>
      <c r="AX42" s="78">
        <v>4</v>
      </c>
      <c r="AY42" s="78">
        <v>1</v>
      </c>
      <c r="AZ42" s="78">
        <v>2</v>
      </c>
      <c r="BA42" s="78">
        <v>1</v>
      </c>
      <c r="BB42" s="78">
        <v>0</v>
      </c>
      <c r="BC42" s="78">
        <v>1</v>
      </c>
      <c r="BD42" s="78">
        <v>0</v>
      </c>
      <c r="BE42" s="78">
        <v>0</v>
      </c>
      <c r="BF42" s="76">
        <v>2</v>
      </c>
      <c r="BG42" s="1" t="s">
        <v>431</v>
      </c>
      <c r="BH42" s="78">
        <v>4</v>
      </c>
      <c r="BI42" s="78">
        <v>0</v>
      </c>
      <c r="BJ42" s="78">
        <v>1</v>
      </c>
      <c r="BK42" s="78">
        <v>1</v>
      </c>
      <c r="BL42" s="78">
        <v>0</v>
      </c>
      <c r="BM42" s="78">
        <v>0</v>
      </c>
      <c r="BN42" s="78">
        <v>0</v>
      </c>
      <c r="BO42" s="78">
        <v>0</v>
      </c>
      <c r="BP42" s="76">
        <v>1</v>
      </c>
      <c r="BQ42" s="1" t="s">
        <v>302</v>
      </c>
      <c r="BR42" s="78">
        <v>4</v>
      </c>
      <c r="BS42" s="78">
        <v>1</v>
      </c>
      <c r="BT42" s="78">
        <v>1</v>
      </c>
      <c r="BU42" s="78">
        <v>2</v>
      </c>
      <c r="BV42" s="78">
        <v>0</v>
      </c>
      <c r="BW42" s="78">
        <v>1</v>
      </c>
      <c r="BX42" s="78">
        <v>0</v>
      </c>
      <c r="BY42" s="78">
        <v>0</v>
      </c>
      <c r="BZ42" s="76">
        <v>4</v>
      </c>
      <c r="CA42" s="1" t="s">
        <v>297</v>
      </c>
      <c r="CB42" s="78">
        <v>4</v>
      </c>
      <c r="CC42" s="78">
        <v>0</v>
      </c>
      <c r="CD42" s="78">
        <v>0</v>
      </c>
      <c r="CE42" s="78">
        <v>0</v>
      </c>
      <c r="CF42" s="78">
        <v>0</v>
      </c>
      <c r="CG42" s="78">
        <v>2</v>
      </c>
      <c r="CH42" s="78">
        <v>0</v>
      </c>
      <c r="CI42" s="78">
        <v>0</v>
      </c>
      <c r="CJ42" s="76">
        <v>0</v>
      </c>
      <c r="CK42" s="1" t="s">
        <v>296</v>
      </c>
      <c r="CL42" s="78">
        <v>3</v>
      </c>
      <c r="CM42" s="78">
        <v>0</v>
      </c>
      <c r="CN42" s="78">
        <v>1</v>
      </c>
      <c r="CO42" s="78">
        <v>0</v>
      </c>
      <c r="CP42" s="78">
        <v>1</v>
      </c>
      <c r="CQ42" s="78">
        <v>0</v>
      </c>
      <c r="CR42" s="78">
        <v>0</v>
      </c>
      <c r="CS42" s="78">
        <v>0</v>
      </c>
      <c r="CT42" s="76">
        <v>2</v>
      </c>
      <c r="CU42" s="1" t="s">
        <v>433</v>
      </c>
      <c r="CV42" s="78">
        <v>4</v>
      </c>
      <c r="CW42" s="78">
        <v>1</v>
      </c>
      <c r="CX42" s="78">
        <v>1</v>
      </c>
      <c r="CY42" s="78">
        <v>0</v>
      </c>
      <c r="CZ42" s="78">
        <v>0</v>
      </c>
      <c r="DA42" s="78">
        <v>1</v>
      </c>
      <c r="DB42" s="78">
        <v>0</v>
      </c>
      <c r="DC42" s="78">
        <v>0</v>
      </c>
      <c r="DD42" s="76">
        <v>1</v>
      </c>
      <c r="DE42" s="1" t="s">
        <v>434</v>
      </c>
      <c r="DF42" s="78">
        <v>3</v>
      </c>
      <c r="DG42" s="78">
        <v>1</v>
      </c>
      <c r="DH42" s="78">
        <v>1</v>
      </c>
      <c r="DI42" s="78">
        <v>0</v>
      </c>
      <c r="DJ42" s="78">
        <v>0</v>
      </c>
      <c r="DK42" s="78">
        <v>1</v>
      </c>
      <c r="DL42" s="78">
        <v>0</v>
      </c>
      <c r="DM42" s="78">
        <v>0</v>
      </c>
      <c r="DN42" s="76">
        <v>1</v>
      </c>
      <c r="DO42" s="1" t="s">
        <v>304</v>
      </c>
      <c r="DP42" s="78">
        <v>2</v>
      </c>
      <c r="DQ42" s="78">
        <v>0</v>
      </c>
      <c r="DR42" s="78">
        <v>0</v>
      </c>
      <c r="DS42" s="78">
        <v>0</v>
      </c>
      <c r="DT42" s="78">
        <v>0</v>
      </c>
      <c r="DU42" s="78">
        <v>2</v>
      </c>
      <c r="DV42" s="78">
        <v>0</v>
      </c>
      <c r="DW42" s="78">
        <v>0</v>
      </c>
      <c r="DX42" s="76">
        <v>0</v>
      </c>
      <c r="DY42" s="77">
        <v>0</v>
      </c>
      <c r="DZ42" s="43">
        <v>0</v>
      </c>
      <c r="EA42" s="43">
        <v>0</v>
      </c>
      <c r="EB42" s="45">
        <v>8</v>
      </c>
      <c r="EC42" s="43">
        <v>2</v>
      </c>
      <c r="ED42" s="44">
        <v>0</v>
      </c>
      <c r="EE42" s="71">
        <v>0</v>
      </c>
      <c r="EF42" s="43">
        <v>0</v>
      </c>
      <c r="EG42" s="43">
        <v>0</v>
      </c>
      <c r="EH42" s="43">
        <v>2</v>
      </c>
      <c r="EI42" s="43">
        <v>2</v>
      </c>
      <c r="EJ42" s="43">
        <v>0</v>
      </c>
      <c r="EK42" s="43">
        <v>0</v>
      </c>
      <c r="EL42" s="43">
        <v>0</v>
      </c>
      <c r="EM42" s="43"/>
      <c r="EN42" s="43"/>
      <c r="EO42" s="43"/>
      <c r="EP42" s="43"/>
      <c r="EQ42" s="43"/>
      <c r="ER42" s="44">
        <f t="shared" ref="ER42:ER48" si="14">SUM(EE42:EQ42)</f>
        <v>4</v>
      </c>
      <c r="ES42" s="43">
        <v>0</v>
      </c>
      <c r="ET42" s="43">
        <v>0</v>
      </c>
      <c r="EU42" s="43">
        <v>0</v>
      </c>
      <c r="EV42" s="43">
        <v>0</v>
      </c>
      <c r="EW42" s="43">
        <v>0</v>
      </c>
      <c r="EX42" s="43">
        <v>0</v>
      </c>
      <c r="EY42" s="43">
        <v>0</v>
      </c>
      <c r="EZ42" s="43">
        <v>0</v>
      </c>
      <c r="FA42" s="43">
        <v>0</v>
      </c>
      <c r="FB42" s="43"/>
      <c r="FC42" s="43"/>
      <c r="FD42" s="43"/>
      <c r="FE42" s="43"/>
      <c r="FF42" s="43">
        <f t="shared" ref="FF42:FF48" si="15">SUM(ES42:FE42)</f>
        <v>0</v>
      </c>
      <c r="FG42" s="73">
        <f t="shared" ref="FG42:FG48" si="16">((SUM(L42,AD42))-(FF42))</f>
        <v>0</v>
      </c>
      <c r="FH42" s="73">
        <f t="shared" ref="FH42:FH48" si="17">((SUM(AO42,AY42,BI42,BS42,CC42,CM42,CW42,DG42,DQ42))-(ER42))</f>
        <v>0</v>
      </c>
      <c r="FI42" s="38"/>
    </row>
    <row r="43" spans="1:165" x14ac:dyDescent="0.25">
      <c r="A43" s="53">
        <v>40391</v>
      </c>
      <c r="B43" s="53" t="s">
        <v>133</v>
      </c>
      <c r="C43" s="53" t="s">
        <v>131</v>
      </c>
      <c r="D43" s="53" t="s">
        <v>308</v>
      </c>
      <c r="E43" s="54">
        <v>868</v>
      </c>
      <c r="F43" s="58">
        <v>4</v>
      </c>
      <c r="G43" s="59" t="s">
        <v>307</v>
      </c>
      <c r="H43" s="6">
        <v>0</v>
      </c>
      <c r="I43" s="6">
        <v>1</v>
      </c>
      <c r="J43" s="60">
        <v>3</v>
      </c>
      <c r="K43" s="6">
        <v>6</v>
      </c>
      <c r="L43" s="6">
        <v>7</v>
      </c>
      <c r="M43" s="6">
        <v>5</v>
      </c>
      <c r="N43" s="6">
        <v>0</v>
      </c>
      <c r="O43" s="6">
        <v>1</v>
      </c>
      <c r="P43" s="6">
        <v>0</v>
      </c>
      <c r="Q43" s="6">
        <v>2</v>
      </c>
      <c r="R43" s="6">
        <v>18</v>
      </c>
      <c r="S43" s="6"/>
      <c r="T43" s="6"/>
      <c r="U43" s="6">
        <v>3</v>
      </c>
      <c r="V43" s="61">
        <v>3</v>
      </c>
      <c r="W43" s="62">
        <v>0</v>
      </c>
      <c r="X43" s="62">
        <v>0</v>
      </c>
      <c r="Y43" s="62">
        <v>0</v>
      </c>
      <c r="Z43" s="62">
        <v>0</v>
      </c>
      <c r="AA43" s="62">
        <v>0</v>
      </c>
      <c r="AB43" s="63">
        <v>5</v>
      </c>
      <c r="AC43" s="62">
        <v>9</v>
      </c>
      <c r="AD43" s="62">
        <v>3</v>
      </c>
      <c r="AE43" s="62">
        <v>3</v>
      </c>
      <c r="AF43" s="62">
        <v>3</v>
      </c>
      <c r="AG43" s="62">
        <v>5</v>
      </c>
      <c r="AH43" s="62">
        <v>0</v>
      </c>
      <c r="AI43" s="62">
        <v>0</v>
      </c>
      <c r="AJ43" s="62">
        <v>27</v>
      </c>
      <c r="AK43" s="62"/>
      <c r="AL43" s="62"/>
      <c r="AM43" s="1" t="s">
        <v>429</v>
      </c>
      <c r="AN43" s="78">
        <v>2</v>
      </c>
      <c r="AO43" s="78">
        <v>0</v>
      </c>
      <c r="AP43" s="78">
        <v>0</v>
      </c>
      <c r="AQ43" s="78">
        <v>0</v>
      </c>
      <c r="AR43" s="78">
        <v>2</v>
      </c>
      <c r="AS43" s="78">
        <v>1</v>
      </c>
      <c r="AT43" s="78">
        <v>0</v>
      </c>
      <c r="AU43" s="78">
        <v>0</v>
      </c>
      <c r="AV43" s="76">
        <v>0</v>
      </c>
      <c r="AW43" s="1" t="s">
        <v>436</v>
      </c>
      <c r="AX43" s="78">
        <v>3</v>
      </c>
      <c r="AY43" s="78">
        <v>0</v>
      </c>
      <c r="AZ43" s="78">
        <v>0</v>
      </c>
      <c r="BA43" s="78">
        <v>0</v>
      </c>
      <c r="BB43" s="78">
        <v>1</v>
      </c>
      <c r="BC43" s="78">
        <v>2</v>
      </c>
      <c r="BD43" s="78">
        <v>0</v>
      </c>
      <c r="BE43" s="78">
        <v>0</v>
      </c>
      <c r="BF43" s="76">
        <v>0</v>
      </c>
      <c r="BG43" s="1" t="s">
        <v>431</v>
      </c>
      <c r="BH43" s="78">
        <v>3</v>
      </c>
      <c r="BI43" s="78">
        <v>0</v>
      </c>
      <c r="BJ43" s="78">
        <v>1</v>
      </c>
      <c r="BK43" s="78">
        <v>0</v>
      </c>
      <c r="BL43" s="78">
        <v>0</v>
      </c>
      <c r="BM43" s="78">
        <v>1</v>
      </c>
      <c r="BN43" s="78">
        <v>1</v>
      </c>
      <c r="BO43" s="78">
        <v>0</v>
      </c>
      <c r="BP43" s="76">
        <v>1</v>
      </c>
      <c r="BQ43" s="1" t="s">
        <v>302</v>
      </c>
      <c r="BR43" s="78">
        <v>3</v>
      </c>
      <c r="BS43" s="78">
        <v>0</v>
      </c>
      <c r="BT43" s="78">
        <v>0</v>
      </c>
      <c r="BU43" s="78">
        <v>0</v>
      </c>
      <c r="BV43" s="78">
        <v>1</v>
      </c>
      <c r="BW43" s="78">
        <v>0</v>
      </c>
      <c r="BX43" s="78">
        <v>0</v>
      </c>
      <c r="BY43" s="78">
        <v>0</v>
      </c>
      <c r="BZ43" s="76">
        <v>0</v>
      </c>
      <c r="CA43" s="1" t="s">
        <v>297</v>
      </c>
      <c r="CB43" s="78">
        <v>4</v>
      </c>
      <c r="CC43" s="78">
        <v>0</v>
      </c>
      <c r="CD43" s="78">
        <v>0</v>
      </c>
      <c r="CE43" s="78">
        <v>0</v>
      </c>
      <c r="CF43" s="78">
        <v>0</v>
      </c>
      <c r="CG43" s="78">
        <v>2</v>
      </c>
      <c r="CH43" s="78">
        <v>0</v>
      </c>
      <c r="CI43" s="78">
        <v>0</v>
      </c>
      <c r="CJ43" s="76">
        <v>0</v>
      </c>
      <c r="CK43" s="1" t="s">
        <v>296</v>
      </c>
      <c r="CL43" s="78">
        <v>4</v>
      </c>
      <c r="CM43" s="78">
        <v>1</v>
      </c>
      <c r="CN43" s="78">
        <v>1</v>
      </c>
      <c r="CO43" s="78">
        <v>0</v>
      </c>
      <c r="CP43" s="78">
        <v>0</v>
      </c>
      <c r="CQ43" s="78">
        <v>1</v>
      </c>
      <c r="CR43" s="78">
        <v>0</v>
      </c>
      <c r="CS43" s="78">
        <v>0</v>
      </c>
      <c r="CT43" s="76">
        <v>1</v>
      </c>
      <c r="CU43" s="1" t="s">
        <v>304</v>
      </c>
      <c r="CV43" s="78">
        <v>4</v>
      </c>
      <c r="CW43" s="78">
        <v>0</v>
      </c>
      <c r="CX43" s="78">
        <v>1</v>
      </c>
      <c r="CY43" s="78">
        <v>0</v>
      </c>
      <c r="CZ43" s="78">
        <v>0</v>
      </c>
      <c r="DA43" s="78">
        <v>0</v>
      </c>
      <c r="DB43" s="78">
        <v>0</v>
      </c>
      <c r="DC43" s="78">
        <v>0</v>
      </c>
      <c r="DD43" s="76">
        <v>1</v>
      </c>
      <c r="DE43" s="1" t="s">
        <v>434</v>
      </c>
      <c r="DF43" s="78">
        <v>4</v>
      </c>
      <c r="DG43" s="78">
        <v>1</v>
      </c>
      <c r="DH43" s="78">
        <v>1</v>
      </c>
      <c r="DI43" s="78">
        <v>2</v>
      </c>
      <c r="DJ43" s="78">
        <v>0</v>
      </c>
      <c r="DK43" s="78">
        <v>1</v>
      </c>
      <c r="DL43" s="78">
        <v>0</v>
      </c>
      <c r="DM43" s="78">
        <v>0</v>
      </c>
      <c r="DN43" s="76">
        <v>4</v>
      </c>
      <c r="DO43" s="1" t="s">
        <v>301</v>
      </c>
      <c r="DP43" s="78">
        <v>4</v>
      </c>
      <c r="DQ43" s="78">
        <v>0</v>
      </c>
      <c r="DR43" s="78">
        <v>0</v>
      </c>
      <c r="DS43" s="78">
        <v>0</v>
      </c>
      <c r="DT43" s="78">
        <v>0</v>
      </c>
      <c r="DU43" s="78">
        <v>2</v>
      </c>
      <c r="DV43" s="78">
        <v>0</v>
      </c>
      <c r="DW43" s="78">
        <v>0</v>
      </c>
      <c r="DX43" s="76">
        <v>0</v>
      </c>
      <c r="DY43" s="77">
        <v>3</v>
      </c>
      <c r="DZ43" s="43">
        <v>0</v>
      </c>
      <c r="EA43" s="43">
        <v>0</v>
      </c>
      <c r="EB43" s="45">
        <v>6</v>
      </c>
      <c r="EC43" s="43">
        <v>1</v>
      </c>
      <c r="ED43" s="44">
        <v>0</v>
      </c>
      <c r="EE43" s="71">
        <v>0</v>
      </c>
      <c r="EF43" s="43">
        <v>1</v>
      </c>
      <c r="EG43" s="43">
        <v>0</v>
      </c>
      <c r="EH43" s="43">
        <v>0</v>
      </c>
      <c r="EI43" s="43">
        <v>0</v>
      </c>
      <c r="EJ43" s="43">
        <v>0</v>
      </c>
      <c r="EK43" s="43">
        <v>1</v>
      </c>
      <c r="EL43" s="43">
        <v>0</v>
      </c>
      <c r="EM43" s="43">
        <v>0</v>
      </c>
      <c r="EN43" s="43"/>
      <c r="EO43" s="43"/>
      <c r="EP43" s="43"/>
      <c r="EQ43" s="43"/>
      <c r="ER43" s="44">
        <f t="shared" si="14"/>
        <v>2</v>
      </c>
      <c r="ES43" s="43">
        <v>3</v>
      </c>
      <c r="ET43" s="43">
        <v>0</v>
      </c>
      <c r="EU43" s="43">
        <v>0</v>
      </c>
      <c r="EV43" s="43">
        <v>7</v>
      </c>
      <c r="EW43" s="43">
        <v>0</v>
      </c>
      <c r="EX43" s="43">
        <v>0</v>
      </c>
      <c r="EY43" s="43">
        <v>0</v>
      </c>
      <c r="EZ43" s="43">
        <v>0</v>
      </c>
      <c r="FA43" s="43"/>
      <c r="FB43" s="43"/>
      <c r="FC43" s="43"/>
      <c r="FD43" s="43"/>
      <c r="FE43" s="43"/>
      <c r="FF43" s="43">
        <f t="shared" si="15"/>
        <v>10</v>
      </c>
      <c r="FG43" s="73">
        <f t="shared" si="16"/>
        <v>0</v>
      </c>
      <c r="FH43" s="73">
        <f t="shared" si="17"/>
        <v>0</v>
      </c>
      <c r="FI43" s="38"/>
    </row>
    <row r="44" spans="1:165" x14ac:dyDescent="0.25">
      <c r="A44" s="325">
        <v>40392</v>
      </c>
      <c r="B44" s="325" t="s">
        <v>133</v>
      </c>
      <c r="C44" s="325" t="s">
        <v>131</v>
      </c>
      <c r="D44" s="325" t="s">
        <v>308</v>
      </c>
      <c r="E44" s="322">
        <v>703</v>
      </c>
      <c r="F44" s="307">
        <v>5</v>
      </c>
      <c r="G44" s="308" t="s">
        <v>306</v>
      </c>
      <c r="H44" s="309">
        <v>0</v>
      </c>
      <c r="I44" s="309">
        <v>1</v>
      </c>
      <c r="J44" s="310">
        <v>4</v>
      </c>
      <c r="K44" s="309">
        <v>8</v>
      </c>
      <c r="L44" s="309">
        <v>5</v>
      </c>
      <c r="M44" s="309">
        <v>5</v>
      </c>
      <c r="N44" s="309">
        <v>2</v>
      </c>
      <c r="O44" s="309">
        <v>4</v>
      </c>
      <c r="P44" s="309">
        <v>1</v>
      </c>
      <c r="Q44" s="309">
        <v>0</v>
      </c>
      <c r="R44" s="309">
        <v>21</v>
      </c>
      <c r="S44" s="309"/>
      <c r="T44" s="309"/>
      <c r="U44" s="309">
        <v>0</v>
      </c>
      <c r="V44" s="311">
        <v>0</v>
      </c>
      <c r="W44" s="323">
        <v>0</v>
      </c>
      <c r="X44" s="323">
        <v>0</v>
      </c>
      <c r="Y44" s="323">
        <v>0</v>
      </c>
      <c r="Z44" s="323">
        <v>0</v>
      </c>
      <c r="AA44" s="323">
        <v>0</v>
      </c>
      <c r="AB44" s="324">
        <v>4</v>
      </c>
      <c r="AC44" s="323">
        <v>10</v>
      </c>
      <c r="AD44" s="323">
        <v>7</v>
      </c>
      <c r="AE44" s="323">
        <v>6</v>
      </c>
      <c r="AF44" s="323">
        <v>1</v>
      </c>
      <c r="AG44" s="323">
        <v>5</v>
      </c>
      <c r="AH44" s="323">
        <v>1</v>
      </c>
      <c r="AI44" s="323">
        <v>0</v>
      </c>
      <c r="AJ44" s="323">
        <v>24</v>
      </c>
      <c r="AK44" s="323"/>
      <c r="AL44" s="323"/>
      <c r="AM44" s="312" t="s">
        <v>429</v>
      </c>
      <c r="AN44" s="313">
        <v>3</v>
      </c>
      <c r="AO44" s="313">
        <v>1</v>
      </c>
      <c r="AP44" s="313">
        <v>2</v>
      </c>
      <c r="AQ44" s="313">
        <v>0</v>
      </c>
      <c r="AR44" s="313">
        <v>2</v>
      </c>
      <c r="AS44" s="313">
        <v>0</v>
      </c>
      <c r="AT44" s="313">
        <v>0</v>
      </c>
      <c r="AU44" s="313">
        <v>0</v>
      </c>
      <c r="AV44" s="314">
        <v>2</v>
      </c>
      <c r="AW44" s="312" t="s">
        <v>298</v>
      </c>
      <c r="AX44" s="313">
        <v>5</v>
      </c>
      <c r="AY44" s="313">
        <v>0</v>
      </c>
      <c r="AZ44" s="313">
        <v>0</v>
      </c>
      <c r="BA44" s="313">
        <v>0</v>
      </c>
      <c r="BB44" s="313">
        <v>0</v>
      </c>
      <c r="BC44" s="313">
        <v>3</v>
      </c>
      <c r="BD44" s="313">
        <v>0</v>
      </c>
      <c r="BE44" s="313">
        <v>0</v>
      </c>
      <c r="BF44" s="314">
        <v>0</v>
      </c>
      <c r="BG44" s="312" t="s">
        <v>431</v>
      </c>
      <c r="BH44" s="313">
        <v>3</v>
      </c>
      <c r="BI44" s="313">
        <v>1</v>
      </c>
      <c r="BJ44" s="313">
        <v>1</v>
      </c>
      <c r="BK44" s="313">
        <v>1</v>
      </c>
      <c r="BL44" s="313">
        <v>1</v>
      </c>
      <c r="BM44" s="313">
        <v>0</v>
      </c>
      <c r="BN44" s="313">
        <v>1</v>
      </c>
      <c r="BO44" s="313">
        <v>0</v>
      </c>
      <c r="BP44" s="314">
        <v>2</v>
      </c>
      <c r="BQ44" s="312" t="s">
        <v>297</v>
      </c>
      <c r="BR44" s="313">
        <v>4</v>
      </c>
      <c r="BS44" s="313">
        <v>0</v>
      </c>
      <c r="BT44" s="313">
        <v>2</v>
      </c>
      <c r="BU44" s="313">
        <v>0</v>
      </c>
      <c r="BV44" s="313">
        <v>0</v>
      </c>
      <c r="BW44" s="313">
        <v>0</v>
      </c>
      <c r="BX44" s="313">
        <v>0</v>
      </c>
      <c r="BY44" s="313">
        <v>0</v>
      </c>
      <c r="BZ44" s="314">
        <v>2</v>
      </c>
      <c r="CA44" s="312" t="s">
        <v>436</v>
      </c>
      <c r="CB44" s="313">
        <v>4</v>
      </c>
      <c r="CC44" s="313">
        <v>0</v>
      </c>
      <c r="CD44" s="313">
        <v>2</v>
      </c>
      <c r="CE44" s="313">
        <v>0</v>
      </c>
      <c r="CF44" s="313">
        <v>0</v>
      </c>
      <c r="CG44" s="313">
        <v>1</v>
      </c>
      <c r="CH44" s="313">
        <v>0</v>
      </c>
      <c r="CI44" s="313">
        <v>0</v>
      </c>
      <c r="CJ44" s="314">
        <v>2</v>
      </c>
      <c r="CK44" s="312" t="s">
        <v>296</v>
      </c>
      <c r="CL44" s="313">
        <v>4</v>
      </c>
      <c r="CM44" s="313">
        <v>0</v>
      </c>
      <c r="CN44" s="313">
        <v>0</v>
      </c>
      <c r="CO44" s="313">
        <v>0</v>
      </c>
      <c r="CP44" s="313">
        <v>0</v>
      </c>
      <c r="CQ44" s="313">
        <v>1</v>
      </c>
      <c r="CR44" s="313">
        <v>0</v>
      </c>
      <c r="CS44" s="313">
        <v>0</v>
      </c>
      <c r="CT44" s="314">
        <v>0</v>
      </c>
      <c r="CU44" s="312" t="s">
        <v>434</v>
      </c>
      <c r="CV44" s="313">
        <v>4</v>
      </c>
      <c r="CW44" s="313">
        <v>0</v>
      </c>
      <c r="CX44" s="313">
        <v>0</v>
      </c>
      <c r="CY44" s="313">
        <v>0</v>
      </c>
      <c r="CZ44" s="313">
        <v>0</v>
      </c>
      <c r="DA44" s="313">
        <v>0</v>
      </c>
      <c r="DB44" s="313">
        <v>0</v>
      </c>
      <c r="DC44" s="313">
        <v>0</v>
      </c>
      <c r="DD44" s="314">
        <v>0</v>
      </c>
      <c r="DE44" s="312" t="s">
        <v>427</v>
      </c>
      <c r="DF44" s="313">
        <v>4</v>
      </c>
      <c r="DG44" s="313">
        <v>0</v>
      </c>
      <c r="DH44" s="313">
        <v>1</v>
      </c>
      <c r="DI44" s="313">
        <v>0</v>
      </c>
      <c r="DJ44" s="313">
        <v>0</v>
      </c>
      <c r="DK44" s="313">
        <v>2</v>
      </c>
      <c r="DL44" s="313">
        <v>0</v>
      </c>
      <c r="DM44" s="313">
        <v>0</v>
      </c>
      <c r="DN44" s="314">
        <v>1</v>
      </c>
      <c r="DO44" s="312" t="s">
        <v>295</v>
      </c>
      <c r="DP44" s="313">
        <v>4</v>
      </c>
      <c r="DQ44" s="313">
        <v>0</v>
      </c>
      <c r="DR44" s="313">
        <v>1</v>
      </c>
      <c r="DS44" s="313">
        <v>0</v>
      </c>
      <c r="DT44" s="313">
        <v>0</v>
      </c>
      <c r="DU44" s="313">
        <v>1</v>
      </c>
      <c r="DV44" s="313">
        <v>0</v>
      </c>
      <c r="DW44" s="313">
        <v>0</v>
      </c>
      <c r="DX44" s="314">
        <v>1</v>
      </c>
      <c r="DY44" s="315">
        <v>0</v>
      </c>
      <c r="DZ44" s="316">
        <v>0</v>
      </c>
      <c r="EA44" s="316">
        <v>0</v>
      </c>
      <c r="EB44" s="317">
        <v>9</v>
      </c>
      <c r="EC44" s="316">
        <v>1</v>
      </c>
      <c r="ED44" s="318">
        <v>0</v>
      </c>
      <c r="EE44" s="319">
        <v>0</v>
      </c>
      <c r="EF44" s="316">
        <v>0</v>
      </c>
      <c r="EG44" s="316">
        <v>2</v>
      </c>
      <c r="EH44" s="316">
        <v>0</v>
      </c>
      <c r="EI44" s="316">
        <v>0</v>
      </c>
      <c r="EJ44" s="316">
        <v>0</v>
      </c>
      <c r="EK44" s="316">
        <v>0</v>
      </c>
      <c r="EL44" s="316">
        <v>0</v>
      </c>
      <c r="EM44" s="316">
        <v>0</v>
      </c>
      <c r="EN44" s="316"/>
      <c r="EO44" s="316"/>
      <c r="EP44" s="316"/>
      <c r="EQ44" s="316"/>
      <c r="ER44" s="318">
        <f t="shared" si="14"/>
        <v>2</v>
      </c>
      <c r="ES44" s="316">
        <v>2</v>
      </c>
      <c r="ET44" s="316">
        <v>2</v>
      </c>
      <c r="EU44" s="316">
        <v>0</v>
      </c>
      <c r="EV44" s="316">
        <v>1</v>
      </c>
      <c r="EW44" s="316">
        <v>0</v>
      </c>
      <c r="EX44" s="316">
        <v>3</v>
      </c>
      <c r="EY44" s="316">
        <v>4</v>
      </c>
      <c r="EZ44" s="316">
        <v>0</v>
      </c>
      <c r="FA44" s="316"/>
      <c r="FB44" s="316"/>
      <c r="FC44" s="316"/>
      <c r="FD44" s="316"/>
      <c r="FE44" s="316"/>
      <c r="FF44" s="316">
        <f t="shared" si="15"/>
        <v>12</v>
      </c>
      <c r="FG44" s="320">
        <f t="shared" si="16"/>
        <v>0</v>
      </c>
      <c r="FH44" s="320">
        <f t="shared" si="17"/>
        <v>0</v>
      </c>
      <c r="FI44" s="321"/>
    </row>
    <row r="45" spans="1:165" x14ac:dyDescent="0.25">
      <c r="A45" s="325">
        <v>40393</v>
      </c>
      <c r="B45" s="325" t="s">
        <v>133</v>
      </c>
      <c r="C45" s="325" t="s">
        <v>131</v>
      </c>
      <c r="D45" s="325" t="s">
        <v>308</v>
      </c>
      <c r="E45" s="322">
        <v>929</v>
      </c>
      <c r="F45" s="307">
        <v>1</v>
      </c>
      <c r="G45" s="308" t="s">
        <v>305</v>
      </c>
      <c r="H45" s="309">
        <v>0</v>
      </c>
      <c r="I45" s="309">
        <v>0</v>
      </c>
      <c r="J45" s="310">
        <v>6</v>
      </c>
      <c r="K45" s="309">
        <v>5</v>
      </c>
      <c r="L45" s="309">
        <v>2</v>
      </c>
      <c r="M45" s="309">
        <v>2</v>
      </c>
      <c r="N45" s="309">
        <v>1</v>
      </c>
      <c r="O45" s="309">
        <v>6</v>
      </c>
      <c r="P45" s="309">
        <v>0</v>
      </c>
      <c r="Q45" s="309">
        <v>0</v>
      </c>
      <c r="R45" s="309">
        <v>22</v>
      </c>
      <c r="S45" s="309"/>
      <c r="T45" s="309"/>
      <c r="U45" s="309">
        <v>0</v>
      </c>
      <c r="V45" s="311">
        <v>0</v>
      </c>
      <c r="W45" s="323">
        <v>0</v>
      </c>
      <c r="X45" s="323">
        <v>1</v>
      </c>
      <c r="Y45" s="323">
        <v>0</v>
      </c>
      <c r="Z45" s="323">
        <v>0</v>
      </c>
      <c r="AA45" s="323">
        <v>1</v>
      </c>
      <c r="AB45" s="324">
        <v>2</v>
      </c>
      <c r="AC45" s="323">
        <v>0</v>
      </c>
      <c r="AD45" s="323">
        <v>3</v>
      </c>
      <c r="AE45" s="323">
        <v>0</v>
      </c>
      <c r="AF45" s="323">
        <v>1</v>
      </c>
      <c r="AG45" s="323">
        <v>2</v>
      </c>
      <c r="AH45" s="323">
        <v>0</v>
      </c>
      <c r="AI45" s="323">
        <v>0</v>
      </c>
      <c r="AJ45" s="323">
        <v>9</v>
      </c>
      <c r="AK45" s="323"/>
      <c r="AL45" s="323"/>
      <c r="AM45" s="312" t="s">
        <v>429</v>
      </c>
      <c r="AN45" s="313">
        <v>3</v>
      </c>
      <c r="AO45" s="313">
        <v>1</v>
      </c>
      <c r="AP45" s="313">
        <v>1</v>
      </c>
      <c r="AQ45" s="313">
        <v>0</v>
      </c>
      <c r="AR45" s="313">
        <v>1</v>
      </c>
      <c r="AS45" s="313">
        <v>0</v>
      </c>
      <c r="AT45" s="313">
        <v>0</v>
      </c>
      <c r="AU45" s="313">
        <v>0</v>
      </c>
      <c r="AV45" s="314">
        <v>2</v>
      </c>
      <c r="AW45" s="312" t="s">
        <v>298</v>
      </c>
      <c r="AX45" s="313">
        <v>4</v>
      </c>
      <c r="AY45" s="313">
        <v>0</v>
      </c>
      <c r="AZ45" s="313">
        <v>1</v>
      </c>
      <c r="BA45" s="313">
        <v>1</v>
      </c>
      <c r="BB45" s="313">
        <v>0</v>
      </c>
      <c r="BC45" s="313">
        <v>0</v>
      </c>
      <c r="BD45" s="313">
        <v>0</v>
      </c>
      <c r="BE45" s="313">
        <v>0</v>
      </c>
      <c r="BF45" s="314">
        <v>1</v>
      </c>
      <c r="BG45" s="312" t="s">
        <v>431</v>
      </c>
      <c r="BH45" s="313">
        <v>4</v>
      </c>
      <c r="BI45" s="313">
        <v>0</v>
      </c>
      <c r="BJ45" s="313">
        <v>0</v>
      </c>
      <c r="BK45" s="313">
        <v>0</v>
      </c>
      <c r="BL45" s="313">
        <v>0</v>
      </c>
      <c r="BM45" s="313">
        <v>2</v>
      </c>
      <c r="BN45" s="313">
        <v>0</v>
      </c>
      <c r="BO45" s="313">
        <v>0</v>
      </c>
      <c r="BP45" s="314">
        <v>0</v>
      </c>
      <c r="BQ45" s="312" t="s">
        <v>302</v>
      </c>
      <c r="BR45" s="313">
        <v>4</v>
      </c>
      <c r="BS45" s="313">
        <v>1</v>
      </c>
      <c r="BT45" s="313">
        <v>2</v>
      </c>
      <c r="BU45" s="313">
        <v>1</v>
      </c>
      <c r="BV45" s="313">
        <v>0</v>
      </c>
      <c r="BW45" s="313">
        <v>0</v>
      </c>
      <c r="BX45" s="313">
        <v>0</v>
      </c>
      <c r="BY45" s="313">
        <v>0</v>
      </c>
      <c r="BZ45" s="314">
        <v>5</v>
      </c>
      <c r="CA45" s="312" t="s">
        <v>436</v>
      </c>
      <c r="CB45" s="313">
        <v>4</v>
      </c>
      <c r="CC45" s="313">
        <v>1</v>
      </c>
      <c r="CD45" s="313">
        <v>2</v>
      </c>
      <c r="CE45" s="313">
        <v>0</v>
      </c>
      <c r="CF45" s="313">
        <v>0</v>
      </c>
      <c r="CG45" s="313">
        <v>0</v>
      </c>
      <c r="CH45" s="313">
        <v>0</v>
      </c>
      <c r="CI45" s="313">
        <v>0</v>
      </c>
      <c r="CJ45" s="314">
        <v>3</v>
      </c>
      <c r="CK45" s="312" t="s">
        <v>296</v>
      </c>
      <c r="CL45" s="313">
        <v>4</v>
      </c>
      <c r="CM45" s="313">
        <v>0</v>
      </c>
      <c r="CN45" s="313">
        <v>0</v>
      </c>
      <c r="CO45" s="313">
        <v>0</v>
      </c>
      <c r="CP45" s="313">
        <v>0</v>
      </c>
      <c r="CQ45" s="313">
        <v>1</v>
      </c>
      <c r="CR45" s="313">
        <v>0</v>
      </c>
      <c r="CS45" s="313">
        <v>0</v>
      </c>
      <c r="CT45" s="314">
        <v>0</v>
      </c>
      <c r="CU45" s="312" t="s">
        <v>427</v>
      </c>
      <c r="CV45" s="313">
        <v>4</v>
      </c>
      <c r="CW45" s="313">
        <v>0</v>
      </c>
      <c r="CX45" s="313">
        <v>1</v>
      </c>
      <c r="CY45" s="313">
        <v>1</v>
      </c>
      <c r="CZ45" s="313">
        <v>0</v>
      </c>
      <c r="DA45" s="313">
        <v>1</v>
      </c>
      <c r="DB45" s="313">
        <v>0</v>
      </c>
      <c r="DC45" s="313">
        <v>0</v>
      </c>
      <c r="DD45" s="314">
        <v>1</v>
      </c>
      <c r="DE45" s="312" t="s">
        <v>423</v>
      </c>
      <c r="DF45" s="313">
        <v>3</v>
      </c>
      <c r="DG45" s="313">
        <v>0</v>
      </c>
      <c r="DH45" s="313">
        <v>1</v>
      </c>
      <c r="DI45" s="313">
        <v>0</v>
      </c>
      <c r="DJ45" s="313">
        <v>0</v>
      </c>
      <c r="DK45" s="313">
        <v>0</v>
      </c>
      <c r="DL45" s="313">
        <v>0</v>
      </c>
      <c r="DM45" s="313">
        <v>0</v>
      </c>
      <c r="DN45" s="314">
        <v>1</v>
      </c>
      <c r="DO45" s="312" t="s">
        <v>304</v>
      </c>
      <c r="DP45" s="313">
        <v>3</v>
      </c>
      <c r="DQ45" s="313">
        <v>0</v>
      </c>
      <c r="DR45" s="313">
        <v>1</v>
      </c>
      <c r="DS45" s="313">
        <v>0</v>
      </c>
      <c r="DT45" s="313">
        <v>0</v>
      </c>
      <c r="DU45" s="313">
        <v>1</v>
      </c>
      <c r="DV45" s="313">
        <v>0</v>
      </c>
      <c r="DW45" s="313">
        <v>0</v>
      </c>
      <c r="DX45" s="314">
        <v>1</v>
      </c>
      <c r="DY45" s="315">
        <v>4</v>
      </c>
      <c r="DZ45" s="316">
        <v>1</v>
      </c>
      <c r="EA45" s="316">
        <v>0</v>
      </c>
      <c r="EB45" s="317">
        <v>5</v>
      </c>
      <c r="EC45" s="316">
        <v>1</v>
      </c>
      <c r="ED45" s="318">
        <v>1</v>
      </c>
      <c r="EE45" s="319">
        <v>0</v>
      </c>
      <c r="EF45" s="316">
        <v>0</v>
      </c>
      <c r="EG45" s="316">
        <v>0</v>
      </c>
      <c r="EH45" s="316">
        <v>2</v>
      </c>
      <c r="EI45" s="316">
        <v>1</v>
      </c>
      <c r="EJ45" s="316">
        <v>0</v>
      </c>
      <c r="EK45" s="316">
        <v>0</v>
      </c>
      <c r="EL45" s="316">
        <v>0</v>
      </c>
      <c r="EM45" s="316">
        <v>0</v>
      </c>
      <c r="EN45" s="316"/>
      <c r="EO45" s="316"/>
      <c r="EP45" s="316"/>
      <c r="EQ45" s="316"/>
      <c r="ER45" s="318">
        <f t="shared" si="14"/>
        <v>3</v>
      </c>
      <c r="ES45" s="316">
        <v>2</v>
      </c>
      <c r="ET45" s="316">
        <v>0</v>
      </c>
      <c r="EU45" s="316">
        <v>0</v>
      </c>
      <c r="EV45" s="316">
        <v>0</v>
      </c>
      <c r="EW45" s="316">
        <v>0</v>
      </c>
      <c r="EX45" s="316">
        <v>0</v>
      </c>
      <c r="EY45" s="316">
        <v>0</v>
      </c>
      <c r="EZ45" s="316">
        <v>3</v>
      </c>
      <c r="FA45" s="316"/>
      <c r="FB45" s="316"/>
      <c r="FC45" s="316"/>
      <c r="FD45" s="316"/>
      <c r="FE45" s="316"/>
      <c r="FF45" s="316">
        <f t="shared" si="15"/>
        <v>5</v>
      </c>
      <c r="FG45" s="320">
        <f t="shared" si="16"/>
        <v>0</v>
      </c>
      <c r="FH45" s="320">
        <f t="shared" si="17"/>
        <v>0</v>
      </c>
      <c r="FI45" s="321" t="s">
        <v>637</v>
      </c>
    </row>
    <row r="46" spans="1:165" x14ac:dyDescent="0.25">
      <c r="A46" s="325">
        <v>40396</v>
      </c>
      <c r="B46" s="325" t="s">
        <v>19</v>
      </c>
      <c r="C46" s="325" t="s">
        <v>129</v>
      </c>
      <c r="D46" s="325" t="s">
        <v>648</v>
      </c>
      <c r="E46" s="322"/>
      <c r="F46" s="307">
        <v>2</v>
      </c>
      <c r="G46" s="308" t="s">
        <v>299</v>
      </c>
      <c r="H46" s="309">
        <v>1</v>
      </c>
      <c r="I46" s="309">
        <v>0</v>
      </c>
      <c r="J46" s="310">
        <f>5+1/3</f>
        <v>5.333333333333333</v>
      </c>
      <c r="K46" s="309">
        <v>5</v>
      </c>
      <c r="L46" s="309">
        <v>3</v>
      </c>
      <c r="M46" s="309">
        <v>2</v>
      </c>
      <c r="N46" s="309">
        <v>2</v>
      </c>
      <c r="O46" s="309">
        <v>3</v>
      </c>
      <c r="P46" s="309">
        <v>1</v>
      </c>
      <c r="Q46" s="309">
        <v>0</v>
      </c>
      <c r="R46" s="309">
        <v>22</v>
      </c>
      <c r="S46" s="309"/>
      <c r="T46" s="309"/>
      <c r="U46" s="309">
        <v>0</v>
      </c>
      <c r="V46" s="311">
        <v>0</v>
      </c>
      <c r="W46" s="323">
        <v>0</v>
      </c>
      <c r="X46" s="323">
        <v>0</v>
      </c>
      <c r="Y46" s="323">
        <v>0</v>
      </c>
      <c r="Z46" s="323">
        <v>0</v>
      </c>
      <c r="AA46" s="323">
        <v>0</v>
      </c>
      <c r="AB46" s="324">
        <f>1+2/3</f>
        <v>1.6666666666666665</v>
      </c>
      <c r="AC46" s="323">
        <v>0</v>
      </c>
      <c r="AD46" s="323">
        <v>0</v>
      </c>
      <c r="AE46" s="323">
        <v>0</v>
      </c>
      <c r="AF46" s="323">
        <v>0</v>
      </c>
      <c r="AG46" s="323">
        <v>2</v>
      </c>
      <c r="AH46" s="323">
        <v>0</v>
      </c>
      <c r="AI46" s="323">
        <v>0</v>
      </c>
      <c r="AJ46" s="323">
        <v>5</v>
      </c>
      <c r="AK46" s="323"/>
      <c r="AL46" s="323"/>
      <c r="AM46" s="312" t="s">
        <v>429</v>
      </c>
      <c r="AN46" s="313">
        <v>5</v>
      </c>
      <c r="AO46" s="313">
        <v>2</v>
      </c>
      <c r="AP46" s="313">
        <v>2</v>
      </c>
      <c r="AQ46" s="313">
        <v>1</v>
      </c>
      <c r="AR46" s="313">
        <v>0</v>
      </c>
      <c r="AS46" s="313">
        <v>2</v>
      </c>
      <c r="AT46" s="313">
        <v>0</v>
      </c>
      <c r="AU46" s="313">
        <v>0</v>
      </c>
      <c r="AV46" s="314">
        <v>4</v>
      </c>
      <c r="AW46" s="312" t="s">
        <v>298</v>
      </c>
      <c r="AX46" s="313">
        <v>3</v>
      </c>
      <c r="AY46" s="313">
        <v>1</v>
      </c>
      <c r="AZ46" s="313">
        <v>1</v>
      </c>
      <c r="BA46" s="313">
        <v>1</v>
      </c>
      <c r="BB46" s="313">
        <v>0</v>
      </c>
      <c r="BC46" s="313">
        <v>1</v>
      </c>
      <c r="BD46" s="313">
        <v>0</v>
      </c>
      <c r="BE46" s="313">
        <v>1</v>
      </c>
      <c r="BF46" s="314">
        <v>1</v>
      </c>
      <c r="BG46" s="312" t="s">
        <v>431</v>
      </c>
      <c r="BH46" s="313">
        <v>4</v>
      </c>
      <c r="BI46" s="313">
        <v>2</v>
      </c>
      <c r="BJ46" s="313">
        <v>2</v>
      </c>
      <c r="BK46" s="313">
        <v>0</v>
      </c>
      <c r="BL46" s="313">
        <v>0</v>
      </c>
      <c r="BM46" s="313">
        <v>0</v>
      </c>
      <c r="BN46" s="313">
        <v>0</v>
      </c>
      <c r="BO46" s="313">
        <v>0</v>
      </c>
      <c r="BP46" s="314">
        <v>3</v>
      </c>
      <c r="BQ46" s="312" t="s">
        <v>302</v>
      </c>
      <c r="BR46" s="313">
        <v>4</v>
      </c>
      <c r="BS46" s="313">
        <v>2</v>
      </c>
      <c r="BT46" s="313">
        <v>3</v>
      </c>
      <c r="BU46" s="313">
        <v>1</v>
      </c>
      <c r="BV46" s="313">
        <v>0</v>
      </c>
      <c r="BW46" s="313">
        <v>1</v>
      </c>
      <c r="BX46" s="313">
        <v>0</v>
      </c>
      <c r="BY46" s="313">
        <v>0</v>
      </c>
      <c r="BZ46" s="314">
        <v>3</v>
      </c>
      <c r="CA46" s="312" t="s">
        <v>436</v>
      </c>
      <c r="CB46" s="313">
        <v>2</v>
      </c>
      <c r="CC46" s="313">
        <v>3</v>
      </c>
      <c r="CD46" s="313">
        <v>2</v>
      </c>
      <c r="CE46" s="313">
        <v>0</v>
      </c>
      <c r="CF46" s="313">
        <v>2</v>
      </c>
      <c r="CG46" s="313">
        <v>0</v>
      </c>
      <c r="CH46" s="313">
        <v>0</v>
      </c>
      <c r="CI46" s="313">
        <v>0</v>
      </c>
      <c r="CJ46" s="314">
        <v>2</v>
      </c>
      <c r="CK46" s="312" t="s">
        <v>296</v>
      </c>
      <c r="CL46" s="313">
        <v>3</v>
      </c>
      <c r="CM46" s="313">
        <v>1</v>
      </c>
      <c r="CN46" s="313">
        <v>1</v>
      </c>
      <c r="CO46" s="313">
        <v>0</v>
      </c>
      <c r="CP46" s="313">
        <v>1</v>
      </c>
      <c r="CQ46" s="313">
        <v>1</v>
      </c>
      <c r="CR46" s="313">
        <v>0</v>
      </c>
      <c r="CS46" s="313">
        <v>0</v>
      </c>
      <c r="CT46" s="314">
        <v>1</v>
      </c>
      <c r="CU46" s="312" t="s">
        <v>434</v>
      </c>
      <c r="CV46" s="313">
        <v>3</v>
      </c>
      <c r="CW46" s="313">
        <v>1</v>
      </c>
      <c r="CX46" s="313">
        <v>2</v>
      </c>
      <c r="CY46" s="313">
        <v>4</v>
      </c>
      <c r="CZ46" s="313">
        <v>1</v>
      </c>
      <c r="DA46" s="313">
        <v>0</v>
      </c>
      <c r="DB46" s="313">
        <v>0</v>
      </c>
      <c r="DC46" s="313">
        <v>0</v>
      </c>
      <c r="DD46" s="314">
        <v>3</v>
      </c>
      <c r="DE46" s="312" t="s">
        <v>433</v>
      </c>
      <c r="DF46" s="313">
        <v>3</v>
      </c>
      <c r="DG46" s="313">
        <v>0</v>
      </c>
      <c r="DH46" s="313">
        <v>0</v>
      </c>
      <c r="DI46" s="313">
        <v>1</v>
      </c>
      <c r="DJ46" s="313">
        <v>1</v>
      </c>
      <c r="DK46" s="313">
        <v>0</v>
      </c>
      <c r="DL46" s="313">
        <v>0</v>
      </c>
      <c r="DM46" s="313">
        <v>0</v>
      </c>
      <c r="DN46" s="314">
        <v>0</v>
      </c>
      <c r="DO46" s="312" t="s">
        <v>304</v>
      </c>
      <c r="DP46" s="313">
        <v>4</v>
      </c>
      <c r="DQ46" s="313">
        <v>1</v>
      </c>
      <c r="DR46" s="313">
        <v>3</v>
      </c>
      <c r="DS46" s="313">
        <v>2</v>
      </c>
      <c r="DT46" s="313">
        <v>0</v>
      </c>
      <c r="DU46" s="313">
        <v>0</v>
      </c>
      <c r="DV46" s="313">
        <v>0</v>
      </c>
      <c r="DW46" s="313">
        <v>0</v>
      </c>
      <c r="DX46" s="314">
        <v>3</v>
      </c>
      <c r="DY46" s="315">
        <v>0</v>
      </c>
      <c r="DZ46" s="316">
        <v>0</v>
      </c>
      <c r="EA46" s="316">
        <v>0</v>
      </c>
      <c r="EB46" s="317">
        <v>6</v>
      </c>
      <c r="EC46" s="316">
        <v>0</v>
      </c>
      <c r="ED46" s="318">
        <v>1</v>
      </c>
      <c r="EE46" s="319">
        <v>4</v>
      </c>
      <c r="EF46" s="316">
        <v>2</v>
      </c>
      <c r="EG46" s="316">
        <v>3</v>
      </c>
      <c r="EH46" s="316">
        <v>3</v>
      </c>
      <c r="EI46" s="316">
        <v>1</v>
      </c>
      <c r="EJ46" s="316">
        <v>0</v>
      </c>
      <c r="EK46" s="316"/>
      <c r="EL46" s="316"/>
      <c r="EM46" s="316"/>
      <c r="EN46" s="316"/>
      <c r="EO46" s="316"/>
      <c r="EP46" s="316"/>
      <c r="EQ46" s="316"/>
      <c r="ER46" s="318">
        <f t="shared" si="14"/>
        <v>13</v>
      </c>
      <c r="ES46" s="316">
        <v>0</v>
      </c>
      <c r="ET46" s="316">
        <v>0</v>
      </c>
      <c r="EU46" s="316">
        <v>1</v>
      </c>
      <c r="EV46" s="316">
        <v>0</v>
      </c>
      <c r="EW46" s="316">
        <v>0</v>
      </c>
      <c r="EX46" s="316">
        <v>2</v>
      </c>
      <c r="EY46" s="316">
        <v>0</v>
      </c>
      <c r="EZ46" s="316"/>
      <c r="FA46" s="316"/>
      <c r="FB46" s="316"/>
      <c r="FC46" s="316"/>
      <c r="FD46" s="316"/>
      <c r="FE46" s="316"/>
      <c r="FF46" s="316">
        <f t="shared" si="15"/>
        <v>3</v>
      </c>
      <c r="FG46" s="320">
        <f t="shared" si="16"/>
        <v>0</v>
      </c>
      <c r="FH46" s="320">
        <f t="shared" si="17"/>
        <v>0</v>
      </c>
      <c r="FI46" s="321" t="s">
        <v>475</v>
      </c>
    </row>
    <row r="47" spans="1:165" x14ac:dyDescent="0.25">
      <c r="A47" s="325">
        <v>40396</v>
      </c>
      <c r="B47" s="325" t="s">
        <v>19</v>
      </c>
      <c r="C47" s="325" t="s">
        <v>131</v>
      </c>
      <c r="D47" s="325" t="s">
        <v>648</v>
      </c>
      <c r="E47" s="322">
        <v>749</v>
      </c>
      <c r="F47" s="58" t="s">
        <v>523</v>
      </c>
      <c r="G47" s="308" t="s">
        <v>649</v>
      </c>
      <c r="H47" s="309">
        <v>0</v>
      </c>
      <c r="I47" s="309">
        <v>1</v>
      </c>
      <c r="J47" s="310">
        <f>3+2/3</f>
        <v>3.6666666666666665</v>
      </c>
      <c r="K47" s="309">
        <v>4</v>
      </c>
      <c r="L47" s="309">
        <v>2</v>
      </c>
      <c r="M47" s="309">
        <v>2</v>
      </c>
      <c r="N47" s="309">
        <v>2</v>
      </c>
      <c r="O47" s="309">
        <v>4</v>
      </c>
      <c r="P47" s="309">
        <v>2</v>
      </c>
      <c r="Q47" s="309">
        <v>0</v>
      </c>
      <c r="R47" s="309">
        <v>18</v>
      </c>
      <c r="S47" s="309"/>
      <c r="T47" s="309"/>
      <c r="U47" s="309">
        <v>2</v>
      </c>
      <c r="V47" s="311">
        <v>0</v>
      </c>
      <c r="W47" s="323">
        <v>0</v>
      </c>
      <c r="X47" s="323">
        <v>0</v>
      </c>
      <c r="Y47" s="323">
        <v>0</v>
      </c>
      <c r="Z47" s="323">
        <v>0</v>
      </c>
      <c r="AA47" s="323">
        <v>0</v>
      </c>
      <c r="AB47" s="324">
        <f>3+1/3</f>
        <v>3.3333333333333335</v>
      </c>
      <c r="AC47" s="323">
        <v>5</v>
      </c>
      <c r="AD47" s="323">
        <v>2</v>
      </c>
      <c r="AE47" s="323">
        <v>2</v>
      </c>
      <c r="AF47" s="323">
        <v>0</v>
      </c>
      <c r="AG47" s="323">
        <v>3</v>
      </c>
      <c r="AH47" s="323">
        <v>1</v>
      </c>
      <c r="AI47" s="323">
        <v>0</v>
      </c>
      <c r="AJ47" s="323">
        <v>14</v>
      </c>
      <c r="AK47" s="323"/>
      <c r="AL47" s="323"/>
      <c r="AM47" s="312" t="s">
        <v>429</v>
      </c>
      <c r="AN47" s="313">
        <v>3</v>
      </c>
      <c r="AO47" s="313">
        <v>0</v>
      </c>
      <c r="AP47" s="313">
        <v>1</v>
      </c>
      <c r="AQ47" s="313">
        <v>0</v>
      </c>
      <c r="AR47" s="313">
        <v>1</v>
      </c>
      <c r="AS47" s="313">
        <v>2</v>
      </c>
      <c r="AT47" s="313">
        <v>0</v>
      </c>
      <c r="AU47" s="313">
        <v>0</v>
      </c>
      <c r="AV47" s="314">
        <v>1</v>
      </c>
      <c r="AW47" s="312" t="s">
        <v>298</v>
      </c>
      <c r="AX47" s="313">
        <v>4</v>
      </c>
      <c r="AY47" s="313">
        <v>1</v>
      </c>
      <c r="AZ47" s="313">
        <v>1</v>
      </c>
      <c r="BA47" s="313">
        <v>0</v>
      </c>
      <c r="BB47" s="313">
        <v>0</v>
      </c>
      <c r="BC47" s="313">
        <v>2</v>
      </c>
      <c r="BD47" s="313">
        <v>0</v>
      </c>
      <c r="BE47" s="313">
        <v>0</v>
      </c>
      <c r="BF47" s="314">
        <v>1</v>
      </c>
      <c r="BG47" s="312" t="s">
        <v>297</v>
      </c>
      <c r="BH47" s="313">
        <v>4</v>
      </c>
      <c r="BI47" s="313">
        <v>0</v>
      </c>
      <c r="BJ47" s="313">
        <v>0</v>
      </c>
      <c r="BK47" s="313">
        <v>0</v>
      </c>
      <c r="BL47" s="313">
        <v>0</v>
      </c>
      <c r="BM47" s="313">
        <v>3</v>
      </c>
      <c r="BN47" s="313">
        <v>0</v>
      </c>
      <c r="BO47" s="313">
        <v>0</v>
      </c>
      <c r="BP47" s="314">
        <v>0</v>
      </c>
      <c r="BQ47" s="312" t="s">
        <v>302</v>
      </c>
      <c r="BR47" s="313">
        <v>1</v>
      </c>
      <c r="BS47" s="313">
        <v>0</v>
      </c>
      <c r="BT47" s="313">
        <v>0</v>
      </c>
      <c r="BU47" s="313">
        <v>0</v>
      </c>
      <c r="BV47" s="313">
        <v>2</v>
      </c>
      <c r="BW47" s="313">
        <v>0</v>
      </c>
      <c r="BX47" s="313">
        <v>0</v>
      </c>
      <c r="BY47" s="313">
        <v>0</v>
      </c>
      <c r="BZ47" s="314">
        <v>0</v>
      </c>
      <c r="CA47" s="312" t="s">
        <v>427</v>
      </c>
      <c r="CB47" s="313">
        <v>3</v>
      </c>
      <c r="CC47" s="313">
        <v>0</v>
      </c>
      <c r="CD47" s="313">
        <v>3</v>
      </c>
      <c r="CE47" s="313">
        <v>0</v>
      </c>
      <c r="CF47" s="313">
        <v>0</v>
      </c>
      <c r="CG47" s="313">
        <v>0</v>
      </c>
      <c r="CH47" s="313">
        <v>0</v>
      </c>
      <c r="CI47" s="313">
        <v>0</v>
      </c>
      <c r="CJ47" s="314">
        <v>4</v>
      </c>
      <c r="CK47" s="312" t="s">
        <v>296</v>
      </c>
      <c r="CL47" s="313">
        <v>3</v>
      </c>
      <c r="CM47" s="313">
        <v>0</v>
      </c>
      <c r="CN47" s="313">
        <v>1</v>
      </c>
      <c r="CO47" s="313">
        <v>0</v>
      </c>
      <c r="CP47" s="313">
        <v>0</v>
      </c>
      <c r="CQ47" s="313">
        <v>0</v>
      </c>
      <c r="CR47" s="313">
        <v>0</v>
      </c>
      <c r="CS47" s="313">
        <v>0</v>
      </c>
      <c r="CT47" s="314">
        <v>1</v>
      </c>
      <c r="CU47" s="312" t="s">
        <v>434</v>
      </c>
      <c r="CV47" s="313">
        <v>3</v>
      </c>
      <c r="CW47" s="313">
        <v>0</v>
      </c>
      <c r="CX47" s="313">
        <v>0</v>
      </c>
      <c r="CY47" s="313">
        <v>0</v>
      </c>
      <c r="CZ47" s="313">
        <v>0</v>
      </c>
      <c r="DA47" s="313">
        <v>1</v>
      </c>
      <c r="DB47" s="313">
        <v>0</v>
      </c>
      <c r="DC47" s="313">
        <v>0</v>
      </c>
      <c r="DD47" s="314">
        <v>0</v>
      </c>
      <c r="DE47" s="312" t="s">
        <v>423</v>
      </c>
      <c r="DF47" s="313">
        <v>3</v>
      </c>
      <c r="DG47" s="313">
        <v>0</v>
      </c>
      <c r="DH47" s="313">
        <v>0</v>
      </c>
      <c r="DI47" s="313">
        <v>0</v>
      </c>
      <c r="DJ47" s="313">
        <v>0</v>
      </c>
      <c r="DK47" s="313">
        <v>1</v>
      </c>
      <c r="DL47" s="313">
        <v>0</v>
      </c>
      <c r="DM47" s="313">
        <v>0</v>
      </c>
      <c r="DN47" s="314">
        <v>0</v>
      </c>
      <c r="DO47" s="312" t="s">
        <v>295</v>
      </c>
      <c r="DP47" s="313">
        <v>3</v>
      </c>
      <c r="DQ47" s="313">
        <v>0</v>
      </c>
      <c r="DR47" s="313">
        <v>2</v>
      </c>
      <c r="DS47" s="313">
        <v>0</v>
      </c>
      <c r="DT47" s="313">
        <v>0</v>
      </c>
      <c r="DU47" s="313">
        <v>0</v>
      </c>
      <c r="DV47" s="313">
        <v>0</v>
      </c>
      <c r="DW47" s="313">
        <v>0</v>
      </c>
      <c r="DX47" s="314">
        <v>2</v>
      </c>
      <c r="DY47" s="315">
        <f>4+2/3</f>
        <v>4.666666666666667</v>
      </c>
      <c r="DZ47" s="316">
        <v>0</v>
      </c>
      <c r="EA47" s="316">
        <v>2</v>
      </c>
      <c r="EB47" s="317">
        <f>2+1/3</f>
        <v>2.3333333333333335</v>
      </c>
      <c r="EC47" s="316">
        <v>0</v>
      </c>
      <c r="ED47" s="318">
        <v>0</v>
      </c>
      <c r="EE47" s="319">
        <v>1</v>
      </c>
      <c r="EF47" s="316">
        <v>0</v>
      </c>
      <c r="EG47" s="316">
        <v>0</v>
      </c>
      <c r="EH47" s="316">
        <v>0</v>
      </c>
      <c r="EI47" s="316">
        <v>0</v>
      </c>
      <c r="EJ47" s="316">
        <v>0</v>
      </c>
      <c r="EK47" s="316">
        <v>0</v>
      </c>
      <c r="EL47" s="316"/>
      <c r="EM47" s="316"/>
      <c r="EN47" s="316"/>
      <c r="EO47" s="316"/>
      <c r="EP47" s="316"/>
      <c r="EQ47" s="316"/>
      <c r="ER47" s="318">
        <f t="shared" si="14"/>
        <v>1</v>
      </c>
      <c r="ES47" s="316">
        <v>0</v>
      </c>
      <c r="ET47" s="316">
        <v>0</v>
      </c>
      <c r="EU47" s="316">
        <v>1</v>
      </c>
      <c r="EV47" s="316">
        <v>1</v>
      </c>
      <c r="EW47" s="316">
        <v>2</v>
      </c>
      <c r="EX47" s="316">
        <v>0</v>
      </c>
      <c r="EY47" s="316">
        <v>0</v>
      </c>
      <c r="EZ47" s="316"/>
      <c r="FA47" s="316"/>
      <c r="FB47" s="316"/>
      <c r="FC47" s="316"/>
      <c r="FD47" s="316"/>
      <c r="FE47" s="316"/>
      <c r="FF47" s="316">
        <f t="shared" si="15"/>
        <v>4</v>
      </c>
      <c r="FG47" s="320">
        <f t="shared" si="16"/>
        <v>0</v>
      </c>
      <c r="FH47" s="320">
        <f t="shared" si="17"/>
        <v>0</v>
      </c>
      <c r="FI47" s="321" t="s">
        <v>378</v>
      </c>
    </row>
    <row r="48" spans="1:165" x14ac:dyDescent="0.25">
      <c r="A48" s="325">
        <v>40397</v>
      </c>
      <c r="B48" s="325" t="s">
        <v>19</v>
      </c>
      <c r="C48" s="325" t="s">
        <v>131</v>
      </c>
      <c r="D48" s="325" t="s">
        <v>648</v>
      </c>
      <c r="E48" s="322">
        <v>1072</v>
      </c>
      <c r="F48" s="307">
        <v>3</v>
      </c>
      <c r="G48" s="308" t="s">
        <v>307</v>
      </c>
      <c r="H48" s="309">
        <v>0</v>
      </c>
      <c r="I48" s="309">
        <v>0</v>
      </c>
      <c r="J48" s="310">
        <v>4</v>
      </c>
      <c r="K48" s="309">
        <v>4</v>
      </c>
      <c r="L48" s="309">
        <v>1</v>
      </c>
      <c r="M48" s="309">
        <v>1</v>
      </c>
      <c r="N48" s="309">
        <v>0</v>
      </c>
      <c r="O48" s="309">
        <v>6</v>
      </c>
      <c r="P48" s="309">
        <v>1</v>
      </c>
      <c r="Q48" s="309">
        <v>1</v>
      </c>
      <c r="R48" s="309">
        <v>17</v>
      </c>
      <c r="S48" s="309"/>
      <c r="T48" s="309"/>
      <c r="U48" s="309">
        <v>0</v>
      </c>
      <c r="V48" s="311">
        <v>0</v>
      </c>
      <c r="W48" s="323">
        <v>0</v>
      </c>
      <c r="X48" s="323">
        <v>1</v>
      </c>
      <c r="Y48" s="323">
        <v>0</v>
      </c>
      <c r="Z48" s="323">
        <v>0</v>
      </c>
      <c r="AA48" s="323">
        <v>0</v>
      </c>
      <c r="AB48" s="324">
        <v>8</v>
      </c>
      <c r="AC48" s="323">
        <v>11</v>
      </c>
      <c r="AD48" s="323">
        <v>4</v>
      </c>
      <c r="AE48" s="323">
        <v>4</v>
      </c>
      <c r="AF48" s="323">
        <v>2</v>
      </c>
      <c r="AG48" s="323">
        <v>7</v>
      </c>
      <c r="AH48" s="323">
        <v>0</v>
      </c>
      <c r="AI48" s="323">
        <v>0</v>
      </c>
      <c r="AJ48" s="323">
        <v>36</v>
      </c>
      <c r="AK48" s="323"/>
      <c r="AL48" s="323"/>
      <c r="AM48" s="1" t="s">
        <v>429</v>
      </c>
      <c r="AN48" s="313">
        <v>5</v>
      </c>
      <c r="AO48" s="313">
        <v>1</v>
      </c>
      <c r="AP48" s="313">
        <v>1</v>
      </c>
      <c r="AQ48" s="313">
        <v>0</v>
      </c>
      <c r="AR48" s="313">
        <v>0</v>
      </c>
      <c r="AS48" s="313">
        <v>0</v>
      </c>
      <c r="AT48" s="313">
        <v>0</v>
      </c>
      <c r="AU48" s="313">
        <v>0</v>
      </c>
      <c r="AV48" s="314">
        <v>1</v>
      </c>
      <c r="AW48" s="1" t="s">
        <v>298</v>
      </c>
      <c r="AX48" s="313">
        <v>3</v>
      </c>
      <c r="AY48" s="313">
        <v>1</v>
      </c>
      <c r="AZ48" s="313">
        <v>0</v>
      </c>
      <c r="BA48" s="313">
        <v>0</v>
      </c>
      <c r="BB48" s="313">
        <v>2</v>
      </c>
      <c r="BC48" s="313">
        <v>1</v>
      </c>
      <c r="BD48" s="313">
        <v>0</v>
      </c>
      <c r="BE48" s="313">
        <v>0</v>
      </c>
      <c r="BF48" s="314">
        <v>0</v>
      </c>
      <c r="BG48" s="1" t="s">
        <v>431</v>
      </c>
      <c r="BH48" s="313">
        <v>3</v>
      </c>
      <c r="BI48" s="313">
        <v>1</v>
      </c>
      <c r="BJ48" s="313">
        <v>1</v>
      </c>
      <c r="BK48" s="313">
        <v>0</v>
      </c>
      <c r="BL48" s="313">
        <v>2</v>
      </c>
      <c r="BM48" s="313">
        <v>1</v>
      </c>
      <c r="BN48" s="313">
        <v>0</v>
      </c>
      <c r="BO48" s="313">
        <v>0</v>
      </c>
      <c r="BP48" s="314">
        <v>3</v>
      </c>
      <c r="BQ48" s="1" t="s">
        <v>302</v>
      </c>
      <c r="BR48" s="313">
        <v>5</v>
      </c>
      <c r="BS48" s="313">
        <v>0</v>
      </c>
      <c r="BT48" s="313">
        <v>1</v>
      </c>
      <c r="BU48" s="313">
        <v>3</v>
      </c>
      <c r="BV48" s="313">
        <v>0</v>
      </c>
      <c r="BW48" s="313">
        <v>1</v>
      </c>
      <c r="BX48" s="313">
        <v>0</v>
      </c>
      <c r="BY48" s="313">
        <v>0</v>
      </c>
      <c r="BZ48" s="314">
        <v>1</v>
      </c>
      <c r="CA48" s="1" t="s">
        <v>297</v>
      </c>
      <c r="CB48" s="313">
        <v>4</v>
      </c>
      <c r="CC48" s="313">
        <v>0</v>
      </c>
      <c r="CD48" s="313">
        <v>1</v>
      </c>
      <c r="CE48" s="313">
        <v>0</v>
      </c>
      <c r="CF48" s="313">
        <v>1</v>
      </c>
      <c r="CG48" s="313">
        <v>1</v>
      </c>
      <c r="CH48" s="313">
        <v>0</v>
      </c>
      <c r="CI48" s="313">
        <v>0</v>
      </c>
      <c r="CJ48" s="314">
        <v>1</v>
      </c>
      <c r="CK48" s="1" t="s">
        <v>296</v>
      </c>
      <c r="CL48" s="313">
        <v>4</v>
      </c>
      <c r="CM48" s="313">
        <v>1</v>
      </c>
      <c r="CN48" s="313">
        <v>1</v>
      </c>
      <c r="CO48" s="313">
        <v>0</v>
      </c>
      <c r="CP48" s="313">
        <v>1</v>
      </c>
      <c r="CQ48" s="313">
        <v>0</v>
      </c>
      <c r="CR48" s="313">
        <v>0</v>
      </c>
      <c r="CS48" s="313">
        <v>0</v>
      </c>
      <c r="CT48" s="314">
        <v>2</v>
      </c>
      <c r="CU48" s="1" t="s">
        <v>434</v>
      </c>
      <c r="CV48" s="313">
        <v>5</v>
      </c>
      <c r="CW48" s="313">
        <v>0</v>
      </c>
      <c r="CX48" s="313">
        <v>1</v>
      </c>
      <c r="CY48" s="313">
        <v>1</v>
      </c>
      <c r="CZ48" s="313">
        <v>0</v>
      </c>
      <c r="DA48" s="313">
        <v>3</v>
      </c>
      <c r="DB48" s="313">
        <v>0</v>
      </c>
      <c r="DC48" s="313">
        <v>0</v>
      </c>
      <c r="DD48" s="314">
        <v>1</v>
      </c>
      <c r="DE48" s="1" t="s">
        <v>427</v>
      </c>
      <c r="DF48" s="313">
        <v>3</v>
      </c>
      <c r="DG48" s="313">
        <v>0</v>
      </c>
      <c r="DH48" s="313">
        <v>0</v>
      </c>
      <c r="DI48" s="313">
        <v>0</v>
      </c>
      <c r="DJ48" s="313">
        <v>0</v>
      </c>
      <c r="DK48" s="313">
        <v>0</v>
      </c>
      <c r="DL48" s="313">
        <v>1</v>
      </c>
      <c r="DM48" s="313">
        <v>0</v>
      </c>
      <c r="DN48" s="314">
        <v>0</v>
      </c>
      <c r="DO48" s="1" t="s">
        <v>304</v>
      </c>
      <c r="DP48" s="313">
        <v>4</v>
      </c>
      <c r="DQ48" s="313">
        <v>0</v>
      </c>
      <c r="DR48" s="313">
        <v>1</v>
      </c>
      <c r="DS48" s="313">
        <v>0</v>
      </c>
      <c r="DT48" s="313">
        <v>0</v>
      </c>
      <c r="DU48" s="313">
        <v>1</v>
      </c>
      <c r="DV48" s="313">
        <v>0</v>
      </c>
      <c r="DW48" s="313">
        <v>0</v>
      </c>
      <c r="DX48" s="314">
        <v>1</v>
      </c>
      <c r="DY48" s="315">
        <v>0</v>
      </c>
      <c r="DZ48" s="316">
        <v>0</v>
      </c>
      <c r="EA48" s="316">
        <v>0</v>
      </c>
      <c r="EB48" s="317">
        <v>12</v>
      </c>
      <c r="EC48" s="316">
        <v>2</v>
      </c>
      <c r="ED48" s="318">
        <v>2</v>
      </c>
      <c r="EE48" s="319">
        <v>0</v>
      </c>
      <c r="EF48" s="316">
        <v>0</v>
      </c>
      <c r="EG48" s="316">
        <v>0</v>
      </c>
      <c r="EH48" s="316">
        <v>0</v>
      </c>
      <c r="EI48" s="316">
        <v>0</v>
      </c>
      <c r="EJ48" s="316">
        <v>0</v>
      </c>
      <c r="EK48" s="316">
        <v>1</v>
      </c>
      <c r="EL48" s="316">
        <v>1</v>
      </c>
      <c r="EM48" s="316">
        <v>2</v>
      </c>
      <c r="EN48" s="316">
        <v>0</v>
      </c>
      <c r="EO48" s="316">
        <v>0</v>
      </c>
      <c r="EP48" s="316">
        <v>0</v>
      </c>
      <c r="EQ48" s="316"/>
      <c r="ER48" s="318">
        <f t="shared" si="14"/>
        <v>4</v>
      </c>
      <c r="ES48" s="316">
        <v>0</v>
      </c>
      <c r="ET48" s="316">
        <v>0</v>
      </c>
      <c r="EU48" s="316">
        <v>0</v>
      </c>
      <c r="EV48" s="316">
        <v>1</v>
      </c>
      <c r="EW48" s="316">
        <v>0</v>
      </c>
      <c r="EX48" s="316">
        <v>1</v>
      </c>
      <c r="EY48" s="316">
        <v>0</v>
      </c>
      <c r="EZ48" s="316">
        <v>2</v>
      </c>
      <c r="FA48" s="316">
        <v>0</v>
      </c>
      <c r="FB48" s="316">
        <v>0</v>
      </c>
      <c r="FC48" s="316">
        <v>0</v>
      </c>
      <c r="FD48" s="316">
        <v>1</v>
      </c>
      <c r="FE48" s="316"/>
      <c r="FF48" s="316">
        <f t="shared" si="15"/>
        <v>5</v>
      </c>
      <c r="FG48" s="320">
        <f t="shared" si="16"/>
        <v>0</v>
      </c>
      <c r="FH48" s="320">
        <f t="shared" si="17"/>
        <v>0</v>
      </c>
      <c r="FI48" s="321"/>
    </row>
    <row r="49" spans="1:165" x14ac:dyDescent="0.25">
      <c r="A49" s="380">
        <v>40398</v>
      </c>
      <c r="B49" s="380" t="s">
        <v>19</v>
      </c>
      <c r="C49" s="380" t="s">
        <v>129</v>
      </c>
      <c r="D49" s="380" t="s">
        <v>300</v>
      </c>
      <c r="E49" s="374">
        <v>1454</v>
      </c>
      <c r="F49" s="358">
        <v>4</v>
      </c>
      <c r="G49" s="359" t="s">
        <v>428</v>
      </c>
      <c r="H49" s="360">
        <v>0</v>
      </c>
      <c r="I49" s="360">
        <v>0</v>
      </c>
      <c r="J49" s="361">
        <v>5</v>
      </c>
      <c r="K49" s="360">
        <v>4</v>
      </c>
      <c r="L49" s="360">
        <v>1</v>
      </c>
      <c r="M49" s="360">
        <v>1</v>
      </c>
      <c r="N49" s="360">
        <v>1</v>
      </c>
      <c r="O49" s="360">
        <v>6</v>
      </c>
      <c r="P49" s="360">
        <v>0</v>
      </c>
      <c r="Q49" s="360">
        <v>1</v>
      </c>
      <c r="R49" s="360">
        <v>21</v>
      </c>
      <c r="S49" s="360"/>
      <c r="T49" s="360"/>
      <c r="U49" s="360">
        <v>2</v>
      </c>
      <c r="V49" s="362">
        <v>0</v>
      </c>
      <c r="W49" s="376">
        <v>1</v>
      </c>
      <c r="X49" s="376">
        <v>0</v>
      </c>
      <c r="Y49" s="376">
        <v>0</v>
      </c>
      <c r="Z49" s="376">
        <v>0</v>
      </c>
      <c r="AA49" s="376">
        <v>0</v>
      </c>
      <c r="AB49" s="377">
        <v>4</v>
      </c>
      <c r="AC49" s="376">
        <v>2</v>
      </c>
      <c r="AD49" s="376">
        <v>0</v>
      </c>
      <c r="AE49" s="376">
        <v>0</v>
      </c>
      <c r="AF49" s="376">
        <v>1</v>
      </c>
      <c r="AG49" s="376">
        <v>4</v>
      </c>
      <c r="AH49" s="376">
        <v>0</v>
      </c>
      <c r="AI49" s="376">
        <v>0</v>
      </c>
      <c r="AJ49" s="376">
        <v>13</v>
      </c>
      <c r="AK49" s="376"/>
      <c r="AL49" s="376"/>
      <c r="AM49" s="363" t="s">
        <v>429</v>
      </c>
      <c r="AN49" s="364">
        <v>4</v>
      </c>
      <c r="AO49" s="364">
        <v>3</v>
      </c>
      <c r="AP49" s="364">
        <v>3</v>
      </c>
      <c r="AQ49" s="364">
        <v>1</v>
      </c>
      <c r="AR49" s="364">
        <v>1</v>
      </c>
      <c r="AS49" s="364">
        <v>0</v>
      </c>
      <c r="AT49" s="364">
        <v>0</v>
      </c>
      <c r="AU49" s="364">
        <v>0</v>
      </c>
      <c r="AV49" s="365">
        <v>3</v>
      </c>
      <c r="AW49" s="363" t="s">
        <v>436</v>
      </c>
      <c r="AX49" s="364">
        <v>1</v>
      </c>
      <c r="AY49" s="364">
        <v>0</v>
      </c>
      <c r="AZ49" s="364">
        <v>0</v>
      </c>
      <c r="BA49" s="364">
        <v>0</v>
      </c>
      <c r="BB49" s="364">
        <v>4</v>
      </c>
      <c r="BC49" s="364">
        <v>0</v>
      </c>
      <c r="BD49" s="364">
        <v>0</v>
      </c>
      <c r="BE49" s="364">
        <v>0</v>
      </c>
      <c r="BF49" s="365">
        <v>0</v>
      </c>
      <c r="BG49" s="363" t="s">
        <v>431</v>
      </c>
      <c r="BH49" s="364">
        <v>4</v>
      </c>
      <c r="BI49" s="364">
        <v>1</v>
      </c>
      <c r="BJ49" s="364">
        <v>1</v>
      </c>
      <c r="BK49" s="364">
        <v>3</v>
      </c>
      <c r="BL49" s="364">
        <v>0</v>
      </c>
      <c r="BM49" s="364">
        <v>0</v>
      </c>
      <c r="BN49" s="364">
        <v>0</v>
      </c>
      <c r="BO49" s="364">
        <v>1</v>
      </c>
      <c r="BP49" s="365">
        <v>1</v>
      </c>
      <c r="BQ49" s="363" t="s">
        <v>302</v>
      </c>
      <c r="BR49" s="364">
        <v>4</v>
      </c>
      <c r="BS49" s="364">
        <v>0</v>
      </c>
      <c r="BT49" s="364">
        <v>1</v>
      </c>
      <c r="BU49" s="364">
        <v>2</v>
      </c>
      <c r="BV49" s="364">
        <v>1</v>
      </c>
      <c r="BW49" s="364">
        <v>1</v>
      </c>
      <c r="BX49" s="364">
        <v>0</v>
      </c>
      <c r="BY49" s="364">
        <v>0</v>
      </c>
      <c r="BZ49" s="365">
        <v>2</v>
      </c>
      <c r="CA49" s="363" t="s">
        <v>297</v>
      </c>
      <c r="CB49" s="364">
        <v>3</v>
      </c>
      <c r="CC49" s="364">
        <v>1</v>
      </c>
      <c r="CD49" s="364">
        <v>0</v>
      </c>
      <c r="CE49" s="364">
        <v>0</v>
      </c>
      <c r="CF49" s="364">
        <v>2</v>
      </c>
      <c r="CG49" s="364">
        <v>0</v>
      </c>
      <c r="CH49" s="364">
        <v>0</v>
      </c>
      <c r="CI49" s="364">
        <v>0</v>
      </c>
      <c r="CJ49" s="365">
        <v>0</v>
      </c>
      <c r="CK49" s="363" t="s">
        <v>296</v>
      </c>
      <c r="CL49" s="364">
        <v>4</v>
      </c>
      <c r="CM49" s="364">
        <v>1</v>
      </c>
      <c r="CN49" s="364">
        <v>2</v>
      </c>
      <c r="CO49" s="364">
        <v>0</v>
      </c>
      <c r="CP49" s="364">
        <v>0</v>
      </c>
      <c r="CQ49" s="364">
        <v>1</v>
      </c>
      <c r="CR49" s="364">
        <v>0</v>
      </c>
      <c r="CS49" s="364">
        <v>0</v>
      </c>
      <c r="CT49" s="365">
        <v>2</v>
      </c>
      <c r="CU49" s="363" t="s">
        <v>434</v>
      </c>
      <c r="CV49" s="364">
        <v>1</v>
      </c>
      <c r="CW49" s="364">
        <v>1</v>
      </c>
      <c r="CX49" s="364">
        <v>0</v>
      </c>
      <c r="CY49" s="364">
        <v>0</v>
      </c>
      <c r="CZ49" s="364">
        <v>1</v>
      </c>
      <c r="DA49" s="364">
        <v>1</v>
      </c>
      <c r="DB49" s="364">
        <v>2</v>
      </c>
      <c r="DC49" s="364">
        <v>0</v>
      </c>
      <c r="DD49" s="365">
        <v>0</v>
      </c>
      <c r="DE49" s="363" t="s">
        <v>433</v>
      </c>
      <c r="DF49" s="364">
        <v>3</v>
      </c>
      <c r="DG49" s="364">
        <v>1</v>
      </c>
      <c r="DH49" s="364">
        <v>0</v>
      </c>
      <c r="DI49" s="364">
        <v>1</v>
      </c>
      <c r="DJ49" s="364">
        <v>1</v>
      </c>
      <c r="DK49" s="364">
        <v>0</v>
      </c>
      <c r="DL49" s="364">
        <v>0</v>
      </c>
      <c r="DM49" s="364">
        <v>0</v>
      </c>
      <c r="DN49" s="365">
        <v>0</v>
      </c>
      <c r="DO49" s="363" t="s">
        <v>304</v>
      </c>
      <c r="DP49" s="364">
        <v>4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365">
        <v>0</v>
      </c>
      <c r="DY49" s="366">
        <v>7</v>
      </c>
      <c r="DZ49" s="367">
        <v>2</v>
      </c>
      <c r="EA49" s="367">
        <v>0</v>
      </c>
      <c r="EB49" s="368">
        <v>1</v>
      </c>
      <c r="EC49" s="367">
        <v>0</v>
      </c>
      <c r="ED49" s="369">
        <v>0</v>
      </c>
      <c r="EE49" s="370">
        <v>0</v>
      </c>
      <c r="EF49" s="367">
        <v>0</v>
      </c>
      <c r="EG49" s="367">
        <v>0</v>
      </c>
      <c r="EH49" s="367">
        <v>0</v>
      </c>
      <c r="EI49" s="367">
        <v>1</v>
      </c>
      <c r="EJ49" s="367">
        <v>0</v>
      </c>
      <c r="EK49" s="367">
        <v>1</v>
      </c>
      <c r="EL49" s="367">
        <v>6</v>
      </c>
      <c r="EM49" s="367"/>
      <c r="EN49" s="367"/>
      <c r="EO49" s="367"/>
      <c r="EP49" s="367"/>
      <c r="EQ49" s="367"/>
      <c r="ER49" s="369">
        <f t="shared" ref="ER49:ER55" si="18">SUM(EE49:EQ49)</f>
        <v>8</v>
      </c>
      <c r="ES49" s="367">
        <v>1</v>
      </c>
      <c r="ET49" s="367">
        <v>0</v>
      </c>
      <c r="EU49" s="367">
        <v>0</v>
      </c>
      <c r="EV49" s="367">
        <v>0</v>
      </c>
      <c r="EW49" s="367">
        <v>0</v>
      </c>
      <c r="EX49" s="367">
        <v>0</v>
      </c>
      <c r="EY49" s="367">
        <v>0</v>
      </c>
      <c r="EZ49" s="367">
        <v>0</v>
      </c>
      <c r="FA49" s="367">
        <v>0</v>
      </c>
      <c r="FB49" s="367"/>
      <c r="FC49" s="367"/>
      <c r="FD49" s="367"/>
      <c r="FE49" s="367"/>
      <c r="FF49" s="367">
        <f t="shared" ref="FF49:FF55" si="19">SUM(ES49:FE49)</f>
        <v>1</v>
      </c>
      <c r="FG49" s="371">
        <f t="shared" ref="FG49:FG55" si="20">((SUM(L49,AD49))-(FF49))</f>
        <v>0</v>
      </c>
      <c r="FH49" s="371">
        <f t="shared" ref="FH49:FH55" si="21">((SUM(AO49,AY49,BI49,BS49,CC49,CM49,CW49,DG49,DQ49))-(ER49))</f>
        <v>0</v>
      </c>
      <c r="FI49" s="372"/>
    </row>
    <row r="50" spans="1:165" x14ac:dyDescent="0.25">
      <c r="A50" s="380">
        <v>40399</v>
      </c>
      <c r="B50" s="380" t="s">
        <v>133</v>
      </c>
      <c r="C50" s="380" t="s">
        <v>131</v>
      </c>
      <c r="D50" s="380" t="s">
        <v>635</v>
      </c>
      <c r="E50" s="374">
        <v>557</v>
      </c>
      <c r="F50" s="358">
        <v>5</v>
      </c>
      <c r="G50" s="359" t="s">
        <v>306</v>
      </c>
      <c r="H50" s="360">
        <v>0</v>
      </c>
      <c r="I50" s="360">
        <v>0</v>
      </c>
      <c r="J50" s="361">
        <v>3</v>
      </c>
      <c r="K50" s="360">
        <v>6</v>
      </c>
      <c r="L50" s="360">
        <v>4</v>
      </c>
      <c r="M50" s="360">
        <v>3</v>
      </c>
      <c r="N50" s="360">
        <v>2</v>
      </c>
      <c r="O50" s="360">
        <v>1</v>
      </c>
      <c r="P50" s="360">
        <v>1</v>
      </c>
      <c r="Q50" s="360">
        <v>0</v>
      </c>
      <c r="R50" s="360">
        <v>18</v>
      </c>
      <c r="S50" s="360"/>
      <c r="T50" s="360"/>
      <c r="U50" s="360">
        <v>0</v>
      </c>
      <c r="V50" s="362">
        <v>0</v>
      </c>
      <c r="W50" s="376">
        <v>0</v>
      </c>
      <c r="X50" s="376">
        <v>1</v>
      </c>
      <c r="Y50" s="376">
        <v>0</v>
      </c>
      <c r="Z50" s="376">
        <v>0</v>
      </c>
      <c r="AA50" s="376">
        <v>0</v>
      </c>
      <c r="AB50" s="377">
        <v>5</v>
      </c>
      <c r="AC50" s="376">
        <v>4</v>
      </c>
      <c r="AD50" s="376">
        <v>4</v>
      </c>
      <c r="AE50" s="376">
        <v>3</v>
      </c>
      <c r="AF50" s="376">
        <v>3</v>
      </c>
      <c r="AG50" s="376">
        <v>4</v>
      </c>
      <c r="AH50" s="376">
        <v>0</v>
      </c>
      <c r="AI50" s="376">
        <v>0</v>
      </c>
      <c r="AJ50" s="376">
        <v>22</v>
      </c>
      <c r="AK50" s="376"/>
      <c r="AL50" s="376"/>
      <c r="AM50" s="363" t="s">
        <v>429</v>
      </c>
      <c r="AN50" s="364">
        <v>4</v>
      </c>
      <c r="AO50" s="364">
        <v>1</v>
      </c>
      <c r="AP50" s="364">
        <v>0</v>
      </c>
      <c r="AQ50" s="364">
        <v>0</v>
      </c>
      <c r="AR50" s="364">
        <v>0</v>
      </c>
      <c r="AS50" s="364">
        <v>1</v>
      </c>
      <c r="AT50" s="364">
        <v>1</v>
      </c>
      <c r="AU50" s="364">
        <v>0</v>
      </c>
      <c r="AV50" s="365">
        <v>0</v>
      </c>
      <c r="AW50" s="363" t="s">
        <v>298</v>
      </c>
      <c r="AX50" s="364">
        <v>4</v>
      </c>
      <c r="AY50" s="364">
        <v>1</v>
      </c>
      <c r="AZ50" s="364">
        <v>1</v>
      </c>
      <c r="BA50" s="364">
        <v>0</v>
      </c>
      <c r="BB50" s="364">
        <v>0</v>
      </c>
      <c r="BC50" s="364">
        <v>2</v>
      </c>
      <c r="BD50" s="364">
        <v>0</v>
      </c>
      <c r="BE50" s="364">
        <v>0</v>
      </c>
      <c r="BF50" s="365">
        <v>3</v>
      </c>
      <c r="BG50" s="363" t="s">
        <v>431</v>
      </c>
      <c r="BH50" s="364">
        <v>3</v>
      </c>
      <c r="BI50" s="364">
        <v>2</v>
      </c>
      <c r="BJ50" s="364">
        <v>2</v>
      </c>
      <c r="BK50" s="364">
        <v>1</v>
      </c>
      <c r="BL50" s="364">
        <v>1</v>
      </c>
      <c r="BM50" s="364">
        <v>0</v>
      </c>
      <c r="BN50" s="364">
        <v>0</v>
      </c>
      <c r="BO50" s="364">
        <v>0</v>
      </c>
      <c r="BP50" s="365">
        <v>3</v>
      </c>
      <c r="BQ50" s="363" t="s">
        <v>302</v>
      </c>
      <c r="BR50" s="364">
        <v>4</v>
      </c>
      <c r="BS50" s="364">
        <v>0</v>
      </c>
      <c r="BT50" s="364">
        <v>1</v>
      </c>
      <c r="BU50" s="364">
        <v>3</v>
      </c>
      <c r="BV50" s="364">
        <v>0</v>
      </c>
      <c r="BW50" s="364">
        <v>1</v>
      </c>
      <c r="BX50" s="364">
        <v>0</v>
      </c>
      <c r="BY50" s="364">
        <v>0</v>
      </c>
      <c r="BZ50" s="365">
        <v>2</v>
      </c>
      <c r="CA50" s="363" t="s">
        <v>436</v>
      </c>
      <c r="CB50" s="364">
        <v>4</v>
      </c>
      <c r="CC50" s="364">
        <v>0</v>
      </c>
      <c r="CD50" s="364">
        <v>2</v>
      </c>
      <c r="CE50" s="364">
        <v>0</v>
      </c>
      <c r="CF50" s="364">
        <v>0</v>
      </c>
      <c r="CG50" s="364">
        <v>0</v>
      </c>
      <c r="CH50" s="364">
        <v>0</v>
      </c>
      <c r="CI50" s="364">
        <v>0</v>
      </c>
      <c r="CJ50" s="365">
        <v>3</v>
      </c>
      <c r="CK50" s="363" t="s">
        <v>296</v>
      </c>
      <c r="CL50" s="364">
        <v>4</v>
      </c>
      <c r="CM50" s="364">
        <v>1</v>
      </c>
      <c r="CN50" s="364">
        <v>1</v>
      </c>
      <c r="CO50" s="364">
        <v>0</v>
      </c>
      <c r="CP50" s="364">
        <v>0</v>
      </c>
      <c r="CQ50" s="364">
        <v>0</v>
      </c>
      <c r="CR50" s="364">
        <v>0</v>
      </c>
      <c r="CS50" s="364">
        <v>0</v>
      </c>
      <c r="CT50" s="365">
        <v>1</v>
      </c>
      <c r="CU50" s="363" t="s">
        <v>434</v>
      </c>
      <c r="CV50" s="364">
        <v>4</v>
      </c>
      <c r="CW50" s="364">
        <v>0</v>
      </c>
      <c r="CX50" s="364">
        <v>1</v>
      </c>
      <c r="CY50" s="364">
        <v>0</v>
      </c>
      <c r="CZ50" s="364">
        <v>0</v>
      </c>
      <c r="DA50" s="364">
        <v>0</v>
      </c>
      <c r="DB50" s="364">
        <v>0</v>
      </c>
      <c r="DC50" s="364">
        <v>0</v>
      </c>
      <c r="DD50" s="365">
        <v>2</v>
      </c>
      <c r="DE50" s="363" t="s">
        <v>433</v>
      </c>
      <c r="DF50" s="364">
        <v>4</v>
      </c>
      <c r="DG50" s="364">
        <v>0</v>
      </c>
      <c r="DH50" s="364">
        <v>2</v>
      </c>
      <c r="DI50" s="364">
        <v>0</v>
      </c>
      <c r="DJ50" s="364">
        <v>0</v>
      </c>
      <c r="DK50" s="364">
        <v>1</v>
      </c>
      <c r="DL50" s="364">
        <v>0</v>
      </c>
      <c r="DM50" s="364">
        <v>0</v>
      </c>
      <c r="DN50" s="365">
        <v>3</v>
      </c>
      <c r="DO50" s="363" t="s">
        <v>295</v>
      </c>
      <c r="DP50" s="364">
        <v>3</v>
      </c>
      <c r="DQ50" s="364">
        <v>1</v>
      </c>
      <c r="DR50" s="364">
        <v>0</v>
      </c>
      <c r="DS50" s="364">
        <v>1</v>
      </c>
      <c r="DT50" s="364">
        <v>1</v>
      </c>
      <c r="DU50" s="364">
        <v>1</v>
      </c>
      <c r="DV50" s="364">
        <v>0</v>
      </c>
      <c r="DW50" s="364">
        <v>0</v>
      </c>
      <c r="DX50" s="365">
        <v>0</v>
      </c>
      <c r="DY50" s="366">
        <v>0</v>
      </c>
      <c r="DZ50" s="367">
        <v>0</v>
      </c>
      <c r="EA50" s="367">
        <v>0</v>
      </c>
      <c r="EB50" s="368">
        <v>9</v>
      </c>
      <c r="EC50" s="367">
        <v>0</v>
      </c>
      <c r="ED50" s="369">
        <v>0</v>
      </c>
      <c r="EE50" s="370">
        <v>1</v>
      </c>
      <c r="EF50" s="367">
        <v>1</v>
      </c>
      <c r="EG50" s="367">
        <v>1</v>
      </c>
      <c r="EH50" s="367">
        <v>0</v>
      </c>
      <c r="EI50" s="367">
        <v>3</v>
      </c>
      <c r="EJ50" s="367">
        <v>0</v>
      </c>
      <c r="EK50" s="367">
        <v>0</v>
      </c>
      <c r="EL50" s="367">
        <v>0</v>
      </c>
      <c r="EM50" s="367">
        <v>0</v>
      </c>
      <c r="EN50" s="367"/>
      <c r="EO50" s="367"/>
      <c r="EP50" s="367"/>
      <c r="EQ50" s="367"/>
      <c r="ER50" s="369">
        <f t="shared" si="18"/>
        <v>6</v>
      </c>
      <c r="ES50" s="367">
        <v>1</v>
      </c>
      <c r="ET50" s="367">
        <v>1</v>
      </c>
      <c r="EU50" s="367">
        <v>2</v>
      </c>
      <c r="EV50" s="367">
        <v>0</v>
      </c>
      <c r="EW50" s="367">
        <v>0</v>
      </c>
      <c r="EX50" s="367">
        <v>0</v>
      </c>
      <c r="EY50" s="367">
        <v>2</v>
      </c>
      <c r="EZ50" s="367">
        <v>2</v>
      </c>
      <c r="FA50" s="367"/>
      <c r="FB50" s="367"/>
      <c r="FC50" s="367"/>
      <c r="FD50" s="367"/>
      <c r="FE50" s="367"/>
      <c r="FF50" s="367">
        <f t="shared" si="19"/>
        <v>8</v>
      </c>
      <c r="FG50" s="371">
        <f t="shared" si="20"/>
        <v>0</v>
      </c>
      <c r="FH50" s="371">
        <f t="shared" si="21"/>
        <v>0</v>
      </c>
      <c r="FI50" s="372"/>
    </row>
    <row r="51" spans="1:165" x14ac:dyDescent="0.25">
      <c r="A51" s="380">
        <v>40400</v>
      </c>
      <c r="B51" s="380" t="s">
        <v>133</v>
      </c>
      <c r="C51" s="380" t="s">
        <v>129</v>
      </c>
      <c r="D51" s="380" t="s">
        <v>635</v>
      </c>
      <c r="E51" s="374">
        <v>517</v>
      </c>
      <c r="F51" s="358">
        <v>1</v>
      </c>
      <c r="G51" s="359" t="s">
        <v>305</v>
      </c>
      <c r="H51" s="360">
        <v>1</v>
      </c>
      <c r="I51" s="360">
        <v>0</v>
      </c>
      <c r="J51" s="361">
        <v>5</v>
      </c>
      <c r="K51" s="360">
        <v>5</v>
      </c>
      <c r="L51" s="360">
        <v>1</v>
      </c>
      <c r="M51" s="360">
        <v>1</v>
      </c>
      <c r="N51" s="360">
        <v>1</v>
      </c>
      <c r="O51" s="360">
        <v>4</v>
      </c>
      <c r="P51" s="360">
        <v>0</v>
      </c>
      <c r="Q51" s="360">
        <v>0</v>
      </c>
      <c r="R51" s="360">
        <v>20</v>
      </c>
      <c r="S51" s="360"/>
      <c r="T51" s="360"/>
      <c r="U51" s="360">
        <v>0</v>
      </c>
      <c r="V51" s="362">
        <v>0</v>
      </c>
      <c r="W51" s="376">
        <v>0</v>
      </c>
      <c r="X51" s="376">
        <v>0</v>
      </c>
      <c r="Y51" s="376">
        <v>0</v>
      </c>
      <c r="Z51" s="376">
        <v>1</v>
      </c>
      <c r="AA51" s="376">
        <v>0</v>
      </c>
      <c r="AB51" s="377">
        <v>4</v>
      </c>
      <c r="AC51" s="376">
        <v>5</v>
      </c>
      <c r="AD51" s="376">
        <v>1</v>
      </c>
      <c r="AE51" s="376">
        <v>1</v>
      </c>
      <c r="AF51" s="376">
        <v>0</v>
      </c>
      <c r="AG51" s="376">
        <v>4</v>
      </c>
      <c r="AH51" s="376">
        <v>0</v>
      </c>
      <c r="AI51" s="376">
        <v>0</v>
      </c>
      <c r="AJ51" s="376">
        <v>16</v>
      </c>
      <c r="AK51" s="376"/>
      <c r="AL51" s="376"/>
      <c r="AM51" s="363" t="s">
        <v>429</v>
      </c>
      <c r="AN51" s="364">
        <v>5</v>
      </c>
      <c r="AO51" s="364">
        <v>2</v>
      </c>
      <c r="AP51" s="364">
        <v>3</v>
      </c>
      <c r="AQ51" s="364">
        <v>1</v>
      </c>
      <c r="AR51" s="364">
        <v>0</v>
      </c>
      <c r="AS51" s="364">
        <v>0</v>
      </c>
      <c r="AT51" s="364">
        <v>0</v>
      </c>
      <c r="AU51" s="364">
        <v>0</v>
      </c>
      <c r="AV51" s="365">
        <v>6</v>
      </c>
      <c r="AW51" s="363" t="s">
        <v>298</v>
      </c>
      <c r="AX51" s="364">
        <v>5</v>
      </c>
      <c r="AY51" s="364">
        <v>2</v>
      </c>
      <c r="AZ51" s="364">
        <v>1</v>
      </c>
      <c r="BA51" s="364">
        <v>0</v>
      </c>
      <c r="BB51" s="364">
        <v>0</v>
      </c>
      <c r="BC51" s="364">
        <v>2</v>
      </c>
      <c r="BD51" s="364">
        <v>0</v>
      </c>
      <c r="BE51" s="364">
        <v>0</v>
      </c>
      <c r="BF51" s="365">
        <v>1</v>
      </c>
      <c r="BG51" s="363" t="s">
        <v>431</v>
      </c>
      <c r="BH51" s="364">
        <v>5</v>
      </c>
      <c r="BI51" s="364">
        <v>2</v>
      </c>
      <c r="BJ51" s="364">
        <v>3</v>
      </c>
      <c r="BK51" s="364">
        <v>2</v>
      </c>
      <c r="BL51" s="364">
        <v>0</v>
      </c>
      <c r="BM51" s="364">
        <v>1</v>
      </c>
      <c r="BN51" s="364">
        <v>0</v>
      </c>
      <c r="BO51" s="364">
        <v>0</v>
      </c>
      <c r="BP51" s="365">
        <v>5</v>
      </c>
      <c r="BQ51" s="363" t="s">
        <v>302</v>
      </c>
      <c r="BR51" s="364">
        <v>5</v>
      </c>
      <c r="BS51" s="364">
        <v>0</v>
      </c>
      <c r="BT51" s="364">
        <v>2</v>
      </c>
      <c r="BU51" s="364">
        <v>2</v>
      </c>
      <c r="BV51" s="364">
        <v>0</v>
      </c>
      <c r="BW51" s="364">
        <v>0</v>
      </c>
      <c r="BX51" s="364">
        <v>0</v>
      </c>
      <c r="BY51" s="364">
        <v>0</v>
      </c>
      <c r="BZ51" s="365">
        <v>2</v>
      </c>
      <c r="CA51" s="363" t="s">
        <v>427</v>
      </c>
      <c r="CB51" s="364">
        <v>3</v>
      </c>
      <c r="CC51" s="364">
        <v>0</v>
      </c>
      <c r="CD51" s="364">
        <v>0</v>
      </c>
      <c r="CE51" s="364">
        <v>1</v>
      </c>
      <c r="CF51" s="364">
        <v>0</v>
      </c>
      <c r="CG51" s="364">
        <v>1</v>
      </c>
      <c r="CH51" s="364">
        <v>1</v>
      </c>
      <c r="CI51" s="364">
        <v>1</v>
      </c>
      <c r="CJ51" s="365">
        <v>0</v>
      </c>
      <c r="CK51" s="363" t="s">
        <v>296</v>
      </c>
      <c r="CL51" s="364">
        <v>5</v>
      </c>
      <c r="CM51" s="364">
        <v>0</v>
      </c>
      <c r="CN51" s="364">
        <v>0</v>
      </c>
      <c r="CO51" s="364">
        <v>0</v>
      </c>
      <c r="CP51" s="364">
        <v>0</v>
      </c>
      <c r="CQ51" s="364">
        <v>1</v>
      </c>
      <c r="CR51" s="364">
        <v>0</v>
      </c>
      <c r="CS51" s="364">
        <v>0</v>
      </c>
      <c r="CT51" s="365">
        <v>0</v>
      </c>
      <c r="CU51" s="363" t="s">
        <v>434</v>
      </c>
      <c r="CV51" s="364">
        <v>5</v>
      </c>
      <c r="CW51" s="364">
        <v>0</v>
      </c>
      <c r="CX51" s="364">
        <v>0</v>
      </c>
      <c r="CY51" s="364">
        <v>0</v>
      </c>
      <c r="CZ51" s="364">
        <v>0</v>
      </c>
      <c r="DA51" s="364">
        <v>2</v>
      </c>
      <c r="DB51" s="364">
        <v>0</v>
      </c>
      <c r="DC51" s="364">
        <v>0</v>
      </c>
      <c r="DD51" s="365">
        <v>0</v>
      </c>
      <c r="DE51" s="363" t="s">
        <v>436</v>
      </c>
      <c r="DF51" s="364">
        <v>3</v>
      </c>
      <c r="DG51" s="364">
        <v>0</v>
      </c>
      <c r="DH51" s="364">
        <v>1</v>
      </c>
      <c r="DI51" s="364">
        <v>0</v>
      </c>
      <c r="DJ51" s="364">
        <v>1</v>
      </c>
      <c r="DK51" s="364">
        <v>1</v>
      </c>
      <c r="DL51" s="364">
        <v>0</v>
      </c>
      <c r="DM51" s="364">
        <v>0</v>
      </c>
      <c r="DN51" s="365">
        <v>1</v>
      </c>
      <c r="DO51" s="363" t="s">
        <v>304</v>
      </c>
      <c r="DP51" s="364">
        <v>4</v>
      </c>
      <c r="DQ51" s="364">
        <v>1</v>
      </c>
      <c r="DR51" s="364">
        <v>2</v>
      </c>
      <c r="DS51" s="364">
        <v>0</v>
      </c>
      <c r="DT51" s="364">
        <v>0</v>
      </c>
      <c r="DU51" s="364">
        <v>1</v>
      </c>
      <c r="DV51" s="364">
        <v>0</v>
      </c>
      <c r="DW51" s="364">
        <v>0</v>
      </c>
      <c r="DX51" s="365">
        <v>2</v>
      </c>
      <c r="DY51" s="366">
        <v>6</v>
      </c>
      <c r="DZ51" s="367">
        <v>3</v>
      </c>
      <c r="EA51" s="367">
        <v>1</v>
      </c>
      <c r="EB51" s="368">
        <v>3</v>
      </c>
      <c r="EC51" s="367">
        <v>0</v>
      </c>
      <c r="ED51" s="369">
        <v>0</v>
      </c>
      <c r="EE51" s="370">
        <v>2</v>
      </c>
      <c r="EF51" s="367">
        <v>0</v>
      </c>
      <c r="EG51" s="367">
        <v>0</v>
      </c>
      <c r="EH51" s="367">
        <v>0</v>
      </c>
      <c r="EI51" s="367">
        <v>1</v>
      </c>
      <c r="EJ51" s="367">
        <v>4</v>
      </c>
      <c r="EK51" s="367">
        <v>0</v>
      </c>
      <c r="EL51" s="367">
        <v>0</v>
      </c>
      <c r="EM51" s="367">
        <v>0</v>
      </c>
      <c r="EN51" s="367"/>
      <c r="EO51" s="367"/>
      <c r="EP51" s="367"/>
      <c r="EQ51" s="367"/>
      <c r="ER51" s="369">
        <f t="shared" si="18"/>
        <v>7</v>
      </c>
      <c r="ES51" s="367">
        <v>0</v>
      </c>
      <c r="ET51" s="367">
        <v>0</v>
      </c>
      <c r="EU51" s="367">
        <v>0</v>
      </c>
      <c r="EV51" s="367">
        <v>0</v>
      </c>
      <c r="EW51" s="367">
        <v>1</v>
      </c>
      <c r="EX51" s="367">
        <v>1</v>
      </c>
      <c r="EY51" s="367">
        <v>0</v>
      </c>
      <c r="EZ51" s="367">
        <v>0</v>
      </c>
      <c r="FA51" s="367">
        <v>0</v>
      </c>
      <c r="FB51" s="367"/>
      <c r="FC51" s="367"/>
      <c r="FD51" s="367"/>
      <c r="FE51" s="367"/>
      <c r="FF51" s="367">
        <f t="shared" si="19"/>
        <v>2</v>
      </c>
      <c r="FG51" s="371">
        <f t="shared" si="20"/>
        <v>0</v>
      </c>
      <c r="FH51" s="371">
        <f t="shared" si="21"/>
        <v>0</v>
      </c>
      <c r="FI51" s="372"/>
    </row>
    <row r="52" spans="1:165" x14ac:dyDescent="0.25">
      <c r="A52" s="380">
        <v>40401</v>
      </c>
      <c r="B52" s="380" t="s">
        <v>133</v>
      </c>
      <c r="C52" s="380" t="s">
        <v>129</v>
      </c>
      <c r="D52" s="380" t="s">
        <v>635</v>
      </c>
      <c r="E52" s="374">
        <v>479</v>
      </c>
      <c r="F52" s="358">
        <v>2</v>
      </c>
      <c r="G52" s="359" t="s">
        <v>299</v>
      </c>
      <c r="H52" s="360">
        <v>0</v>
      </c>
      <c r="I52" s="360">
        <v>0</v>
      </c>
      <c r="J52" s="361">
        <f>3+2/3</f>
        <v>3.6666666666666665</v>
      </c>
      <c r="K52" s="360">
        <v>4</v>
      </c>
      <c r="L52" s="360">
        <v>2</v>
      </c>
      <c r="M52" s="360">
        <v>2</v>
      </c>
      <c r="N52" s="360">
        <v>3</v>
      </c>
      <c r="O52" s="360">
        <v>5</v>
      </c>
      <c r="P52" s="360">
        <v>0</v>
      </c>
      <c r="Q52" s="360">
        <v>0</v>
      </c>
      <c r="R52" s="360">
        <v>18</v>
      </c>
      <c r="S52" s="360"/>
      <c r="T52" s="360"/>
      <c r="U52" s="360">
        <v>3</v>
      </c>
      <c r="V52" s="362">
        <v>0</v>
      </c>
      <c r="W52" s="376">
        <v>1</v>
      </c>
      <c r="X52" s="376">
        <v>0</v>
      </c>
      <c r="Y52" s="376">
        <v>0</v>
      </c>
      <c r="Z52" s="376">
        <v>0</v>
      </c>
      <c r="AA52" s="376">
        <v>0</v>
      </c>
      <c r="AB52" s="377">
        <f>5+1/3</f>
        <v>5.333333333333333</v>
      </c>
      <c r="AC52" s="376">
        <v>6</v>
      </c>
      <c r="AD52" s="376">
        <v>2</v>
      </c>
      <c r="AE52" s="376">
        <v>1</v>
      </c>
      <c r="AF52" s="376">
        <v>1</v>
      </c>
      <c r="AG52" s="376">
        <v>7</v>
      </c>
      <c r="AH52" s="376">
        <v>0</v>
      </c>
      <c r="AI52" s="376">
        <v>0</v>
      </c>
      <c r="AJ52" s="376">
        <v>25</v>
      </c>
      <c r="AK52" s="376"/>
      <c r="AL52" s="376"/>
      <c r="AM52" s="363" t="s">
        <v>429</v>
      </c>
      <c r="AN52" s="364">
        <v>4</v>
      </c>
      <c r="AO52" s="364">
        <v>2</v>
      </c>
      <c r="AP52" s="364">
        <v>2</v>
      </c>
      <c r="AQ52" s="364">
        <v>1</v>
      </c>
      <c r="AR52" s="364">
        <v>1</v>
      </c>
      <c r="AS52" s="364">
        <v>1</v>
      </c>
      <c r="AT52" s="364">
        <v>0</v>
      </c>
      <c r="AU52" s="364">
        <v>0</v>
      </c>
      <c r="AV52" s="365">
        <v>3</v>
      </c>
      <c r="AW52" s="363" t="s">
        <v>298</v>
      </c>
      <c r="AX52" s="364">
        <v>5</v>
      </c>
      <c r="AY52" s="364">
        <v>1</v>
      </c>
      <c r="AZ52" s="364">
        <v>2</v>
      </c>
      <c r="BA52" s="364">
        <v>2</v>
      </c>
      <c r="BB52" s="364">
        <v>0</v>
      </c>
      <c r="BC52" s="364">
        <v>1</v>
      </c>
      <c r="BD52" s="364">
        <v>0</v>
      </c>
      <c r="BE52" s="364">
        <v>0</v>
      </c>
      <c r="BF52" s="365">
        <v>3</v>
      </c>
      <c r="BG52" s="363" t="s">
        <v>431</v>
      </c>
      <c r="BH52" s="364">
        <v>4</v>
      </c>
      <c r="BI52" s="364">
        <v>1</v>
      </c>
      <c r="BJ52" s="364">
        <v>2</v>
      </c>
      <c r="BK52" s="364">
        <v>0</v>
      </c>
      <c r="BL52" s="364">
        <v>1</v>
      </c>
      <c r="BM52" s="364">
        <v>1</v>
      </c>
      <c r="BN52" s="364">
        <v>0</v>
      </c>
      <c r="BO52" s="364">
        <v>0</v>
      </c>
      <c r="BP52" s="365">
        <v>2</v>
      </c>
      <c r="BQ52" s="363" t="s">
        <v>297</v>
      </c>
      <c r="BR52" s="364">
        <v>5</v>
      </c>
      <c r="BS52" s="364">
        <v>1</v>
      </c>
      <c r="BT52" s="364">
        <v>1</v>
      </c>
      <c r="BU52" s="364">
        <v>2</v>
      </c>
      <c r="BV52" s="364">
        <v>0</v>
      </c>
      <c r="BW52" s="364">
        <v>1</v>
      </c>
      <c r="BX52" s="364">
        <v>0</v>
      </c>
      <c r="BY52" s="364">
        <v>0</v>
      </c>
      <c r="BZ52" s="365">
        <v>4</v>
      </c>
      <c r="CA52" s="363" t="s">
        <v>436</v>
      </c>
      <c r="CB52" s="364">
        <v>4</v>
      </c>
      <c r="CC52" s="364">
        <v>1</v>
      </c>
      <c r="CD52" s="364">
        <v>1</v>
      </c>
      <c r="CE52" s="364">
        <v>0</v>
      </c>
      <c r="CF52" s="364">
        <v>1</v>
      </c>
      <c r="CG52" s="364">
        <v>0</v>
      </c>
      <c r="CH52" s="364">
        <v>0</v>
      </c>
      <c r="CI52" s="364">
        <v>0</v>
      </c>
      <c r="CJ52" s="365">
        <v>3</v>
      </c>
      <c r="CK52" s="363" t="s">
        <v>296</v>
      </c>
      <c r="CL52" s="364">
        <v>4</v>
      </c>
      <c r="CM52" s="364">
        <v>0</v>
      </c>
      <c r="CN52" s="364">
        <v>1</v>
      </c>
      <c r="CO52" s="364">
        <v>2</v>
      </c>
      <c r="CP52" s="364">
        <v>0</v>
      </c>
      <c r="CQ52" s="364">
        <v>1</v>
      </c>
      <c r="CR52" s="364">
        <v>0</v>
      </c>
      <c r="CS52" s="364">
        <v>1</v>
      </c>
      <c r="CT52" s="365">
        <v>2</v>
      </c>
      <c r="CU52" s="363" t="s">
        <v>434</v>
      </c>
      <c r="CV52" s="364">
        <v>4</v>
      </c>
      <c r="CW52" s="364">
        <v>0</v>
      </c>
      <c r="CX52" s="364">
        <v>1</v>
      </c>
      <c r="CY52" s="364">
        <v>0</v>
      </c>
      <c r="CZ52" s="364">
        <v>0</v>
      </c>
      <c r="DA52" s="364">
        <v>1</v>
      </c>
      <c r="DB52" s="364">
        <v>0</v>
      </c>
      <c r="DC52" s="364">
        <v>0</v>
      </c>
      <c r="DD52" s="365">
        <v>1</v>
      </c>
      <c r="DE52" s="363" t="s">
        <v>433</v>
      </c>
      <c r="DF52" s="364">
        <v>4</v>
      </c>
      <c r="DG52" s="364">
        <v>1</v>
      </c>
      <c r="DH52" s="364">
        <v>1</v>
      </c>
      <c r="DI52" s="364">
        <v>0</v>
      </c>
      <c r="DJ52" s="364">
        <v>0</v>
      </c>
      <c r="DK52" s="364">
        <v>2</v>
      </c>
      <c r="DL52" s="364">
        <v>0</v>
      </c>
      <c r="DM52" s="364">
        <v>0</v>
      </c>
      <c r="DN52" s="365">
        <v>2</v>
      </c>
      <c r="DO52" s="363" t="s">
        <v>304</v>
      </c>
      <c r="DP52" s="364">
        <v>4</v>
      </c>
      <c r="DQ52" s="364">
        <v>2</v>
      </c>
      <c r="DR52" s="364">
        <v>2</v>
      </c>
      <c r="DS52" s="364">
        <v>2</v>
      </c>
      <c r="DT52" s="364">
        <v>0</v>
      </c>
      <c r="DU52" s="364">
        <v>1</v>
      </c>
      <c r="DV52" s="364">
        <v>0</v>
      </c>
      <c r="DW52" s="364">
        <v>0</v>
      </c>
      <c r="DX52" s="365">
        <v>7</v>
      </c>
      <c r="DY52" s="366">
        <v>0</v>
      </c>
      <c r="DZ52" s="367">
        <v>0</v>
      </c>
      <c r="EA52" s="367">
        <v>0</v>
      </c>
      <c r="EB52" s="368">
        <v>9</v>
      </c>
      <c r="EC52" s="367">
        <v>1</v>
      </c>
      <c r="ED52" s="369">
        <v>0</v>
      </c>
      <c r="EE52" s="370">
        <v>3</v>
      </c>
      <c r="EF52" s="367">
        <v>2</v>
      </c>
      <c r="EG52" s="367">
        <v>1</v>
      </c>
      <c r="EH52" s="367">
        <v>0</v>
      </c>
      <c r="EI52" s="367">
        <v>1</v>
      </c>
      <c r="EJ52" s="367">
        <v>2</v>
      </c>
      <c r="EK52" s="367">
        <v>0</v>
      </c>
      <c r="EL52" s="367">
        <v>0</v>
      </c>
      <c r="EM52" s="367">
        <v>0</v>
      </c>
      <c r="EN52" s="367"/>
      <c r="EO52" s="367"/>
      <c r="EP52" s="367"/>
      <c r="EQ52" s="367"/>
      <c r="ER52" s="369">
        <f t="shared" si="18"/>
        <v>9</v>
      </c>
      <c r="ES52" s="367">
        <v>0</v>
      </c>
      <c r="ET52" s="367">
        <v>0</v>
      </c>
      <c r="EU52" s="367">
        <v>0</v>
      </c>
      <c r="EV52" s="367">
        <v>2</v>
      </c>
      <c r="EW52" s="367">
        <v>0</v>
      </c>
      <c r="EX52" s="367">
        <v>2</v>
      </c>
      <c r="EY52" s="367">
        <v>0</v>
      </c>
      <c r="EZ52" s="367">
        <v>0</v>
      </c>
      <c r="FA52" s="367">
        <v>0</v>
      </c>
      <c r="FB52" s="367"/>
      <c r="FC52" s="367"/>
      <c r="FD52" s="367"/>
      <c r="FE52" s="367"/>
      <c r="FF52" s="367">
        <f t="shared" si="19"/>
        <v>4</v>
      </c>
      <c r="FG52" s="371">
        <f t="shared" si="20"/>
        <v>0</v>
      </c>
      <c r="FH52" s="371">
        <f t="shared" si="21"/>
        <v>0</v>
      </c>
      <c r="FI52" s="372"/>
    </row>
    <row r="53" spans="1:165" x14ac:dyDescent="0.25">
      <c r="A53" s="53">
        <v>40402</v>
      </c>
      <c r="B53" s="53" t="s">
        <v>133</v>
      </c>
      <c r="C53" s="53" t="s">
        <v>131</v>
      </c>
      <c r="D53" s="53" t="s">
        <v>308</v>
      </c>
      <c r="E53" s="54">
        <v>842</v>
      </c>
      <c r="F53" s="58">
        <v>3</v>
      </c>
      <c r="G53" s="59" t="s">
        <v>307</v>
      </c>
      <c r="H53" s="6">
        <v>0</v>
      </c>
      <c r="I53" s="6">
        <v>1</v>
      </c>
      <c r="J53" s="60">
        <v>5</v>
      </c>
      <c r="K53" s="6">
        <v>5</v>
      </c>
      <c r="L53" s="6">
        <v>2</v>
      </c>
      <c r="M53" s="6">
        <v>2</v>
      </c>
      <c r="N53" s="6">
        <v>1</v>
      </c>
      <c r="O53" s="6">
        <v>6</v>
      </c>
      <c r="P53" s="6">
        <v>1</v>
      </c>
      <c r="Q53" s="6">
        <v>0</v>
      </c>
      <c r="R53" s="6">
        <v>20</v>
      </c>
      <c r="S53" s="6"/>
      <c r="T53" s="6"/>
      <c r="U53" s="6">
        <v>0</v>
      </c>
      <c r="V53" s="61">
        <v>0</v>
      </c>
      <c r="W53" s="62">
        <v>0</v>
      </c>
      <c r="X53" s="62">
        <v>0</v>
      </c>
      <c r="Y53" s="62">
        <v>0</v>
      </c>
      <c r="Z53" s="62">
        <v>0</v>
      </c>
      <c r="AA53" s="62">
        <v>0</v>
      </c>
      <c r="AB53" s="63">
        <v>3</v>
      </c>
      <c r="AC53" s="62">
        <v>10</v>
      </c>
      <c r="AD53" s="62">
        <v>9</v>
      </c>
      <c r="AE53" s="62">
        <v>4</v>
      </c>
      <c r="AF53" s="62">
        <v>0</v>
      </c>
      <c r="AG53" s="62">
        <v>3</v>
      </c>
      <c r="AH53" s="62">
        <v>1</v>
      </c>
      <c r="AI53" s="62">
        <v>1</v>
      </c>
      <c r="AJ53" s="62">
        <v>21</v>
      </c>
      <c r="AK53" s="62"/>
      <c r="AL53" s="62"/>
      <c r="AM53" s="1" t="s">
        <v>429</v>
      </c>
      <c r="AN53" s="78">
        <v>4</v>
      </c>
      <c r="AO53" s="78">
        <v>0</v>
      </c>
      <c r="AP53" s="78">
        <v>2</v>
      </c>
      <c r="AQ53" s="78">
        <v>0</v>
      </c>
      <c r="AR53" s="78">
        <v>0</v>
      </c>
      <c r="AS53" s="78">
        <v>2</v>
      </c>
      <c r="AT53" s="78">
        <v>0</v>
      </c>
      <c r="AU53" s="78">
        <v>0</v>
      </c>
      <c r="AV53" s="76">
        <v>4</v>
      </c>
      <c r="AW53" s="1" t="s">
        <v>298</v>
      </c>
      <c r="AX53" s="78">
        <v>4</v>
      </c>
      <c r="AY53" s="78">
        <v>1</v>
      </c>
      <c r="AZ53" s="78">
        <v>1</v>
      </c>
      <c r="BA53" s="78">
        <v>0</v>
      </c>
      <c r="BB53" s="78">
        <v>0</v>
      </c>
      <c r="BC53" s="78">
        <v>2</v>
      </c>
      <c r="BD53" s="78">
        <v>0</v>
      </c>
      <c r="BE53" s="78">
        <v>0</v>
      </c>
      <c r="BF53" s="76">
        <v>1</v>
      </c>
      <c r="BG53" s="1" t="s">
        <v>431</v>
      </c>
      <c r="BH53" s="78">
        <v>3</v>
      </c>
      <c r="BI53" s="78">
        <v>0</v>
      </c>
      <c r="BJ53" s="78">
        <v>0</v>
      </c>
      <c r="BK53" s="78">
        <v>0</v>
      </c>
      <c r="BL53" s="78">
        <v>1</v>
      </c>
      <c r="BM53" s="78">
        <v>1</v>
      </c>
      <c r="BN53" s="78">
        <v>0</v>
      </c>
      <c r="BO53" s="78">
        <v>0</v>
      </c>
      <c r="BP53" s="76">
        <v>0</v>
      </c>
      <c r="BQ53" s="1" t="s">
        <v>302</v>
      </c>
      <c r="BR53" s="78">
        <v>3</v>
      </c>
      <c r="BS53" s="78">
        <v>0</v>
      </c>
      <c r="BT53" s="78">
        <v>1</v>
      </c>
      <c r="BU53" s="78">
        <v>0</v>
      </c>
      <c r="BV53" s="78">
        <v>1</v>
      </c>
      <c r="BW53" s="78">
        <v>1</v>
      </c>
      <c r="BX53" s="78">
        <v>0</v>
      </c>
      <c r="BY53" s="78">
        <v>0</v>
      </c>
      <c r="BZ53" s="76">
        <v>1</v>
      </c>
      <c r="CA53" s="1" t="s">
        <v>436</v>
      </c>
      <c r="CB53" s="78">
        <v>3</v>
      </c>
      <c r="CC53" s="78">
        <v>0</v>
      </c>
      <c r="CD53" s="78">
        <v>2</v>
      </c>
      <c r="CE53" s="78">
        <v>1</v>
      </c>
      <c r="CF53" s="78">
        <v>1</v>
      </c>
      <c r="CG53" s="78">
        <v>0</v>
      </c>
      <c r="CH53" s="78">
        <v>0</v>
      </c>
      <c r="CI53" s="78">
        <v>0</v>
      </c>
      <c r="CJ53" s="76">
        <v>2</v>
      </c>
      <c r="CK53" s="1" t="s">
        <v>296</v>
      </c>
      <c r="CL53" s="78">
        <v>4</v>
      </c>
      <c r="CM53" s="78">
        <v>0</v>
      </c>
      <c r="CN53" s="78">
        <v>1</v>
      </c>
      <c r="CO53" s="78">
        <v>0</v>
      </c>
      <c r="CP53" s="78">
        <v>0</v>
      </c>
      <c r="CQ53" s="78">
        <v>1</v>
      </c>
      <c r="CR53" s="78">
        <v>0</v>
      </c>
      <c r="CS53" s="78">
        <v>0</v>
      </c>
      <c r="CT53" s="76">
        <v>1</v>
      </c>
      <c r="CU53" s="1" t="s">
        <v>434</v>
      </c>
      <c r="CV53" s="78">
        <v>4</v>
      </c>
      <c r="CW53" s="78">
        <v>0</v>
      </c>
      <c r="CX53" s="78">
        <v>0</v>
      </c>
      <c r="CY53" s="78">
        <v>0</v>
      </c>
      <c r="CZ53" s="78">
        <v>0</v>
      </c>
      <c r="DA53" s="78">
        <v>0</v>
      </c>
      <c r="DB53" s="78">
        <v>0</v>
      </c>
      <c r="DC53" s="78">
        <v>0</v>
      </c>
      <c r="DD53" s="76">
        <v>0</v>
      </c>
      <c r="DE53" s="1" t="s">
        <v>433</v>
      </c>
      <c r="DF53" s="78">
        <v>4</v>
      </c>
      <c r="DG53" s="78">
        <v>0</v>
      </c>
      <c r="DH53" s="78">
        <v>2</v>
      </c>
      <c r="DI53" s="78">
        <v>0</v>
      </c>
      <c r="DJ53" s="78">
        <v>0</v>
      </c>
      <c r="DK53" s="78">
        <v>2</v>
      </c>
      <c r="DL53" s="78">
        <v>0</v>
      </c>
      <c r="DM53" s="78">
        <v>0</v>
      </c>
      <c r="DN53" s="76">
        <v>2</v>
      </c>
      <c r="DO53" s="1" t="s">
        <v>295</v>
      </c>
      <c r="DP53" s="78">
        <v>4</v>
      </c>
      <c r="DQ53" s="78">
        <v>0</v>
      </c>
      <c r="DR53" s="78">
        <v>0</v>
      </c>
      <c r="DS53" s="78">
        <v>0</v>
      </c>
      <c r="DT53" s="78">
        <v>0</v>
      </c>
      <c r="DU53" s="78">
        <v>0</v>
      </c>
      <c r="DV53" s="78">
        <v>0</v>
      </c>
      <c r="DW53" s="78">
        <v>0</v>
      </c>
      <c r="DX53" s="76">
        <v>0</v>
      </c>
      <c r="DY53" s="77">
        <v>0</v>
      </c>
      <c r="DZ53" s="43">
        <v>0</v>
      </c>
      <c r="EA53" s="43">
        <v>0</v>
      </c>
      <c r="EB53" s="45">
        <v>9</v>
      </c>
      <c r="EC53" s="43">
        <v>0</v>
      </c>
      <c r="ED53" s="44">
        <v>1</v>
      </c>
      <c r="EE53" s="71">
        <v>1</v>
      </c>
      <c r="EF53" s="43">
        <v>0</v>
      </c>
      <c r="EG53" s="43">
        <v>0</v>
      </c>
      <c r="EH53" s="43">
        <v>0</v>
      </c>
      <c r="EI53" s="43">
        <v>0</v>
      </c>
      <c r="EJ53" s="43">
        <v>0</v>
      </c>
      <c r="EK53" s="43">
        <v>0</v>
      </c>
      <c r="EL53" s="43">
        <v>0</v>
      </c>
      <c r="EM53" s="43">
        <v>0</v>
      </c>
      <c r="EN53" s="43"/>
      <c r="EO53" s="43"/>
      <c r="EP53" s="43"/>
      <c r="EQ53" s="43"/>
      <c r="ER53" s="44">
        <f t="shared" si="18"/>
        <v>1</v>
      </c>
      <c r="ES53" s="43">
        <v>1</v>
      </c>
      <c r="ET53" s="43">
        <v>0</v>
      </c>
      <c r="EU53" s="43">
        <v>0</v>
      </c>
      <c r="EV53" s="43">
        <v>0</v>
      </c>
      <c r="EW53" s="43">
        <v>1</v>
      </c>
      <c r="EX53" s="43">
        <v>1</v>
      </c>
      <c r="EY53" s="43">
        <v>7</v>
      </c>
      <c r="EZ53" s="43">
        <v>1</v>
      </c>
      <c r="FA53" s="43"/>
      <c r="FB53" s="43"/>
      <c r="FC53" s="43"/>
      <c r="FD53" s="43"/>
      <c r="FE53" s="43"/>
      <c r="FF53" s="43">
        <f t="shared" si="19"/>
        <v>11</v>
      </c>
      <c r="FG53" s="73">
        <f t="shared" si="20"/>
        <v>0</v>
      </c>
      <c r="FH53" s="73">
        <f t="shared" si="21"/>
        <v>0</v>
      </c>
      <c r="FI53" s="38"/>
    </row>
    <row r="54" spans="1:165" x14ac:dyDescent="0.25">
      <c r="A54" s="53">
        <v>40403</v>
      </c>
      <c r="B54" s="53" t="s">
        <v>133</v>
      </c>
      <c r="C54" s="53" t="s">
        <v>129</v>
      </c>
      <c r="D54" s="53" t="s">
        <v>308</v>
      </c>
      <c r="E54" s="54">
        <v>872</v>
      </c>
      <c r="F54" s="58">
        <v>4</v>
      </c>
      <c r="G54" s="59" t="s">
        <v>428</v>
      </c>
      <c r="H54" s="6">
        <v>0</v>
      </c>
      <c r="I54" s="6">
        <v>0</v>
      </c>
      <c r="J54" s="60">
        <v>6</v>
      </c>
      <c r="K54" s="6">
        <v>5</v>
      </c>
      <c r="L54" s="6">
        <v>4</v>
      </c>
      <c r="M54" s="6">
        <v>4</v>
      </c>
      <c r="N54" s="6">
        <v>1</v>
      </c>
      <c r="O54" s="6">
        <v>4</v>
      </c>
      <c r="P54" s="6">
        <v>1</v>
      </c>
      <c r="Q54" s="6">
        <v>0</v>
      </c>
      <c r="R54" s="6">
        <v>22</v>
      </c>
      <c r="S54" s="6"/>
      <c r="T54" s="6"/>
      <c r="U54" s="6">
        <v>0</v>
      </c>
      <c r="V54" s="61">
        <v>0</v>
      </c>
      <c r="W54" s="62">
        <v>1</v>
      </c>
      <c r="X54" s="62">
        <v>0</v>
      </c>
      <c r="Y54" s="62">
        <v>0</v>
      </c>
      <c r="Z54" s="62">
        <v>0</v>
      </c>
      <c r="AA54" s="62">
        <v>0</v>
      </c>
      <c r="AB54" s="63">
        <v>4</v>
      </c>
      <c r="AC54" s="62">
        <v>5</v>
      </c>
      <c r="AD54" s="62">
        <v>2</v>
      </c>
      <c r="AE54" s="62">
        <v>2</v>
      </c>
      <c r="AF54" s="62">
        <v>1</v>
      </c>
      <c r="AG54" s="62">
        <v>2</v>
      </c>
      <c r="AH54" s="62">
        <v>0</v>
      </c>
      <c r="AI54" s="62">
        <v>1</v>
      </c>
      <c r="AJ54" s="62">
        <v>18</v>
      </c>
      <c r="AK54" s="62"/>
      <c r="AL54" s="62"/>
      <c r="AM54" s="1" t="s">
        <v>436</v>
      </c>
      <c r="AN54" s="78">
        <v>4</v>
      </c>
      <c r="AO54" s="78">
        <v>1</v>
      </c>
      <c r="AP54" s="78">
        <v>2</v>
      </c>
      <c r="AQ54" s="78">
        <v>4</v>
      </c>
      <c r="AR54" s="78">
        <v>0</v>
      </c>
      <c r="AS54" s="78">
        <v>2</v>
      </c>
      <c r="AT54" s="78">
        <v>0</v>
      </c>
      <c r="AU54" s="78">
        <v>1</v>
      </c>
      <c r="AV54" s="76">
        <v>5</v>
      </c>
      <c r="AW54" s="1" t="s">
        <v>298</v>
      </c>
      <c r="AX54" s="78">
        <v>5</v>
      </c>
      <c r="AY54" s="78">
        <v>1</v>
      </c>
      <c r="AZ54" s="78">
        <v>2</v>
      </c>
      <c r="BA54" s="78">
        <v>0</v>
      </c>
      <c r="BB54" s="78">
        <v>0</v>
      </c>
      <c r="BC54" s="78">
        <v>2</v>
      </c>
      <c r="BD54" s="78">
        <v>0</v>
      </c>
      <c r="BE54" s="78">
        <v>0</v>
      </c>
      <c r="BF54" s="76">
        <v>3</v>
      </c>
      <c r="BG54" s="1" t="s">
        <v>431</v>
      </c>
      <c r="BH54" s="78">
        <v>5</v>
      </c>
      <c r="BI54" s="78">
        <v>0</v>
      </c>
      <c r="BJ54" s="78">
        <v>1</v>
      </c>
      <c r="BK54" s="78">
        <v>1</v>
      </c>
      <c r="BL54" s="78">
        <v>0</v>
      </c>
      <c r="BM54" s="78">
        <v>0</v>
      </c>
      <c r="BN54" s="78">
        <v>0</v>
      </c>
      <c r="BO54" s="78">
        <v>0</v>
      </c>
      <c r="BP54" s="76">
        <v>1</v>
      </c>
      <c r="BQ54" s="1" t="s">
        <v>302</v>
      </c>
      <c r="BR54" s="78">
        <v>4</v>
      </c>
      <c r="BS54" s="78">
        <v>0</v>
      </c>
      <c r="BT54" s="78">
        <v>0</v>
      </c>
      <c r="BU54" s="78">
        <v>0</v>
      </c>
      <c r="BV54" s="78">
        <v>1</v>
      </c>
      <c r="BW54" s="78">
        <v>1</v>
      </c>
      <c r="BX54" s="78">
        <v>0</v>
      </c>
      <c r="BY54" s="78">
        <v>0</v>
      </c>
      <c r="BZ54" s="76">
        <v>0</v>
      </c>
      <c r="CA54" s="1" t="s">
        <v>297</v>
      </c>
      <c r="CB54" s="78">
        <v>5</v>
      </c>
      <c r="CC54" s="78">
        <v>2</v>
      </c>
      <c r="CD54" s="78">
        <v>3</v>
      </c>
      <c r="CE54" s="78">
        <v>1</v>
      </c>
      <c r="CF54" s="78">
        <v>0</v>
      </c>
      <c r="CG54" s="78">
        <v>1</v>
      </c>
      <c r="CH54" s="78">
        <v>0</v>
      </c>
      <c r="CI54" s="78">
        <v>0</v>
      </c>
      <c r="CJ54" s="76">
        <v>7</v>
      </c>
      <c r="CK54" s="1" t="s">
        <v>432</v>
      </c>
      <c r="CL54" s="78">
        <v>5</v>
      </c>
      <c r="CM54" s="78">
        <v>1</v>
      </c>
      <c r="CN54" s="78">
        <v>0</v>
      </c>
      <c r="CO54" s="78">
        <v>0</v>
      </c>
      <c r="CP54" s="78">
        <v>0</v>
      </c>
      <c r="CQ54" s="78">
        <v>2</v>
      </c>
      <c r="CR54" s="78">
        <v>0</v>
      </c>
      <c r="CS54" s="78">
        <v>0</v>
      </c>
      <c r="CT54" s="76">
        <v>0</v>
      </c>
      <c r="CU54" s="1" t="s">
        <v>434</v>
      </c>
      <c r="CV54" s="78">
        <v>4</v>
      </c>
      <c r="CW54" s="78">
        <v>1</v>
      </c>
      <c r="CX54" s="78">
        <v>1</v>
      </c>
      <c r="CY54" s="78">
        <v>1</v>
      </c>
      <c r="CZ54" s="78">
        <v>0</v>
      </c>
      <c r="DA54" s="78">
        <v>0</v>
      </c>
      <c r="DB54" s="78">
        <v>0</v>
      </c>
      <c r="DC54" s="78">
        <v>1</v>
      </c>
      <c r="DD54" s="76">
        <v>1</v>
      </c>
      <c r="DE54" s="1" t="s">
        <v>304</v>
      </c>
      <c r="DF54" s="78">
        <v>3</v>
      </c>
      <c r="DG54" s="78">
        <v>0</v>
      </c>
      <c r="DH54" s="78">
        <v>0</v>
      </c>
      <c r="DI54" s="78">
        <v>0</v>
      </c>
      <c r="DJ54" s="78">
        <v>1</v>
      </c>
      <c r="DK54" s="78">
        <v>0</v>
      </c>
      <c r="DL54" s="78">
        <v>0</v>
      </c>
      <c r="DM54" s="78">
        <v>0</v>
      </c>
      <c r="DN54" s="76">
        <v>0</v>
      </c>
      <c r="DO54" s="1" t="s">
        <v>295</v>
      </c>
      <c r="DP54" s="78">
        <v>2</v>
      </c>
      <c r="DQ54" s="78">
        <v>1</v>
      </c>
      <c r="DR54" s="78">
        <v>0</v>
      </c>
      <c r="DS54" s="78">
        <v>0</v>
      </c>
      <c r="DT54" s="78">
        <v>1</v>
      </c>
      <c r="DU54" s="78">
        <v>0</v>
      </c>
      <c r="DV54" s="78">
        <v>0</v>
      </c>
      <c r="DW54" s="78">
        <v>0</v>
      </c>
      <c r="DX54" s="76">
        <v>0</v>
      </c>
      <c r="DY54" s="77">
        <v>0</v>
      </c>
      <c r="DZ54" s="43">
        <v>0</v>
      </c>
      <c r="EA54" s="43">
        <v>0</v>
      </c>
      <c r="EB54" s="45">
        <v>10</v>
      </c>
      <c r="EC54" s="43">
        <v>1</v>
      </c>
      <c r="ED54" s="44">
        <v>0</v>
      </c>
      <c r="EE54" s="71">
        <v>0</v>
      </c>
      <c r="EF54" s="43">
        <v>0</v>
      </c>
      <c r="EG54" s="43">
        <v>0</v>
      </c>
      <c r="EH54" s="43">
        <v>1</v>
      </c>
      <c r="EI54" s="43">
        <v>1</v>
      </c>
      <c r="EJ54" s="43">
        <v>0</v>
      </c>
      <c r="EK54" s="43">
        <v>0</v>
      </c>
      <c r="EL54" s="43">
        <v>0</v>
      </c>
      <c r="EM54" s="43">
        <v>4</v>
      </c>
      <c r="EN54" s="43">
        <v>1</v>
      </c>
      <c r="EO54" s="43"/>
      <c r="EP54" s="43"/>
      <c r="EQ54" s="43"/>
      <c r="ER54" s="44">
        <f t="shared" si="18"/>
        <v>7</v>
      </c>
      <c r="ES54" s="43">
        <v>1</v>
      </c>
      <c r="ET54" s="43">
        <v>1</v>
      </c>
      <c r="EU54" s="43">
        <v>2</v>
      </c>
      <c r="EV54" s="43">
        <v>0</v>
      </c>
      <c r="EW54" s="43">
        <v>0</v>
      </c>
      <c r="EX54" s="43">
        <v>0</v>
      </c>
      <c r="EY54" s="43">
        <v>2</v>
      </c>
      <c r="EZ54" s="43">
        <v>0</v>
      </c>
      <c r="FA54" s="43">
        <v>0</v>
      </c>
      <c r="FB54" s="43">
        <v>0</v>
      </c>
      <c r="FC54" s="43"/>
      <c r="FD54" s="43"/>
      <c r="FE54" s="43"/>
      <c r="FF54" s="43">
        <f t="shared" si="19"/>
        <v>6</v>
      </c>
      <c r="FG54" s="73">
        <f t="shared" si="20"/>
        <v>0</v>
      </c>
      <c r="FH54" s="73">
        <f t="shared" si="21"/>
        <v>0</v>
      </c>
      <c r="FI54" s="38"/>
    </row>
    <row r="55" spans="1:165" x14ac:dyDescent="0.25">
      <c r="A55" s="53">
        <v>40404</v>
      </c>
      <c r="B55" s="53" t="s">
        <v>133</v>
      </c>
      <c r="C55" s="53" t="s">
        <v>131</v>
      </c>
      <c r="D55" s="53" t="s">
        <v>308</v>
      </c>
      <c r="E55" s="54">
        <v>1045</v>
      </c>
      <c r="F55" s="58">
        <v>5</v>
      </c>
      <c r="G55" s="59" t="s">
        <v>632</v>
      </c>
      <c r="H55" s="6">
        <v>0</v>
      </c>
      <c r="I55" s="6">
        <v>1</v>
      </c>
      <c r="J55" s="60">
        <f>4+2/3</f>
        <v>4.666666666666667</v>
      </c>
      <c r="K55" s="6">
        <v>8</v>
      </c>
      <c r="L55" s="6">
        <v>6</v>
      </c>
      <c r="M55" s="6">
        <v>6</v>
      </c>
      <c r="N55" s="6">
        <v>2</v>
      </c>
      <c r="O55" s="6">
        <v>4</v>
      </c>
      <c r="P55" s="6">
        <v>1</v>
      </c>
      <c r="Q55" s="6">
        <v>0</v>
      </c>
      <c r="R55" s="6">
        <v>24</v>
      </c>
      <c r="S55" s="6"/>
      <c r="T55" s="6"/>
      <c r="U55" s="6">
        <v>0</v>
      </c>
      <c r="V55" s="61">
        <v>0</v>
      </c>
      <c r="W55" s="62">
        <v>0</v>
      </c>
      <c r="X55" s="62">
        <v>0</v>
      </c>
      <c r="Y55" s="62">
        <v>0</v>
      </c>
      <c r="Z55" s="62">
        <v>0</v>
      </c>
      <c r="AA55" s="62">
        <v>0</v>
      </c>
      <c r="AB55" s="63">
        <f>3+1/3</f>
        <v>3.3333333333333335</v>
      </c>
      <c r="AC55" s="62">
        <v>5</v>
      </c>
      <c r="AD55" s="62">
        <v>2</v>
      </c>
      <c r="AE55" s="62">
        <v>2</v>
      </c>
      <c r="AF55" s="62">
        <v>0</v>
      </c>
      <c r="AG55" s="62">
        <v>4</v>
      </c>
      <c r="AH55" s="62">
        <v>1</v>
      </c>
      <c r="AI55" s="62">
        <v>0</v>
      </c>
      <c r="AJ55" s="62">
        <v>14</v>
      </c>
      <c r="AK55" s="62"/>
      <c r="AL55" s="62"/>
      <c r="AM55" s="1" t="s">
        <v>429</v>
      </c>
      <c r="AN55" s="78">
        <v>4</v>
      </c>
      <c r="AO55" s="78">
        <v>1</v>
      </c>
      <c r="AP55" s="78">
        <v>1</v>
      </c>
      <c r="AQ55" s="78">
        <v>0</v>
      </c>
      <c r="AR55" s="78">
        <v>1</v>
      </c>
      <c r="AS55" s="78">
        <v>0</v>
      </c>
      <c r="AT55" s="78">
        <v>0</v>
      </c>
      <c r="AU55" s="78">
        <v>0</v>
      </c>
      <c r="AV55" s="76">
        <v>1</v>
      </c>
      <c r="AW55" s="1" t="s">
        <v>298</v>
      </c>
      <c r="AX55" s="78">
        <v>5</v>
      </c>
      <c r="AY55" s="78">
        <v>1</v>
      </c>
      <c r="AZ55" s="78">
        <v>1</v>
      </c>
      <c r="BA55" s="78">
        <v>0</v>
      </c>
      <c r="BB55" s="78">
        <v>0</v>
      </c>
      <c r="BC55" s="78">
        <v>2</v>
      </c>
      <c r="BD55" s="78">
        <v>0</v>
      </c>
      <c r="BE55" s="78">
        <v>0</v>
      </c>
      <c r="BF55" s="76">
        <v>1</v>
      </c>
      <c r="BG55" s="1" t="s">
        <v>431</v>
      </c>
      <c r="BH55" s="78">
        <v>3</v>
      </c>
      <c r="BI55" s="78">
        <v>1</v>
      </c>
      <c r="BJ55" s="78">
        <v>2</v>
      </c>
      <c r="BK55" s="78">
        <v>2</v>
      </c>
      <c r="BL55" s="78">
        <v>1</v>
      </c>
      <c r="BM55" s="78">
        <v>0</v>
      </c>
      <c r="BN55" s="78">
        <v>0</v>
      </c>
      <c r="BO55" s="78">
        <v>0</v>
      </c>
      <c r="BP55" s="76">
        <v>5</v>
      </c>
      <c r="BQ55" s="1" t="s">
        <v>302</v>
      </c>
      <c r="BR55" s="78">
        <v>4</v>
      </c>
      <c r="BS55" s="78">
        <v>0</v>
      </c>
      <c r="BT55" s="78">
        <v>0</v>
      </c>
      <c r="BU55" s="78">
        <v>0</v>
      </c>
      <c r="BV55" s="78">
        <v>0</v>
      </c>
      <c r="BW55" s="78">
        <v>0</v>
      </c>
      <c r="BX55" s="78">
        <v>0</v>
      </c>
      <c r="BY55" s="78">
        <v>0</v>
      </c>
      <c r="BZ55" s="76">
        <v>0</v>
      </c>
      <c r="CA55" s="1" t="s">
        <v>297</v>
      </c>
      <c r="CB55" s="78">
        <v>4</v>
      </c>
      <c r="CC55" s="78">
        <v>1</v>
      </c>
      <c r="CD55" s="78">
        <v>1</v>
      </c>
      <c r="CE55" s="78">
        <v>1</v>
      </c>
      <c r="CF55" s="78">
        <v>0</v>
      </c>
      <c r="CG55" s="78">
        <v>0</v>
      </c>
      <c r="CH55" s="78">
        <v>0</v>
      </c>
      <c r="CI55" s="78">
        <v>0</v>
      </c>
      <c r="CJ55" s="76">
        <v>4</v>
      </c>
      <c r="CK55" s="1" t="s">
        <v>296</v>
      </c>
      <c r="CL55" s="78">
        <v>4</v>
      </c>
      <c r="CM55" s="78">
        <v>1</v>
      </c>
      <c r="CN55" s="78">
        <v>3</v>
      </c>
      <c r="CO55" s="78">
        <v>0</v>
      </c>
      <c r="CP55" s="78">
        <v>0</v>
      </c>
      <c r="CQ55" s="78">
        <v>0</v>
      </c>
      <c r="CR55" s="78">
        <v>0</v>
      </c>
      <c r="CS55" s="78">
        <v>0</v>
      </c>
      <c r="CT55" s="76">
        <v>3</v>
      </c>
      <c r="CU55" s="1" t="s">
        <v>427</v>
      </c>
      <c r="CV55" s="78">
        <v>4</v>
      </c>
      <c r="CW55" s="78">
        <v>0</v>
      </c>
      <c r="CX55" s="78">
        <v>1</v>
      </c>
      <c r="CY55" s="78">
        <v>1</v>
      </c>
      <c r="CZ55" s="78">
        <v>0</v>
      </c>
      <c r="DA55" s="78">
        <v>1</v>
      </c>
      <c r="DB55" s="78">
        <v>0</v>
      </c>
      <c r="DC55" s="78">
        <v>0</v>
      </c>
      <c r="DD55" s="76">
        <v>2</v>
      </c>
      <c r="DE55" s="1" t="s">
        <v>423</v>
      </c>
      <c r="DF55" s="78">
        <v>4</v>
      </c>
      <c r="DG55" s="78">
        <v>0</v>
      </c>
      <c r="DH55" s="78">
        <v>1</v>
      </c>
      <c r="DI55" s="78">
        <v>0</v>
      </c>
      <c r="DJ55" s="78">
        <v>0</v>
      </c>
      <c r="DK55" s="78">
        <v>0</v>
      </c>
      <c r="DL55" s="78">
        <v>0</v>
      </c>
      <c r="DM55" s="78">
        <v>0</v>
      </c>
      <c r="DN55" s="76">
        <v>1</v>
      </c>
      <c r="DO55" s="1" t="s">
        <v>304</v>
      </c>
      <c r="DP55" s="78">
        <v>4</v>
      </c>
      <c r="DQ55" s="78">
        <v>0</v>
      </c>
      <c r="DR55" s="78">
        <v>0</v>
      </c>
      <c r="DS55" s="78">
        <v>0</v>
      </c>
      <c r="DT55" s="78">
        <v>0</v>
      </c>
      <c r="DU55" s="78">
        <v>2</v>
      </c>
      <c r="DV55" s="78">
        <v>0</v>
      </c>
      <c r="DW55" s="78">
        <v>0</v>
      </c>
      <c r="DX55" s="76">
        <v>0</v>
      </c>
      <c r="DY55" s="77">
        <v>3</v>
      </c>
      <c r="DZ55" s="43">
        <v>3</v>
      </c>
      <c r="EA55" s="43">
        <v>0</v>
      </c>
      <c r="EB55" s="45">
        <v>6</v>
      </c>
      <c r="EC55" s="43">
        <v>0</v>
      </c>
      <c r="ED55" s="44">
        <v>0</v>
      </c>
      <c r="EE55" s="71">
        <v>2</v>
      </c>
      <c r="EF55" s="43">
        <v>1</v>
      </c>
      <c r="EG55" s="43">
        <v>0</v>
      </c>
      <c r="EH55" s="43">
        <v>0</v>
      </c>
      <c r="EI55" s="43">
        <v>0</v>
      </c>
      <c r="EJ55" s="43">
        <v>1</v>
      </c>
      <c r="EK55" s="43">
        <v>0</v>
      </c>
      <c r="EL55" s="43">
        <v>1</v>
      </c>
      <c r="EM55" s="43">
        <v>0</v>
      </c>
      <c r="EN55" s="43"/>
      <c r="EO55" s="43"/>
      <c r="EP55" s="43"/>
      <c r="EQ55" s="43"/>
      <c r="ER55" s="44">
        <f t="shared" si="18"/>
        <v>5</v>
      </c>
      <c r="ES55" s="43">
        <v>0</v>
      </c>
      <c r="ET55" s="43">
        <v>1</v>
      </c>
      <c r="EU55" s="43">
        <v>1</v>
      </c>
      <c r="EV55" s="43">
        <v>1</v>
      </c>
      <c r="EW55" s="43">
        <v>3</v>
      </c>
      <c r="EX55" s="43">
        <v>0</v>
      </c>
      <c r="EY55" s="43">
        <v>2</v>
      </c>
      <c r="EZ55" s="43">
        <v>0</v>
      </c>
      <c r="FA55" s="43"/>
      <c r="FB55" s="43"/>
      <c r="FC55" s="43"/>
      <c r="FD55" s="43"/>
      <c r="FE55" s="43"/>
      <c r="FF55" s="43">
        <f t="shared" si="19"/>
        <v>8</v>
      </c>
      <c r="FG55" s="73">
        <f t="shared" si="20"/>
        <v>0</v>
      </c>
      <c r="FH55" s="73">
        <f t="shared" si="21"/>
        <v>0</v>
      </c>
      <c r="FI55" s="38"/>
    </row>
    <row r="56" spans="1:165" x14ac:dyDescent="0.25">
      <c r="A56" s="408">
        <f>SUBTOTAL(103,Table112[Date])</f>
        <v>52</v>
      </c>
      <c r="B56" s="408"/>
      <c r="C56" s="408"/>
      <c r="D56" s="408"/>
      <c r="E56" s="54">
        <f>SUBTOTAL(109,Table112[Att])</f>
        <v>45379</v>
      </c>
      <c r="F56" s="54"/>
      <c r="G56" s="404" t="s">
        <v>34</v>
      </c>
      <c r="H56" s="62">
        <f>SUBTOTAL(109,Table112[S-W])</f>
        <v>14</v>
      </c>
      <c r="I56" s="62">
        <f>SUBTOTAL(109,Table112[S-L])</f>
        <v>15</v>
      </c>
      <c r="J56" s="63">
        <f>SUBTOTAL(109,Table112[S-IP])</f>
        <v>260.66666666666663</v>
      </c>
      <c r="K56" s="62">
        <f>SUBTOTAL(109,Table112[S-H])</f>
        <v>237</v>
      </c>
      <c r="L56" s="62">
        <f>SUBTOTAL(109,Table112[S-R])</f>
        <v>106</v>
      </c>
      <c r="M56" s="62">
        <f>SUBTOTAL(109,Table112[S-ER])</f>
        <v>86</v>
      </c>
      <c r="N56" s="62">
        <f>SUBTOTAL(109,Table112[S-BB])</f>
        <v>73</v>
      </c>
      <c r="O56" s="62">
        <f>SUBTOTAL(109,Table112[S-SO])</f>
        <v>227</v>
      </c>
      <c r="P56" s="62">
        <f>SUBTOTAL(109,Table112[S-HR])</f>
        <v>18</v>
      </c>
      <c r="Q56" s="62">
        <f>SUBTOTAL(109,Table112[S-HBP])</f>
        <v>20</v>
      </c>
      <c r="R56" s="62">
        <f>SUBTOTAL(109,Table112[S-BF])</f>
        <v>1075</v>
      </c>
      <c r="S56" s="62"/>
      <c r="T56" s="62"/>
      <c r="U56" s="62">
        <f>SUBTOTAL(109,Table112[IRL])</f>
        <v>22</v>
      </c>
      <c r="V56" s="62">
        <f>SUBTOTAL(109,Table112[IRS])</f>
        <v>8</v>
      </c>
      <c r="W56" s="62">
        <f>SUBTOTAL(109,Table112[B-W])</f>
        <v>11</v>
      </c>
      <c r="X56" s="62">
        <f>SUBTOTAL(109,Table112[B-L])</f>
        <v>12</v>
      </c>
      <c r="Y56" s="62">
        <f>SUBTOTAL(109,Table112[Hld])</f>
        <v>6</v>
      </c>
      <c r="Z56" s="62">
        <f>SUBTOTAL(109,Table112[Sv])</f>
        <v>8</v>
      </c>
      <c r="AA56" s="62">
        <f>SUBTOTAL(109,Table112[BS])</f>
        <v>9</v>
      </c>
      <c r="AB56" s="63">
        <f>SUBTOTAL(109,Table112[B-IP])</f>
        <v>202.33333333333337</v>
      </c>
      <c r="AC56" s="62">
        <f>SUBTOTAL(109,Table112[B-H])</f>
        <v>223</v>
      </c>
      <c r="AD56" s="62">
        <f>SUBTOTAL(109,Table112[B-R])</f>
        <v>102</v>
      </c>
      <c r="AE56" s="62">
        <f>SUBTOTAL(109,Table112[B-ER])</f>
        <v>76</v>
      </c>
      <c r="AF56" s="62">
        <f>SUBTOTAL(109,Table112[B-BB])</f>
        <v>53</v>
      </c>
      <c r="AG56" s="62">
        <f>SUBTOTAL(109,Table112[B-SO])</f>
        <v>170</v>
      </c>
      <c r="AH56" s="62">
        <f>SUBTOTAL(109,Table112[B-HR])</f>
        <v>12</v>
      </c>
      <c r="AI56" s="62">
        <f>SUBTOTAL(109,Table112[B-HBP])</f>
        <v>10</v>
      </c>
      <c r="AJ56" s="62">
        <f>SUBTOTAL(109,Table112[B-BF])</f>
        <v>895</v>
      </c>
      <c r="AK56" s="62"/>
      <c r="AL56" s="62"/>
      <c r="AM56" s="404" t="str">
        <f>INDEX(Table112[Starter1],MODE(MATCH(Table112[Starter1],Table112[Starter1],0)))</f>
        <v>Kiermaier, K</v>
      </c>
      <c r="AN56" s="54">
        <f>SUBTOTAL(109,Table112[AB1])</f>
        <v>209</v>
      </c>
      <c r="AO56" s="54">
        <f>SUBTOTAL(109,Table112[R1])</f>
        <v>39</v>
      </c>
      <c r="AP56" s="54">
        <f>SUBTOTAL(109,Table112[H1])</f>
        <v>57</v>
      </c>
      <c r="AQ56" s="54">
        <f>SUBTOTAL(109,Table112[RBI1])</f>
        <v>14</v>
      </c>
      <c r="AR56" s="54">
        <f>SUBTOTAL(109,Table112[BB1])</f>
        <v>25</v>
      </c>
      <c r="AS56" s="54">
        <f>SUBTOTAL(109,Table112[SO1])</f>
        <v>52</v>
      </c>
      <c r="AT56" s="54">
        <f>SUBTOTAL(109,Table112[HBP1])</f>
        <v>2</v>
      </c>
      <c r="AU56" s="54">
        <f>SUBTOTAL(109,Table112[SF1])</f>
        <v>1</v>
      </c>
      <c r="AV56" s="54">
        <f>SUBTOTAL(109,Table112[TB1])</f>
        <v>89</v>
      </c>
      <c r="AW56" s="404" t="str">
        <f>INDEX(Table112[Starter2],MODE(MATCH(Table112[Starter2],Table112[Starter2],0)))</f>
        <v>Glaesmann, T</v>
      </c>
      <c r="AX56" s="54">
        <f>SUBTOTAL(109,Table112[AB2])</f>
        <v>206</v>
      </c>
      <c r="AY56" s="54">
        <f>SUBTOTAL(109,Table112[R2])</f>
        <v>35</v>
      </c>
      <c r="AZ56" s="54">
        <f>SUBTOTAL(109,Table112[H2])</f>
        <v>46</v>
      </c>
      <c r="BA56" s="54">
        <f>SUBTOTAL(109,Table112[RBI2])</f>
        <v>22</v>
      </c>
      <c r="BB56" s="54">
        <f>SUBTOTAL(109,Table112[BB2])</f>
        <v>18</v>
      </c>
      <c r="BC56" s="54">
        <f>SUBTOTAL(109,Table112[SO2])</f>
        <v>61</v>
      </c>
      <c r="BD56" s="54">
        <f>SUBTOTAL(109,Table112[HBP2])</f>
        <v>7</v>
      </c>
      <c r="BE56" s="54">
        <f>SUBTOTAL(109,Table112[SF2])</f>
        <v>1</v>
      </c>
      <c r="BF56" s="54">
        <f>SUBTOTAL(109,Table112[TB2])</f>
        <v>77</v>
      </c>
      <c r="BG56" s="404" t="str">
        <f>INDEX(Table112[Starter3],MODE(MATCH(Table112[Starter3],Table112[Starter3],0)))</f>
        <v>Lawson, S</v>
      </c>
      <c r="BH56" s="54">
        <f>SUBTOTAL(109,Table112[AB3])</f>
        <v>191</v>
      </c>
      <c r="BI56" s="54">
        <f>SUBTOTAL(109,Table112[R3])</f>
        <v>29</v>
      </c>
      <c r="BJ56" s="54">
        <f>SUBTOTAL(109,Table112[H3])</f>
        <v>50</v>
      </c>
      <c r="BK56" s="54">
        <f>SUBTOTAL(109,Table112[RBI3])</f>
        <v>31</v>
      </c>
      <c r="BL56" s="54">
        <f>SUBTOTAL(109,Table112[BB3])</f>
        <v>30</v>
      </c>
      <c r="BM56" s="54">
        <f>SUBTOTAL(109,Table112[SO3])</f>
        <v>37</v>
      </c>
      <c r="BN56" s="54">
        <f>SUBTOTAL(109,Table112[HBP3])</f>
        <v>4</v>
      </c>
      <c r="BO56" s="54">
        <f>SUBTOTAL(109,Table112[SF3])</f>
        <v>2</v>
      </c>
      <c r="BP56" s="54">
        <f>SUBTOTAL(109,Table112[TB3])</f>
        <v>80</v>
      </c>
      <c r="BQ56" s="404" t="str">
        <f>INDEX(Table112[Starter4],MODE(MATCH(Table112[Starter4],Table112[Starter4],0)))</f>
        <v>Fogle, B</v>
      </c>
      <c r="BR56" s="54">
        <f>SUBTOTAL(109,Table112[AB4])</f>
        <v>206</v>
      </c>
      <c r="BS56" s="54">
        <f>SUBTOTAL(109,Table112[R4])</f>
        <v>23</v>
      </c>
      <c r="BT56" s="54">
        <f>SUBTOTAL(109,Table112[H4])</f>
        <v>52</v>
      </c>
      <c r="BU56" s="54">
        <f>SUBTOTAL(109,Table112[RBI4])</f>
        <v>38</v>
      </c>
      <c r="BV56" s="54">
        <f>SUBTOTAL(109,Table112[BB4])</f>
        <v>13</v>
      </c>
      <c r="BW56" s="54">
        <f>SUBTOTAL(109,Table112[SO4])</f>
        <v>64</v>
      </c>
      <c r="BX56" s="54">
        <f>SUBTOTAL(109,Table112[HBP4])</f>
        <v>0</v>
      </c>
      <c r="BY56" s="54">
        <f>SUBTOTAL(109,Table112[SF4])</f>
        <v>2</v>
      </c>
      <c r="BZ56" s="54">
        <f>SUBTOTAL(109,Table112[TB4])</f>
        <v>82</v>
      </c>
      <c r="CA56" s="404" t="str">
        <f>INDEX(Table112[Starter5],MODE(MATCH(Table112[Starter5],Table112[Starter5],0)))</f>
        <v>Contreras, Ru</v>
      </c>
      <c r="CB56" s="54">
        <f>SUBTOTAL(109,Table112[AB5])</f>
        <v>194</v>
      </c>
      <c r="CC56" s="54">
        <f>SUBTOTAL(109,Table112[R5])</f>
        <v>25</v>
      </c>
      <c r="CD56" s="54">
        <f>SUBTOTAL(109,Table112[H5])</f>
        <v>51</v>
      </c>
      <c r="CE56" s="54">
        <f>SUBTOTAL(109,Table112[RBI5])</f>
        <v>19</v>
      </c>
      <c r="CF56" s="54">
        <f>SUBTOTAL(109,Table112[BB5])</f>
        <v>17</v>
      </c>
      <c r="CG56" s="54">
        <f>SUBTOTAL(109,Table112[SO5])</f>
        <v>30</v>
      </c>
      <c r="CH56" s="54">
        <f>SUBTOTAL(109,Table112[HBP5])</f>
        <v>3</v>
      </c>
      <c r="CI56" s="54">
        <f>SUBTOTAL(109,Table112[SF5])</f>
        <v>3</v>
      </c>
      <c r="CJ56" s="54">
        <f>SUBTOTAL(109,Table112[TB5])</f>
        <v>76</v>
      </c>
      <c r="CK56" s="404" t="str">
        <f>INDEX(Table112[Starter6],MODE(MATCH(Table112[Starter6],Table112[Starter6],0)))</f>
        <v>Guevara, H</v>
      </c>
      <c r="CL56" s="54">
        <f>SUBTOTAL(109,Table112[AB6])</f>
        <v>191</v>
      </c>
      <c r="CM56" s="54">
        <f>SUBTOTAL(109,Table112[R6])</f>
        <v>21</v>
      </c>
      <c r="CN56" s="54">
        <f>SUBTOTAL(109,Table112[H6])</f>
        <v>46</v>
      </c>
      <c r="CO56" s="54">
        <f>SUBTOTAL(109,Table112[RBI6])</f>
        <v>21</v>
      </c>
      <c r="CP56" s="54">
        <f>SUBTOTAL(109,Table112[BB6])</f>
        <v>10</v>
      </c>
      <c r="CQ56" s="54">
        <f>SUBTOTAL(109,Table112[SO6])</f>
        <v>33</v>
      </c>
      <c r="CR56" s="54">
        <f>SUBTOTAL(109,Table112[HBP6])</f>
        <v>5</v>
      </c>
      <c r="CS56" s="54">
        <f>SUBTOTAL(109,Table112[SF6])</f>
        <v>5</v>
      </c>
      <c r="CT56" s="54">
        <f>SUBTOTAL(109,Table112[TB6])</f>
        <v>65</v>
      </c>
      <c r="CU56" s="404" t="str">
        <f>INDEX(Table112[Starter7],MODE(MATCH(Table112[Starter7],Table112[Starter7],0)))</f>
        <v>Olivares, G</v>
      </c>
      <c r="CV56" s="54">
        <f>SUBTOTAL(109,Table112[AB7])</f>
        <v>190</v>
      </c>
      <c r="CW56" s="54">
        <f>SUBTOTAL(109,Table112[R7])</f>
        <v>20</v>
      </c>
      <c r="CX56" s="54">
        <f>SUBTOTAL(109,Table112[H7])</f>
        <v>46</v>
      </c>
      <c r="CY56" s="54">
        <f>SUBTOTAL(109,Table112[RBI7])</f>
        <v>18</v>
      </c>
      <c r="CZ56" s="54">
        <f>SUBTOTAL(109,Table112[BB7])</f>
        <v>11</v>
      </c>
      <c r="DA56" s="54">
        <f>SUBTOTAL(109,Table112[SO7])</f>
        <v>42</v>
      </c>
      <c r="DB56" s="54">
        <f>SUBTOTAL(109,Table112[HBP7])</f>
        <v>4</v>
      </c>
      <c r="DC56" s="54">
        <f>SUBTOTAL(109,Table112[SF7])</f>
        <v>1</v>
      </c>
      <c r="DD56" s="54">
        <f>SUBTOTAL(109,Table112[TB7])</f>
        <v>59</v>
      </c>
      <c r="DE56" s="404" t="str">
        <f>INDEX(Table112[Starter8],MODE(MATCH(Table112[Starter8],Table112[Starter8],0)))</f>
        <v>Malm, J</v>
      </c>
      <c r="DF56" s="54">
        <f>SUBTOTAL(109,Table112[AB8])</f>
        <v>179</v>
      </c>
      <c r="DG56" s="54">
        <f>SUBTOTAL(109,Table112[R8])</f>
        <v>13</v>
      </c>
      <c r="DH56" s="54">
        <f>SUBTOTAL(109,Table112[H8])</f>
        <v>36</v>
      </c>
      <c r="DI56" s="54">
        <f>SUBTOTAL(109,Table112[RBI8])</f>
        <v>19</v>
      </c>
      <c r="DJ56" s="54">
        <f>SUBTOTAL(109,Table112[BB8])</f>
        <v>15</v>
      </c>
      <c r="DK56" s="54">
        <f>SUBTOTAL(109,Table112[SO8])</f>
        <v>39</v>
      </c>
      <c r="DL56" s="54">
        <f>SUBTOTAL(109,Table112[HBP8])</f>
        <v>3</v>
      </c>
      <c r="DM56" s="54">
        <f>SUBTOTAL(109,Table112[SF8])</f>
        <v>0</v>
      </c>
      <c r="DN56" s="54">
        <f>SUBTOTAL(109,Table112[TB8])</f>
        <v>50</v>
      </c>
      <c r="DO56" s="404" t="str">
        <f>INDEX(Table112[Starter9],MODE(MATCH(Table112[Starter9],Table112[Starter9],0)))</f>
        <v>Harris, B</v>
      </c>
      <c r="DP56" s="54">
        <f>SUBTOTAL(109,Table112[AB9])</f>
        <v>167</v>
      </c>
      <c r="DQ56" s="54">
        <f>SUBTOTAL(109,Table112[R9])</f>
        <v>25</v>
      </c>
      <c r="DR56" s="54">
        <f>SUBTOTAL(109,Table112[H9])</f>
        <v>39</v>
      </c>
      <c r="DS56" s="54">
        <f>SUBTOTAL(109,Table112[RBI9])</f>
        <v>12</v>
      </c>
      <c r="DT56" s="54">
        <f>SUBTOTAL(109,Table112[BB9])</f>
        <v>19</v>
      </c>
      <c r="DU56" s="54">
        <f>SUBTOTAL(109,Table112[SO9])</f>
        <v>40</v>
      </c>
      <c r="DV56" s="54">
        <f>SUBTOTAL(109,Table112[HBP9])</f>
        <v>3</v>
      </c>
      <c r="DW56" s="54">
        <f>SUBTOTAL(109,Table112[SF9])</f>
        <v>0</v>
      </c>
      <c r="DX56" s="54">
        <f>SUBTOTAL(109,Table112[TB9])</f>
        <v>48</v>
      </c>
      <c r="DY56" s="63">
        <f>SUBTOTAL(109,Table112[IVL])</f>
        <v>114.33333333333333</v>
      </c>
      <c r="DZ56" s="62">
        <f>SUBTOTAL(109,Table112[SVL])</f>
        <v>13</v>
      </c>
      <c r="EA56" s="62">
        <f>SUBTOTAL(109,Table112[CVL])</f>
        <v>9</v>
      </c>
      <c r="EB56" s="63">
        <f>SUBTOTAL(109,Table112[IVR])</f>
        <v>346.33333333333331</v>
      </c>
      <c r="EC56" s="62">
        <f>SUBTOTAL(109,Table112[SVR])</f>
        <v>45</v>
      </c>
      <c r="ED56" s="62">
        <f>SUBTOTAL(109,Table112[CVR])</f>
        <v>21</v>
      </c>
      <c r="EE56" s="62">
        <f>SUBTOTAL(109,Table112[RI1])</f>
        <v>29</v>
      </c>
      <c r="EF56" s="62">
        <f>SUBTOTAL(109,Table112[RI2])</f>
        <v>18</v>
      </c>
      <c r="EG56" s="62">
        <f>SUBTOTAL(109,Table112[RI3])</f>
        <v>27</v>
      </c>
      <c r="EH56" s="62">
        <f>SUBTOTAL(109,Table112[RI4])</f>
        <v>34</v>
      </c>
      <c r="EI56" s="62">
        <f>SUBTOTAL(109,Table112[RI5])</f>
        <v>21</v>
      </c>
      <c r="EJ56" s="62">
        <f>SUBTOTAL(109,Table112[RI6])</f>
        <v>33</v>
      </c>
      <c r="EK56" s="62">
        <f>SUBTOTAL(109,Table112[RI7])</f>
        <v>9</v>
      </c>
      <c r="EL56" s="62">
        <f>SUBTOTAL(109,Table112[RI8])</f>
        <v>40</v>
      </c>
      <c r="EM56" s="62">
        <f>SUBTOTAL(109,Table112[RI9])</f>
        <v>16</v>
      </c>
      <c r="EN56" s="62">
        <f>SUBTOTAL(109,Table112[RI10])</f>
        <v>2</v>
      </c>
      <c r="EO56" s="62">
        <f>SUBTOTAL(109,Table112[RI11])</f>
        <v>1</v>
      </c>
      <c r="EP56" s="62">
        <f>SUBTOTAL(109,Table112[RI12])</f>
        <v>0</v>
      </c>
      <c r="EQ56" s="62">
        <f>SUBTOTAL(109,Table112[RI13])</f>
        <v>0</v>
      </c>
      <c r="ER56" s="62">
        <f>SUBTOTAL(109,Table112[RT])</f>
        <v>230</v>
      </c>
      <c r="ES56" s="62">
        <f>SUBTOTAL(109,Table112[OI1])</f>
        <v>18</v>
      </c>
      <c r="ET56" s="62">
        <f>SUBTOTAL(109,Table112[OI2])</f>
        <v>11</v>
      </c>
      <c r="EU56" s="62">
        <f>SUBTOTAL(109,Table112[OI3])</f>
        <v>26</v>
      </c>
      <c r="EV56" s="62">
        <f>SUBTOTAL(109,Table112[OI4])</f>
        <v>26</v>
      </c>
      <c r="EW56" s="62">
        <f>SUBTOTAL(109,Table112[OI5])</f>
        <v>27</v>
      </c>
      <c r="EX56" s="62">
        <f>SUBTOTAL(109,Table112[OI6])</f>
        <v>25</v>
      </c>
      <c r="EY56" s="62">
        <f>SUBTOTAL(109,Table112[OI7])</f>
        <v>30</v>
      </c>
      <c r="EZ56" s="62">
        <f>SUBTOTAL(109,Table112[OI8])</f>
        <v>29</v>
      </c>
      <c r="FA56" s="62">
        <f>SUBTOTAL(109,Table112[OI9])</f>
        <v>10</v>
      </c>
      <c r="FB56" s="62">
        <f>SUBTOTAL(109,Table112[OI10])</f>
        <v>3</v>
      </c>
      <c r="FC56" s="62">
        <f>SUBTOTAL(109,Table112[OI11])</f>
        <v>1</v>
      </c>
      <c r="FD56" s="62">
        <f>SUBTOTAL(109,Table112[OI12])</f>
        <v>1</v>
      </c>
      <c r="FE56" s="62">
        <f>SUBTOTAL(109,Table112[OI13])</f>
        <v>1</v>
      </c>
      <c r="FF56" s="62">
        <f>SUBTOTAL(109,Table112[OT])</f>
        <v>208</v>
      </c>
      <c r="FG56" s="136"/>
      <c r="FH56" s="136"/>
    </row>
    <row r="57" spans="1:165" x14ac:dyDescent="0.25">
      <c r="A57" s="81" t="s">
        <v>227</v>
      </c>
      <c r="B57" s="53"/>
      <c r="C57" s="53"/>
      <c r="D57" s="53"/>
      <c r="E57" s="4">
        <f>MAX(Table112[Att])</f>
        <v>2617</v>
      </c>
      <c r="F57" s="54"/>
      <c r="G57" s="80"/>
      <c r="H57" s="80"/>
      <c r="I57" s="80"/>
      <c r="J57" s="5">
        <f>MAX(Table112[S-IP])</f>
        <v>7</v>
      </c>
      <c r="K57" s="6">
        <f>MAX(Table112[S-H])</f>
        <v>9</v>
      </c>
      <c r="L57" s="6">
        <f>MAX(Table112[S-R])</f>
        <v>7</v>
      </c>
      <c r="M57" s="6">
        <f>MAX(Table112[S-ER])</f>
        <v>6</v>
      </c>
      <c r="N57" s="6">
        <f>MAX(Table112[S-BB])</f>
        <v>4</v>
      </c>
      <c r="O57" s="6">
        <f>MAX(Table112[S-SO])</f>
        <v>9</v>
      </c>
      <c r="P57" s="6">
        <f>MAX(Table112[S-HR])</f>
        <v>2</v>
      </c>
      <c r="Q57" s="6">
        <f>MAX(Table112[S-HBP])</f>
        <v>2</v>
      </c>
      <c r="R57" s="6">
        <f>MAX(Table112[S-BF])</f>
        <v>28</v>
      </c>
      <c r="S57" s="6"/>
      <c r="T57" s="6"/>
      <c r="U57" s="6">
        <f>MAX(Table112[IRL])</f>
        <v>3</v>
      </c>
      <c r="V57" s="6">
        <f>MAX(Table112[IRS])</f>
        <v>3</v>
      </c>
      <c r="W57" s="80"/>
      <c r="X57" s="80"/>
      <c r="Y57" s="80"/>
      <c r="Z57" s="80"/>
      <c r="AA57" s="80"/>
      <c r="AB57" s="5">
        <f>MAX(Table112[B-IP])</f>
        <v>8</v>
      </c>
      <c r="AC57" s="6">
        <f>MAX(Table112[B-H])</f>
        <v>12</v>
      </c>
      <c r="AD57" s="6">
        <f>MAX(Table112[B-R])</f>
        <v>9</v>
      </c>
      <c r="AE57" s="6">
        <f>MAX(Table112[B-ER])</f>
        <v>7</v>
      </c>
      <c r="AF57" s="6">
        <f>MAX(Table112[B-BB])</f>
        <v>3</v>
      </c>
      <c r="AG57" s="6">
        <f>MAX(Table112[B-SO])</f>
        <v>7</v>
      </c>
      <c r="AH57" s="6">
        <f>MAX(Table112[B-HR])</f>
        <v>1</v>
      </c>
      <c r="AI57" s="6">
        <f>MAX(Table112[B-HBP])</f>
        <v>2</v>
      </c>
      <c r="AJ57" s="6">
        <f>MAX(Table112[B-BF])</f>
        <v>36</v>
      </c>
      <c r="AK57" s="6"/>
      <c r="AL57" s="6"/>
      <c r="AM57" s="80"/>
      <c r="AN57" s="6">
        <f>MAX(Table112[AB1])</f>
        <v>6</v>
      </c>
      <c r="AO57" s="6">
        <f>MAX(Table112[R1])</f>
        <v>5</v>
      </c>
      <c r="AP57" s="6">
        <f>MAX(Table112[H1])</f>
        <v>4</v>
      </c>
      <c r="AQ57" s="6">
        <f>MAX(Table112[RBI1])</f>
        <v>4</v>
      </c>
      <c r="AR57" s="6">
        <f>MAX(Table112[BB1])</f>
        <v>2</v>
      </c>
      <c r="AS57" s="6">
        <f>MAX(Table112[SO1])</f>
        <v>3</v>
      </c>
      <c r="AT57" s="6">
        <f>MAX(Table112[HBP1])</f>
        <v>1</v>
      </c>
      <c r="AU57" s="6">
        <f>MAX(Table112[SF1])</f>
        <v>1</v>
      </c>
      <c r="AV57" s="6">
        <f>MAX(Table112[TB1])</f>
        <v>6</v>
      </c>
      <c r="AW57" s="80"/>
      <c r="AX57" s="6">
        <f>MAX(Table112[AB2])</f>
        <v>5</v>
      </c>
      <c r="AY57" s="6">
        <f>MAX(Table112[R2])</f>
        <v>4</v>
      </c>
      <c r="AZ57" s="6">
        <f>MAX(Table112[H2])</f>
        <v>4</v>
      </c>
      <c r="BA57" s="6">
        <f>MAX(Table112[RBI2])</f>
        <v>3</v>
      </c>
      <c r="BB57" s="6">
        <f>MAX(Table112[BB2])</f>
        <v>4</v>
      </c>
      <c r="BC57" s="6">
        <f>MAX(Table112[SO2])</f>
        <v>4</v>
      </c>
      <c r="BD57" s="6">
        <f>MAX(Table112[HBP2])</f>
        <v>2</v>
      </c>
      <c r="BE57" s="6">
        <f>MAX(Table112[SF2])</f>
        <v>1</v>
      </c>
      <c r="BF57" s="6">
        <f>MAX(Table112[TB2])</f>
        <v>12</v>
      </c>
      <c r="BG57" s="80"/>
      <c r="BH57" s="6">
        <f>MAX(Table112[AB3])</f>
        <v>5</v>
      </c>
      <c r="BI57" s="6">
        <f>MAX(Table112[R3])</f>
        <v>2</v>
      </c>
      <c r="BJ57" s="6">
        <f>MAX(Table112[H3])</f>
        <v>3</v>
      </c>
      <c r="BK57" s="6">
        <f>MAX(Table112[RBI3])</f>
        <v>3</v>
      </c>
      <c r="BL57" s="6">
        <f>MAX(Table112[BB3])</f>
        <v>2</v>
      </c>
      <c r="BM57" s="6">
        <f>MAX(Table112[SO3])</f>
        <v>3</v>
      </c>
      <c r="BN57" s="6">
        <f>MAX(Table112[HBP3])</f>
        <v>1</v>
      </c>
      <c r="BO57" s="6">
        <f>MAX(Table112[SF3])</f>
        <v>1</v>
      </c>
      <c r="BP57" s="6">
        <f>MAX(Table112[TB3])</f>
        <v>6</v>
      </c>
      <c r="BQ57" s="80"/>
      <c r="BR57" s="6">
        <f>MAX(Table112[AB4])</f>
        <v>6</v>
      </c>
      <c r="BS57" s="6">
        <f>MAX(Table112[R4])</f>
        <v>2</v>
      </c>
      <c r="BT57" s="6">
        <f>MAX(Table112[H4])</f>
        <v>4</v>
      </c>
      <c r="BU57" s="6">
        <f>MAX(Table112[RBI4])</f>
        <v>5</v>
      </c>
      <c r="BV57" s="6">
        <f>MAX(Table112[BB4])</f>
        <v>2</v>
      </c>
      <c r="BW57" s="6">
        <f>MAX(Table112[SO4])</f>
        <v>3</v>
      </c>
      <c r="BX57" s="6">
        <f>MAX(Table112[HBP4])</f>
        <v>0</v>
      </c>
      <c r="BY57" s="6">
        <f>MAX(Table112[SF4])</f>
        <v>1</v>
      </c>
      <c r="BZ57" s="6">
        <f>MAX(Table112[TB4])</f>
        <v>5</v>
      </c>
      <c r="CA57" s="80"/>
      <c r="CB57" s="6">
        <f>MAX(Table112[AB5])</f>
        <v>5</v>
      </c>
      <c r="CC57" s="6">
        <f>MAX(Table112[R5])</f>
        <v>3</v>
      </c>
      <c r="CD57" s="6">
        <f>MAX(Table112[H5])</f>
        <v>3</v>
      </c>
      <c r="CE57" s="6">
        <f>MAX(Table112[RBI5])</f>
        <v>2</v>
      </c>
      <c r="CF57" s="6">
        <f>MAX(Table112[BB5])</f>
        <v>2</v>
      </c>
      <c r="CG57" s="6">
        <f>MAX(Table112[SO5])</f>
        <v>3</v>
      </c>
      <c r="CH57" s="6">
        <f>MAX(Table112[HBP5])</f>
        <v>1</v>
      </c>
      <c r="CI57" s="6">
        <f>MAX(Table112[SF5])</f>
        <v>1</v>
      </c>
      <c r="CJ57" s="6">
        <f>MAX(Table112[TB5])</f>
        <v>7</v>
      </c>
      <c r="CK57" s="80"/>
      <c r="CL57" s="6">
        <f>MAX(Table112[AB6])</f>
        <v>6</v>
      </c>
      <c r="CM57" s="6">
        <f>MAX(Table112[R6])</f>
        <v>3</v>
      </c>
      <c r="CN57" s="6">
        <f>MAX(Table112[H6])</f>
        <v>3</v>
      </c>
      <c r="CO57" s="6">
        <f>MAX(Table112[RBI6])</f>
        <v>2</v>
      </c>
      <c r="CP57" s="6">
        <f>MAX(Table112[BB6])</f>
        <v>2</v>
      </c>
      <c r="CQ57" s="6">
        <f>MAX(Table112[SO6])</f>
        <v>2</v>
      </c>
      <c r="CR57" s="6">
        <f>MAX(Table112[HBP6])</f>
        <v>2</v>
      </c>
      <c r="CS57" s="6">
        <f>MAX(Table112[SF6])</f>
        <v>1</v>
      </c>
      <c r="CT57" s="6">
        <f>MAX(Table112[TB6])</f>
        <v>6</v>
      </c>
      <c r="CU57" s="80"/>
      <c r="CV57" s="6">
        <f>MAX(Table112[AB7])</f>
        <v>5</v>
      </c>
      <c r="CW57" s="6">
        <f>MAX(Table112[R7])</f>
        <v>3</v>
      </c>
      <c r="CX57" s="6">
        <f>MAX(Table112[H7])</f>
        <v>4</v>
      </c>
      <c r="CY57" s="6">
        <f>MAX(Table112[RBI7])</f>
        <v>4</v>
      </c>
      <c r="CZ57" s="6">
        <f>MAX(Table112[BB7])</f>
        <v>1</v>
      </c>
      <c r="DA57" s="6">
        <f>MAX(Table112[SO7])</f>
        <v>3</v>
      </c>
      <c r="DB57" s="6">
        <f>MAX(Table112[HBP7])</f>
        <v>2</v>
      </c>
      <c r="DC57" s="6">
        <f>MAX(Table112[SF7])</f>
        <v>1</v>
      </c>
      <c r="DD57" s="6">
        <f>MAX(Table112[TB7])</f>
        <v>6</v>
      </c>
      <c r="DE57" s="80"/>
      <c r="DF57" s="6">
        <f>MAX(Table112[AB8])</f>
        <v>6</v>
      </c>
      <c r="DG57" s="6">
        <f>MAX(Table112[R8])</f>
        <v>1</v>
      </c>
      <c r="DH57" s="6">
        <f>MAX(Table112[H8])</f>
        <v>3</v>
      </c>
      <c r="DI57" s="6">
        <f>MAX(Table112[RBI8])</f>
        <v>3</v>
      </c>
      <c r="DJ57" s="6">
        <f>MAX(Table112[BB8])</f>
        <v>3</v>
      </c>
      <c r="DK57" s="6">
        <f>MAX(Table112[SO8])</f>
        <v>3</v>
      </c>
      <c r="DL57" s="6">
        <f>MAX(Table112[HBP8])</f>
        <v>1</v>
      </c>
      <c r="DM57" s="6">
        <f>MAX(Table112[SF8])</f>
        <v>0</v>
      </c>
      <c r="DN57" s="6">
        <f>MAX(Table112[TB8])</f>
        <v>4</v>
      </c>
      <c r="DO57" s="80"/>
      <c r="DP57" s="6">
        <f>MAX(Table112[AB9])</f>
        <v>5</v>
      </c>
      <c r="DQ57" s="6">
        <f>MAX(Table112[R9])</f>
        <v>4</v>
      </c>
      <c r="DR57" s="6">
        <f>MAX(Table112[H9])</f>
        <v>3</v>
      </c>
      <c r="DS57" s="6">
        <f>MAX(Table112[RBI9])</f>
        <v>2</v>
      </c>
      <c r="DT57" s="6">
        <f>MAX(Table112[BB9])</f>
        <v>2</v>
      </c>
      <c r="DU57" s="6">
        <f>MAX(Table112[SO9])</f>
        <v>2</v>
      </c>
      <c r="DV57" s="6">
        <f>MAX(Table112[HBP9])</f>
        <v>1</v>
      </c>
      <c r="DW57" s="6">
        <f>MAX(Table112[SF9])</f>
        <v>0</v>
      </c>
      <c r="DX57" s="6">
        <f>MAX(Table112[TB9])</f>
        <v>7</v>
      </c>
      <c r="DY57" s="5">
        <f>MAX(Table112[IVL])</f>
        <v>9</v>
      </c>
      <c r="DZ57" s="6">
        <f>MAX(Table112[SVL])</f>
        <v>3</v>
      </c>
      <c r="EA57" s="6">
        <f>MAX(Table112[CVL])</f>
        <v>2</v>
      </c>
      <c r="EB57" s="5">
        <f>MAX(Table112[IVR])</f>
        <v>13</v>
      </c>
      <c r="EC57" s="6">
        <f>MAX(Table112[SVR])</f>
        <v>4</v>
      </c>
      <c r="ED57" s="6">
        <f>MAX(Table112[CVR])</f>
        <v>2</v>
      </c>
      <c r="EE57" s="6">
        <f>MAX(Table112[RI1])</f>
        <v>4</v>
      </c>
      <c r="EF57" s="6">
        <f>MAX(Table112[RI2])</f>
        <v>4</v>
      </c>
      <c r="EG57" s="6">
        <f>MAX(Table112[RI3])</f>
        <v>4</v>
      </c>
      <c r="EH57" s="6">
        <f>MAX(Table112[RI4])</f>
        <v>5</v>
      </c>
      <c r="EI57" s="6">
        <f>MAX(Table112[RI5])</f>
        <v>3</v>
      </c>
      <c r="EJ57" s="6">
        <f>MAX(Table112[RI6])</f>
        <v>5</v>
      </c>
      <c r="EK57" s="6">
        <f>MAX(Table112[RI7])</f>
        <v>2</v>
      </c>
      <c r="EL57" s="6">
        <f>MAX(Table112[RI8])</f>
        <v>6</v>
      </c>
      <c r="EM57" s="6">
        <f>MAX(Table112[RI9])</f>
        <v>4</v>
      </c>
      <c r="EN57" s="6">
        <f>MAX(Table112[RI10])</f>
        <v>1</v>
      </c>
      <c r="EO57" s="6">
        <f>MAX(Table112[RI11])</f>
        <v>1</v>
      </c>
      <c r="EP57" s="6">
        <f>MAX(Table112[RI12])</f>
        <v>0</v>
      </c>
      <c r="EQ57" s="6">
        <f>MAX(Table112[RI13])</f>
        <v>0</v>
      </c>
      <c r="ER57" s="6">
        <f>MAX(Table112[RT])</f>
        <v>18</v>
      </c>
      <c r="ES57" s="6">
        <f>MAX(Table112[OI1])</f>
        <v>3</v>
      </c>
      <c r="ET57" s="6">
        <f>MAX(Table112[OI2])</f>
        <v>2</v>
      </c>
      <c r="EU57" s="6">
        <f>MAX(Table112[OI3])</f>
        <v>4</v>
      </c>
      <c r="EV57" s="6">
        <f>MAX(Table112[OI4])</f>
        <v>7</v>
      </c>
      <c r="EW57" s="6">
        <f>MAX(Table112[OI5])</f>
        <v>5</v>
      </c>
      <c r="EX57" s="6">
        <f>MAX(Table112[OI6])</f>
        <v>5</v>
      </c>
      <c r="EY57" s="6">
        <f>MAX(Table112[OI7])</f>
        <v>7</v>
      </c>
      <c r="EZ57" s="6">
        <f>MAX(Table112[OI8])</f>
        <v>5</v>
      </c>
      <c r="FA57" s="6">
        <f>MAX(Table112[OI9])</f>
        <v>3</v>
      </c>
      <c r="FB57" s="6">
        <f>MAX(Table112[OI10])</f>
        <v>2</v>
      </c>
      <c r="FC57" s="6">
        <f>MAX(Table112[OI11])</f>
        <v>1</v>
      </c>
      <c r="FD57" s="6">
        <f>MAX(Table112[OI12])</f>
        <v>1</v>
      </c>
      <c r="FE57" s="6">
        <f>MAX(Table112[OI13])</f>
        <v>1</v>
      </c>
      <c r="FF57" s="6">
        <f>MAX(Table112[OT])</f>
        <v>12</v>
      </c>
      <c r="FI57" s="55" t="s">
        <v>227</v>
      </c>
    </row>
    <row r="58" spans="1:165" x14ac:dyDescent="0.25">
      <c r="A58" s="81" t="s">
        <v>228</v>
      </c>
      <c r="B58" s="53"/>
      <c r="C58" s="53"/>
      <c r="D58" s="53"/>
      <c r="E58" s="4">
        <f>QUARTILE(Table112[Att],3)</f>
        <v>971</v>
      </c>
      <c r="F58" s="54"/>
      <c r="G58" s="80"/>
      <c r="H58" s="80"/>
      <c r="I58" s="80"/>
      <c r="J58" s="5">
        <f>QUARTILE(Table112[S-IP],3)</f>
        <v>6</v>
      </c>
      <c r="K58" s="6">
        <f>QUARTILE(Table112[S-H],3)</f>
        <v>5</v>
      </c>
      <c r="L58" s="6">
        <f>QUARTILE(Table112[S-R],3)</f>
        <v>3</v>
      </c>
      <c r="M58" s="6">
        <f>QUARTILE(Table112[S-ER],3)</f>
        <v>2</v>
      </c>
      <c r="N58" s="6">
        <f>QUARTILE(Table112[S-BB],3)</f>
        <v>2</v>
      </c>
      <c r="O58" s="6">
        <f>QUARTILE(Table112[S-SO],3)</f>
        <v>6</v>
      </c>
      <c r="P58" s="6">
        <f>QUARTILE(Table112[S-HR],3)</f>
        <v>1</v>
      </c>
      <c r="Q58" s="6">
        <f>QUARTILE(Table112[S-HBP],3)</f>
        <v>1</v>
      </c>
      <c r="R58" s="6">
        <f>QUARTILE(Table112[S-BF],3)</f>
        <v>22</v>
      </c>
      <c r="S58" s="6"/>
      <c r="T58" s="6"/>
      <c r="U58" s="6">
        <f>QUARTILE(Table112[IRL],3)</f>
        <v>0.25</v>
      </c>
      <c r="V58" s="6">
        <f>QUARTILE(Table112[IRS],3)</f>
        <v>0</v>
      </c>
      <c r="W58" s="80"/>
      <c r="X58" s="80"/>
      <c r="Y58" s="80"/>
      <c r="Z58" s="80"/>
      <c r="AA58" s="80"/>
      <c r="AB58" s="5">
        <f>QUARTILE(Table112[B-IP],3)</f>
        <v>4.75</v>
      </c>
      <c r="AC58" s="6">
        <f>QUARTILE(Table112[B-H],3)</f>
        <v>6</v>
      </c>
      <c r="AD58" s="6">
        <f>QUARTILE(Table112[B-R],3)</f>
        <v>3</v>
      </c>
      <c r="AE58" s="6">
        <f>QUARTILE(Table112[B-ER],3)</f>
        <v>2</v>
      </c>
      <c r="AF58" s="6">
        <f>QUARTILE(Table112[B-BB],3)</f>
        <v>1</v>
      </c>
      <c r="AG58" s="6">
        <f>QUARTILE(Table112[B-SO],3)</f>
        <v>4.25</v>
      </c>
      <c r="AH58" s="6">
        <f>QUARTILE(Table112[B-HR],3)</f>
        <v>0</v>
      </c>
      <c r="AI58" s="6">
        <f>QUARTILE(Table112[B-HBP],3)</f>
        <v>0</v>
      </c>
      <c r="AJ58" s="6">
        <f>QUARTILE(Table112[B-BF],3)</f>
        <v>22</v>
      </c>
      <c r="AK58" s="6"/>
      <c r="AL58" s="6"/>
      <c r="AM58" s="80"/>
      <c r="AN58" s="6">
        <f>QUARTILE(Table112[AB1],3)</f>
        <v>5</v>
      </c>
      <c r="AO58" s="6">
        <f>QUARTILE(Table112[R1],3)</f>
        <v>1</v>
      </c>
      <c r="AP58" s="6">
        <f>QUARTILE(Table112[H1],3)</f>
        <v>2</v>
      </c>
      <c r="AQ58" s="6">
        <f>QUARTILE(Table112[RBI1],3)</f>
        <v>0</v>
      </c>
      <c r="AR58" s="6">
        <f>QUARTILE(Table112[BB1],3)</f>
        <v>1</v>
      </c>
      <c r="AS58" s="6">
        <f>QUARTILE(Table112[SO1],3)</f>
        <v>2</v>
      </c>
      <c r="AT58" s="6">
        <f>QUARTILE(Table112[HBP1],3)</f>
        <v>0</v>
      </c>
      <c r="AU58" s="6">
        <f>QUARTILE(Table112[SF1],3)</f>
        <v>0</v>
      </c>
      <c r="AV58" s="6">
        <f>QUARTILE(Table112[TB1],3)</f>
        <v>3</v>
      </c>
      <c r="AW58" s="80"/>
      <c r="AX58" s="6">
        <f>QUARTILE(Table112[AB2],3)</f>
        <v>4.25</v>
      </c>
      <c r="AY58" s="6">
        <f>QUARTILE(Table112[R2],3)</f>
        <v>1</v>
      </c>
      <c r="AZ58" s="6">
        <f>QUARTILE(Table112[H2],3)</f>
        <v>1</v>
      </c>
      <c r="BA58" s="6">
        <f>QUARTILE(Table112[RBI2],3)</f>
        <v>1</v>
      </c>
      <c r="BB58" s="6">
        <f>QUARTILE(Table112[BB2],3)</f>
        <v>0.25</v>
      </c>
      <c r="BC58" s="6">
        <f>QUARTILE(Table112[SO2],3)</f>
        <v>2</v>
      </c>
      <c r="BD58" s="6">
        <f>QUARTILE(Table112[HBP2],3)</f>
        <v>0</v>
      </c>
      <c r="BE58" s="6">
        <f>QUARTILE(Table112[SF2],3)</f>
        <v>0</v>
      </c>
      <c r="BF58" s="6">
        <f>QUARTILE(Table112[TB2],3)</f>
        <v>2</v>
      </c>
      <c r="BG58" s="80"/>
      <c r="BH58" s="6">
        <f>QUARTILE(Table112[AB3],3)</f>
        <v>4</v>
      </c>
      <c r="BI58" s="6">
        <f>QUARTILE(Table112[R3],3)</f>
        <v>1</v>
      </c>
      <c r="BJ58" s="6">
        <f>QUARTILE(Table112[H3],3)</f>
        <v>2</v>
      </c>
      <c r="BK58" s="6">
        <f>QUARTILE(Table112[RBI3],3)</f>
        <v>1</v>
      </c>
      <c r="BL58" s="6">
        <f>QUARTILE(Table112[BB3],3)</f>
        <v>1</v>
      </c>
      <c r="BM58" s="6">
        <f>QUARTILE(Table112[SO3],3)</f>
        <v>1</v>
      </c>
      <c r="BN58" s="6">
        <f>QUARTILE(Table112[HBP3],3)</f>
        <v>0</v>
      </c>
      <c r="BO58" s="6">
        <f>QUARTILE(Table112[SF3],3)</f>
        <v>0</v>
      </c>
      <c r="BP58" s="6">
        <f>QUARTILE(Table112[TB3],3)</f>
        <v>2</v>
      </c>
      <c r="BQ58" s="80"/>
      <c r="BR58" s="6">
        <f>QUARTILE(Table112[AB4],3)</f>
        <v>4</v>
      </c>
      <c r="BS58" s="6">
        <f>QUARTILE(Table112[R4],3)</f>
        <v>1</v>
      </c>
      <c r="BT58" s="6">
        <f>QUARTILE(Table112[H4],3)</f>
        <v>2</v>
      </c>
      <c r="BU58" s="6">
        <f>QUARTILE(Table112[RBI4],3)</f>
        <v>1</v>
      </c>
      <c r="BV58" s="6">
        <f>QUARTILE(Table112[BB4],3)</f>
        <v>0</v>
      </c>
      <c r="BW58" s="6">
        <f>QUARTILE(Table112[SO4],3)</f>
        <v>2</v>
      </c>
      <c r="BX58" s="6">
        <f>QUARTILE(Table112[HBP4],3)</f>
        <v>0</v>
      </c>
      <c r="BY58" s="6">
        <f>QUARTILE(Table112[SF4],3)</f>
        <v>0</v>
      </c>
      <c r="BZ58" s="6">
        <f>QUARTILE(Table112[TB4],3)</f>
        <v>2</v>
      </c>
      <c r="CA58" s="80"/>
      <c r="CB58" s="6">
        <f>QUARTILE(Table112[AB5],3)</f>
        <v>4</v>
      </c>
      <c r="CC58" s="6">
        <f>QUARTILE(Table112[R5],3)</f>
        <v>1</v>
      </c>
      <c r="CD58" s="6">
        <f>QUARTILE(Table112[H5],3)</f>
        <v>2</v>
      </c>
      <c r="CE58" s="6">
        <f>QUARTILE(Table112[RBI5],3)</f>
        <v>1</v>
      </c>
      <c r="CF58" s="6">
        <f>QUARTILE(Table112[BB5],3)</f>
        <v>1</v>
      </c>
      <c r="CG58" s="6">
        <f>QUARTILE(Table112[SO5],3)</f>
        <v>1</v>
      </c>
      <c r="CH58" s="6">
        <f>QUARTILE(Table112[HBP5],3)</f>
        <v>0</v>
      </c>
      <c r="CI58" s="6">
        <f>QUARTILE(Table112[SF5],3)</f>
        <v>0</v>
      </c>
      <c r="CJ58" s="6">
        <f>QUARTILE(Table112[TB5],3)</f>
        <v>2</v>
      </c>
      <c r="CK58" s="80"/>
      <c r="CL58" s="6">
        <f>QUARTILE(Table112[AB6],3)</f>
        <v>4</v>
      </c>
      <c r="CM58" s="6">
        <f>QUARTILE(Table112[R6],3)</f>
        <v>1</v>
      </c>
      <c r="CN58" s="6">
        <f>QUARTILE(Table112[H6],3)</f>
        <v>1</v>
      </c>
      <c r="CO58" s="6">
        <f>QUARTILE(Table112[RBI6],3)</f>
        <v>1</v>
      </c>
      <c r="CP58" s="6">
        <f>QUARTILE(Table112[BB6],3)</f>
        <v>0</v>
      </c>
      <c r="CQ58" s="6">
        <f>QUARTILE(Table112[SO6],3)</f>
        <v>1</v>
      </c>
      <c r="CR58" s="6">
        <f>QUARTILE(Table112[HBP6],3)</f>
        <v>0</v>
      </c>
      <c r="CS58" s="6">
        <f>QUARTILE(Table112[SF6],3)</f>
        <v>0</v>
      </c>
      <c r="CT58" s="6">
        <f>QUARTILE(Table112[TB6],3)</f>
        <v>2</v>
      </c>
      <c r="CU58" s="80"/>
      <c r="CV58" s="6">
        <f>QUARTILE(Table112[AB7],3)</f>
        <v>4</v>
      </c>
      <c r="CW58" s="6">
        <f>QUARTILE(Table112[R7],3)</f>
        <v>1</v>
      </c>
      <c r="CX58" s="6">
        <f>QUARTILE(Table112[H7],3)</f>
        <v>1</v>
      </c>
      <c r="CY58" s="6">
        <f>QUARTILE(Table112[RBI7],3)</f>
        <v>0</v>
      </c>
      <c r="CZ58" s="6">
        <f>QUARTILE(Table112[BB7],3)</f>
        <v>0</v>
      </c>
      <c r="DA58" s="6">
        <f>QUARTILE(Table112[SO7],3)</f>
        <v>1</v>
      </c>
      <c r="DB58" s="6">
        <f>QUARTILE(Table112[HBP7],3)</f>
        <v>0</v>
      </c>
      <c r="DC58" s="6">
        <f>QUARTILE(Table112[SF7],3)</f>
        <v>0</v>
      </c>
      <c r="DD58" s="6">
        <f>QUARTILE(Table112[TB7],3)</f>
        <v>2</v>
      </c>
      <c r="DE58" s="80"/>
      <c r="DF58" s="6">
        <f>QUARTILE(Table112[AB8],3)</f>
        <v>4</v>
      </c>
      <c r="DG58" s="6">
        <f>QUARTILE(Table112[R8],3)</f>
        <v>0.25</v>
      </c>
      <c r="DH58" s="6">
        <f>QUARTILE(Table112[H8],3)</f>
        <v>1</v>
      </c>
      <c r="DI58" s="6">
        <f>QUARTILE(Table112[RBI8],3)</f>
        <v>0.25</v>
      </c>
      <c r="DJ58" s="6">
        <f>QUARTILE(Table112[BB8],3)</f>
        <v>0.25</v>
      </c>
      <c r="DK58" s="6">
        <f>QUARTILE(Table112[SO8],3)</f>
        <v>1</v>
      </c>
      <c r="DL58" s="6">
        <f>QUARTILE(Table112[HBP8],3)</f>
        <v>0</v>
      </c>
      <c r="DM58" s="6">
        <f>QUARTILE(Table112[SF8],3)</f>
        <v>0</v>
      </c>
      <c r="DN58" s="6">
        <f>QUARTILE(Table112[TB8],3)</f>
        <v>1.25</v>
      </c>
      <c r="DO58" s="80"/>
      <c r="DP58" s="6">
        <f>QUARTILE(Table112[AB9],3)</f>
        <v>4</v>
      </c>
      <c r="DQ58" s="6">
        <f>QUARTILE(Table112[R9],3)</f>
        <v>1</v>
      </c>
      <c r="DR58" s="6">
        <f>QUARTILE(Table112[H9],3)</f>
        <v>1</v>
      </c>
      <c r="DS58" s="6">
        <f>QUARTILE(Table112[RBI9],3)</f>
        <v>0</v>
      </c>
      <c r="DT58" s="6">
        <f>QUARTILE(Table112[BB9],3)</f>
        <v>1</v>
      </c>
      <c r="DU58" s="6">
        <f>QUARTILE(Table112[SO9],3)</f>
        <v>1</v>
      </c>
      <c r="DV58" s="6">
        <f>QUARTILE(Table112[HBP9],3)</f>
        <v>0</v>
      </c>
      <c r="DW58" s="6">
        <f>QUARTILE(Table112[SF9],3)</f>
        <v>0</v>
      </c>
      <c r="DX58" s="6">
        <f>QUARTILE(Table112[TB9],3)</f>
        <v>1</v>
      </c>
      <c r="DY58" s="5">
        <f>QUARTILE(Table112[IVL],3)</f>
        <v>4</v>
      </c>
      <c r="DZ58" s="6">
        <f>QUARTILE(Table112[SVL],3)</f>
        <v>0</v>
      </c>
      <c r="EA58" s="6">
        <f>QUARTILE(Table112[CVL],3)</f>
        <v>0</v>
      </c>
      <c r="EB58" s="5">
        <f>QUARTILE(Table112[IVR],3)</f>
        <v>8.5</v>
      </c>
      <c r="EC58" s="6">
        <f>QUARTILE(Table112[SVR],3)</f>
        <v>1.25</v>
      </c>
      <c r="ED58" s="6">
        <f>QUARTILE(Table112[CVR],3)</f>
        <v>1</v>
      </c>
      <c r="EE58" s="6">
        <f>QUARTILE(Table112[RI1],3)</f>
        <v>1</v>
      </c>
      <c r="EF58" s="6">
        <f>QUARTILE(Table112[RI2],3)</f>
        <v>0.25</v>
      </c>
      <c r="EG58" s="6">
        <f>QUARTILE(Table112[RI3],3)</f>
        <v>0.25</v>
      </c>
      <c r="EH58" s="6">
        <f>QUARTILE(Table112[RI4],3)</f>
        <v>1</v>
      </c>
      <c r="EI58" s="6">
        <f>QUARTILE(Table112[RI5],3)</f>
        <v>1</v>
      </c>
      <c r="EJ58" s="6">
        <f>QUARTILE(Table112[RI6],3)</f>
        <v>0.25</v>
      </c>
      <c r="EK58" s="6">
        <f>QUARTILE(Table112[RI7],3)</f>
        <v>0</v>
      </c>
      <c r="EL58" s="6">
        <f>QUARTILE(Table112[RI8],3)</f>
        <v>1</v>
      </c>
      <c r="EM58" s="6">
        <f>QUARTILE(Table112[RI9],3)</f>
        <v>0</v>
      </c>
      <c r="EN58" s="6">
        <f>QUARTILE(Table112[RI10],3)</f>
        <v>0.25</v>
      </c>
      <c r="EO58" s="6">
        <f>QUARTILE(Table112[RI11],3)</f>
        <v>0.25</v>
      </c>
      <c r="EP58" s="6">
        <f>QUARTILE(Table112[RI12],3)</f>
        <v>0</v>
      </c>
      <c r="EQ58" s="6">
        <f>QUARTILE(Table112[RI13],3)</f>
        <v>0</v>
      </c>
      <c r="ER58" s="6">
        <f>QUARTILE(Table112[RT],3)</f>
        <v>6.25</v>
      </c>
      <c r="ES58" s="6">
        <f>QUARTILE(Table112[OI1],3)</f>
        <v>1</v>
      </c>
      <c r="ET58" s="6">
        <f>QUARTILE(Table112[OI2],3)</f>
        <v>0</v>
      </c>
      <c r="EU58" s="6">
        <f>QUARTILE(Table112[OI3],3)</f>
        <v>1</v>
      </c>
      <c r="EV58" s="6">
        <f>QUARTILE(Table112[OI4],3)</f>
        <v>1</v>
      </c>
      <c r="EW58" s="6">
        <f>QUARTILE(Table112[OI5],3)</f>
        <v>1</v>
      </c>
      <c r="EX58" s="6">
        <f>QUARTILE(Table112[OI6],3)</f>
        <v>0.25</v>
      </c>
      <c r="EY58" s="6">
        <f>QUARTILE(Table112[OI7],3)</f>
        <v>0.5</v>
      </c>
      <c r="EZ58" s="6">
        <f>QUARTILE(Table112[OI8],3)</f>
        <v>0.25</v>
      </c>
      <c r="FA58" s="6">
        <f>QUARTILE(Table112[OI9],3)</f>
        <v>0</v>
      </c>
      <c r="FB58" s="6">
        <f>QUARTILE(Table112[OI10],3)</f>
        <v>0.25</v>
      </c>
      <c r="FC58" s="6">
        <f>QUARTILE(Table112[OI11],3)</f>
        <v>0.25</v>
      </c>
      <c r="FD58" s="6">
        <f>QUARTILE(Table112[OI12],3)</f>
        <v>0.75</v>
      </c>
      <c r="FE58" s="6">
        <f>QUARTILE(Table112[OI13],3)</f>
        <v>1</v>
      </c>
      <c r="FF58" s="6">
        <f>QUARTILE(Table112[OT],3)</f>
        <v>6</v>
      </c>
      <c r="FI58" s="55" t="s">
        <v>228</v>
      </c>
    </row>
    <row r="59" spans="1:165" x14ac:dyDescent="0.25">
      <c r="A59" s="81" t="s">
        <v>229</v>
      </c>
      <c r="B59" s="53"/>
      <c r="C59" s="53"/>
      <c r="D59" s="53"/>
      <c r="E59" s="4">
        <f>MEDIAN(Table112[Att])</f>
        <v>772</v>
      </c>
      <c r="F59" s="54"/>
      <c r="G59" s="80"/>
      <c r="H59" s="80"/>
      <c r="I59" s="80"/>
      <c r="J59" s="5">
        <f>MEDIAN(Table112[S-IP])</f>
        <v>5</v>
      </c>
      <c r="K59" s="6">
        <f>MEDIAN(Table112[S-H])</f>
        <v>5</v>
      </c>
      <c r="L59" s="6">
        <f>MEDIAN(Table112[S-R])</f>
        <v>2</v>
      </c>
      <c r="M59" s="6">
        <f>MEDIAN(Table112[S-ER])</f>
        <v>1</v>
      </c>
      <c r="N59" s="6">
        <f>MEDIAN(Table112[S-BB])</f>
        <v>1</v>
      </c>
      <c r="O59" s="6">
        <f>MEDIAN(Table112[S-SO])</f>
        <v>4</v>
      </c>
      <c r="P59" s="6">
        <f>MEDIAN(Table112[S-HR])</f>
        <v>0</v>
      </c>
      <c r="Q59" s="6">
        <f>MEDIAN(Table112[S-HBP])</f>
        <v>0</v>
      </c>
      <c r="R59" s="6">
        <f>MEDIAN(Table112[S-BF])</f>
        <v>21</v>
      </c>
      <c r="S59" s="6"/>
      <c r="T59" s="6"/>
      <c r="U59" s="6">
        <f>MEDIAN(Table112[IRL])</f>
        <v>0</v>
      </c>
      <c r="V59" s="6">
        <f>MEDIAN(Table112[IRS])</f>
        <v>0</v>
      </c>
      <c r="W59" s="80"/>
      <c r="X59" s="80"/>
      <c r="Y59" s="80"/>
      <c r="Z59" s="80"/>
      <c r="AA59" s="80"/>
      <c r="AB59" s="5">
        <f>MEDIAN(Table112[B-IP])</f>
        <v>4</v>
      </c>
      <c r="AC59" s="6">
        <f>MEDIAN(Table112[B-H])</f>
        <v>4</v>
      </c>
      <c r="AD59" s="6">
        <f>MEDIAN(Table112[B-R])</f>
        <v>1</v>
      </c>
      <c r="AE59" s="6">
        <f>MEDIAN(Table112[B-ER])</f>
        <v>1</v>
      </c>
      <c r="AF59" s="6">
        <f>MEDIAN(Table112[B-BB])</f>
        <v>1</v>
      </c>
      <c r="AG59" s="6">
        <f>MEDIAN(Table112[B-SO])</f>
        <v>3</v>
      </c>
      <c r="AH59" s="6">
        <f>MEDIAN(Table112[B-HR])</f>
        <v>0</v>
      </c>
      <c r="AI59" s="6">
        <f>MEDIAN(Table112[B-HBP])</f>
        <v>0</v>
      </c>
      <c r="AJ59" s="6">
        <f>MEDIAN(Table112[B-BF])</f>
        <v>16.5</v>
      </c>
      <c r="AK59" s="6"/>
      <c r="AL59" s="6"/>
      <c r="AM59" s="80"/>
      <c r="AN59" s="6">
        <f>MEDIAN(Table112[AB1])</f>
        <v>4</v>
      </c>
      <c r="AO59" s="6">
        <f>MEDIAN(Table112[R1])</f>
        <v>0.5</v>
      </c>
      <c r="AP59" s="6">
        <f>MEDIAN(Table112[H1])</f>
        <v>1</v>
      </c>
      <c r="AQ59" s="6">
        <f>MEDIAN(Table112[RBI1])</f>
        <v>0</v>
      </c>
      <c r="AR59" s="6">
        <f>MEDIAN(Table112[BB1])</f>
        <v>0</v>
      </c>
      <c r="AS59" s="6">
        <f>MEDIAN(Table112[SO1])</f>
        <v>1</v>
      </c>
      <c r="AT59" s="6">
        <f>MEDIAN(Table112[HBP1])</f>
        <v>0</v>
      </c>
      <c r="AU59" s="6">
        <f>MEDIAN(Table112[SF1])</f>
        <v>0</v>
      </c>
      <c r="AV59" s="6">
        <f>MEDIAN(Table112[TB1])</f>
        <v>1</v>
      </c>
      <c r="AW59" s="80"/>
      <c r="AX59" s="6">
        <f>MEDIAN(Table112[AB2])</f>
        <v>4</v>
      </c>
      <c r="AY59" s="6">
        <f>MEDIAN(Table112[R2])</f>
        <v>1</v>
      </c>
      <c r="AZ59" s="6">
        <f>MEDIAN(Table112[H2])</f>
        <v>1</v>
      </c>
      <c r="BA59" s="6">
        <f>MEDIAN(Table112[RBI2])</f>
        <v>0</v>
      </c>
      <c r="BB59" s="6">
        <f>MEDIAN(Table112[BB2])</f>
        <v>0</v>
      </c>
      <c r="BC59" s="6">
        <f>MEDIAN(Table112[SO2])</f>
        <v>1</v>
      </c>
      <c r="BD59" s="6">
        <f>MEDIAN(Table112[HBP2])</f>
        <v>0</v>
      </c>
      <c r="BE59" s="6">
        <f>MEDIAN(Table112[SF2])</f>
        <v>0</v>
      </c>
      <c r="BF59" s="6">
        <f>MEDIAN(Table112[TB2])</f>
        <v>1</v>
      </c>
      <c r="BG59" s="80"/>
      <c r="BH59" s="6">
        <f>MEDIAN(Table112[AB3])</f>
        <v>4</v>
      </c>
      <c r="BI59" s="6">
        <f>MEDIAN(Table112[R3])</f>
        <v>0</v>
      </c>
      <c r="BJ59" s="6">
        <f>MEDIAN(Table112[H3])</f>
        <v>1</v>
      </c>
      <c r="BK59" s="6">
        <f>MEDIAN(Table112[RBI3])</f>
        <v>0</v>
      </c>
      <c r="BL59" s="6">
        <f>MEDIAN(Table112[BB3])</f>
        <v>0.5</v>
      </c>
      <c r="BM59" s="6">
        <f>MEDIAN(Table112[SO3])</f>
        <v>0</v>
      </c>
      <c r="BN59" s="6">
        <f>MEDIAN(Table112[HBP3])</f>
        <v>0</v>
      </c>
      <c r="BO59" s="6">
        <f>MEDIAN(Table112[SF3])</f>
        <v>0</v>
      </c>
      <c r="BP59" s="6">
        <f>MEDIAN(Table112[TB3])</f>
        <v>1</v>
      </c>
      <c r="BQ59" s="80"/>
      <c r="BR59" s="6">
        <f>MEDIAN(Table112[AB4])</f>
        <v>4</v>
      </c>
      <c r="BS59" s="6">
        <f>MEDIAN(Table112[R4])</f>
        <v>0</v>
      </c>
      <c r="BT59" s="6">
        <f>MEDIAN(Table112[H4])</f>
        <v>1</v>
      </c>
      <c r="BU59" s="6">
        <f>MEDIAN(Table112[RBI4])</f>
        <v>0</v>
      </c>
      <c r="BV59" s="6">
        <f>MEDIAN(Table112[BB4])</f>
        <v>0</v>
      </c>
      <c r="BW59" s="6">
        <f>MEDIAN(Table112[SO4])</f>
        <v>1</v>
      </c>
      <c r="BX59" s="6">
        <f>MEDIAN(Table112[HBP4])</f>
        <v>0</v>
      </c>
      <c r="BY59" s="6">
        <f>MEDIAN(Table112[SF4])</f>
        <v>0</v>
      </c>
      <c r="BZ59" s="6">
        <f>MEDIAN(Table112[TB4])</f>
        <v>1.5</v>
      </c>
      <c r="CA59" s="80"/>
      <c r="CB59" s="6">
        <f>MEDIAN(Table112[AB5])</f>
        <v>4</v>
      </c>
      <c r="CC59" s="6">
        <f>MEDIAN(Table112[R5])</f>
        <v>0</v>
      </c>
      <c r="CD59" s="6">
        <f>MEDIAN(Table112[H5])</f>
        <v>1</v>
      </c>
      <c r="CE59" s="6">
        <f>MEDIAN(Table112[RBI5])</f>
        <v>0</v>
      </c>
      <c r="CF59" s="6">
        <f>MEDIAN(Table112[BB5])</f>
        <v>0</v>
      </c>
      <c r="CG59" s="6">
        <f>MEDIAN(Table112[SO5])</f>
        <v>0</v>
      </c>
      <c r="CH59" s="6">
        <f>MEDIAN(Table112[HBP5])</f>
        <v>0</v>
      </c>
      <c r="CI59" s="6">
        <f>MEDIAN(Table112[SF5])</f>
        <v>0</v>
      </c>
      <c r="CJ59" s="6">
        <f>MEDIAN(Table112[TB5])</f>
        <v>1</v>
      </c>
      <c r="CK59" s="80"/>
      <c r="CL59" s="6">
        <f>MEDIAN(Table112[AB6])</f>
        <v>4</v>
      </c>
      <c r="CM59" s="6">
        <f>MEDIAN(Table112[R6])</f>
        <v>0</v>
      </c>
      <c r="CN59" s="6">
        <f>MEDIAN(Table112[H6])</f>
        <v>1</v>
      </c>
      <c r="CO59" s="6">
        <f>MEDIAN(Table112[RBI6])</f>
        <v>0</v>
      </c>
      <c r="CP59" s="6">
        <f>MEDIAN(Table112[BB6])</f>
        <v>0</v>
      </c>
      <c r="CQ59" s="6">
        <f>MEDIAN(Table112[SO6])</f>
        <v>1</v>
      </c>
      <c r="CR59" s="6">
        <f>MEDIAN(Table112[HBP6])</f>
        <v>0</v>
      </c>
      <c r="CS59" s="6">
        <f>MEDIAN(Table112[SF6])</f>
        <v>0</v>
      </c>
      <c r="CT59" s="6">
        <f>MEDIAN(Table112[TB6])</f>
        <v>1</v>
      </c>
      <c r="CU59" s="80"/>
      <c r="CV59" s="6">
        <f>MEDIAN(Table112[AB7])</f>
        <v>4</v>
      </c>
      <c r="CW59" s="6">
        <f>MEDIAN(Table112[R7])</f>
        <v>0</v>
      </c>
      <c r="CX59" s="6">
        <f>MEDIAN(Table112[H7])</f>
        <v>1</v>
      </c>
      <c r="CY59" s="6">
        <f>MEDIAN(Table112[RBI7])</f>
        <v>0</v>
      </c>
      <c r="CZ59" s="6">
        <f>MEDIAN(Table112[BB7])</f>
        <v>0</v>
      </c>
      <c r="DA59" s="6">
        <f>MEDIAN(Table112[SO7])</f>
        <v>1</v>
      </c>
      <c r="DB59" s="6">
        <f>MEDIAN(Table112[HBP7])</f>
        <v>0</v>
      </c>
      <c r="DC59" s="6">
        <f>MEDIAN(Table112[SF7])</f>
        <v>0</v>
      </c>
      <c r="DD59" s="6">
        <f>MEDIAN(Table112[TB7])</f>
        <v>1</v>
      </c>
      <c r="DE59" s="80"/>
      <c r="DF59" s="6">
        <f>MEDIAN(Table112[AB8])</f>
        <v>4</v>
      </c>
      <c r="DG59" s="6">
        <f>MEDIAN(Table112[R8])</f>
        <v>0</v>
      </c>
      <c r="DH59" s="6">
        <f>MEDIAN(Table112[H8])</f>
        <v>1</v>
      </c>
      <c r="DI59" s="6">
        <f>MEDIAN(Table112[RBI8])</f>
        <v>0</v>
      </c>
      <c r="DJ59" s="6">
        <f>MEDIAN(Table112[BB8])</f>
        <v>0</v>
      </c>
      <c r="DK59" s="6">
        <f>MEDIAN(Table112[SO8])</f>
        <v>1</v>
      </c>
      <c r="DL59" s="6">
        <f>MEDIAN(Table112[HBP8])</f>
        <v>0</v>
      </c>
      <c r="DM59" s="6">
        <f>MEDIAN(Table112[SF8])</f>
        <v>0</v>
      </c>
      <c r="DN59" s="6">
        <f>MEDIAN(Table112[TB8])</f>
        <v>1</v>
      </c>
      <c r="DO59" s="80"/>
      <c r="DP59" s="6">
        <f>MEDIAN(Table112[AB9])</f>
        <v>3</v>
      </c>
      <c r="DQ59" s="6">
        <f>MEDIAN(Table112[R9])</f>
        <v>0</v>
      </c>
      <c r="DR59" s="6">
        <f>MEDIAN(Table112[H9])</f>
        <v>0.5</v>
      </c>
      <c r="DS59" s="6">
        <f>MEDIAN(Table112[RBI9])</f>
        <v>0</v>
      </c>
      <c r="DT59" s="6">
        <f>MEDIAN(Table112[BB9])</f>
        <v>0</v>
      </c>
      <c r="DU59" s="6">
        <f>MEDIAN(Table112[SO9])</f>
        <v>1</v>
      </c>
      <c r="DV59" s="6">
        <f>MEDIAN(Table112[HBP9])</f>
        <v>0</v>
      </c>
      <c r="DW59" s="6">
        <f>MEDIAN(Table112[SF9])</f>
        <v>0</v>
      </c>
      <c r="DX59" s="6">
        <f>MEDIAN(Table112[TB9])</f>
        <v>0</v>
      </c>
      <c r="DY59" s="5">
        <f>MEDIAN(Table112[IVL])</f>
        <v>1.1666666666666665</v>
      </c>
      <c r="DZ59" s="6">
        <f>MEDIAN(Table112[SVL])</f>
        <v>0</v>
      </c>
      <c r="EA59" s="6">
        <f>MEDIAN(Table112[CVL])</f>
        <v>0</v>
      </c>
      <c r="EB59" s="5">
        <f>MEDIAN(Table112[IVR])</f>
        <v>7</v>
      </c>
      <c r="EC59" s="6">
        <f>MEDIAN(Table112[SVR])</f>
        <v>1</v>
      </c>
      <c r="ED59" s="6">
        <f>MEDIAN(Table112[CVR])</f>
        <v>0</v>
      </c>
      <c r="EE59" s="6">
        <f>MEDIAN(Table112[RI1])</f>
        <v>0</v>
      </c>
      <c r="EF59" s="6">
        <f>MEDIAN(Table112[RI2])</f>
        <v>0</v>
      </c>
      <c r="EG59" s="6">
        <f>MEDIAN(Table112[RI3])</f>
        <v>0</v>
      </c>
      <c r="EH59" s="6">
        <f>MEDIAN(Table112[RI4])</f>
        <v>0</v>
      </c>
      <c r="EI59" s="6">
        <f>MEDIAN(Table112[RI5])</f>
        <v>0</v>
      </c>
      <c r="EJ59" s="6">
        <f>MEDIAN(Table112[RI6])</f>
        <v>0</v>
      </c>
      <c r="EK59" s="6">
        <f>MEDIAN(Table112[RI7])</f>
        <v>0</v>
      </c>
      <c r="EL59" s="6">
        <f>MEDIAN(Table112[RI8])</f>
        <v>0</v>
      </c>
      <c r="EM59" s="6">
        <f>MEDIAN(Table112[RI9])</f>
        <v>0</v>
      </c>
      <c r="EN59" s="6">
        <f>MEDIAN(Table112[RI10])</f>
        <v>0</v>
      </c>
      <c r="EO59" s="6">
        <f>MEDIAN(Table112[RI11])</f>
        <v>0</v>
      </c>
      <c r="EP59" s="6">
        <f>MEDIAN(Table112[RI12])</f>
        <v>0</v>
      </c>
      <c r="EQ59" s="6">
        <f>MEDIAN(Table112[RI13])</f>
        <v>0</v>
      </c>
      <c r="ER59" s="6">
        <f>MEDIAN(Table112[RT])</f>
        <v>4</v>
      </c>
      <c r="ES59" s="6">
        <f>MEDIAN(Table112[OI1])</f>
        <v>0</v>
      </c>
      <c r="ET59" s="6">
        <f>MEDIAN(Table112[OI2])</f>
        <v>0</v>
      </c>
      <c r="EU59" s="6">
        <f>MEDIAN(Table112[OI3])</f>
        <v>0</v>
      </c>
      <c r="EV59" s="6">
        <f>MEDIAN(Table112[OI4])</f>
        <v>0</v>
      </c>
      <c r="EW59" s="6">
        <f>MEDIAN(Table112[OI5])</f>
        <v>0</v>
      </c>
      <c r="EX59" s="6">
        <f>MEDIAN(Table112[OI6])</f>
        <v>0</v>
      </c>
      <c r="EY59" s="6">
        <f>MEDIAN(Table112[OI7])</f>
        <v>0</v>
      </c>
      <c r="EZ59" s="6">
        <f>MEDIAN(Table112[OI8])</f>
        <v>0</v>
      </c>
      <c r="FA59" s="6">
        <f>MEDIAN(Table112[OI9])</f>
        <v>0</v>
      </c>
      <c r="FB59" s="6">
        <f>MEDIAN(Table112[OI10])</f>
        <v>0</v>
      </c>
      <c r="FC59" s="6">
        <f>MEDIAN(Table112[OI11])</f>
        <v>0</v>
      </c>
      <c r="FD59" s="6">
        <f>MEDIAN(Table112[OI12])</f>
        <v>0.5</v>
      </c>
      <c r="FE59" s="6">
        <f>MEDIAN(Table112[OI13])</f>
        <v>1</v>
      </c>
      <c r="FF59" s="6">
        <f>MEDIAN(Table112[OT])</f>
        <v>3</v>
      </c>
      <c r="FI59" s="55" t="s">
        <v>229</v>
      </c>
    </row>
    <row r="60" spans="1:165" x14ac:dyDescent="0.25">
      <c r="A60" s="81" t="s">
        <v>230</v>
      </c>
      <c r="B60" s="53"/>
      <c r="C60" s="53"/>
      <c r="D60" s="53"/>
      <c r="E60" s="4">
        <f>QUARTILE(Table112[Att],1)</f>
        <v>580.5</v>
      </c>
      <c r="F60" s="54"/>
      <c r="G60" s="80"/>
      <c r="H60" s="80"/>
      <c r="I60" s="80"/>
      <c r="J60" s="5">
        <f>QUARTILE(Table112[S-IP],1)</f>
        <v>4.25</v>
      </c>
      <c r="K60" s="6">
        <f>QUARTILE(Table112[S-H],1)</f>
        <v>4</v>
      </c>
      <c r="L60" s="6">
        <f>QUARTILE(Table112[S-R],1)</f>
        <v>1</v>
      </c>
      <c r="M60" s="6">
        <f>QUARTILE(Table112[S-ER],1)</f>
        <v>1</v>
      </c>
      <c r="N60" s="6">
        <f>QUARTILE(Table112[S-BB],1)</f>
        <v>1</v>
      </c>
      <c r="O60" s="6">
        <f>QUARTILE(Table112[S-SO],1)</f>
        <v>3</v>
      </c>
      <c r="P60" s="6">
        <f>QUARTILE(Table112[S-HR],1)</f>
        <v>0</v>
      </c>
      <c r="Q60" s="6">
        <f>QUARTILE(Table112[S-HBP],1)</f>
        <v>0</v>
      </c>
      <c r="R60" s="6">
        <f>QUARTILE(Table112[S-BF],1)</f>
        <v>19.75</v>
      </c>
      <c r="S60" s="6"/>
      <c r="T60" s="6"/>
      <c r="U60" s="6">
        <f>QUARTILE(Table112[IRL],1)</f>
        <v>0</v>
      </c>
      <c r="V60" s="6">
        <f>QUARTILE(Table112[IRS],1)</f>
        <v>0</v>
      </c>
      <c r="W60" s="80"/>
      <c r="X60" s="80"/>
      <c r="Y60" s="80"/>
      <c r="Z60" s="80"/>
      <c r="AA60" s="80"/>
      <c r="AB60" s="5">
        <f>QUARTILE(Table112[B-IP],1)</f>
        <v>3</v>
      </c>
      <c r="AC60" s="6">
        <f>QUARTILE(Table112[B-H],1)</f>
        <v>2</v>
      </c>
      <c r="AD60" s="6">
        <f>QUARTILE(Table112[B-R],1)</f>
        <v>0</v>
      </c>
      <c r="AE60" s="6">
        <f>QUARTILE(Table112[B-ER],1)</f>
        <v>0</v>
      </c>
      <c r="AF60" s="6">
        <f>QUARTILE(Table112[B-BB],1)</f>
        <v>0</v>
      </c>
      <c r="AG60" s="6">
        <f>QUARTILE(Table112[B-SO],1)</f>
        <v>2</v>
      </c>
      <c r="AH60" s="6">
        <f>QUARTILE(Table112[B-HR],1)</f>
        <v>0</v>
      </c>
      <c r="AI60" s="6">
        <f>QUARTILE(Table112[B-HBP],1)</f>
        <v>0</v>
      </c>
      <c r="AJ60" s="6">
        <f>QUARTILE(Table112[B-BF],1)</f>
        <v>13.75</v>
      </c>
      <c r="AK60" s="6"/>
      <c r="AL60" s="6"/>
      <c r="AM60" s="80"/>
      <c r="AN60" s="6">
        <f>QUARTILE(Table112[AB1],1)</f>
        <v>4</v>
      </c>
      <c r="AO60" s="6">
        <f>QUARTILE(Table112[R1],1)</f>
        <v>0</v>
      </c>
      <c r="AP60" s="6">
        <f>QUARTILE(Table112[H1],1)</f>
        <v>0</v>
      </c>
      <c r="AQ60" s="6">
        <f>QUARTILE(Table112[RBI1],1)</f>
        <v>0</v>
      </c>
      <c r="AR60" s="6">
        <f>QUARTILE(Table112[BB1],1)</f>
        <v>0</v>
      </c>
      <c r="AS60" s="6">
        <f>QUARTILE(Table112[SO1],1)</f>
        <v>0</v>
      </c>
      <c r="AT60" s="6">
        <f>QUARTILE(Table112[HBP1],1)</f>
        <v>0</v>
      </c>
      <c r="AU60" s="6">
        <f>QUARTILE(Table112[SF1],1)</f>
        <v>0</v>
      </c>
      <c r="AV60" s="6">
        <f>QUARTILE(Table112[TB1],1)</f>
        <v>0</v>
      </c>
      <c r="AW60" s="80"/>
      <c r="AX60" s="6">
        <f>QUARTILE(Table112[AB2],1)</f>
        <v>4</v>
      </c>
      <c r="AY60" s="6">
        <f>QUARTILE(Table112[R2],1)</f>
        <v>0</v>
      </c>
      <c r="AZ60" s="6">
        <f>QUARTILE(Table112[H2],1)</f>
        <v>0</v>
      </c>
      <c r="BA60" s="6">
        <f>QUARTILE(Table112[RBI2],1)</f>
        <v>0</v>
      </c>
      <c r="BB60" s="6">
        <f>QUARTILE(Table112[BB2],1)</f>
        <v>0</v>
      </c>
      <c r="BC60" s="6">
        <f>QUARTILE(Table112[SO2],1)</f>
        <v>0</v>
      </c>
      <c r="BD60" s="6">
        <f>QUARTILE(Table112[HBP2],1)</f>
        <v>0</v>
      </c>
      <c r="BE60" s="6">
        <f>QUARTILE(Table112[SF2],1)</f>
        <v>0</v>
      </c>
      <c r="BF60" s="6">
        <f>QUARTILE(Table112[TB2],1)</f>
        <v>0</v>
      </c>
      <c r="BG60" s="80"/>
      <c r="BH60" s="6">
        <f>QUARTILE(Table112[AB3],1)</f>
        <v>3</v>
      </c>
      <c r="BI60" s="6">
        <f>QUARTILE(Table112[R3],1)</f>
        <v>0</v>
      </c>
      <c r="BJ60" s="6">
        <f>QUARTILE(Table112[H3],1)</f>
        <v>0</v>
      </c>
      <c r="BK60" s="6">
        <f>QUARTILE(Table112[RBI3],1)</f>
        <v>0</v>
      </c>
      <c r="BL60" s="6">
        <f>QUARTILE(Table112[BB3],1)</f>
        <v>0</v>
      </c>
      <c r="BM60" s="6">
        <f>QUARTILE(Table112[SO3],1)</f>
        <v>0</v>
      </c>
      <c r="BN60" s="6">
        <f>QUARTILE(Table112[HBP3],1)</f>
        <v>0</v>
      </c>
      <c r="BO60" s="6">
        <f>QUARTILE(Table112[SF3],1)</f>
        <v>0</v>
      </c>
      <c r="BP60" s="6">
        <f>QUARTILE(Table112[TB3],1)</f>
        <v>0</v>
      </c>
      <c r="BQ60" s="80"/>
      <c r="BR60" s="6">
        <f>QUARTILE(Table112[AB4],1)</f>
        <v>4</v>
      </c>
      <c r="BS60" s="6">
        <f>QUARTILE(Table112[R4],1)</f>
        <v>0</v>
      </c>
      <c r="BT60" s="6">
        <f>QUARTILE(Table112[H4],1)</f>
        <v>0</v>
      </c>
      <c r="BU60" s="6">
        <f>QUARTILE(Table112[RBI4],1)</f>
        <v>0</v>
      </c>
      <c r="BV60" s="6">
        <f>QUARTILE(Table112[BB4],1)</f>
        <v>0</v>
      </c>
      <c r="BW60" s="6">
        <f>QUARTILE(Table112[SO4],1)</f>
        <v>0.75</v>
      </c>
      <c r="BX60" s="6">
        <f>QUARTILE(Table112[HBP4],1)</f>
        <v>0</v>
      </c>
      <c r="BY60" s="6">
        <f>QUARTILE(Table112[SF4],1)</f>
        <v>0</v>
      </c>
      <c r="BZ60" s="6">
        <f>QUARTILE(Table112[TB4],1)</f>
        <v>0</v>
      </c>
      <c r="CA60" s="80"/>
      <c r="CB60" s="6">
        <f>QUARTILE(Table112[AB5],1)</f>
        <v>3</v>
      </c>
      <c r="CC60" s="6">
        <f>QUARTILE(Table112[R5],1)</f>
        <v>0</v>
      </c>
      <c r="CD60" s="6">
        <f>QUARTILE(Table112[H5],1)</f>
        <v>0</v>
      </c>
      <c r="CE60" s="6">
        <f>QUARTILE(Table112[RBI5],1)</f>
        <v>0</v>
      </c>
      <c r="CF60" s="6">
        <f>QUARTILE(Table112[BB5],1)</f>
        <v>0</v>
      </c>
      <c r="CG60" s="6">
        <f>QUARTILE(Table112[SO5],1)</f>
        <v>0</v>
      </c>
      <c r="CH60" s="6">
        <f>QUARTILE(Table112[HBP5],1)</f>
        <v>0</v>
      </c>
      <c r="CI60" s="6">
        <f>QUARTILE(Table112[SF5],1)</f>
        <v>0</v>
      </c>
      <c r="CJ60" s="6">
        <f>QUARTILE(Table112[TB5],1)</f>
        <v>0</v>
      </c>
      <c r="CK60" s="80"/>
      <c r="CL60" s="6">
        <f>QUARTILE(Table112[AB6],1)</f>
        <v>3</v>
      </c>
      <c r="CM60" s="6">
        <f>QUARTILE(Table112[R6],1)</f>
        <v>0</v>
      </c>
      <c r="CN60" s="6">
        <f>QUARTILE(Table112[H6],1)</f>
        <v>0</v>
      </c>
      <c r="CO60" s="6">
        <f>QUARTILE(Table112[RBI6],1)</f>
        <v>0</v>
      </c>
      <c r="CP60" s="6">
        <f>QUARTILE(Table112[BB6],1)</f>
        <v>0</v>
      </c>
      <c r="CQ60" s="6">
        <f>QUARTILE(Table112[SO6],1)</f>
        <v>0</v>
      </c>
      <c r="CR60" s="6">
        <f>QUARTILE(Table112[HBP6],1)</f>
        <v>0</v>
      </c>
      <c r="CS60" s="6">
        <f>QUARTILE(Table112[SF6],1)</f>
        <v>0</v>
      </c>
      <c r="CT60" s="6">
        <f>QUARTILE(Table112[TB6],1)</f>
        <v>0</v>
      </c>
      <c r="CU60" s="80"/>
      <c r="CV60" s="6">
        <f>QUARTILE(Table112[AB7],1)</f>
        <v>3</v>
      </c>
      <c r="CW60" s="6">
        <f>QUARTILE(Table112[R7],1)</f>
        <v>0</v>
      </c>
      <c r="CX60" s="6">
        <f>QUARTILE(Table112[H7],1)</f>
        <v>0</v>
      </c>
      <c r="CY60" s="6">
        <f>QUARTILE(Table112[RBI7],1)</f>
        <v>0</v>
      </c>
      <c r="CZ60" s="6">
        <f>QUARTILE(Table112[BB7],1)</f>
        <v>0</v>
      </c>
      <c r="DA60" s="6">
        <f>QUARTILE(Table112[SO7],1)</f>
        <v>0</v>
      </c>
      <c r="DB60" s="6">
        <f>QUARTILE(Table112[HBP7],1)</f>
        <v>0</v>
      </c>
      <c r="DC60" s="6">
        <f>QUARTILE(Table112[SF7],1)</f>
        <v>0</v>
      </c>
      <c r="DD60" s="6">
        <f>QUARTILE(Table112[TB7],1)</f>
        <v>0</v>
      </c>
      <c r="DE60" s="80"/>
      <c r="DF60" s="6">
        <f>QUARTILE(Table112[AB8],1)</f>
        <v>3</v>
      </c>
      <c r="DG60" s="6">
        <f>QUARTILE(Table112[R8],1)</f>
        <v>0</v>
      </c>
      <c r="DH60" s="6">
        <f>QUARTILE(Table112[H8],1)</f>
        <v>0</v>
      </c>
      <c r="DI60" s="6">
        <f>QUARTILE(Table112[RBI8],1)</f>
        <v>0</v>
      </c>
      <c r="DJ60" s="6">
        <f>QUARTILE(Table112[BB8],1)</f>
        <v>0</v>
      </c>
      <c r="DK60" s="6">
        <f>QUARTILE(Table112[SO8],1)</f>
        <v>0</v>
      </c>
      <c r="DL60" s="6">
        <f>QUARTILE(Table112[HBP8],1)</f>
        <v>0</v>
      </c>
      <c r="DM60" s="6">
        <f>QUARTILE(Table112[SF8],1)</f>
        <v>0</v>
      </c>
      <c r="DN60" s="6">
        <f>QUARTILE(Table112[TB8],1)</f>
        <v>0</v>
      </c>
      <c r="DO60" s="80"/>
      <c r="DP60" s="6">
        <f>QUARTILE(Table112[AB9],1)</f>
        <v>3</v>
      </c>
      <c r="DQ60" s="6">
        <f>QUARTILE(Table112[R9],1)</f>
        <v>0</v>
      </c>
      <c r="DR60" s="6">
        <f>QUARTILE(Table112[H9],1)</f>
        <v>0</v>
      </c>
      <c r="DS60" s="6">
        <f>QUARTILE(Table112[RBI9],1)</f>
        <v>0</v>
      </c>
      <c r="DT60" s="6">
        <f>QUARTILE(Table112[BB9],1)</f>
        <v>0</v>
      </c>
      <c r="DU60" s="6">
        <f>QUARTILE(Table112[SO9],1)</f>
        <v>0</v>
      </c>
      <c r="DV60" s="6">
        <f>QUARTILE(Table112[HBP9],1)</f>
        <v>0</v>
      </c>
      <c r="DW60" s="6">
        <f>QUARTILE(Table112[SF9],1)</f>
        <v>0</v>
      </c>
      <c r="DX60" s="6">
        <f>QUARTILE(Table112[TB9],1)</f>
        <v>0</v>
      </c>
      <c r="DY60" s="5">
        <f>QUARTILE(Table112[IVL],1)</f>
        <v>0</v>
      </c>
      <c r="DZ60" s="6">
        <f>QUARTILE(Table112[SVL],1)</f>
        <v>0</v>
      </c>
      <c r="EA60" s="6">
        <f>QUARTILE(Table112[CVL],1)</f>
        <v>0</v>
      </c>
      <c r="EB60" s="5">
        <f>QUARTILE(Table112[IVR],1)</f>
        <v>5</v>
      </c>
      <c r="EC60" s="6">
        <f>QUARTILE(Table112[SVR],1)</f>
        <v>0</v>
      </c>
      <c r="ED60" s="6">
        <f>QUARTILE(Table112[CVR],1)</f>
        <v>0</v>
      </c>
      <c r="EE60" s="6">
        <f>QUARTILE(Table112[RI1],1)</f>
        <v>0</v>
      </c>
      <c r="EF60" s="6">
        <f>QUARTILE(Table112[RI2],1)</f>
        <v>0</v>
      </c>
      <c r="EG60" s="6">
        <f>QUARTILE(Table112[RI3],1)</f>
        <v>0</v>
      </c>
      <c r="EH60" s="6">
        <f>QUARTILE(Table112[RI4],1)</f>
        <v>0</v>
      </c>
      <c r="EI60" s="6">
        <f>QUARTILE(Table112[RI5],1)</f>
        <v>0</v>
      </c>
      <c r="EJ60" s="6">
        <f>QUARTILE(Table112[RI6],1)</f>
        <v>0</v>
      </c>
      <c r="EK60" s="6">
        <f>QUARTILE(Table112[RI7],1)</f>
        <v>0</v>
      </c>
      <c r="EL60" s="6">
        <f>QUARTILE(Table112[RI8],1)</f>
        <v>0</v>
      </c>
      <c r="EM60" s="6">
        <f>QUARTILE(Table112[RI9],1)</f>
        <v>0</v>
      </c>
      <c r="EN60" s="6">
        <f>QUARTILE(Table112[RI10],1)</f>
        <v>0</v>
      </c>
      <c r="EO60" s="6">
        <f>QUARTILE(Table112[RI11],1)</f>
        <v>0</v>
      </c>
      <c r="EP60" s="6">
        <f>QUARTILE(Table112[RI12],1)</f>
        <v>0</v>
      </c>
      <c r="EQ60" s="6">
        <f>QUARTILE(Table112[RI13],1)</f>
        <v>0</v>
      </c>
      <c r="ER60" s="6">
        <f>QUARTILE(Table112[RT],1)</f>
        <v>2</v>
      </c>
      <c r="ES60" s="6">
        <f>QUARTILE(Table112[OI1],1)</f>
        <v>0</v>
      </c>
      <c r="ET60" s="6">
        <f>QUARTILE(Table112[OI2],1)</f>
        <v>0</v>
      </c>
      <c r="EU60" s="6">
        <f>QUARTILE(Table112[OI3],1)</f>
        <v>0</v>
      </c>
      <c r="EV60" s="6">
        <f>QUARTILE(Table112[OI4],1)</f>
        <v>0</v>
      </c>
      <c r="EW60" s="6">
        <f>QUARTILE(Table112[OI5],1)</f>
        <v>0</v>
      </c>
      <c r="EX60" s="6">
        <f>QUARTILE(Table112[OI6],1)</f>
        <v>0</v>
      </c>
      <c r="EY60" s="6">
        <f>QUARTILE(Table112[OI7],1)</f>
        <v>0</v>
      </c>
      <c r="EZ60" s="6">
        <f>QUARTILE(Table112[OI8],1)</f>
        <v>0</v>
      </c>
      <c r="FA60" s="6">
        <f>QUARTILE(Table112[OI9],1)</f>
        <v>0</v>
      </c>
      <c r="FB60" s="6">
        <f>QUARTILE(Table112[OI10],1)</f>
        <v>0</v>
      </c>
      <c r="FC60" s="6">
        <f>QUARTILE(Table112[OI11],1)</f>
        <v>0</v>
      </c>
      <c r="FD60" s="6">
        <f>QUARTILE(Table112[OI12],1)</f>
        <v>0.25</v>
      </c>
      <c r="FE60" s="6">
        <f>QUARTILE(Table112[OI13],1)</f>
        <v>1</v>
      </c>
      <c r="FF60" s="6">
        <f>QUARTILE(Table112[OT],1)</f>
        <v>2</v>
      </c>
      <c r="FI60" s="55" t="s">
        <v>230</v>
      </c>
    </row>
    <row r="61" spans="1:165" x14ac:dyDescent="0.25">
      <c r="A61" s="81" t="s">
        <v>231</v>
      </c>
      <c r="B61" s="53"/>
      <c r="C61" s="53"/>
      <c r="D61" s="53"/>
      <c r="E61" s="4">
        <f>MIN(Table112[Att])</f>
        <v>413</v>
      </c>
      <c r="F61" s="54"/>
      <c r="G61" s="80"/>
      <c r="H61" s="80"/>
      <c r="I61" s="80"/>
      <c r="J61" s="5">
        <f>MIN(Table112[S-IP])</f>
        <v>3</v>
      </c>
      <c r="K61" s="6">
        <f>MIN(Table112[S-H])</f>
        <v>1</v>
      </c>
      <c r="L61" s="6">
        <f>MIN(Table112[S-R])</f>
        <v>0</v>
      </c>
      <c r="M61" s="6">
        <f>MIN(Table112[S-ER])</f>
        <v>0</v>
      </c>
      <c r="N61" s="6">
        <f>MIN(Table112[S-BB])</f>
        <v>0</v>
      </c>
      <c r="O61" s="6">
        <f>MIN(Table112[S-SO])</f>
        <v>1</v>
      </c>
      <c r="P61" s="6">
        <f>MIN(Table112[S-HR])</f>
        <v>0</v>
      </c>
      <c r="Q61" s="6">
        <f>MIN(Table112[S-HBP])</f>
        <v>0</v>
      </c>
      <c r="R61" s="6">
        <f>MIN(Table112[S-BF])</f>
        <v>16</v>
      </c>
      <c r="S61" s="6"/>
      <c r="T61" s="6"/>
      <c r="U61" s="6">
        <f>MIN(Table112[IRL])</f>
        <v>0</v>
      </c>
      <c r="V61" s="6">
        <f>MIN(Table112[IRS])</f>
        <v>0</v>
      </c>
      <c r="W61" s="80"/>
      <c r="X61" s="80"/>
      <c r="Y61" s="80"/>
      <c r="Z61" s="80"/>
      <c r="AA61" s="80"/>
      <c r="AB61" s="5">
        <f>MIN(Table112[B-IP])</f>
        <v>0</v>
      </c>
      <c r="AC61" s="6">
        <f>MIN(Table112[B-H])</f>
        <v>0</v>
      </c>
      <c r="AD61" s="6">
        <f>MIN(Table112[B-R])</f>
        <v>0</v>
      </c>
      <c r="AE61" s="6">
        <f>MIN(Table112[B-ER])</f>
        <v>0</v>
      </c>
      <c r="AF61" s="6">
        <f>MIN(Table112[B-BB])</f>
        <v>0</v>
      </c>
      <c r="AG61" s="6">
        <f>MIN(Table112[B-SO])</f>
        <v>0</v>
      </c>
      <c r="AH61" s="6">
        <f>MIN(Table112[B-HR])</f>
        <v>0</v>
      </c>
      <c r="AI61" s="6">
        <f>MIN(Table112[B-HBP])</f>
        <v>0</v>
      </c>
      <c r="AJ61" s="6">
        <f>MIN(Table112[B-BF])</f>
        <v>0</v>
      </c>
      <c r="AK61" s="6"/>
      <c r="AL61" s="6"/>
      <c r="AM61" s="80"/>
      <c r="AN61" s="6">
        <f>MIN(Table112[AB1])</f>
        <v>2</v>
      </c>
      <c r="AO61" s="6">
        <f>MIN(Table112[R1])</f>
        <v>0</v>
      </c>
      <c r="AP61" s="6">
        <f>MIN(Table112[H1])</f>
        <v>0</v>
      </c>
      <c r="AQ61" s="6">
        <f>MIN(Table112[RBI1])</f>
        <v>0</v>
      </c>
      <c r="AR61" s="6">
        <f>MIN(Table112[BB1])</f>
        <v>0</v>
      </c>
      <c r="AS61" s="6">
        <f>MIN(Table112[SO1])</f>
        <v>0</v>
      </c>
      <c r="AT61" s="6">
        <f>MIN(Table112[HBP1])</f>
        <v>0</v>
      </c>
      <c r="AU61" s="6">
        <f>MIN(Table112[SF1])</f>
        <v>0</v>
      </c>
      <c r="AV61" s="6">
        <f>MIN(Table112[TB1])</f>
        <v>0</v>
      </c>
      <c r="AW61" s="80"/>
      <c r="AX61" s="6">
        <f>MIN(Table112[AB2])</f>
        <v>1</v>
      </c>
      <c r="AY61" s="6">
        <f>MIN(Table112[R2])</f>
        <v>0</v>
      </c>
      <c r="AZ61" s="6">
        <f>MIN(Table112[H2])</f>
        <v>0</v>
      </c>
      <c r="BA61" s="6">
        <f>MIN(Table112[RBI2])</f>
        <v>0</v>
      </c>
      <c r="BB61" s="6">
        <f>MIN(Table112[BB2])</f>
        <v>0</v>
      </c>
      <c r="BC61" s="6">
        <f>MIN(Table112[SO2])</f>
        <v>0</v>
      </c>
      <c r="BD61" s="6">
        <f>MIN(Table112[HBP2])</f>
        <v>0</v>
      </c>
      <c r="BE61" s="6">
        <f>MIN(Table112[SF2])</f>
        <v>0</v>
      </c>
      <c r="BF61" s="6">
        <f>MIN(Table112[TB2])</f>
        <v>0</v>
      </c>
      <c r="BG61" s="80"/>
      <c r="BH61" s="6">
        <f>MIN(Table112[AB3])</f>
        <v>1</v>
      </c>
      <c r="BI61" s="6">
        <f>MIN(Table112[R3])</f>
        <v>0</v>
      </c>
      <c r="BJ61" s="6">
        <f>MIN(Table112[H3])</f>
        <v>0</v>
      </c>
      <c r="BK61" s="6">
        <f>MIN(Table112[RBI3])</f>
        <v>0</v>
      </c>
      <c r="BL61" s="6">
        <f>MIN(Table112[BB3])</f>
        <v>0</v>
      </c>
      <c r="BM61" s="6">
        <f>MIN(Table112[SO3])</f>
        <v>0</v>
      </c>
      <c r="BN61" s="6">
        <f>MIN(Table112[HBP3])</f>
        <v>0</v>
      </c>
      <c r="BO61" s="6">
        <f>MIN(Table112[SF3])</f>
        <v>0</v>
      </c>
      <c r="BP61" s="6">
        <f>MIN(Table112[TB3])</f>
        <v>0</v>
      </c>
      <c r="BQ61" s="80"/>
      <c r="BR61" s="6">
        <f>MIN(Table112[AB4])</f>
        <v>1</v>
      </c>
      <c r="BS61" s="6">
        <f>MIN(Table112[R4])</f>
        <v>0</v>
      </c>
      <c r="BT61" s="6">
        <f>MIN(Table112[H4])</f>
        <v>0</v>
      </c>
      <c r="BU61" s="6">
        <f>MIN(Table112[RBI4])</f>
        <v>0</v>
      </c>
      <c r="BV61" s="6">
        <f>MIN(Table112[BB4])</f>
        <v>0</v>
      </c>
      <c r="BW61" s="6">
        <f>MIN(Table112[SO4])</f>
        <v>0</v>
      </c>
      <c r="BX61" s="6">
        <f>MIN(Table112[HBP4])</f>
        <v>0</v>
      </c>
      <c r="BY61" s="6">
        <f>MIN(Table112[SF4])</f>
        <v>0</v>
      </c>
      <c r="BZ61" s="6">
        <f>MIN(Table112[TB4])</f>
        <v>0</v>
      </c>
      <c r="CA61" s="80"/>
      <c r="CB61" s="6">
        <f>MIN(Table112[AB5])</f>
        <v>1</v>
      </c>
      <c r="CC61" s="6">
        <f>MIN(Table112[R5])</f>
        <v>0</v>
      </c>
      <c r="CD61" s="6">
        <f>MIN(Table112[H5])</f>
        <v>0</v>
      </c>
      <c r="CE61" s="6">
        <f>MIN(Table112[RBI5])</f>
        <v>0</v>
      </c>
      <c r="CF61" s="6">
        <f>MIN(Table112[BB5])</f>
        <v>0</v>
      </c>
      <c r="CG61" s="6">
        <f>MIN(Table112[SO5])</f>
        <v>0</v>
      </c>
      <c r="CH61" s="6">
        <f>MIN(Table112[HBP5])</f>
        <v>0</v>
      </c>
      <c r="CI61" s="6">
        <f>MIN(Table112[SF5])</f>
        <v>0</v>
      </c>
      <c r="CJ61" s="6">
        <f>MIN(Table112[TB5])</f>
        <v>0</v>
      </c>
      <c r="CK61" s="80"/>
      <c r="CL61" s="6">
        <f>MIN(Table112[AB6])</f>
        <v>2</v>
      </c>
      <c r="CM61" s="6">
        <f>MIN(Table112[R6])</f>
        <v>0</v>
      </c>
      <c r="CN61" s="6">
        <f>MIN(Table112[H6])</f>
        <v>0</v>
      </c>
      <c r="CO61" s="6">
        <f>MIN(Table112[RBI6])</f>
        <v>0</v>
      </c>
      <c r="CP61" s="6">
        <f>MIN(Table112[BB6])</f>
        <v>0</v>
      </c>
      <c r="CQ61" s="6">
        <f>MIN(Table112[SO6])</f>
        <v>0</v>
      </c>
      <c r="CR61" s="6">
        <f>MIN(Table112[HBP6])</f>
        <v>0</v>
      </c>
      <c r="CS61" s="6">
        <f>MIN(Table112[SF6])</f>
        <v>0</v>
      </c>
      <c r="CT61" s="6">
        <f>MIN(Table112[TB6])</f>
        <v>0</v>
      </c>
      <c r="CU61" s="80"/>
      <c r="CV61" s="6">
        <f>MIN(Table112[AB7])</f>
        <v>1</v>
      </c>
      <c r="CW61" s="6">
        <f>MIN(Table112[R7])</f>
        <v>0</v>
      </c>
      <c r="CX61" s="6">
        <f>MIN(Table112[H7])</f>
        <v>0</v>
      </c>
      <c r="CY61" s="6">
        <f>MIN(Table112[RBI7])</f>
        <v>0</v>
      </c>
      <c r="CZ61" s="6">
        <f>MIN(Table112[BB7])</f>
        <v>0</v>
      </c>
      <c r="DA61" s="6">
        <f>MIN(Table112[SO7])</f>
        <v>0</v>
      </c>
      <c r="DB61" s="6">
        <f>MIN(Table112[HBP7])</f>
        <v>0</v>
      </c>
      <c r="DC61" s="6">
        <f>MIN(Table112[SF7])</f>
        <v>0</v>
      </c>
      <c r="DD61" s="6">
        <f>MIN(Table112[TB7])</f>
        <v>0</v>
      </c>
      <c r="DE61" s="80"/>
      <c r="DF61" s="6">
        <f>MIN(Table112[AB8])</f>
        <v>1</v>
      </c>
      <c r="DG61" s="6">
        <f>MIN(Table112[R8])</f>
        <v>0</v>
      </c>
      <c r="DH61" s="6">
        <f>MIN(Table112[H8])</f>
        <v>0</v>
      </c>
      <c r="DI61" s="6">
        <f>MIN(Table112[RBI8])</f>
        <v>0</v>
      </c>
      <c r="DJ61" s="6">
        <f>MIN(Table112[BB8])</f>
        <v>0</v>
      </c>
      <c r="DK61" s="6">
        <f>MIN(Table112[SO8])</f>
        <v>0</v>
      </c>
      <c r="DL61" s="6">
        <f>MIN(Table112[HBP8])</f>
        <v>0</v>
      </c>
      <c r="DM61" s="6">
        <f>MIN(Table112[SF8])</f>
        <v>0</v>
      </c>
      <c r="DN61" s="6">
        <f>MIN(Table112[TB8])</f>
        <v>0</v>
      </c>
      <c r="DO61" s="80"/>
      <c r="DP61" s="6">
        <f>MIN(Table112[AB9])</f>
        <v>1</v>
      </c>
      <c r="DQ61" s="6">
        <f>MIN(Table112[R9])</f>
        <v>0</v>
      </c>
      <c r="DR61" s="6">
        <f>MIN(Table112[H9])</f>
        <v>0</v>
      </c>
      <c r="DS61" s="6">
        <f>MIN(Table112[RBI9])</f>
        <v>0</v>
      </c>
      <c r="DT61" s="6">
        <f>MIN(Table112[BB9])</f>
        <v>0</v>
      </c>
      <c r="DU61" s="6">
        <f>MIN(Table112[SO9])</f>
        <v>0</v>
      </c>
      <c r="DV61" s="6">
        <f>MIN(Table112[HBP9])</f>
        <v>0</v>
      </c>
      <c r="DW61" s="6">
        <f>MIN(Table112[SF9])</f>
        <v>0</v>
      </c>
      <c r="DX61" s="6">
        <f>MIN(Table112[TB9])</f>
        <v>0</v>
      </c>
      <c r="DY61" s="5">
        <f>MIN(Table112[IVL])</f>
        <v>0</v>
      </c>
      <c r="DZ61" s="6">
        <f>MIN(Table112[SVL])</f>
        <v>0</v>
      </c>
      <c r="EA61" s="6">
        <f>MIN(Table112[CVL])</f>
        <v>0</v>
      </c>
      <c r="EB61" s="5">
        <f>MIN(Table112[IVR])</f>
        <v>0</v>
      </c>
      <c r="EC61" s="6">
        <f>MIN(Table112[SVR])</f>
        <v>0</v>
      </c>
      <c r="ED61" s="6">
        <f>MIN(Table112[CVR])</f>
        <v>0</v>
      </c>
      <c r="EE61" s="6">
        <f>MIN(Table112[RI1])</f>
        <v>0</v>
      </c>
      <c r="EF61" s="6">
        <f>MIN(Table112[RI2])</f>
        <v>0</v>
      </c>
      <c r="EG61" s="6">
        <f>MIN(Table112[RI3])</f>
        <v>0</v>
      </c>
      <c r="EH61" s="6">
        <f>MIN(Table112[RI4])</f>
        <v>0</v>
      </c>
      <c r="EI61" s="6">
        <f>MIN(Table112[RI5])</f>
        <v>0</v>
      </c>
      <c r="EJ61" s="6">
        <f>MIN(Table112[RI6])</f>
        <v>0</v>
      </c>
      <c r="EK61" s="6">
        <f>MIN(Table112[RI7])</f>
        <v>0</v>
      </c>
      <c r="EL61" s="6">
        <f>MIN(Table112[RI8])</f>
        <v>0</v>
      </c>
      <c r="EM61" s="6">
        <f>MIN(Table112[RI9])</f>
        <v>0</v>
      </c>
      <c r="EN61" s="6">
        <f>MIN(Table112[RI10])</f>
        <v>0</v>
      </c>
      <c r="EO61" s="6">
        <f>MIN(Table112[RI11])</f>
        <v>0</v>
      </c>
      <c r="EP61" s="6">
        <f>MIN(Table112[RI12])</f>
        <v>0</v>
      </c>
      <c r="EQ61" s="6">
        <f>MIN(Table112[RI13])</f>
        <v>0</v>
      </c>
      <c r="ER61" s="6">
        <f>MIN(Table112[RT])</f>
        <v>0</v>
      </c>
      <c r="ES61" s="6">
        <f>MIN(Table112[OI1])</f>
        <v>0</v>
      </c>
      <c r="ET61" s="6">
        <f>MIN(Table112[OI2])</f>
        <v>0</v>
      </c>
      <c r="EU61" s="6">
        <f>MIN(Table112[OI3])</f>
        <v>0</v>
      </c>
      <c r="EV61" s="6">
        <f>MIN(Table112[OI4])</f>
        <v>0</v>
      </c>
      <c r="EW61" s="6">
        <f>MIN(Table112[OI5])</f>
        <v>0</v>
      </c>
      <c r="EX61" s="6">
        <f>MIN(Table112[OI6])</f>
        <v>0</v>
      </c>
      <c r="EY61" s="6">
        <f>MIN(Table112[OI7])</f>
        <v>0</v>
      </c>
      <c r="EZ61" s="6">
        <f>MIN(Table112[OI8])</f>
        <v>0</v>
      </c>
      <c r="FA61" s="6">
        <f>MIN(Table112[OI9])</f>
        <v>0</v>
      </c>
      <c r="FB61" s="6">
        <f>MIN(Table112[OI10])</f>
        <v>0</v>
      </c>
      <c r="FC61" s="6">
        <f>MIN(Table112[OI11])</f>
        <v>0</v>
      </c>
      <c r="FD61" s="6">
        <f>MIN(Table112[OI12])</f>
        <v>0</v>
      </c>
      <c r="FE61" s="6">
        <f>MIN(Table112[OI13])</f>
        <v>1</v>
      </c>
      <c r="FF61" s="6">
        <f>MIN(Table112[OT])</f>
        <v>0</v>
      </c>
      <c r="FI61" s="55" t="s">
        <v>231</v>
      </c>
    </row>
    <row r="62" spans="1:165" x14ac:dyDescent="0.25">
      <c r="A62" s="82" t="s">
        <v>232</v>
      </c>
      <c r="B62" s="90"/>
      <c r="C62" s="90"/>
      <c r="D62" s="90"/>
      <c r="E62" s="42">
        <f>STDEV(Table112[Att])</f>
        <v>477.0947207306109</v>
      </c>
      <c r="F62" s="83"/>
      <c r="G62" s="83"/>
      <c r="H62" s="83"/>
      <c r="I62" s="83"/>
      <c r="J62" s="42">
        <f>STDEV(Table112[S-IP])</f>
        <v>1.0331362630160523</v>
      </c>
      <c r="K62" s="42">
        <f>STDEV(Table112[S-H])</f>
        <v>1.4607741909009804</v>
      </c>
      <c r="L62" s="42">
        <f>STDEV(Table112[S-R])</f>
        <v>1.7372678398886316</v>
      </c>
      <c r="M62" s="42">
        <f>STDEV(Table112[S-ER])</f>
        <v>1.4536582032739682</v>
      </c>
      <c r="N62" s="42">
        <f>STDEV(Table112[S-BB])</f>
        <v>1.071184343348939</v>
      </c>
      <c r="O62" s="42">
        <f>STDEV(Table112[S-SO])</f>
        <v>1.8579859024966576</v>
      </c>
      <c r="P62" s="42">
        <f>STDEV(Table112[S-HR])</f>
        <v>0.59026798116851997</v>
      </c>
      <c r="Q62" s="42">
        <f>STDEV(Table112[S-HBP])</f>
        <v>0.59914468951527811</v>
      </c>
      <c r="R62" s="42">
        <f>STDEV(Table112[S-BF])</f>
        <v>2.4472565980525891</v>
      </c>
      <c r="S62" s="42"/>
      <c r="T62" s="42"/>
      <c r="U62" s="42">
        <f>STDEV(Table112[IRL])</f>
        <v>0.82476743831224986</v>
      </c>
      <c r="V62" s="42">
        <f>STDEV(Table112[IRS])</f>
        <v>0.57341821252512137</v>
      </c>
      <c r="W62" s="83"/>
      <c r="X62" s="83"/>
      <c r="Y62" s="83"/>
      <c r="Z62" s="83"/>
      <c r="AA62" s="83"/>
      <c r="AB62" s="42">
        <f>STDEV(Table112[B-IP])</f>
        <v>1.4029554143858158</v>
      </c>
      <c r="AC62" s="42">
        <f>STDEV(Table112[B-H])</f>
        <v>3.0443553582838048</v>
      </c>
      <c r="AD62" s="42">
        <f>STDEV(Table112[B-R])</f>
        <v>2.2313412695589179</v>
      </c>
      <c r="AE62" s="42">
        <f>STDEV(Table112[B-ER])</f>
        <v>1.7763317397018203</v>
      </c>
      <c r="AF62" s="42">
        <f>STDEV(Table112[B-BB])</f>
        <v>0.95978724389548686</v>
      </c>
      <c r="AG62" s="42">
        <f>STDEV(Table112[B-SO])</f>
        <v>1.8053882816896045</v>
      </c>
      <c r="AH62" s="42">
        <f>STDEV(Table112[B-HR])</f>
        <v>0.42543562981151706</v>
      </c>
      <c r="AI62" s="42">
        <f>STDEV(Table112[B-HBP])</f>
        <v>0.44450728565288072</v>
      </c>
      <c r="AJ62" s="42">
        <f>STDEV(Table112[B-BF])</f>
        <v>6.9799054391637831</v>
      </c>
      <c r="AK62" s="42"/>
      <c r="AL62" s="42"/>
      <c r="AM62" s="83"/>
      <c r="AN62" s="42">
        <f>STDEV(Table112[AB1])</f>
        <v>0.87425900535622536</v>
      </c>
      <c r="AO62" s="42">
        <f>STDEV(Table112[R1])</f>
        <v>0.98766907214837463</v>
      </c>
      <c r="AP62" s="42">
        <f>STDEV(Table112[H1])</f>
        <v>1.0527203860291618</v>
      </c>
      <c r="AQ62" s="42">
        <f>STDEV(Table112[RBI1])</f>
        <v>0.68928450016806975</v>
      </c>
      <c r="AR62" s="42">
        <f>STDEV(Table112[BB1])</f>
        <v>0.69987070557702791</v>
      </c>
      <c r="AS62" s="42">
        <f>STDEV(Table112[SO1])</f>
        <v>0.97014250014533188</v>
      </c>
      <c r="AT62" s="42">
        <f>STDEV(Table112[HBP1])</f>
        <v>0.19418390934515434</v>
      </c>
      <c r="AU62" s="42">
        <f>STDEV(Table112[SF1])</f>
        <v>0.13867504905630726</v>
      </c>
      <c r="AV62" s="42">
        <f>STDEV(Table112[TB1])</f>
        <v>1.8186025497028817</v>
      </c>
      <c r="AW62" s="83"/>
      <c r="AX62" s="42">
        <f>STDEV(Table112[AB2])</f>
        <v>0.83926995496993306</v>
      </c>
      <c r="AY62" s="42">
        <f>STDEV(Table112[R2])</f>
        <v>0.80977251335086831</v>
      </c>
      <c r="AZ62" s="42">
        <f>STDEV(Table112[H2])</f>
        <v>0.85529139980605562</v>
      </c>
      <c r="BA62" s="42">
        <f>STDEV(Table112[RBI2])</f>
        <v>0.77576411024945668</v>
      </c>
      <c r="BB62" s="42">
        <f>STDEV(Table112[BB2])</f>
        <v>0.73789885551158652</v>
      </c>
      <c r="BC62" s="42">
        <f>STDEV(Table112[SO2])</f>
        <v>1.0043269885098032</v>
      </c>
      <c r="BD62" s="42">
        <f>STDEV(Table112[HBP2])</f>
        <v>0.3974845491556826</v>
      </c>
      <c r="BE62" s="42">
        <f>STDEV(Table112[SF2])</f>
        <v>0.13867504905630726</v>
      </c>
      <c r="BF62" s="42">
        <f>STDEV(Table112[TB2])</f>
        <v>1.9452343436161388</v>
      </c>
      <c r="BG62" s="83"/>
      <c r="BH62" s="42">
        <f>STDEV(Table112[AB3])</f>
        <v>0.85683306187821828</v>
      </c>
      <c r="BI62" s="42">
        <f>STDEV(Table112[R3])</f>
        <v>0.72527105246763524</v>
      </c>
      <c r="BJ62" s="42">
        <f>STDEV(Table112[H3])</f>
        <v>0.81557241924964818</v>
      </c>
      <c r="BK62" s="42">
        <f>STDEV(Table112[RBI3])</f>
        <v>0.86906791143776529</v>
      </c>
      <c r="BL62" s="42">
        <f>STDEV(Table112[BB3])</f>
        <v>0.63697058282041741</v>
      </c>
      <c r="BM62" s="42">
        <f>STDEV(Table112[SO3])</f>
        <v>0.89303488857781732</v>
      </c>
      <c r="BN62" s="42">
        <f>STDEV(Table112[HBP3])</f>
        <v>0.26906911759852498</v>
      </c>
      <c r="BO62" s="42">
        <f>STDEV(Table112[SF3])</f>
        <v>0.19418390934515434</v>
      </c>
      <c r="BP62" s="42">
        <f>STDEV(Table112[TB3])</f>
        <v>1.5525000516123695</v>
      </c>
      <c r="BQ62" s="83"/>
      <c r="BR62" s="42">
        <f>STDEV(Table112[AB4])</f>
        <v>0.88476292297103698</v>
      </c>
      <c r="BS62" s="42">
        <f>STDEV(Table112[R4])</f>
        <v>0.63903915429649683</v>
      </c>
      <c r="BT62" s="42">
        <f>STDEV(Table112[H4])</f>
        <v>0.99014754297667429</v>
      </c>
      <c r="BU62" s="42">
        <f>STDEV(Table112[RBI4])</f>
        <v>1.1046316858517284</v>
      </c>
      <c r="BV62" s="42">
        <f>STDEV(Table112[BB4])</f>
        <v>0.47999182999582929</v>
      </c>
      <c r="BW62" s="42">
        <f>STDEV(Table112[SO4])</f>
        <v>0.96233752619795954</v>
      </c>
      <c r="BX62" s="42">
        <f>STDEV(Table112[HBP4])</f>
        <v>0</v>
      </c>
      <c r="BY62" s="42">
        <f>STDEV(Table112[SF4])</f>
        <v>0.19418390934515434</v>
      </c>
      <c r="BZ62" s="42">
        <f>STDEV(Table112[TB4])</f>
        <v>1.5636326965285332</v>
      </c>
      <c r="CA62" s="83"/>
      <c r="CB62" s="42">
        <f>STDEV(Table112[AB5])</f>
        <v>0.79496909831136575</v>
      </c>
      <c r="CC62" s="42">
        <f>STDEV(Table112[R5])</f>
        <v>0.72734770969557383</v>
      </c>
      <c r="CD62" s="42">
        <f>STDEV(Table112[H5])</f>
        <v>0.98000369377824514</v>
      </c>
      <c r="CE62" s="42">
        <f>STDEV(Table112[RBI5])</f>
        <v>0.59503982907873088</v>
      </c>
      <c r="CF62" s="42">
        <f>STDEV(Table112[BB5])</f>
        <v>0.55026388842808316</v>
      </c>
      <c r="CG62" s="42">
        <f>STDEV(Table112[SO5])</f>
        <v>0.6958181486046493</v>
      </c>
      <c r="CH62" s="42">
        <f>STDEV(Table112[HBP5])</f>
        <v>0.23543547789870936</v>
      </c>
      <c r="CI62" s="42">
        <f>STDEV(Table112[SF5])</f>
        <v>0.23543547789870936</v>
      </c>
      <c r="CJ62" s="42">
        <f>STDEV(Table112[TB5])</f>
        <v>1.7088184022373583</v>
      </c>
      <c r="CK62" s="83"/>
      <c r="CL62" s="42">
        <f>STDEV(Table112[AB6])</f>
        <v>0.90144010809183672</v>
      </c>
      <c r="CM62" s="42">
        <f>STDEV(Table112[R6])</f>
        <v>0.66449495445392281</v>
      </c>
      <c r="CN62" s="42">
        <f>STDEV(Table112[H6])</f>
        <v>0.8081410805256608</v>
      </c>
      <c r="CO62" s="42">
        <f>STDEV(Table112[RBI6])</f>
        <v>0.66449495445392281</v>
      </c>
      <c r="CP62" s="42">
        <f>STDEV(Table112[BB6])</f>
        <v>0.44450728565288072</v>
      </c>
      <c r="CQ62" s="42">
        <f>STDEV(Table112[SO6])</f>
        <v>0.59503982907873088</v>
      </c>
      <c r="CR62" s="42">
        <f>STDEV(Table112[HBP6])</f>
        <v>0.35753049422202088</v>
      </c>
      <c r="CS62" s="42">
        <f>STDEV(Table112[SF6])</f>
        <v>0.29767829619260577</v>
      </c>
      <c r="CT62" s="42">
        <f>STDEV(Table112[TB6])</f>
        <v>1.3702010729787644</v>
      </c>
      <c r="CU62" s="83"/>
      <c r="CV62" s="42">
        <f>STDEV(Table112[AB7])</f>
        <v>0.81372094712428145</v>
      </c>
      <c r="CW62" s="42">
        <f>STDEV(Table112[R7])</f>
        <v>0.69037773558964688</v>
      </c>
      <c r="CX62" s="42">
        <f>STDEV(Table112[H7])</f>
        <v>0.98326878127461204</v>
      </c>
      <c r="CY62" s="42">
        <f>STDEV(Table112[RBI7])</f>
        <v>0.76400942876368938</v>
      </c>
      <c r="CZ62" s="42">
        <f>STDEV(Table112[BB7])</f>
        <v>0.41238371915612493</v>
      </c>
      <c r="DA62" s="42">
        <f>STDEV(Table112[SO7])</f>
        <v>0.81741969776401247</v>
      </c>
      <c r="DB62" s="42">
        <f>STDEV(Table112[HBP7])</f>
        <v>0.3340866299625872</v>
      </c>
      <c r="DC62" s="42">
        <f>STDEV(Table112[SF7])</f>
        <v>0.13867504905630726</v>
      </c>
      <c r="DD62" s="42">
        <f>STDEV(Table112[TB7])</f>
        <v>1.3140096718814092</v>
      </c>
      <c r="DE62" s="83"/>
      <c r="DF62" s="42">
        <f>STDEV(Table112[AB8])</f>
        <v>0.97846341197160747</v>
      </c>
      <c r="DG62" s="42">
        <f>STDEV(Table112[R8])</f>
        <v>0.43723731609760308</v>
      </c>
      <c r="DH62" s="42">
        <f>STDEV(Table112[H8])</f>
        <v>0.72864261495730887</v>
      </c>
      <c r="DI62" s="42">
        <f>STDEV(Table112[RBI8])</f>
        <v>0.71479727425899187</v>
      </c>
      <c r="DJ62" s="42">
        <f>STDEV(Table112[BB8])</f>
        <v>0.57177187489686565</v>
      </c>
      <c r="DK62" s="42">
        <f>STDEV(Table112[SO8])</f>
        <v>0.78901775620567827</v>
      </c>
      <c r="DL62" s="42">
        <f>STDEV(Table112[HBP8])</f>
        <v>0.23543547789870936</v>
      </c>
      <c r="DM62" s="42">
        <f>STDEV(Table112[SF8])</f>
        <v>0</v>
      </c>
      <c r="DN62" s="42">
        <f>STDEV(Table112[TB8])</f>
        <v>1.119550653234757</v>
      </c>
      <c r="DO62" s="83"/>
      <c r="DP62" s="42">
        <f>STDEV(Table112[AB9])</f>
        <v>0.80040525180633026</v>
      </c>
      <c r="DQ62" s="42">
        <f>STDEV(Table112[R9])</f>
        <v>0.85153574333197879</v>
      </c>
      <c r="DR62" s="42">
        <f>STDEV(Table112[H9])</f>
        <v>0.88284300116491965</v>
      </c>
      <c r="DS62" s="42">
        <f>STDEV(Table112[RBI9])</f>
        <v>0.54648196121798165</v>
      </c>
      <c r="DT62" s="42">
        <f>STDEV(Table112[BB9])</f>
        <v>0.65765018873187042</v>
      </c>
      <c r="DU62" s="42">
        <f>STDEV(Table112[SO9])</f>
        <v>0.75706825178329873</v>
      </c>
      <c r="DV62" s="42">
        <f>STDEV(Table112[HBP9])</f>
        <v>0.23543547789870936</v>
      </c>
      <c r="DW62" s="42">
        <f>STDEV(Table112[SF9])</f>
        <v>0</v>
      </c>
      <c r="DX62" s="42">
        <f>STDEV(Table112[TB9])</f>
        <v>1.3697882167228261</v>
      </c>
      <c r="DY62" s="42">
        <f>STDEV(Table112[IVL])</f>
        <v>2.3957657049934422</v>
      </c>
      <c r="DZ62" s="42">
        <f>STDEV(Table112[SVL])</f>
        <v>0.68241210020764131</v>
      </c>
      <c r="EA62" s="42">
        <f>STDEV(Table112[CVL])</f>
        <v>0.47366546671567089</v>
      </c>
      <c r="EB62" s="42">
        <f>STDEV(Table112[IVR])</f>
        <v>2.7923724185384566</v>
      </c>
      <c r="EC62" s="42">
        <f>STDEV(Table112[SVR])</f>
        <v>1.0484132951301846</v>
      </c>
      <c r="ED62" s="42">
        <f>STDEV(Table112[CVR])</f>
        <v>0.60259619310588197</v>
      </c>
      <c r="EE62" s="42">
        <f>STDEV(Table112[RI1])</f>
        <v>0.91637524505171453</v>
      </c>
      <c r="EF62" s="42">
        <f>STDEV(Table112[RI2])</f>
        <v>0.73789885551158652</v>
      </c>
      <c r="EG62" s="42">
        <f>STDEV(Table112[RI3])</f>
        <v>1.0934813018365075</v>
      </c>
      <c r="EH62" s="42">
        <f>STDEV(Table112[RI4])</f>
        <v>1.2026867860249546</v>
      </c>
      <c r="EI62" s="42">
        <f>STDEV(Table112[RI5])</f>
        <v>0.77357371309575929</v>
      </c>
      <c r="EJ62" s="42">
        <f>STDEV(Table112[RI6])</f>
        <v>1.2838185406235838</v>
      </c>
      <c r="EK62" s="42">
        <f>STDEV(Table112[RI7])</f>
        <v>0.48620423468243185</v>
      </c>
      <c r="EL62" s="42">
        <f>STDEV(Table112[RI8])</f>
        <v>1.5482774688560754</v>
      </c>
      <c r="EM62" s="42">
        <f>STDEV(Table112[RI9])</f>
        <v>0.93802560614664177</v>
      </c>
      <c r="EN62" s="42">
        <f>STDEV(Table112[RI10])</f>
        <v>0.46291004988627571</v>
      </c>
      <c r="EO62" s="42">
        <f>STDEV(Table112[RI11])</f>
        <v>0.5</v>
      </c>
      <c r="EP62" s="42">
        <f>STDEV(Table112[RI12])</f>
        <v>0</v>
      </c>
      <c r="EQ62" s="42" t="e">
        <f>STDEV(Table112[RI13])</f>
        <v>#DIV/0!</v>
      </c>
      <c r="ER62" s="42">
        <f>STDEV(Table112[RT])</f>
        <v>3.5554220060388952</v>
      </c>
      <c r="ES62" s="42">
        <f>STDEV(Table112[OI1])</f>
        <v>0.6533357958521635</v>
      </c>
      <c r="ET62" s="42">
        <f>STDEV(Table112[OI2])</f>
        <v>0.45746695847847579</v>
      </c>
      <c r="EU62" s="42">
        <f>STDEV(Table112[OI3])</f>
        <v>0.89661673452342561</v>
      </c>
      <c r="EV62" s="42">
        <f>STDEV(Table112[OI4])</f>
        <v>1.1798969712415988</v>
      </c>
      <c r="EW62" s="42">
        <f>STDEV(Table112[OI5])</f>
        <v>0.95978724389548675</v>
      </c>
      <c r="EX62" s="42">
        <f>STDEV(Table112[OI6])</f>
        <v>1.0192343265255659</v>
      </c>
      <c r="EY62" s="42">
        <f>STDEV(Table112[OI7])</f>
        <v>1.2988682856738829</v>
      </c>
      <c r="EZ62" s="42">
        <f>STDEV(Table112[OI8])</f>
        <v>1.2503545596440617</v>
      </c>
      <c r="FA62" s="42">
        <f>STDEV(Table112[OI9])</f>
        <v>0.6444864088188399</v>
      </c>
      <c r="FB62" s="42">
        <f>STDEV(Table112[OI10])</f>
        <v>0.74402380914284494</v>
      </c>
      <c r="FC62" s="42">
        <f>STDEV(Table112[OI11])</f>
        <v>0.5</v>
      </c>
      <c r="FD62" s="42">
        <f>STDEV(Table112[OI12])</f>
        <v>0.70710678118654757</v>
      </c>
      <c r="FE62" s="42" t="e">
        <f>STDEV(Table112[OI13])</f>
        <v>#DIV/0!</v>
      </c>
      <c r="FF62" s="42">
        <f>STDEV(Table112[OT])</f>
        <v>2.9305691075485059</v>
      </c>
      <c r="FI62" s="86" t="s">
        <v>232</v>
      </c>
    </row>
    <row r="63" spans="1:165" x14ac:dyDescent="0.25">
      <c r="A63" s="87" t="s">
        <v>281</v>
      </c>
      <c r="B63" s="53"/>
      <c r="C63" s="53"/>
      <c r="D63" s="53"/>
      <c r="E63" s="83">
        <f>(E66+(3*E62))</f>
        <v>2321.0684759173228</v>
      </c>
      <c r="F63" s="83"/>
      <c r="G63" s="83"/>
      <c r="H63" s="83"/>
      <c r="I63" s="83"/>
      <c r="J63" s="83">
        <f t="shared" ref="J63:R63" si="22">(J66+(3*J62))</f>
        <v>8.1122293018686698</v>
      </c>
      <c r="K63" s="83">
        <f t="shared" si="22"/>
        <v>8.9400148803952497</v>
      </c>
      <c r="L63" s="83">
        <f t="shared" si="22"/>
        <v>7.2502650581274333</v>
      </c>
      <c r="M63" s="83">
        <f t="shared" si="22"/>
        <v>6.0148207636680588</v>
      </c>
      <c r="N63" s="83">
        <f t="shared" si="22"/>
        <v>4.6173991838929709</v>
      </c>
      <c r="O63" s="83">
        <f t="shared" si="22"/>
        <v>9.9393423228745874</v>
      </c>
      <c r="P63" s="83">
        <f t="shared" si="22"/>
        <v>2.1169577896594061</v>
      </c>
      <c r="Q63" s="83">
        <f t="shared" si="22"/>
        <v>2.1820494531612189</v>
      </c>
      <c r="R63" s="83">
        <f t="shared" si="22"/>
        <v>28.01484671723469</v>
      </c>
      <c r="S63" s="83"/>
      <c r="T63" s="83"/>
      <c r="U63" s="83">
        <f>(U66+(3*U62))</f>
        <v>2.8973792380136723</v>
      </c>
      <c r="V63" s="83">
        <f>(V66+(3*V62))</f>
        <v>1.874100791421518</v>
      </c>
      <c r="W63" s="83"/>
      <c r="X63" s="83"/>
      <c r="Y63" s="83"/>
      <c r="Z63" s="83"/>
      <c r="AA63" s="83"/>
      <c r="AB63" s="83">
        <f t="shared" ref="AB63:AJ63" si="23">(AB66+(3*AB62))</f>
        <v>8.0998918841830889</v>
      </c>
      <c r="AC63" s="83">
        <f t="shared" si="23"/>
        <v>13.421527613312952</v>
      </c>
      <c r="AD63" s="83">
        <f t="shared" si="23"/>
        <v>8.6555622702152153</v>
      </c>
      <c r="AE63" s="83">
        <f t="shared" si="23"/>
        <v>6.7905336806439225</v>
      </c>
      <c r="AF63" s="83">
        <f t="shared" si="23"/>
        <v>3.8985925009172298</v>
      </c>
      <c r="AG63" s="83">
        <f t="shared" si="23"/>
        <v>8.6853956142995834</v>
      </c>
      <c r="AH63" s="83">
        <f t="shared" si="23"/>
        <v>1.5070761202037821</v>
      </c>
      <c r="AI63" s="83">
        <f t="shared" si="23"/>
        <v>1.5258295492663345</v>
      </c>
      <c r="AJ63" s="83">
        <f t="shared" si="23"/>
        <v>38.151254779029813</v>
      </c>
      <c r="AK63" s="83"/>
      <c r="AL63" s="83"/>
      <c r="AM63" s="83"/>
      <c r="AN63" s="83">
        <f t="shared" ref="AN63:AV63" si="24">(AN66+(3*AN62))</f>
        <v>6.6420077852994455</v>
      </c>
      <c r="AO63" s="83">
        <f t="shared" si="24"/>
        <v>3.7130072164451238</v>
      </c>
      <c r="AP63" s="83">
        <f t="shared" si="24"/>
        <v>4.2543150042413318</v>
      </c>
      <c r="AQ63" s="83">
        <f t="shared" si="24"/>
        <v>2.3370842697349783</v>
      </c>
      <c r="AR63" s="83">
        <f t="shared" si="24"/>
        <v>2.5803813475003148</v>
      </c>
      <c r="AS63" s="83">
        <f t="shared" si="24"/>
        <v>3.9104275004359956</v>
      </c>
      <c r="AT63" s="83">
        <f t="shared" si="24"/>
        <v>0.6210132664970015</v>
      </c>
      <c r="AU63" s="83">
        <f t="shared" si="24"/>
        <v>0.43525591639969102</v>
      </c>
      <c r="AV63" s="83">
        <f t="shared" si="24"/>
        <v>7.1673461106471068</v>
      </c>
      <c r="AW63" s="83"/>
      <c r="AX63" s="83">
        <f t="shared" ref="AX63:BF63" si="25">(AX66+(3*AX62))</f>
        <v>6.4793483264482603</v>
      </c>
      <c r="AY63" s="83">
        <f t="shared" si="25"/>
        <v>3.1023944631295279</v>
      </c>
      <c r="AZ63" s="83">
        <f t="shared" si="25"/>
        <v>3.4504895840335514</v>
      </c>
      <c r="BA63" s="83">
        <f t="shared" si="25"/>
        <v>2.7503692538252928</v>
      </c>
      <c r="BB63" s="83">
        <f t="shared" si="25"/>
        <v>2.5598504126886059</v>
      </c>
      <c r="BC63" s="83">
        <f t="shared" si="25"/>
        <v>4.1860578886063324</v>
      </c>
      <c r="BD63" s="83">
        <f t="shared" si="25"/>
        <v>1.3270690320824323</v>
      </c>
      <c r="BE63" s="83">
        <f t="shared" si="25"/>
        <v>0.43525591639969102</v>
      </c>
      <c r="BF63" s="83">
        <f t="shared" si="25"/>
        <v>7.3164722616176467</v>
      </c>
      <c r="BG63" s="83"/>
      <c r="BH63" s="83">
        <f t="shared" ref="BH63:BP63" si="26">(BH66+(3*BH62))</f>
        <v>6.2435761087115775</v>
      </c>
      <c r="BI63" s="83">
        <f t="shared" si="26"/>
        <v>2.7335054650952131</v>
      </c>
      <c r="BJ63" s="83">
        <f t="shared" si="26"/>
        <v>3.4082557192874061</v>
      </c>
      <c r="BK63" s="83">
        <f t="shared" si="26"/>
        <v>3.2033575804671419</v>
      </c>
      <c r="BL63" s="83">
        <f t="shared" si="26"/>
        <v>2.4878348253843292</v>
      </c>
      <c r="BM63" s="83">
        <f t="shared" si="26"/>
        <v>3.3906431272719137</v>
      </c>
      <c r="BN63" s="83">
        <f t="shared" si="26"/>
        <v>0.88413042971865186</v>
      </c>
      <c r="BO63" s="83">
        <f t="shared" si="26"/>
        <v>0.6210132664970015</v>
      </c>
      <c r="BP63" s="83">
        <f t="shared" si="26"/>
        <v>6.1959616932986465</v>
      </c>
      <c r="BQ63" s="83"/>
      <c r="BR63" s="83">
        <f t="shared" ref="BR63:BZ63" si="27">(BR66+(3*BR62))</f>
        <v>6.6158272304515728</v>
      </c>
      <c r="BS63" s="83">
        <f t="shared" si="27"/>
        <v>2.359425155197183</v>
      </c>
      <c r="BT63" s="83">
        <f t="shared" si="27"/>
        <v>3.970442628930023</v>
      </c>
      <c r="BU63" s="83">
        <f t="shared" si="27"/>
        <v>4.0446642883244159</v>
      </c>
      <c r="BV63" s="83">
        <f t="shared" si="27"/>
        <v>1.6899754899874879</v>
      </c>
      <c r="BW63" s="83">
        <f t="shared" si="27"/>
        <v>4.1177818093631089</v>
      </c>
      <c r="BX63" s="83">
        <f t="shared" si="27"/>
        <v>0</v>
      </c>
      <c r="BY63" s="83">
        <f t="shared" si="27"/>
        <v>0.6210132664970015</v>
      </c>
      <c r="BZ63" s="83">
        <f t="shared" si="27"/>
        <v>6.2678211665086767</v>
      </c>
      <c r="CA63" s="83"/>
      <c r="CB63" s="83">
        <f t="shared" ref="CB63:CJ63" si="28">(CB66+(3*CB62))</f>
        <v>6.1156765257033285</v>
      </c>
      <c r="CC63" s="83">
        <f t="shared" si="28"/>
        <v>2.6628123598559523</v>
      </c>
      <c r="CD63" s="83">
        <f t="shared" si="28"/>
        <v>3.9207803121039664</v>
      </c>
      <c r="CE63" s="83">
        <f t="shared" si="28"/>
        <v>2.150504102620808</v>
      </c>
      <c r="CF63" s="83">
        <f t="shared" si="28"/>
        <v>1.9777147422073262</v>
      </c>
      <c r="CG63" s="83">
        <f t="shared" si="28"/>
        <v>2.6643775227370243</v>
      </c>
      <c r="CH63" s="83">
        <f t="shared" si="28"/>
        <v>0.76399874138843582</v>
      </c>
      <c r="CI63" s="83">
        <f t="shared" si="28"/>
        <v>0.76399874138843582</v>
      </c>
      <c r="CJ63" s="83">
        <f t="shared" si="28"/>
        <v>6.5879936682505367</v>
      </c>
      <c r="CK63" s="83"/>
      <c r="CL63" s="83">
        <f t="shared" ref="CL63:CT63" si="29">(CL66+(3*CL62))</f>
        <v>6.377397247352433</v>
      </c>
      <c r="CM63" s="83">
        <f t="shared" si="29"/>
        <v>2.3973310172079221</v>
      </c>
      <c r="CN63" s="83">
        <f t="shared" si="29"/>
        <v>3.309038626192367</v>
      </c>
      <c r="CO63" s="83">
        <f t="shared" si="29"/>
        <v>2.3973310172079221</v>
      </c>
      <c r="CP63" s="83">
        <f t="shared" si="29"/>
        <v>1.5258295492663345</v>
      </c>
      <c r="CQ63" s="83">
        <f t="shared" si="29"/>
        <v>2.4197348718515772</v>
      </c>
      <c r="CR63" s="83">
        <f t="shared" si="29"/>
        <v>1.168745328819909</v>
      </c>
      <c r="CS63" s="83">
        <f t="shared" si="29"/>
        <v>0.98918873473166347</v>
      </c>
      <c r="CT63" s="83">
        <f t="shared" si="29"/>
        <v>5.3606032189362933</v>
      </c>
      <c r="CU63" s="83"/>
      <c r="CV63" s="83">
        <f t="shared" ref="CV63:DD63" si="30">(CV66+(3*CV62))</f>
        <v>6.0950089952189987</v>
      </c>
      <c r="CW63" s="83">
        <f t="shared" si="30"/>
        <v>2.4557485913843253</v>
      </c>
      <c r="CX63" s="83">
        <f t="shared" si="30"/>
        <v>3.8344217284392208</v>
      </c>
      <c r="CY63" s="83">
        <f t="shared" si="30"/>
        <v>2.6381821324449146</v>
      </c>
      <c r="CZ63" s="83">
        <f t="shared" si="30"/>
        <v>1.4486896190068361</v>
      </c>
      <c r="DA63" s="83">
        <f t="shared" si="30"/>
        <v>3.2599514009843453</v>
      </c>
      <c r="DB63" s="83">
        <f t="shared" si="30"/>
        <v>1.0791829668108386</v>
      </c>
      <c r="DC63" s="83">
        <f t="shared" si="30"/>
        <v>0.43525591639969102</v>
      </c>
      <c r="DD63" s="83">
        <f t="shared" si="30"/>
        <v>5.0766444002596121</v>
      </c>
      <c r="DE63" s="83"/>
      <c r="DF63" s="83">
        <f t="shared" ref="DF63:DN63" si="31">(DF66+(3*DF62))</f>
        <v>6.3776979282225152</v>
      </c>
      <c r="DG63" s="83">
        <f t="shared" si="31"/>
        <v>1.5617119482928092</v>
      </c>
      <c r="DH63" s="83">
        <f t="shared" si="31"/>
        <v>2.8782355371796191</v>
      </c>
      <c r="DI63" s="83">
        <f t="shared" si="31"/>
        <v>2.509776438161591</v>
      </c>
      <c r="DJ63" s="83">
        <f t="shared" si="31"/>
        <v>2.0037771631521353</v>
      </c>
      <c r="DK63" s="83">
        <f t="shared" si="31"/>
        <v>3.1170532686170347</v>
      </c>
      <c r="DL63" s="83">
        <f t="shared" si="31"/>
        <v>0.76399874138843582</v>
      </c>
      <c r="DM63" s="83">
        <f t="shared" si="31"/>
        <v>0</v>
      </c>
      <c r="DN63" s="83">
        <f t="shared" si="31"/>
        <v>4.3201904212427324</v>
      </c>
      <c r="DO63" s="83"/>
      <c r="DP63" s="83">
        <f t="shared" ref="DP63:FF63" si="32">(DP66+(3*DP62))</f>
        <v>5.6127542169574527</v>
      </c>
      <c r="DQ63" s="83">
        <f t="shared" si="32"/>
        <v>3.0353764607651672</v>
      </c>
      <c r="DR63" s="83">
        <f t="shared" si="32"/>
        <v>3.3985290034947591</v>
      </c>
      <c r="DS63" s="83">
        <f t="shared" si="32"/>
        <v>1.8702151144231758</v>
      </c>
      <c r="DT63" s="83">
        <f t="shared" si="32"/>
        <v>2.3383351815802267</v>
      </c>
      <c r="DU63" s="83">
        <f t="shared" si="32"/>
        <v>3.0404355245806656</v>
      </c>
      <c r="DV63" s="83">
        <f t="shared" si="32"/>
        <v>0.76399874138843582</v>
      </c>
      <c r="DW63" s="83">
        <f t="shared" si="32"/>
        <v>0</v>
      </c>
      <c r="DX63" s="83">
        <f t="shared" si="32"/>
        <v>5.0324415732454018</v>
      </c>
      <c r="DY63" s="83">
        <f t="shared" si="32"/>
        <v>9.3860150636982755</v>
      </c>
      <c r="DZ63" s="83">
        <f t="shared" si="32"/>
        <v>2.2972363006229237</v>
      </c>
      <c r="EA63" s="83">
        <f t="shared" si="32"/>
        <v>1.5940733232239357</v>
      </c>
      <c r="EB63" s="83">
        <f t="shared" si="32"/>
        <v>15.03737366587178</v>
      </c>
      <c r="EC63" s="83">
        <f t="shared" si="32"/>
        <v>4.0106245007751689</v>
      </c>
      <c r="ED63" s="83">
        <f t="shared" si="32"/>
        <v>2.2116347331637995</v>
      </c>
      <c r="EE63" s="83">
        <f t="shared" si="32"/>
        <v>3.3068180428474516</v>
      </c>
      <c r="EF63" s="83">
        <f t="shared" si="32"/>
        <v>2.5598504126886059</v>
      </c>
      <c r="EG63" s="83">
        <f t="shared" si="32"/>
        <v>3.7996746747402916</v>
      </c>
      <c r="EH63" s="83">
        <f t="shared" si="32"/>
        <v>4.2619065119210182</v>
      </c>
      <c r="EI63" s="83">
        <f t="shared" si="32"/>
        <v>2.7245672931334317</v>
      </c>
      <c r="EJ63" s="83">
        <f t="shared" si="32"/>
        <v>4.486071006486136</v>
      </c>
      <c r="EK63" s="83">
        <f t="shared" si="32"/>
        <v>1.6422861734350507</v>
      </c>
      <c r="EL63" s="83">
        <f t="shared" si="32"/>
        <v>5.4781657399015593</v>
      </c>
      <c r="EM63" s="83">
        <f t="shared" si="32"/>
        <v>3.2243332286963353</v>
      </c>
      <c r="EN63" s="83">
        <f t="shared" si="32"/>
        <v>1.6387301496588271</v>
      </c>
      <c r="EO63" s="83">
        <f t="shared" si="32"/>
        <v>1.75</v>
      </c>
      <c r="EP63" s="83">
        <f t="shared" si="32"/>
        <v>0</v>
      </c>
      <c r="EQ63" s="83" t="e">
        <f t="shared" ref="EQ63" si="33">(EQ66+(3*EQ62))</f>
        <v>#DIV/0!</v>
      </c>
      <c r="ER63" s="83">
        <f t="shared" si="32"/>
        <v>15.089342941193609</v>
      </c>
      <c r="ES63" s="83">
        <f t="shared" si="32"/>
        <v>2.3061612337103368</v>
      </c>
      <c r="ET63" s="83">
        <f t="shared" si="32"/>
        <v>1.5839393369738888</v>
      </c>
      <c r="EU63" s="83">
        <f t="shared" si="32"/>
        <v>3.1898502035702769</v>
      </c>
      <c r="EV63" s="83">
        <f t="shared" si="32"/>
        <v>4.0396909137247965</v>
      </c>
      <c r="EW63" s="83">
        <f t="shared" si="32"/>
        <v>3.3985925009172293</v>
      </c>
      <c r="EX63" s="83">
        <f t="shared" si="32"/>
        <v>3.5384722103459287</v>
      </c>
      <c r="EY63" s="83">
        <f t="shared" si="32"/>
        <v>4.4848401511392959</v>
      </c>
      <c r="EZ63" s="83">
        <f t="shared" si="32"/>
        <v>4.3552303455988524</v>
      </c>
      <c r="FA63" s="83">
        <f t="shared" si="32"/>
        <v>2.1966171211933618</v>
      </c>
      <c r="FB63" s="83">
        <f t="shared" si="32"/>
        <v>2.6070714274285347</v>
      </c>
      <c r="FC63" s="83">
        <f t="shared" si="32"/>
        <v>1.75</v>
      </c>
      <c r="FD63" s="83">
        <f t="shared" si="32"/>
        <v>2.6213203435596428</v>
      </c>
      <c r="FE63" s="83" t="e">
        <f t="shared" ref="FE63" si="34">(FE66+(3*FE62))</f>
        <v>#DIV/0!</v>
      </c>
      <c r="FF63" s="83">
        <f t="shared" si="32"/>
        <v>12.791707322645518</v>
      </c>
      <c r="FI63" s="88" t="s">
        <v>281</v>
      </c>
    </row>
    <row r="64" spans="1:165" x14ac:dyDescent="0.25">
      <c r="A64" s="87" t="s">
        <v>280</v>
      </c>
      <c r="B64" s="53"/>
      <c r="C64" s="53"/>
      <c r="D64" s="53"/>
      <c r="E64" s="83">
        <f>(E66+(2*E62))</f>
        <v>1843.973755186712</v>
      </c>
      <c r="F64" s="83"/>
      <c r="G64" s="83"/>
      <c r="H64" s="83"/>
      <c r="I64" s="83"/>
      <c r="J64" s="83">
        <f t="shared" ref="J64:R64" si="35">(J66+(2*J62))</f>
        <v>7.0790930388526165</v>
      </c>
      <c r="K64" s="83">
        <f t="shared" si="35"/>
        <v>7.4792406894942687</v>
      </c>
      <c r="L64" s="83">
        <f t="shared" si="35"/>
        <v>5.5129972182388016</v>
      </c>
      <c r="M64" s="83">
        <f t="shared" si="35"/>
        <v>4.5611625603940897</v>
      </c>
      <c r="N64" s="83">
        <f t="shared" si="35"/>
        <v>3.5462148405440317</v>
      </c>
      <c r="O64" s="83">
        <f t="shared" si="35"/>
        <v>8.0813564203779293</v>
      </c>
      <c r="P64" s="83">
        <f t="shared" si="35"/>
        <v>1.526689808490886</v>
      </c>
      <c r="Q64" s="83">
        <f t="shared" si="35"/>
        <v>1.5829047636459408</v>
      </c>
      <c r="R64" s="83">
        <f t="shared" si="35"/>
        <v>25.5675901191821</v>
      </c>
      <c r="S64" s="83"/>
      <c r="T64" s="83"/>
      <c r="U64" s="83">
        <f>(U66+(2*U62))</f>
        <v>2.0726117997014226</v>
      </c>
      <c r="V64" s="83">
        <f>(V66+(2*V62))</f>
        <v>1.3006825788963967</v>
      </c>
      <c r="W64" s="83"/>
      <c r="X64" s="83"/>
      <c r="Y64" s="83"/>
      <c r="Z64" s="83"/>
      <c r="AA64" s="83"/>
      <c r="AB64" s="83">
        <f t="shared" ref="AB64:AJ64" si="36">(AB66+(2*AB62))</f>
        <v>6.696936469797274</v>
      </c>
      <c r="AC64" s="83">
        <f t="shared" si="36"/>
        <v>10.377172255029148</v>
      </c>
      <c r="AD64" s="83">
        <f t="shared" si="36"/>
        <v>6.4242210006562974</v>
      </c>
      <c r="AE64" s="83">
        <f t="shared" si="36"/>
        <v>5.0142019409421019</v>
      </c>
      <c r="AF64" s="83">
        <f t="shared" si="36"/>
        <v>2.9388052570217429</v>
      </c>
      <c r="AG64" s="83">
        <f t="shared" si="36"/>
        <v>6.8800073326099778</v>
      </c>
      <c r="AH64" s="83">
        <f t="shared" si="36"/>
        <v>1.081640490392265</v>
      </c>
      <c r="AI64" s="83">
        <f t="shared" si="36"/>
        <v>1.0813222636134538</v>
      </c>
      <c r="AJ64" s="83">
        <f t="shared" si="36"/>
        <v>31.171349339866026</v>
      </c>
      <c r="AK64" s="83"/>
      <c r="AL64" s="83"/>
      <c r="AM64" s="83"/>
      <c r="AN64" s="83">
        <f t="shared" ref="AN64:AV64" si="37">(AN66+(2*AN62))</f>
        <v>5.7677487799432203</v>
      </c>
      <c r="AO64" s="83">
        <f t="shared" si="37"/>
        <v>2.7253381442967495</v>
      </c>
      <c r="AP64" s="83">
        <f t="shared" si="37"/>
        <v>3.20159461821217</v>
      </c>
      <c r="AQ64" s="83">
        <f t="shared" si="37"/>
        <v>1.6477997695669087</v>
      </c>
      <c r="AR64" s="83">
        <f t="shared" si="37"/>
        <v>1.8805106419232867</v>
      </c>
      <c r="AS64" s="83">
        <f t="shared" si="37"/>
        <v>2.9402850002906638</v>
      </c>
      <c r="AT64" s="83">
        <f t="shared" si="37"/>
        <v>0.42682935715184711</v>
      </c>
      <c r="AU64" s="83">
        <f t="shared" si="37"/>
        <v>0.29658086734338374</v>
      </c>
      <c r="AV64" s="83">
        <f t="shared" si="37"/>
        <v>5.3487435609442251</v>
      </c>
      <c r="AW64" s="83"/>
      <c r="AX64" s="83">
        <f t="shared" ref="AX64:BF64" si="38">(AX66+(2*AX62))</f>
        <v>5.640078371478328</v>
      </c>
      <c r="AY64" s="83">
        <f t="shared" si="38"/>
        <v>2.2926219497786597</v>
      </c>
      <c r="AZ64" s="83">
        <f t="shared" si="38"/>
        <v>2.5951981842274958</v>
      </c>
      <c r="BA64" s="83">
        <f t="shared" si="38"/>
        <v>1.9746051435758365</v>
      </c>
      <c r="BB64" s="83">
        <f t="shared" si="38"/>
        <v>1.8219515571770191</v>
      </c>
      <c r="BC64" s="83">
        <f t="shared" si="38"/>
        <v>3.1817309000965297</v>
      </c>
      <c r="BD64" s="83">
        <f t="shared" si="38"/>
        <v>0.92958448292674978</v>
      </c>
      <c r="BE64" s="83">
        <f t="shared" si="38"/>
        <v>0.29658086734338374</v>
      </c>
      <c r="BF64" s="83">
        <f t="shared" si="38"/>
        <v>5.3712379180015084</v>
      </c>
      <c r="BG64" s="83"/>
      <c r="BH64" s="83">
        <f t="shared" ref="BH64:BP64" si="39">(BH66+(2*BH62))</f>
        <v>5.3867430468333595</v>
      </c>
      <c r="BI64" s="83">
        <f t="shared" si="39"/>
        <v>2.0082344126275782</v>
      </c>
      <c r="BJ64" s="83">
        <f t="shared" si="39"/>
        <v>2.5926833000377578</v>
      </c>
      <c r="BK64" s="83">
        <f t="shared" si="39"/>
        <v>2.3342896690293768</v>
      </c>
      <c r="BL64" s="83">
        <f t="shared" si="39"/>
        <v>1.8508642425639117</v>
      </c>
      <c r="BM64" s="83">
        <f t="shared" si="39"/>
        <v>2.4976082386940961</v>
      </c>
      <c r="BN64" s="83">
        <f t="shared" si="39"/>
        <v>0.61506131212012694</v>
      </c>
      <c r="BO64" s="83">
        <f t="shared" si="39"/>
        <v>0.42682935715184711</v>
      </c>
      <c r="BP64" s="83">
        <f t="shared" si="39"/>
        <v>4.6434616416862777</v>
      </c>
      <c r="BQ64" s="83"/>
      <c r="BR64" s="83">
        <f t="shared" ref="BR64:BZ64" si="40">(BR66+(2*BR62))</f>
        <v>5.7310643074805352</v>
      </c>
      <c r="BS64" s="83">
        <f t="shared" si="40"/>
        <v>1.7203860009006859</v>
      </c>
      <c r="BT64" s="83">
        <f t="shared" si="40"/>
        <v>2.9802950859533484</v>
      </c>
      <c r="BU64" s="83">
        <f t="shared" si="40"/>
        <v>2.9400326024726877</v>
      </c>
      <c r="BV64" s="83">
        <f t="shared" si="40"/>
        <v>1.2099836599916585</v>
      </c>
      <c r="BW64" s="83">
        <f t="shared" si="40"/>
        <v>3.1554442831651501</v>
      </c>
      <c r="BX64" s="83">
        <f t="shared" si="40"/>
        <v>0</v>
      </c>
      <c r="BY64" s="83">
        <f t="shared" si="40"/>
        <v>0.42682935715184711</v>
      </c>
      <c r="BZ64" s="83">
        <f t="shared" si="40"/>
        <v>4.7041884699801431</v>
      </c>
      <c r="CA64" s="83"/>
      <c r="CB64" s="83">
        <f t="shared" ref="CB64:CJ64" si="41">(CB66+(2*CB62))</f>
        <v>5.3207074273919623</v>
      </c>
      <c r="CC64" s="83">
        <f t="shared" si="41"/>
        <v>1.9354646501603785</v>
      </c>
      <c r="CD64" s="83">
        <f t="shared" si="41"/>
        <v>2.9407766183257209</v>
      </c>
      <c r="CE64" s="83">
        <f t="shared" si="41"/>
        <v>1.5554642735420772</v>
      </c>
      <c r="CF64" s="83">
        <f t="shared" si="41"/>
        <v>1.4274508537792432</v>
      </c>
      <c r="CG64" s="83">
        <f t="shared" si="41"/>
        <v>1.9685593741323755</v>
      </c>
      <c r="CH64" s="83">
        <f t="shared" si="41"/>
        <v>0.52856326348972638</v>
      </c>
      <c r="CI64" s="83">
        <f t="shared" si="41"/>
        <v>0.52856326348972638</v>
      </c>
      <c r="CJ64" s="83">
        <f t="shared" si="41"/>
        <v>4.8791752660131777</v>
      </c>
      <c r="CK64" s="83"/>
      <c r="CL64" s="83">
        <f t="shared" ref="CL64:CT64" si="42">(CL66+(2*CL62))</f>
        <v>5.4759571392605961</v>
      </c>
      <c r="CM64" s="83">
        <f t="shared" si="42"/>
        <v>1.7328360627539996</v>
      </c>
      <c r="CN64" s="83">
        <f t="shared" si="42"/>
        <v>2.5008975456667062</v>
      </c>
      <c r="CO64" s="83">
        <f t="shared" si="42"/>
        <v>1.7328360627539996</v>
      </c>
      <c r="CP64" s="83">
        <f t="shared" si="42"/>
        <v>1.0813222636134538</v>
      </c>
      <c r="CQ64" s="83">
        <f t="shared" si="42"/>
        <v>1.8246950427728463</v>
      </c>
      <c r="CR64" s="83">
        <f t="shared" si="42"/>
        <v>0.8112148345978879</v>
      </c>
      <c r="CS64" s="83">
        <f t="shared" si="42"/>
        <v>0.69151043853905769</v>
      </c>
      <c r="CT64" s="83">
        <f t="shared" si="42"/>
        <v>3.9904021459575287</v>
      </c>
      <c r="CU64" s="83"/>
      <c r="CV64" s="83">
        <f t="shared" ref="CV64:DD64" si="43">(CV66+(2*CV62))</f>
        <v>5.2812880480947166</v>
      </c>
      <c r="CW64" s="83">
        <f t="shared" si="43"/>
        <v>1.7653708557946783</v>
      </c>
      <c r="CX64" s="83">
        <f t="shared" si="43"/>
        <v>2.8511529471646089</v>
      </c>
      <c r="CY64" s="83">
        <f t="shared" si="43"/>
        <v>1.874172703681225</v>
      </c>
      <c r="CZ64" s="83">
        <f t="shared" si="43"/>
        <v>1.0363058998507113</v>
      </c>
      <c r="DA64" s="83">
        <f t="shared" si="43"/>
        <v>2.4425317032203324</v>
      </c>
      <c r="DB64" s="83">
        <f t="shared" si="43"/>
        <v>0.74509633684825127</v>
      </c>
      <c r="DC64" s="83">
        <f t="shared" si="43"/>
        <v>0.29658086734338374</v>
      </c>
      <c r="DD64" s="83">
        <f t="shared" si="43"/>
        <v>3.7626347283782029</v>
      </c>
      <c r="DE64" s="83"/>
      <c r="DF64" s="83">
        <f t="shared" ref="DF64:DN64" si="44">(DF66+(2*DF62))</f>
        <v>5.3992345162509077</v>
      </c>
      <c r="DG64" s="83">
        <f t="shared" si="44"/>
        <v>1.1244746321952062</v>
      </c>
      <c r="DH64" s="83">
        <f t="shared" si="44"/>
        <v>2.1495929222223102</v>
      </c>
      <c r="DI64" s="83">
        <f t="shared" si="44"/>
        <v>1.7949791639025992</v>
      </c>
      <c r="DJ64" s="83">
        <f t="shared" si="44"/>
        <v>1.4320052882552696</v>
      </c>
      <c r="DK64" s="83">
        <f t="shared" si="44"/>
        <v>2.3280355124113568</v>
      </c>
      <c r="DL64" s="83">
        <f t="shared" si="44"/>
        <v>0.52856326348972638</v>
      </c>
      <c r="DM64" s="83">
        <f t="shared" si="44"/>
        <v>0</v>
      </c>
      <c r="DN64" s="83">
        <f t="shared" si="44"/>
        <v>3.2006397680079757</v>
      </c>
      <c r="DO64" s="83"/>
      <c r="DP64" s="83">
        <f t="shared" ref="DP64:FF64" si="45">(DP66+(2*DP62))</f>
        <v>4.8123489651511218</v>
      </c>
      <c r="DQ64" s="83">
        <f t="shared" si="45"/>
        <v>2.1838407174331884</v>
      </c>
      <c r="DR64" s="83">
        <f t="shared" si="45"/>
        <v>2.5156860023298391</v>
      </c>
      <c r="DS64" s="83">
        <f t="shared" si="45"/>
        <v>1.3237331532051941</v>
      </c>
      <c r="DT64" s="83">
        <f t="shared" si="45"/>
        <v>1.6806849928483563</v>
      </c>
      <c r="DU64" s="83">
        <f t="shared" si="45"/>
        <v>2.2833672727973666</v>
      </c>
      <c r="DV64" s="83">
        <f t="shared" si="45"/>
        <v>0.52856326348972638</v>
      </c>
      <c r="DW64" s="83">
        <f t="shared" si="45"/>
        <v>0</v>
      </c>
      <c r="DX64" s="83">
        <f t="shared" si="45"/>
        <v>3.6626533565225756</v>
      </c>
      <c r="DY64" s="83">
        <f t="shared" si="45"/>
        <v>6.9902493587048333</v>
      </c>
      <c r="DZ64" s="83">
        <f t="shared" si="45"/>
        <v>1.6148242004152826</v>
      </c>
      <c r="EA64" s="83">
        <f t="shared" si="45"/>
        <v>1.1204078565082649</v>
      </c>
      <c r="EB64" s="83">
        <f t="shared" si="45"/>
        <v>12.245001247333324</v>
      </c>
      <c r="EC64" s="83">
        <f t="shared" si="45"/>
        <v>2.9622112056449845</v>
      </c>
      <c r="ED64" s="83">
        <f t="shared" si="45"/>
        <v>1.6090385400579179</v>
      </c>
      <c r="EE64" s="83">
        <f t="shared" si="45"/>
        <v>2.3904427977957368</v>
      </c>
      <c r="EF64" s="83">
        <f t="shared" si="45"/>
        <v>1.8219515571770191</v>
      </c>
      <c r="EG64" s="83">
        <f t="shared" si="45"/>
        <v>2.7061933729037841</v>
      </c>
      <c r="EH64" s="83">
        <f t="shared" si="45"/>
        <v>3.0592197258960629</v>
      </c>
      <c r="EI64" s="83">
        <f t="shared" si="45"/>
        <v>1.9509935800376725</v>
      </c>
      <c r="EJ64" s="83">
        <f t="shared" si="45"/>
        <v>3.2022524658625522</v>
      </c>
      <c r="EK64" s="83">
        <f t="shared" si="45"/>
        <v>1.1560819387526189</v>
      </c>
      <c r="EL64" s="83">
        <f t="shared" si="45"/>
        <v>3.9298882710454843</v>
      </c>
      <c r="EM64" s="83">
        <f t="shared" si="45"/>
        <v>2.2863076225496939</v>
      </c>
      <c r="EN64" s="83">
        <f t="shared" si="45"/>
        <v>1.1758200997725514</v>
      </c>
      <c r="EO64" s="83">
        <f t="shared" si="45"/>
        <v>1.25</v>
      </c>
      <c r="EP64" s="83">
        <f t="shared" si="45"/>
        <v>0</v>
      </c>
      <c r="EQ64" s="83" t="e">
        <f t="shared" ref="EQ64" si="46">(EQ66+(2*EQ62))</f>
        <v>#DIV/0!</v>
      </c>
      <c r="ER64" s="83">
        <f t="shared" si="45"/>
        <v>11.533920935154715</v>
      </c>
      <c r="ES64" s="83">
        <f t="shared" si="45"/>
        <v>1.6528254378581733</v>
      </c>
      <c r="ET64" s="83">
        <f t="shared" si="45"/>
        <v>1.1264723784954132</v>
      </c>
      <c r="EU64" s="83">
        <f t="shared" si="45"/>
        <v>2.293233469046851</v>
      </c>
      <c r="EV64" s="83">
        <f t="shared" si="45"/>
        <v>2.8597939424831975</v>
      </c>
      <c r="EW64" s="83">
        <f t="shared" si="45"/>
        <v>2.4388052570217429</v>
      </c>
      <c r="EX64" s="83">
        <f t="shared" si="45"/>
        <v>2.5192378838203626</v>
      </c>
      <c r="EY64" s="83">
        <f t="shared" si="45"/>
        <v>3.185971865465413</v>
      </c>
      <c r="EZ64" s="83">
        <f t="shared" si="45"/>
        <v>3.10487578595479</v>
      </c>
      <c r="FA64" s="83">
        <f t="shared" si="45"/>
        <v>1.5521307123745218</v>
      </c>
      <c r="FB64" s="83">
        <f t="shared" si="45"/>
        <v>1.8630476182856899</v>
      </c>
      <c r="FC64" s="83">
        <f t="shared" si="45"/>
        <v>1.25</v>
      </c>
      <c r="FD64" s="83">
        <f t="shared" si="45"/>
        <v>1.9142135623730951</v>
      </c>
      <c r="FE64" s="83" t="e">
        <f t="shared" ref="FE64" si="47">(FE66+(2*FE62))</f>
        <v>#DIV/0!</v>
      </c>
      <c r="FF64" s="83">
        <f t="shared" si="45"/>
        <v>9.8611382150970108</v>
      </c>
      <c r="FI64" s="88" t="s">
        <v>280</v>
      </c>
    </row>
    <row r="65" spans="1:165" x14ac:dyDescent="0.25">
      <c r="A65" s="87" t="s">
        <v>279</v>
      </c>
      <c r="B65" s="53"/>
      <c r="C65" s="53"/>
      <c r="D65" s="53"/>
      <c r="E65" s="83">
        <f>(E66+E62)</f>
        <v>1366.8790344561012</v>
      </c>
      <c r="F65" s="83"/>
      <c r="G65" s="83"/>
      <c r="H65" s="83"/>
      <c r="I65" s="83"/>
      <c r="J65" s="83">
        <f t="shared" ref="J65:R65" si="48">(J66+J62)</f>
        <v>6.0459567758365642</v>
      </c>
      <c r="K65" s="83">
        <f t="shared" si="48"/>
        <v>6.0184664985932876</v>
      </c>
      <c r="L65" s="83">
        <f t="shared" si="48"/>
        <v>3.77572937835017</v>
      </c>
      <c r="M65" s="83">
        <f t="shared" si="48"/>
        <v>3.107504357120122</v>
      </c>
      <c r="N65" s="83">
        <f t="shared" si="48"/>
        <v>2.4750304971950925</v>
      </c>
      <c r="O65" s="83">
        <f t="shared" si="48"/>
        <v>6.223370517881273</v>
      </c>
      <c r="P65" s="83">
        <f t="shared" si="48"/>
        <v>0.93642182732236612</v>
      </c>
      <c r="Q65" s="83">
        <f t="shared" si="48"/>
        <v>0.98376007413066269</v>
      </c>
      <c r="R65" s="83">
        <f t="shared" si="48"/>
        <v>23.120333521129513</v>
      </c>
      <c r="S65" s="83"/>
      <c r="T65" s="83"/>
      <c r="U65" s="83">
        <f>(U66+U62)</f>
        <v>1.247844361389173</v>
      </c>
      <c r="V65" s="83">
        <f>(V66+V62)</f>
        <v>0.72726436637127523</v>
      </c>
      <c r="W65" s="83"/>
      <c r="X65" s="83"/>
      <c r="Y65" s="83"/>
      <c r="Z65" s="83"/>
      <c r="AA65" s="83"/>
      <c r="AB65" s="83">
        <f t="shared" ref="AB65:AJ65" si="49">(AB66+AB62)</f>
        <v>5.2939810554114572</v>
      </c>
      <c r="AC65" s="83">
        <f t="shared" si="49"/>
        <v>7.3328168967453431</v>
      </c>
      <c r="AD65" s="83">
        <f t="shared" si="49"/>
        <v>4.1928797310973795</v>
      </c>
      <c r="AE65" s="83">
        <f t="shared" si="49"/>
        <v>3.2378702012402818</v>
      </c>
      <c r="AF65" s="83">
        <f t="shared" si="49"/>
        <v>1.979018013126256</v>
      </c>
      <c r="AG65" s="83">
        <f t="shared" si="49"/>
        <v>5.0746190509203739</v>
      </c>
      <c r="AH65" s="83">
        <f t="shared" si="49"/>
        <v>0.65620486058074778</v>
      </c>
      <c r="AI65" s="83">
        <f t="shared" si="49"/>
        <v>0.63681497796057307</v>
      </c>
      <c r="AJ65" s="83">
        <f t="shared" si="49"/>
        <v>24.191443900702243</v>
      </c>
      <c r="AK65" s="83"/>
      <c r="AL65" s="83"/>
      <c r="AM65" s="83"/>
      <c r="AN65" s="83">
        <f t="shared" ref="AN65:AV65" si="50">(AN66+AN62)</f>
        <v>4.8934897745869943</v>
      </c>
      <c r="AO65" s="83">
        <f t="shared" si="50"/>
        <v>1.7376690721483747</v>
      </c>
      <c r="AP65" s="83">
        <f t="shared" si="50"/>
        <v>2.1488742321830081</v>
      </c>
      <c r="AQ65" s="83">
        <f t="shared" si="50"/>
        <v>0.95851526939883902</v>
      </c>
      <c r="AR65" s="83">
        <f t="shared" si="50"/>
        <v>1.1806399363462587</v>
      </c>
      <c r="AS65" s="83">
        <f t="shared" si="50"/>
        <v>1.9701425001453319</v>
      </c>
      <c r="AT65" s="83">
        <f t="shared" si="50"/>
        <v>0.2326454478066928</v>
      </c>
      <c r="AU65" s="83">
        <f t="shared" si="50"/>
        <v>0.1579058182870765</v>
      </c>
      <c r="AV65" s="83">
        <f t="shared" si="50"/>
        <v>3.5301410112413434</v>
      </c>
      <c r="AW65" s="83"/>
      <c r="AX65" s="83">
        <f t="shared" ref="AX65:BF65" si="51">(AX66+AX62)</f>
        <v>4.8008084165083948</v>
      </c>
      <c r="AY65" s="83">
        <f t="shared" si="51"/>
        <v>1.4828494364277915</v>
      </c>
      <c r="AZ65" s="83">
        <f t="shared" si="51"/>
        <v>1.7399067844214402</v>
      </c>
      <c r="BA65" s="83">
        <f t="shared" si="51"/>
        <v>1.1988410333263797</v>
      </c>
      <c r="BB65" s="83">
        <f t="shared" si="51"/>
        <v>1.0840527016654327</v>
      </c>
      <c r="BC65" s="83">
        <f t="shared" si="51"/>
        <v>2.1774039115867261</v>
      </c>
      <c r="BD65" s="83">
        <f t="shared" si="51"/>
        <v>0.53209993377106723</v>
      </c>
      <c r="BE65" s="83">
        <f t="shared" si="51"/>
        <v>0.1579058182870765</v>
      </c>
      <c r="BF65" s="83">
        <f t="shared" si="51"/>
        <v>3.4260035743853696</v>
      </c>
      <c r="BG65" s="83"/>
      <c r="BH65" s="83">
        <f t="shared" ref="BH65:BP65" si="52">(BH66+BH62)</f>
        <v>4.5299099849551414</v>
      </c>
      <c r="BI65" s="83">
        <f t="shared" si="52"/>
        <v>1.2829633601599428</v>
      </c>
      <c r="BJ65" s="83">
        <f t="shared" si="52"/>
        <v>1.7771108807881097</v>
      </c>
      <c r="BK65" s="83">
        <f t="shared" si="52"/>
        <v>1.4652217575916113</v>
      </c>
      <c r="BL65" s="83">
        <f t="shared" si="52"/>
        <v>1.2138936597434942</v>
      </c>
      <c r="BM65" s="83">
        <f t="shared" si="52"/>
        <v>1.6045733501162789</v>
      </c>
      <c r="BN65" s="83">
        <f t="shared" si="52"/>
        <v>0.3459921945216019</v>
      </c>
      <c r="BO65" s="83">
        <f t="shared" si="52"/>
        <v>0.2326454478066928</v>
      </c>
      <c r="BP65" s="83">
        <f t="shared" si="52"/>
        <v>3.090961590073908</v>
      </c>
      <c r="BQ65" s="83"/>
      <c r="BR65" s="83">
        <f t="shared" ref="BR65:BZ65" si="53">(BR66+BR62)</f>
        <v>4.8463013845094984</v>
      </c>
      <c r="BS65" s="83">
        <f t="shared" si="53"/>
        <v>1.0813468466041891</v>
      </c>
      <c r="BT65" s="83">
        <f t="shared" si="53"/>
        <v>1.9901475429766742</v>
      </c>
      <c r="BU65" s="83">
        <f t="shared" si="53"/>
        <v>1.8354009166209591</v>
      </c>
      <c r="BV65" s="83">
        <f t="shared" si="53"/>
        <v>0.72999182999582923</v>
      </c>
      <c r="BW65" s="83">
        <f t="shared" si="53"/>
        <v>2.1931067569671905</v>
      </c>
      <c r="BX65" s="83">
        <f t="shared" si="53"/>
        <v>0</v>
      </c>
      <c r="BY65" s="83">
        <f t="shared" si="53"/>
        <v>0.2326454478066928</v>
      </c>
      <c r="BZ65" s="83">
        <f t="shared" si="53"/>
        <v>3.1405557734516103</v>
      </c>
      <c r="CA65" s="83"/>
      <c r="CB65" s="83">
        <f t="shared" ref="CB65:CJ65" si="54">(CB66+CB62)</f>
        <v>4.5257383290805961</v>
      </c>
      <c r="CC65" s="83">
        <f t="shared" si="54"/>
        <v>1.2081169404648047</v>
      </c>
      <c r="CD65" s="83">
        <f t="shared" si="54"/>
        <v>1.9607729245474759</v>
      </c>
      <c r="CE65" s="83">
        <f t="shared" si="54"/>
        <v>0.96042444446334629</v>
      </c>
      <c r="CF65" s="83">
        <f t="shared" si="54"/>
        <v>0.87718696535116014</v>
      </c>
      <c r="CG65" s="83">
        <f t="shared" si="54"/>
        <v>1.2727412255277262</v>
      </c>
      <c r="CH65" s="83">
        <f t="shared" si="54"/>
        <v>0.29312778559101704</v>
      </c>
      <c r="CI65" s="83">
        <f t="shared" si="54"/>
        <v>0.29312778559101704</v>
      </c>
      <c r="CJ65" s="83">
        <f t="shared" si="54"/>
        <v>3.1703568637758197</v>
      </c>
      <c r="CK65" s="83"/>
      <c r="CL65" s="83">
        <f t="shared" ref="CL65:CT65" si="55">(CL66+CL62)</f>
        <v>4.5745170311687593</v>
      </c>
      <c r="CM65" s="83">
        <f t="shared" si="55"/>
        <v>1.0683411083000767</v>
      </c>
      <c r="CN65" s="83">
        <f t="shared" si="55"/>
        <v>1.6927564651410454</v>
      </c>
      <c r="CO65" s="83">
        <f t="shared" si="55"/>
        <v>1.0683411083000767</v>
      </c>
      <c r="CP65" s="83">
        <f t="shared" si="55"/>
        <v>0.63681497796057307</v>
      </c>
      <c r="CQ65" s="83">
        <f t="shared" si="55"/>
        <v>1.2296552136941155</v>
      </c>
      <c r="CR65" s="83">
        <f t="shared" si="55"/>
        <v>0.45368434037586702</v>
      </c>
      <c r="CS65" s="83">
        <f t="shared" si="55"/>
        <v>0.39383214234645192</v>
      </c>
      <c r="CT65" s="83">
        <f t="shared" si="55"/>
        <v>2.6202010729787641</v>
      </c>
      <c r="CU65" s="83"/>
      <c r="CV65" s="83">
        <f t="shared" ref="CV65:DD65" si="56">(CV66+CV62)</f>
        <v>4.4675671009704354</v>
      </c>
      <c r="CW65" s="83">
        <f t="shared" si="56"/>
        <v>1.0749931202050316</v>
      </c>
      <c r="CX65" s="83">
        <f t="shared" si="56"/>
        <v>1.8678841658899965</v>
      </c>
      <c r="CY65" s="83">
        <f t="shared" si="56"/>
        <v>1.1101632749175354</v>
      </c>
      <c r="CZ65" s="83">
        <f t="shared" si="56"/>
        <v>0.62392218069458649</v>
      </c>
      <c r="DA65" s="83">
        <f t="shared" si="56"/>
        <v>1.6251120054563202</v>
      </c>
      <c r="DB65" s="83">
        <f t="shared" si="56"/>
        <v>0.41100970688566413</v>
      </c>
      <c r="DC65" s="83">
        <f t="shared" si="56"/>
        <v>0.1579058182870765</v>
      </c>
      <c r="DD65" s="83">
        <f t="shared" si="56"/>
        <v>2.4486250564967937</v>
      </c>
      <c r="DE65" s="83"/>
      <c r="DF65" s="83">
        <f t="shared" ref="DF65:DN65" si="57">(DF66+DF62)</f>
        <v>4.4207711042793001</v>
      </c>
      <c r="DG65" s="83">
        <f t="shared" si="57"/>
        <v>0.68723731609760308</v>
      </c>
      <c r="DH65" s="83">
        <f t="shared" si="57"/>
        <v>1.4209503072650012</v>
      </c>
      <c r="DI65" s="83">
        <f t="shared" si="57"/>
        <v>1.0801818896436073</v>
      </c>
      <c r="DJ65" s="83">
        <f t="shared" si="57"/>
        <v>0.86023341335840409</v>
      </c>
      <c r="DK65" s="83">
        <f t="shared" si="57"/>
        <v>1.5390177562056784</v>
      </c>
      <c r="DL65" s="83">
        <f t="shared" si="57"/>
        <v>0.29312778559101704</v>
      </c>
      <c r="DM65" s="83">
        <f t="shared" si="57"/>
        <v>0</v>
      </c>
      <c r="DN65" s="83">
        <f t="shared" si="57"/>
        <v>2.0810891147732185</v>
      </c>
      <c r="DO65" s="83"/>
      <c r="DP65" s="83">
        <f t="shared" ref="DP65:FF65" si="58">(DP66+DP62)</f>
        <v>4.0119437133447917</v>
      </c>
      <c r="DQ65" s="83">
        <f t="shared" si="58"/>
        <v>1.3323049741012096</v>
      </c>
      <c r="DR65" s="83">
        <f t="shared" si="58"/>
        <v>1.6328430011649195</v>
      </c>
      <c r="DS65" s="83">
        <f t="shared" si="58"/>
        <v>0.77725119198721249</v>
      </c>
      <c r="DT65" s="83">
        <f t="shared" si="58"/>
        <v>1.0230348041164858</v>
      </c>
      <c r="DU65" s="83">
        <f t="shared" si="58"/>
        <v>1.5262990210140681</v>
      </c>
      <c r="DV65" s="83">
        <f t="shared" si="58"/>
        <v>0.29312778559101704</v>
      </c>
      <c r="DW65" s="83">
        <f t="shared" si="58"/>
        <v>0</v>
      </c>
      <c r="DX65" s="83">
        <f t="shared" si="58"/>
        <v>2.2928651397997495</v>
      </c>
      <c r="DY65" s="83">
        <f t="shared" si="58"/>
        <v>4.5944836537113911</v>
      </c>
      <c r="DZ65" s="83">
        <f t="shared" si="58"/>
        <v>0.93241210020764131</v>
      </c>
      <c r="EA65" s="83">
        <f t="shared" si="58"/>
        <v>0.64674238979259391</v>
      </c>
      <c r="EB65" s="83">
        <f t="shared" si="58"/>
        <v>9.4526288287948663</v>
      </c>
      <c r="EC65" s="83">
        <f t="shared" si="58"/>
        <v>1.9137979105148</v>
      </c>
      <c r="ED65" s="83">
        <f t="shared" si="58"/>
        <v>1.0064423469520358</v>
      </c>
      <c r="EE65" s="83">
        <f t="shared" si="58"/>
        <v>1.4740675527440223</v>
      </c>
      <c r="EF65" s="83">
        <f t="shared" si="58"/>
        <v>1.0840527016654327</v>
      </c>
      <c r="EG65" s="83">
        <f t="shared" si="58"/>
        <v>1.6127120710672767</v>
      </c>
      <c r="EH65" s="83">
        <f t="shared" si="58"/>
        <v>1.8565329398711086</v>
      </c>
      <c r="EI65" s="83">
        <f t="shared" si="58"/>
        <v>1.1774198669419131</v>
      </c>
      <c r="EJ65" s="83">
        <f t="shared" si="58"/>
        <v>1.9184339252389684</v>
      </c>
      <c r="EK65" s="83">
        <f t="shared" si="58"/>
        <v>0.66987770407018699</v>
      </c>
      <c r="EL65" s="83">
        <f t="shared" si="58"/>
        <v>2.3816108021894089</v>
      </c>
      <c r="EM65" s="83">
        <f t="shared" si="58"/>
        <v>1.348282016403052</v>
      </c>
      <c r="EN65" s="83">
        <f t="shared" si="58"/>
        <v>0.71291004988627571</v>
      </c>
      <c r="EO65" s="83">
        <f t="shared" si="58"/>
        <v>0.75</v>
      </c>
      <c r="EP65" s="83">
        <f t="shared" si="58"/>
        <v>0</v>
      </c>
      <c r="EQ65" s="83" t="e">
        <f t="shared" ref="EQ65" si="59">(EQ66+EQ62)</f>
        <v>#DIV/0!</v>
      </c>
      <c r="ER65" s="83">
        <f t="shared" si="58"/>
        <v>7.978498929115819</v>
      </c>
      <c r="ES65" s="83">
        <f t="shared" si="58"/>
        <v>0.99948964200600965</v>
      </c>
      <c r="ET65" s="83">
        <f t="shared" si="58"/>
        <v>0.6690054200169373</v>
      </c>
      <c r="EU65" s="83">
        <f t="shared" si="58"/>
        <v>1.3966167345234255</v>
      </c>
      <c r="EV65" s="83">
        <f t="shared" si="58"/>
        <v>1.6798969712415988</v>
      </c>
      <c r="EW65" s="83">
        <f t="shared" si="58"/>
        <v>1.479018013126256</v>
      </c>
      <c r="EX65" s="83">
        <f t="shared" si="58"/>
        <v>1.5000035572947967</v>
      </c>
      <c r="EY65" s="83">
        <f t="shared" si="58"/>
        <v>1.8871035797915301</v>
      </c>
      <c r="EZ65" s="83">
        <f t="shared" si="58"/>
        <v>1.8545212263107285</v>
      </c>
      <c r="FA65" s="83">
        <f t="shared" si="58"/>
        <v>0.90764430355568204</v>
      </c>
      <c r="FB65" s="83">
        <f t="shared" si="58"/>
        <v>1.119023809142845</v>
      </c>
      <c r="FC65" s="83">
        <f t="shared" si="58"/>
        <v>0.75</v>
      </c>
      <c r="FD65" s="83">
        <f t="shared" si="58"/>
        <v>1.2071067811865475</v>
      </c>
      <c r="FE65" s="83" t="e">
        <f t="shared" ref="FE65" si="60">(FE66+FE62)</f>
        <v>#DIV/0!</v>
      </c>
      <c r="FF65" s="83">
        <f t="shared" si="58"/>
        <v>6.9305691075485054</v>
      </c>
      <c r="FI65" s="88" t="s">
        <v>279</v>
      </c>
    </row>
    <row r="66" spans="1:165" x14ac:dyDescent="0.25">
      <c r="A66" s="82" t="s">
        <v>233</v>
      </c>
      <c r="B66" s="90"/>
      <c r="C66" s="90"/>
      <c r="D66" s="90"/>
      <c r="E66" s="41">
        <f>AVERAGE(Table112[Att])</f>
        <v>889.78431372549016</v>
      </c>
      <c r="F66" s="90"/>
      <c r="G66" s="90"/>
      <c r="H66" s="90"/>
      <c r="I66" s="90"/>
      <c r="J66" s="41">
        <f>AVERAGE(Table112[S-IP])</f>
        <v>5.0128205128205119</v>
      </c>
      <c r="K66" s="41">
        <f>AVERAGE(Table112[S-H])</f>
        <v>4.5576923076923075</v>
      </c>
      <c r="L66" s="41">
        <f>AVERAGE(Table112[S-R])</f>
        <v>2.0384615384615383</v>
      </c>
      <c r="M66" s="41">
        <f>AVERAGE(Table112[S-ER])</f>
        <v>1.6538461538461537</v>
      </c>
      <c r="N66" s="41">
        <f>AVERAGE(Table112[S-BB])</f>
        <v>1.4038461538461537</v>
      </c>
      <c r="O66" s="41">
        <f>AVERAGE(Table112[S-SO])</f>
        <v>4.365384615384615</v>
      </c>
      <c r="P66" s="41">
        <f>AVERAGE(Table112[S-HR])</f>
        <v>0.34615384615384615</v>
      </c>
      <c r="Q66" s="41">
        <f>AVERAGE(Table112[S-HBP])</f>
        <v>0.38461538461538464</v>
      </c>
      <c r="R66" s="41">
        <f>AVERAGE(Table112[S-BF])</f>
        <v>20.673076923076923</v>
      </c>
      <c r="S66" s="41"/>
      <c r="T66" s="41"/>
      <c r="U66" s="41">
        <f>AVERAGE(Table112[IRL])</f>
        <v>0.42307692307692307</v>
      </c>
      <c r="V66" s="41">
        <f>AVERAGE(Table112[IRS])</f>
        <v>0.15384615384615385</v>
      </c>
      <c r="W66" s="90"/>
      <c r="X66" s="90"/>
      <c r="Y66" s="90"/>
      <c r="Z66" s="90"/>
      <c r="AA66" s="90"/>
      <c r="AB66" s="41">
        <f>AVERAGE(Table112[B-IP])</f>
        <v>3.8910256410256419</v>
      </c>
      <c r="AC66" s="41">
        <f>AVERAGE(Table112[B-H])</f>
        <v>4.2884615384615383</v>
      </c>
      <c r="AD66" s="41">
        <f>AVERAGE(Table112[B-R])</f>
        <v>1.9615384615384615</v>
      </c>
      <c r="AE66" s="41">
        <f>AVERAGE(Table112[B-ER])</f>
        <v>1.4615384615384615</v>
      </c>
      <c r="AF66" s="41">
        <f>AVERAGE(Table112[B-BB])</f>
        <v>1.0192307692307692</v>
      </c>
      <c r="AG66" s="41">
        <f>AVERAGE(Table112[B-SO])</f>
        <v>3.2692307692307692</v>
      </c>
      <c r="AH66" s="41">
        <f>AVERAGE(Table112[B-HR])</f>
        <v>0.23076923076923078</v>
      </c>
      <c r="AI66" s="41">
        <f>AVERAGE(Table112[B-HBP])</f>
        <v>0.19230769230769232</v>
      </c>
      <c r="AJ66" s="41">
        <f>AVERAGE(Table112[B-BF])</f>
        <v>17.21153846153846</v>
      </c>
      <c r="AK66" s="41"/>
      <c r="AL66" s="41"/>
      <c r="AM66" s="90"/>
      <c r="AN66" s="41">
        <f>AVERAGE(Table112[AB1])</f>
        <v>4.0192307692307692</v>
      </c>
      <c r="AO66" s="41">
        <f>AVERAGE(Table112[R1])</f>
        <v>0.75</v>
      </c>
      <c r="AP66" s="41">
        <f>AVERAGE(Table112[H1])</f>
        <v>1.0961538461538463</v>
      </c>
      <c r="AQ66" s="41">
        <f>AVERAGE(Table112[RBI1])</f>
        <v>0.26923076923076922</v>
      </c>
      <c r="AR66" s="41">
        <f>AVERAGE(Table112[BB1])</f>
        <v>0.48076923076923078</v>
      </c>
      <c r="AS66" s="41">
        <f>AVERAGE(Table112[SO1])</f>
        <v>1</v>
      </c>
      <c r="AT66" s="41">
        <f>AVERAGE(Table112[HBP1])</f>
        <v>3.8461538461538464E-2</v>
      </c>
      <c r="AU66" s="41">
        <f>AVERAGE(Table112[SF1])</f>
        <v>1.9230769230769232E-2</v>
      </c>
      <c r="AV66" s="41">
        <f>AVERAGE(Table112[TB1])</f>
        <v>1.7115384615384615</v>
      </c>
      <c r="AW66" s="90"/>
      <c r="AX66" s="41">
        <f>AVERAGE(Table112[AB2])</f>
        <v>3.9615384615384617</v>
      </c>
      <c r="AY66" s="41">
        <f>AVERAGE(Table112[R2])</f>
        <v>0.67307692307692313</v>
      </c>
      <c r="AZ66" s="41">
        <f>AVERAGE(Table112[H2])</f>
        <v>0.88461538461538458</v>
      </c>
      <c r="BA66" s="41">
        <f>AVERAGE(Table112[RBI2])</f>
        <v>0.42307692307692307</v>
      </c>
      <c r="BB66" s="41">
        <f>AVERAGE(Table112[BB2])</f>
        <v>0.34615384615384615</v>
      </c>
      <c r="BC66" s="41">
        <f>AVERAGE(Table112[SO2])</f>
        <v>1.1730769230769231</v>
      </c>
      <c r="BD66" s="41">
        <f>AVERAGE(Table112[HBP2])</f>
        <v>0.13461538461538461</v>
      </c>
      <c r="BE66" s="41">
        <f>AVERAGE(Table112[SF2])</f>
        <v>1.9230769230769232E-2</v>
      </c>
      <c r="BF66" s="41">
        <f>AVERAGE(Table112[TB2])</f>
        <v>1.4807692307692308</v>
      </c>
      <c r="BG66" s="90"/>
      <c r="BH66" s="41">
        <f>AVERAGE(Table112[AB3])</f>
        <v>3.6730769230769229</v>
      </c>
      <c r="BI66" s="41">
        <f>AVERAGE(Table112[R3])</f>
        <v>0.55769230769230771</v>
      </c>
      <c r="BJ66" s="41">
        <f>AVERAGE(Table112[H3])</f>
        <v>0.96153846153846156</v>
      </c>
      <c r="BK66" s="41">
        <f>AVERAGE(Table112[RBI3])</f>
        <v>0.59615384615384615</v>
      </c>
      <c r="BL66" s="41">
        <f>AVERAGE(Table112[BB3])</f>
        <v>0.57692307692307687</v>
      </c>
      <c r="BM66" s="41">
        <f>AVERAGE(Table112[SO3])</f>
        <v>0.71153846153846156</v>
      </c>
      <c r="BN66" s="41">
        <f>AVERAGE(Table112[HBP3])</f>
        <v>7.6923076923076927E-2</v>
      </c>
      <c r="BO66" s="41">
        <f>AVERAGE(Table112[SF3])</f>
        <v>3.8461538461538464E-2</v>
      </c>
      <c r="BP66" s="41">
        <f>AVERAGE(Table112[TB3])</f>
        <v>1.5384615384615385</v>
      </c>
      <c r="BQ66" s="90"/>
      <c r="BR66" s="41">
        <f>AVERAGE(Table112[AB4])</f>
        <v>3.9615384615384617</v>
      </c>
      <c r="BS66" s="41">
        <f>AVERAGE(Table112[R4])</f>
        <v>0.44230769230769229</v>
      </c>
      <c r="BT66" s="41">
        <f>AVERAGE(Table112[H4])</f>
        <v>1</v>
      </c>
      <c r="BU66" s="41">
        <f>AVERAGE(Table112[RBI4])</f>
        <v>0.73076923076923073</v>
      </c>
      <c r="BV66" s="41">
        <f>AVERAGE(Table112[BB4])</f>
        <v>0.25</v>
      </c>
      <c r="BW66" s="41">
        <f>AVERAGE(Table112[SO4])</f>
        <v>1.2307692307692308</v>
      </c>
      <c r="BX66" s="41">
        <f>AVERAGE(Table112[HBP4])</f>
        <v>0</v>
      </c>
      <c r="BY66" s="41">
        <f>AVERAGE(Table112[SF4])</f>
        <v>3.8461538461538464E-2</v>
      </c>
      <c r="BZ66" s="41">
        <f>AVERAGE(Table112[TB4])</f>
        <v>1.5769230769230769</v>
      </c>
      <c r="CA66" s="90"/>
      <c r="CB66" s="41">
        <f>AVERAGE(Table112[AB5])</f>
        <v>3.7307692307692308</v>
      </c>
      <c r="CC66" s="41">
        <f>AVERAGE(Table112[R5])</f>
        <v>0.48076923076923078</v>
      </c>
      <c r="CD66" s="41">
        <f>AVERAGE(Table112[H5])</f>
        <v>0.98076923076923073</v>
      </c>
      <c r="CE66" s="41">
        <f>AVERAGE(Table112[RBI5])</f>
        <v>0.36538461538461536</v>
      </c>
      <c r="CF66" s="41">
        <f>AVERAGE(Table112[BB5])</f>
        <v>0.32692307692307693</v>
      </c>
      <c r="CG66" s="41">
        <f>AVERAGE(Table112[SO5])</f>
        <v>0.57692307692307687</v>
      </c>
      <c r="CH66" s="41">
        <f>AVERAGE(Table112[HBP5])</f>
        <v>5.7692307692307696E-2</v>
      </c>
      <c r="CI66" s="41">
        <f>AVERAGE(Table112[SF5])</f>
        <v>5.7692307692307696E-2</v>
      </c>
      <c r="CJ66" s="41">
        <f>AVERAGE(Table112[TB5])</f>
        <v>1.4615384615384615</v>
      </c>
      <c r="CK66" s="90"/>
      <c r="CL66" s="41">
        <f>AVERAGE(Table112[AB6])</f>
        <v>3.6730769230769229</v>
      </c>
      <c r="CM66" s="41">
        <f>AVERAGE(Table112[R6])</f>
        <v>0.40384615384615385</v>
      </c>
      <c r="CN66" s="41">
        <f>AVERAGE(Table112[H6])</f>
        <v>0.88461538461538458</v>
      </c>
      <c r="CO66" s="41">
        <f>AVERAGE(Table112[RBI6])</f>
        <v>0.40384615384615385</v>
      </c>
      <c r="CP66" s="41">
        <f>AVERAGE(Table112[BB6])</f>
        <v>0.19230769230769232</v>
      </c>
      <c r="CQ66" s="41">
        <f>AVERAGE(Table112[SO6])</f>
        <v>0.63461538461538458</v>
      </c>
      <c r="CR66" s="41">
        <f>AVERAGE(Table112[HBP6])</f>
        <v>9.6153846153846159E-2</v>
      </c>
      <c r="CS66" s="41">
        <f>AVERAGE(Table112[SF6])</f>
        <v>9.6153846153846159E-2</v>
      </c>
      <c r="CT66" s="41">
        <f>AVERAGE(Table112[TB6])</f>
        <v>1.25</v>
      </c>
      <c r="CU66" s="90"/>
      <c r="CV66" s="41">
        <f>AVERAGE(Table112[AB7])</f>
        <v>3.6538461538461537</v>
      </c>
      <c r="CW66" s="41">
        <f>AVERAGE(Table112[R7])</f>
        <v>0.38461538461538464</v>
      </c>
      <c r="CX66" s="41">
        <f>AVERAGE(Table112[H7])</f>
        <v>0.88461538461538458</v>
      </c>
      <c r="CY66" s="41">
        <f>AVERAGE(Table112[RBI7])</f>
        <v>0.34615384615384615</v>
      </c>
      <c r="CZ66" s="41">
        <f>AVERAGE(Table112[BB7])</f>
        <v>0.21153846153846154</v>
      </c>
      <c r="DA66" s="41">
        <f>AVERAGE(Table112[SO7])</f>
        <v>0.80769230769230771</v>
      </c>
      <c r="DB66" s="41">
        <f>AVERAGE(Table112[HBP7])</f>
        <v>7.6923076923076927E-2</v>
      </c>
      <c r="DC66" s="41">
        <f>AVERAGE(Table112[SF7])</f>
        <v>1.9230769230769232E-2</v>
      </c>
      <c r="DD66" s="41">
        <f>AVERAGE(Table112[TB7])</f>
        <v>1.1346153846153846</v>
      </c>
      <c r="DE66" s="90"/>
      <c r="DF66" s="41">
        <f>AVERAGE(Table112[AB8])</f>
        <v>3.4423076923076925</v>
      </c>
      <c r="DG66" s="41">
        <f>AVERAGE(Table112[R8])</f>
        <v>0.25</v>
      </c>
      <c r="DH66" s="41">
        <f>AVERAGE(Table112[H8])</f>
        <v>0.69230769230769229</v>
      </c>
      <c r="DI66" s="41">
        <f>AVERAGE(Table112[RBI8])</f>
        <v>0.36538461538461536</v>
      </c>
      <c r="DJ66" s="41">
        <f>AVERAGE(Table112[BB8])</f>
        <v>0.28846153846153844</v>
      </c>
      <c r="DK66" s="41">
        <f>AVERAGE(Table112[SO8])</f>
        <v>0.75</v>
      </c>
      <c r="DL66" s="41">
        <f>AVERAGE(Table112[HBP8])</f>
        <v>5.7692307692307696E-2</v>
      </c>
      <c r="DM66" s="41">
        <f>AVERAGE(Table112[SF8])</f>
        <v>0</v>
      </c>
      <c r="DN66" s="41">
        <f>AVERAGE(Table112[TB8])</f>
        <v>0.96153846153846156</v>
      </c>
      <c r="DO66" s="90"/>
      <c r="DP66" s="41">
        <f>AVERAGE(Table112[AB9])</f>
        <v>3.2115384615384617</v>
      </c>
      <c r="DQ66" s="41">
        <f>AVERAGE(Table112[R9])</f>
        <v>0.48076923076923078</v>
      </c>
      <c r="DR66" s="41">
        <f>AVERAGE(Table112[H9])</f>
        <v>0.75</v>
      </c>
      <c r="DS66" s="41">
        <f>AVERAGE(Table112[RBI9])</f>
        <v>0.23076923076923078</v>
      </c>
      <c r="DT66" s="41">
        <f>AVERAGE(Table112[BB9])</f>
        <v>0.36538461538461536</v>
      </c>
      <c r="DU66" s="41">
        <f>AVERAGE(Table112[SO9])</f>
        <v>0.76923076923076927</v>
      </c>
      <c r="DV66" s="41">
        <f>AVERAGE(Table112[HBP9])</f>
        <v>5.7692307692307696E-2</v>
      </c>
      <c r="DW66" s="41">
        <f>AVERAGE(Table112[SF9])</f>
        <v>0</v>
      </c>
      <c r="DX66" s="41">
        <f>AVERAGE(Table112[TB9])</f>
        <v>0.92307692307692313</v>
      </c>
      <c r="DY66" s="41">
        <f>AVERAGE(Table112[IVL])</f>
        <v>2.1987179487179485</v>
      </c>
      <c r="DZ66" s="41">
        <f>AVERAGE(Table112[SVL])</f>
        <v>0.25</v>
      </c>
      <c r="EA66" s="41">
        <f>AVERAGE(Table112[CVL])</f>
        <v>0.17307692307692307</v>
      </c>
      <c r="EB66" s="41">
        <f>AVERAGE(Table112[IVR])</f>
        <v>6.6602564102564097</v>
      </c>
      <c r="EC66" s="41">
        <f>AVERAGE(Table112[SVR])</f>
        <v>0.86538461538461542</v>
      </c>
      <c r="ED66" s="41">
        <f>AVERAGE(Table112[CVR])</f>
        <v>0.40384615384615385</v>
      </c>
      <c r="EE66" s="41">
        <f>AVERAGE(Table112[RI1])</f>
        <v>0.55769230769230771</v>
      </c>
      <c r="EF66" s="41">
        <f>AVERAGE(Table112[RI2])</f>
        <v>0.34615384615384615</v>
      </c>
      <c r="EG66" s="41">
        <f>AVERAGE(Table112[RI3])</f>
        <v>0.51923076923076927</v>
      </c>
      <c r="EH66" s="41">
        <f>AVERAGE(Table112[RI4])</f>
        <v>0.65384615384615385</v>
      </c>
      <c r="EI66" s="41">
        <f>AVERAGE(Table112[RI5])</f>
        <v>0.40384615384615385</v>
      </c>
      <c r="EJ66" s="41">
        <f>AVERAGE(Table112[RI6])</f>
        <v>0.63461538461538458</v>
      </c>
      <c r="EK66" s="41">
        <f>AVERAGE(Table112[RI7])</f>
        <v>0.18367346938775511</v>
      </c>
      <c r="EL66" s="41">
        <f>AVERAGE(Table112[RI8])</f>
        <v>0.83333333333333337</v>
      </c>
      <c r="EM66" s="41">
        <f>AVERAGE(Table112[RI9])</f>
        <v>0.41025641025641024</v>
      </c>
      <c r="EN66" s="41">
        <f>AVERAGE(Table112[RI10])</f>
        <v>0.25</v>
      </c>
      <c r="EO66" s="41">
        <f>AVERAGE(Table112[RI11])</f>
        <v>0.25</v>
      </c>
      <c r="EP66" s="41">
        <f>AVERAGE(Table112[RI12])</f>
        <v>0</v>
      </c>
      <c r="EQ66" s="41">
        <f>AVERAGE(Table112[RI13])</f>
        <v>0</v>
      </c>
      <c r="ER66" s="41">
        <f>AVERAGE(Table112[RT])</f>
        <v>4.4230769230769234</v>
      </c>
      <c r="ES66" s="41">
        <f>AVERAGE(Table112[OI1])</f>
        <v>0.34615384615384615</v>
      </c>
      <c r="ET66" s="41">
        <f>AVERAGE(Table112[OI2])</f>
        <v>0.21153846153846154</v>
      </c>
      <c r="EU66" s="41">
        <f>AVERAGE(Table112[OI3])</f>
        <v>0.5</v>
      </c>
      <c r="EV66" s="41">
        <f>AVERAGE(Table112[OI4])</f>
        <v>0.5</v>
      </c>
      <c r="EW66" s="41">
        <f>AVERAGE(Table112[OI5])</f>
        <v>0.51923076923076927</v>
      </c>
      <c r="EX66" s="41">
        <f>AVERAGE(Table112[OI6])</f>
        <v>0.48076923076923078</v>
      </c>
      <c r="EY66" s="41">
        <f>AVERAGE(Table112[OI7])</f>
        <v>0.58823529411764708</v>
      </c>
      <c r="EZ66" s="41">
        <f>AVERAGE(Table112[OI8])</f>
        <v>0.60416666666666663</v>
      </c>
      <c r="FA66" s="41">
        <f>AVERAGE(Table112[OI9])</f>
        <v>0.26315789473684209</v>
      </c>
      <c r="FB66" s="41">
        <f>AVERAGE(Table112[OI10])</f>
        <v>0.375</v>
      </c>
      <c r="FC66" s="41">
        <f>AVERAGE(Table112[OI11])</f>
        <v>0.25</v>
      </c>
      <c r="FD66" s="41">
        <f>AVERAGE(Table112[OI12])</f>
        <v>0.5</v>
      </c>
      <c r="FE66" s="41">
        <f>AVERAGE(Table112[OI13])</f>
        <v>1</v>
      </c>
      <c r="FF66" s="41">
        <f>AVERAGE(Table112[OT])</f>
        <v>4</v>
      </c>
      <c r="FI66" s="86" t="s">
        <v>233</v>
      </c>
    </row>
    <row r="67" spans="1:165" x14ac:dyDescent="0.25">
      <c r="A67" s="87" t="s">
        <v>278</v>
      </c>
      <c r="B67" s="53"/>
      <c r="C67" s="53"/>
      <c r="D67" s="53"/>
      <c r="E67" s="83">
        <f>(E66-E62)</f>
        <v>412.68959299487926</v>
      </c>
      <c r="F67" s="83"/>
      <c r="G67" s="83"/>
      <c r="H67" s="83"/>
      <c r="I67" s="83"/>
      <c r="J67" s="83">
        <f t="shared" ref="J67:R67" si="61">(J66-J62)</f>
        <v>3.9796842498044596</v>
      </c>
      <c r="K67" s="83">
        <f t="shared" si="61"/>
        <v>3.0969181167913273</v>
      </c>
      <c r="L67" s="83">
        <f t="shared" si="61"/>
        <v>0.30119369857290668</v>
      </c>
      <c r="M67" s="83">
        <f t="shared" si="61"/>
        <v>0.20018795057218552</v>
      </c>
      <c r="N67" s="83">
        <f t="shared" si="61"/>
        <v>0.33266181049721477</v>
      </c>
      <c r="O67" s="83">
        <f t="shared" si="61"/>
        <v>2.5073987128879573</v>
      </c>
      <c r="P67" s="83">
        <f t="shared" si="61"/>
        <v>-0.24411413501467383</v>
      </c>
      <c r="Q67" s="83">
        <f t="shared" si="61"/>
        <v>-0.21452930489989347</v>
      </c>
      <c r="R67" s="83">
        <f t="shared" si="61"/>
        <v>18.225820325024333</v>
      </c>
      <c r="S67" s="83"/>
      <c r="T67" s="83"/>
      <c r="U67" s="83">
        <f>(U66-U62)</f>
        <v>-0.40169051523532678</v>
      </c>
      <c r="V67" s="83">
        <f>(V66-V62)</f>
        <v>-0.41957205867896752</v>
      </c>
      <c r="W67" s="83"/>
      <c r="X67" s="83"/>
      <c r="Y67" s="83"/>
      <c r="Z67" s="83"/>
      <c r="AA67" s="83"/>
      <c r="AB67" s="83">
        <f t="shared" ref="AB67:AJ67" si="62">(AB66-AB62)</f>
        <v>2.488070226639826</v>
      </c>
      <c r="AC67" s="83">
        <f t="shared" si="62"/>
        <v>1.2441061801777336</v>
      </c>
      <c r="AD67" s="83">
        <f t="shared" si="62"/>
        <v>-0.26980280802045642</v>
      </c>
      <c r="AE67" s="83">
        <f t="shared" si="62"/>
        <v>-0.31479327816335889</v>
      </c>
      <c r="AF67" s="83">
        <f t="shared" si="62"/>
        <v>5.9443525335282299E-2</v>
      </c>
      <c r="AG67" s="83">
        <f t="shared" si="62"/>
        <v>1.4638424875411646</v>
      </c>
      <c r="AH67" s="83">
        <f t="shared" si="62"/>
        <v>-0.19466639904228628</v>
      </c>
      <c r="AI67" s="83">
        <f t="shared" si="62"/>
        <v>-0.25219959334518838</v>
      </c>
      <c r="AJ67" s="83">
        <f t="shared" si="62"/>
        <v>10.231633022374677</v>
      </c>
      <c r="AK67" s="83"/>
      <c r="AL67" s="83"/>
      <c r="AM67" s="83"/>
      <c r="AN67" s="83">
        <f t="shared" ref="AN67:AV67" si="63">(AN66-AN62)</f>
        <v>3.144971763874544</v>
      </c>
      <c r="AO67" s="83">
        <f t="shared" si="63"/>
        <v>-0.23766907214837463</v>
      </c>
      <c r="AP67" s="83">
        <f t="shared" si="63"/>
        <v>4.3433460124684409E-2</v>
      </c>
      <c r="AQ67" s="83">
        <f t="shared" si="63"/>
        <v>-0.42005373093730053</v>
      </c>
      <c r="AR67" s="83">
        <f t="shared" si="63"/>
        <v>-0.21910147480779713</v>
      </c>
      <c r="AS67" s="83">
        <f t="shared" si="63"/>
        <v>2.9857499854668124E-2</v>
      </c>
      <c r="AT67" s="83">
        <f t="shared" si="63"/>
        <v>-0.15572237088361587</v>
      </c>
      <c r="AU67" s="83">
        <f t="shared" si="63"/>
        <v>-0.11944427982553803</v>
      </c>
      <c r="AV67" s="83">
        <f t="shared" si="63"/>
        <v>-0.10706408816442026</v>
      </c>
      <c r="AW67" s="83"/>
      <c r="AX67" s="83">
        <f t="shared" ref="AX67:BF67" si="64">(AX66-AX62)</f>
        <v>3.1222685065685285</v>
      </c>
      <c r="AY67" s="83">
        <f t="shared" si="64"/>
        <v>-0.13669559027394518</v>
      </c>
      <c r="AZ67" s="83">
        <f t="shared" si="64"/>
        <v>2.9323984809328962E-2</v>
      </c>
      <c r="BA67" s="83">
        <f t="shared" si="64"/>
        <v>-0.35268718717253361</v>
      </c>
      <c r="BB67" s="83">
        <f t="shared" si="64"/>
        <v>-0.39174500935774037</v>
      </c>
      <c r="BC67" s="83">
        <f t="shared" si="64"/>
        <v>0.16874993456711995</v>
      </c>
      <c r="BD67" s="83">
        <f t="shared" si="64"/>
        <v>-0.26286916454029796</v>
      </c>
      <c r="BE67" s="83">
        <f t="shared" si="64"/>
        <v>-0.11944427982553803</v>
      </c>
      <c r="BF67" s="83">
        <f t="shared" si="64"/>
        <v>-0.46446511284690795</v>
      </c>
      <c r="BG67" s="83"/>
      <c r="BH67" s="83">
        <f t="shared" ref="BH67:BP67" si="65">(BH66-BH62)</f>
        <v>2.8162438611987044</v>
      </c>
      <c r="BI67" s="83">
        <f t="shared" si="65"/>
        <v>-0.16757874477532753</v>
      </c>
      <c r="BJ67" s="83">
        <f t="shared" si="65"/>
        <v>0.14596604228881338</v>
      </c>
      <c r="BK67" s="83">
        <f t="shared" si="65"/>
        <v>-0.27291406528391915</v>
      </c>
      <c r="BL67" s="83">
        <f t="shared" si="65"/>
        <v>-6.0047505897340536E-2</v>
      </c>
      <c r="BM67" s="83">
        <f t="shared" si="65"/>
        <v>-0.18149642703935576</v>
      </c>
      <c r="BN67" s="83">
        <f t="shared" si="65"/>
        <v>-0.19214604067544805</v>
      </c>
      <c r="BO67" s="83">
        <f t="shared" si="65"/>
        <v>-0.15572237088361587</v>
      </c>
      <c r="BP67" s="83">
        <f t="shared" si="65"/>
        <v>-1.4038513150830934E-2</v>
      </c>
      <c r="BQ67" s="83"/>
      <c r="BR67" s="83">
        <f t="shared" ref="BR67:BZ67" si="66">(BR66-BR62)</f>
        <v>3.0767755385674249</v>
      </c>
      <c r="BS67" s="83">
        <f t="shared" si="66"/>
        <v>-0.19673146198880453</v>
      </c>
      <c r="BT67" s="83">
        <f t="shared" si="66"/>
        <v>9.8524570233257114E-3</v>
      </c>
      <c r="BU67" s="83">
        <f t="shared" si="66"/>
        <v>-0.37386245508249771</v>
      </c>
      <c r="BV67" s="83">
        <f t="shared" si="66"/>
        <v>-0.22999182999582929</v>
      </c>
      <c r="BW67" s="83">
        <f t="shared" si="66"/>
        <v>0.2684317045712713</v>
      </c>
      <c r="BX67" s="83">
        <f t="shared" si="66"/>
        <v>0</v>
      </c>
      <c r="BY67" s="83">
        <f t="shared" si="66"/>
        <v>-0.15572237088361587</v>
      </c>
      <c r="BZ67" s="83">
        <f t="shared" si="66"/>
        <v>1.3290380394543666E-2</v>
      </c>
      <c r="CA67" s="83"/>
      <c r="CB67" s="83">
        <f t="shared" ref="CB67:CJ67" si="67">(CB66-CB62)</f>
        <v>2.9358001324578651</v>
      </c>
      <c r="CC67" s="83">
        <f t="shared" si="67"/>
        <v>-0.24657847892634305</v>
      </c>
      <c r="CD67" s="83">
        <f t="shared" si="67"/>
        <v>7.6553699098558248E-4</v>
      </c>
      <c r="CE67" s="83">
        <f t="shared" si="67"/>
        <v>-0.22965521369411551</v>
      </c>
      <c r="CF67" s="83">
        <f t="shared" si="67"/>
        <v>-0.22334081150500623</v>
      </c>
      <c r="CG67" s="83">
        <f t="shared" si="67"/>
        <v>-0.11889507168157243</v>
      </c>
      <c r="CH67" s="83">
        <f t="shared" si="67"/>
        <v>-0.17774317020640168</v>
      </c>
      <c r="CI67" s="83">
        <f t="shared" si="67"/>
        <v>-0.17774317020640168</v>
      </c>
      <c r="CJ67" s="83">
        <f t="shared" si="67"/>
        <v>-0.24727994069889681</v>
      </c>
      <c r="CK67" s="83"/>
      <c r="CL67" s="83">
        <f t="shared" ref="CL67:CT67" si="68">(CL66-CL62)</f>
        <v>2.7716368149850861</v>
      </c>
      <c r="CM67" s="83">
        <f t="shared" si="68"/>
        <v>-0.26064880060776896</v>
      </c>
      <c r="CN67" s="83">
        <f t="shared" si="68"/>
        <v>7.6474304089723777E-2</v>
      </c>
      <c r="CO67" s="83">
        <f t="shared" si="68"/>
        <v>-0.26064880060776896</v>
      </c>
      <c r="CP67" s="83">
        <f t="shared" si="68"/>
        <v>-0.25219959334518838</v>
      </c>
      <c r="CQ67" s="83">
        <f t="shared" si="68"/>
        <v>3.9575555536653706E-2</v>
      </c>
      <c r="CR67" s="83">
        <f t="shared" si="68"/>
        <v>-0.26137664806817473</v>
      </c>
      <c r="CS67" s="83">
        <f t="shared" si="68"/>
        <v>-0.20152445003875963</v>
      </c>
      <c r="CT67" s="83">
        <f t="shared" si="68"/>
        <v>-0.12020107297876437</v>
      </c>
      <c r="CU67" s="83"/>
      <c r="CV67" s="83">
        <f t="shared" ref="CV67:DD67" si="69">(CV66-CV62)</f>
        <v>2.8401252067218721</v>
      </c>
      <c r="CW67" s="83">
        <f t="shared" si="69"/>
        <v>-0.30576235097426224</v>
      </c>
      <c r="CX67" s="83">
        <f t="shared" si="69"/>
        <v>-9.8653396659227455E-2</v>
      </c>
      <c r="CY67" s="83">
        <f t="shared" si="69"/>
        <v>-0.41785558260984323</v>
      </c>
      <c r="CZ67" s="83">
        <f t="shared" si="69"/>
        <v>-0.20084525761766339</v>
      </c>
      <c r="DA67" s="83">
        <f t="shared" si="69"/>
        <v>-9.7273900717047557E-3</v>
      </c>
      <c r="DB67" s="83">
        <f t="shared" si="69"/>
        <v>-0.25716355303951027</v>
      </c>
      <c r="DC67" s="83">
        <f t="shared" si="69"/>
        <v>-0.11944427982553803</v>
      </c>
      <c r="DD67" s="83">
        <f t="shared" si="69"/>
        <v>-0.17939428726602458</v>
      </c>
      <c r="DE67" s="83"/>
      <c r="DF67" s="83">
        <f t="shared" ref="DF67:DN67" si="70">(DF66-DF62)</f>
        <v>2.4638442803360849</v>
      </c>
      <c r="DG67" s="83">
        <f t="shared" si="70"/>
        <v>-0.18723731609760308</v>
      </c>
      <c r="DH67" s="83">
        <f t="shared" si="70"/>
        <v>-3.6334922649616574E-2</v>
      </c>
      <c r="DI67" s="83">
        <f t="shared" si="70"/>
        <v>-0.3494126588743765</v>
      </c>
      <c r="DJ67" s="83">
        <f t="shared" si="70"/>
        <v>-0.28331033643532721</v>
      </c>
      <c r="DK67" s="83">
        <f t="shared" si="70"/>
        <v>-3.9017756205678267E-2</v>
      </c>
      <c r="DL67" s="83">
        <f t="shared" si="70"/>
        <v>-0.17774317020640168</v>
      </c>
      <c r="DM67" s="83">
        <f t="shared" si="70"/>
        <v>0</v>
      </c>
      <c r="DN67" s="83">
        <f t="shared" si="70"/>
        <v>-0.15801219169629543</v>
      </c>
      <c r="DO67" s="83"/>
      <c r="DP67" s="83">
        <f t="shared" ref="DP67:FF67" si="71">(DP66-DP62)</f>
        <v>2.4111332097321316</v>
      </c>
      <c r="DQ67" s="83">
        <f t="shared" si="71"/>
        <v>-0.37076651256274801</v>
      </c>
      <c r="DR67" s="83">
        <f t="shared" si="71"/>
        <v>-0.13284300116491965</v>
      </c>
      <c r="DS67" s="83">
        <f t="shared" si="71"/>
        <v>-0.31571273044875087</v>
      </c>
      <c r="DT67" s="83">
        <f t="shared" si="71"/>
        <v>-0.29226557334725506</v>
      </c>
      <c r="DU67" s="83">
        <f t="shared" si="71"/>
        <v>1.2162517447470544E-2</v>
      </c>
      <c r="DV67" s="83">
        <f t="shared" si="71"/>
        <v>-0.17774317020640168</v>
      </c>
      <c r="DW67" s="83">
        <f t="shared" si="71"/>
        <v>0</v>
      </c>
      <c r="DX67" s="83">
        <f t="shared" si="71"/>
        <v>-0.44671129364590301</v>
      </c>
      <c r="DY67" s="83">
        <f t="shared" si="71"/>
        <v>-0.19704775627549376</v>
      </c>
      <c r="DZ67" s="83">
        <f t="shared" si="71"/>
        <v>-0.43241210020764131</v>
      </c>
      <c r="EA67" s="83">
        <f t="shared" si="71"/>
        <v>-0.30058854363874782</v>
      </c>
      <c r="EB67" s="83">
        <f t="shared" si="71"/>
        <v>3.8678839917179531</v>
      </c>
      <c r="EC67" s="83">
        <f t="shared" si="71"/>
        <v>-0.18302867974556913</v>
      </c>
      <c r="ED67" s="83">
        <f t="shared" si="71"/>
        <v>-0.19875003925972812</v>
      </c>
      <c r="EE67" s="83">
        <f t="shared" si="71"/>
        <v>-0.35868293735940682</v>
      </c>
      <c r="EF67" s="83">
        <f t="shared" si="71"/>
        <v>-0.39174500935774037</v>
      </c>
      <c r="EG67" s="83">
        <f t="shared" si="71"/>
        <v>-0.57425053260573822</v>
      </c>
      <c r="EH67" s="83">
        <f t="shared" si="71"/>
        <v>-0.54884063217880075</v>
      </c>
      <c r="EI67" s="83">
        <f t="shared" si="71"/>
        <v>-0.36972755924960543</v>
      </c>
      <c r="EJ67" s="83">
        <f t="shared" si="71"/>
        <v>-0.64920315600819922</v>
      </c>
      <c r="EK67" s="83">
        <f t="shared" si="71"/>
        <v>-0.30253076529467671</v>
      </c>
      <c r="EL67" s="83">
        <f t="shared" si="71"/>
        <v>-0.71494413552274205</v>
      </c>
      <c r="EM67" s="83">
        <f t="shared" si="71"/>
        <v>-0.52776919589023152</v>
      </c>
      <c r="EN67" s="83">
        <f t="shared" si="71"/>
        <v>-0.21291004988627571</v>
      </c>
      <c r="EO67" s="83">
        <f t="shared" si="71"/>
        <v>-0.25</v>
      </c>
      <c r="EP67" s="83">
        <f t="shared" si="71"/>
        <v>0</v>
      </c>
      <c r="EQ67" s="83" t="e">
        <f t="shared" ref="EQ67" si="72">(EQ66-EQ62)</f>
        <v>#DIV/0!</v>
      </c>
      <c r="ER67" s="83">
        <f t="shared" si="71"/>
        <v>0.86765491703802811</v>
      </c>
      <c r="ES67" s="83">
        <f t="shared" si="71"/>
        <v>-0.30718194969831736</v>
      </c>
      <c r="ET67" s="83">
        <f t="shared" si="71"/>
        <v>-0.24592849694001426</v>
      </c>
      <c r="EU67" s="83">
        <f t="shared" si="71"/>
        <v>-0.39661673452342561</v>
      </c>
      <c r="EV67" s="83">
        <f t="shared" si="71"/>
        <v>-0.67989697124159876</v>
      </c>
      <c r="EW67" s="83">
        <f t="shared" si="71"/>
        <v>-0.44055647466471748</v>
      </c>
      <c r="EX67" s="83">
        <f t="shared" si="71"/>
        <v>-0.53846509575633505</v>
      </c>
      <c r="EY67" s="83">
        <f t="shared" si="71"/>
        <v>-0.71063299155623583</v>
      </c>
      <c r="EZ67" s="83">
        <f t="shared" si="71"/>
        <v>-0.6461878929773951</v>
      </c>
      <c r="FA67" s="83">
        <f t="shared" si="71"/>
        <v>-0.3813285140819978</v>
      </c>
      <c r="FB67" s="83">
        <f t="shared" si="71"/>
        <v>-0.36902380914284494</v>
      </c>
      <c r="FC67" s="83">
        <f t="shared" si="71"/>
        <v>-0.25</v>
      </c>
      <c r="FD67" s="83">
        <f t="shared" si="71"/>
        <v>-0.20710678118654757</v>
      </c>
      <c r="FE67" s="83" t="e">
        <f t="shared" ref="FE67" si="73">(FE66-FE62)</f>
        <v>#DIV/0!</v>
      </c>
      <c r="FF67" s="83">
        <f t="shared" si="71"/>
        <v>1.0694308924514941</v>
      </c>
      <c r="FI67" s="88" t="s">
        <v>278</v>
      </c>
    </row>
    <row r="68" spans="1:165" x14ac:dyDescent="0.25">
      <c r="A68" s="87" t="s">
        <v>277</v>
      </c>
      <c r="B68" s="53"/>
      <c r="C68" s="53"/>
      <c r="D68" s="53"/>
      <c r="E68" s="83">
        <f>(E66-(2*E62))</f>
        <v>-64.405127735731639</v>
      </c>
      <c r="F68" s="83"/>
      <c r="G68" s="83"/>
      <c r="H68" s="83"/>
      <c r="I68" s="83"/>
      <c r="J68" s="83">
        <f t="shared" ref="J68:R68" si="74">(J66-(2*J62))</f>
        <v>2.9465479867884072</v>
      </c>
      <c r="K68" s="83">
        <f t="shared" si="74"/>
        <v>1.6361439258903467</v>
      </c>
      <c r="L68" s="83">
        <f t="shared" si="74"/>
        <v>-1.436074141315725</v>
      </c>
      <c r="M68" s="83">
        <f t="shared" si="74"/>
        <v>-1.2534702527017827</v>
      </c>
      <c r="N68" s="83">
        <f t="shared" si="74"/>
        <v>-0.7385225328517242</v>
      </c>
      <c r="O68" s="83">
        <f t="shared" si="74"/>
        <v>0.64941281039129972</v>
      </c>
      <c r="P68" s="83">
        <f t="shared" si="74"/>
        <v>-0.8343821161831938</v>
      </c>
      <c r="Q68" s="83">
        <f t="shared" si="74"/>
        <v>-0.81367399441517163</v>
      </c>
      <c r="R68" s="83">
        <f t="shared" si="74"/>
        <v>15.778563726971745</v>
      </c>
      <c r="S68" s="83"/>
      <c r="T68" s="83"/>
      <c r="U68" s="83">
        <f>(U66-(2*U62))</f>
        <v>-1.2264579535475766</v>
      </c>
      <c r="V68" s="83">
        <f>(V66-(2*V62))</f>
        <v>-0.99299027120408889</v>
      </c>
      <c r="W68" s="83"/>
      <c r="X68" s="83"/>
      <c r="Y68" s="83"/>
      <c r="Z68" s="83"/>
      <c r="AA68" s="83"/>
      <c r="AB68" s="83">
        <f t="shared" ref="AB68:AJ68" si="75">(AB66-(2*AB62))</f>
        <v>1.0851148122540102</v>
      </c>
      <c r="AC68" s="83">
        <f t="shared" si="75"/>
        <v>-1.8002491781060712</v>
      </c>
      <c r="AD68" s="83">
        <f t="shared" si="75"/>
        <v>-2.5011440775793741</v>
      </c>
      <c r="AE68" s="83">
        <f t="shared" si="75"/>
        <v>-2.0911250178651795</v>
      </c>
      <c r="AF68" s="83">
        <f t="shared" si="75"/>
        <v>-0.90034371856020456</v>
      </c>
      <c r="AG68" s="83">
        <f t="shared" si="75"/>
        <v>-0.34154579414843989</v>
      </c>
      <c r="AH68" s="83">
        <f t="shared" si="75"/>
        <v>-0.62010202885380328</v>
      </c>
      <c r="AI68" s="83">
        <f t="shared" si="75"/>
        <v>-0.69670687899806916</v>
      </c>
      <c r="AJ68" s="83">
        <f t="shared" si="75"/>
        <v>3.2517275832108936</v>
      </c>
      <c r="AK68" s="83"/>
      <c r="AL68" s="83"/>
      <c r="AM68" s="83"/>
      <c r="AN68" s="83">
        <f t="shared" ref="AN68:AV68" si="76">(AN66-(2*AN62))</f>
        <v>2.2707127585183184</v>
      </c>
      <c r="AO68" s="83">
        <f t="shared" si="76"/>
        <v>-1.2253381442967493</v>
      </c>
      <c r="AP68" s="83">
        <f t="shared" si="76"/>
        <v>-1.0092869259044774</v>
      </c>
      <c r="AQ68" s="83">
        <f t="shared" si="76"/>
        <v>-1.1093382311053703</v>
      </c>
      <c r="AR68" s="83">
        <f t="shared" si="76"/>
        <v>-0.91897218038482498</v>
      </c>
      <c r="AS68" s="83">
        <f t="shared" si="76"/>
        <v>-0.94028500029066375</v>
      </c>
      <c r="AT68" s="83">
        <f t="shared" si="76"/>
        <v>-0.34990628022877024</v>
      </c>
      <c r="AU68" s="83">
        <f t="shared" si="76"/>
        <v>-0.2581193288818453</v>
      </c>
      <c r="AV68" s="83">
        <f t="shared" si="76"/>
        <v>-1.925666637867302</v>
      </c>
      <c r="AW68" s="83"/>
      <c r="AX68" s="83">
        <f t="shared" ref="AX68:BF68" si="77">(AX66-(2*AX62))</f>
        <v>2.2829985515985953</v>
      </c>
      <c r="AY68" s="83">
        <f t="shared" si="77"/>
        <v>-0.94646810362481348</v>
      </c>
      <c r="AZ68" s="83">
        <f t="shared" si="77"/>
        <v>-0.82596741499672666</v>
      </c>
      <c r="BA68" s="83">
        <f t="shared" si="77"/>
        <v>-1.1284512974219902</v>
      </c>
      <c r="BB68" s="83">
        <f t="shared" si="77"/>
        <v>-1.129643864869327</v>
      </c>
      <c r="BC68" s="83">
        <f t="shared" si="77"/>
        <v>-0.83557705394268322</v>
      </c>
      <c r="BD68" s="83">
        <f t="shared" si="77"/>
        <v>-0.66035371369598062</v>
      </c>
      <c r="BE68" s="83">
        <f t="shared" si="77"/>
        <v>-0.2581193288818453</v>
      </c>
      <c r="BF68" s="83">
        <f t="shared" si="77"/>
        <v>-2.4096994564630467</v>
      </c>
      <c r="BG68" s="83"/>
      <c r="BH68" s="83">
        <f t="shared" ref="BH68:BP68" si="78">(BH66-(2*BH62))</f>
        <v>1.9594107993204863</v>
      </c>
      <c r="BI68" s="83">
        <f t="shared" si="78"/>
        <v>-0.89284979724296276</v>
      </c>
      <c r="BJ68" s="83">
        <f t="shared" si="78"/>
        <v>-0.6696063769608348</v>
      </c>
      <c r="BK68" s="83">
        <f t="shared" si="78"/>
        <v>-1.1419819767216843</v>
      </c>
      <c r="BL68" s="83">
        <f t="shared" si="78"/>
        <v>-0.69701808871775794</v>
      </c>
      <c r="BM68" s="83">
        <f t="shared" si="78"/>
        <v>-1.0745313156171732</v>
      </c>
      <c r="BN68" s="83">
        <f t="shared" si="78"/>
        <v>-0.46121515827397302</v>
      </c>
      <c r="BO68" s="83">
        <f t="shared" si="78"/>
        <v>-0.34990628022877024</v>
      </c>
      <c r="BP68" s="83">
        <f t="shared" si="78"/>
        <v>-1.5665385647632004</v>
      </c>
      <c r="BQ68" s="83"/>
      <c r="BR68" s="83">
        <f t="shared" ref="BR68:BZ68" si="79">(BR66-(2*BR62))</f>
        <v>2.1920126155963877</v>
      </c>
      <c r="BS68" s="83">
        <f t="shared" si="79"/>
        <v>-0.83577061628530136</v>
      </c>
      <c r="BT68" s="83">
        <f t="shared" si="79"/>
        <v>-0.98029508595334858</v>
      </c>
      <c r="BU68" s="83">
        <f t="shared" si="79"/>
        <v>-1.478494140934226</v>
      </c>
      <c r="BV68" s="83">
        <f t="shared" si="79"/>
        <v>-0.70998365999165858</v>
      </c>
      <c r="BW68" s="83">
        <f t="shared" si="79"/>
        <v>-0.69390582162668824</v>
      </c>
      <c r="BX68" s="83">
        <f t="shared" si="79"/>
        <v>0</v>
      </c>
      <c r="BY68" s="83">
        <f t="shared" si="79"/>
        <v>-0.34990628022877024</v>
      </c>
      <c r="BZ68" s="83">
        <f t="shared" si="79"/>
        <v>-1.5503423161339895</v>
      </c>
      <c r="CA68" s="83"/>
      <c r="CB68" s="83">
        <f t="shared" ref="CB68:CJ68" si="80">(CB66-(2*CB62))</f>
        <v>2.1408310341464993</v>
      </c>
      <c r="CC68" s="83">
        <f t="shared" si="80"/>
        <v>-0.97392618862191682</v>
      </c>
      <c r="CD68" s="83">
        <f t="shared" si="80"/>
        <v>-0.97923815678725956</v>
      </c>
      <c r="CE68" s="83">
        <f t="shared" si="80"/>
        <v>-0.82469504277284633</v>
      </c>
      <c r="CF68" s="83">
        <f t="shared" si="80"/>
        <v>-0.77360469993308945</v>
      </c>
      <c r="CG68" s="83">
        <f t="shared" si="80"/>
        <v>-0.81471322028622173</v>
      </c>
      <c r="CH68" s="83">
        <f t="shared" si="80"/>
        <v>-0.41317864810511101</v>
      </c>
      <c r="CI68" s="83">
        <f t="shared" si="80"/>
        <v>-0.41317864810511101</v>
      </c>
      <c r="CJ68" s="83">
        <f t="shared" si="80"/>
        <v>-1.9560983429362551</v>
      </c>
      <c r="CK68" s="83"/>
      <c r="CL68" s="83">
        <f t="shared" ref="CL68:CT68" si="81">(CL66-(2*CL62))</f>
        <v>1.8701967068932495</v>
      </c>
      <c r="CM68" s="83">
        <f t="shared" si="81"/>
        <v>-0.92514375506169177</v>
      </c>
      <c r="CN68" s="83">
        <f t="shared" si="81"/>
        <v>-0.73166677643593703</v>
      </c>
      <c r="CO68" s="83">
        <f t="shared" si="81"/>
        <v>-0.92514375506169177</v>
      </c>
      <c r="CP68" s="83">
        <f t="shared" si="81"/>
        <v>-0.69670687899806916</v>
      </c>
      <c r="CQ68" s="83">
        <f t="shared" si="81"/>
        <v>-0.55546427354207717</v>
      </c>
      <c r="CR68" s="83">
        <f t="shared" si="81"/>
        <v>-0.61890714229019561</v>
      </c>
      <c r="CS68" s="83">
        <f t="shared" si="81"/>
        <v>-0.4992027462313654</v>
      </c>
      <c r="CT68" s="83">
        <f t="shared" si="81"/>
        <v>-1.4904021459575287</v>
      </c>
      <c r="CU68" s="83"/>
      <c r="CV68" s="83">
        <f t="shared" ref="CV68:DD68" si="82">(CV66-(2*CV62))</f>
        <v>2.0264042595975909</v>
      </c>
      <c r="CW68" s="83">
        <f t="shared" si="82"/>
        <v>-0.99614008656390918</v>
      </c>
      <c r="CX68" s="83">
        <f t="shared" si="82"/>
        <v>-1.0819221779338395</v>
      </c>
      <c r="CY68" s="83">
        <f t="shared" si="82"/>
        <v>-1.1818650113735325</v>
      </c>
      <c r="CZ68" s="83">
        <f t="shared" si="82"/>
        <v>-0.61322897677378829</v>
      </c>
      <c r="DA68" s="83">
        <f t="shared" si="82"/>
        <v>-0.82714708783571722</v>
      </c>
      <c r="DB68" s="83">
        <f t="shared" si="82"/>
        <v>-0.59125018300209753</v>
      </c>
      <c r="DC68" s="83">
        <f t="shared" si="82"/>
        <v>-0.2581193288818453</v>
      </c>
      <c r="DD68" s="83">
        <f t="shared" si="82"/>
        <v>-1.4934039591474337</v>
      </c>
      <c r="DE68" s="83"/>
      <c r="DF68" s="83">
        <f t="shared" ref="DF68:DN68" si="83">(DF66-(2*DF62))</f>
        <v>1.4853808683644776</v>
      </c>
      <c r="DG68" s="83">
        <f t="shared" si="83"/>
        <v>-0.62447463219520616</v>
      </c>
      <c r="DH68" s="83">
        <f t="shared" si="83"/>
        <v>-0.76497753760692544</v>
      </c>
      <c r="DI68" s="83">
        <f t="shared" si="83"/>
        <v>-1.0642099331333683</v>
      </c>
      <c r="DJ68" s="83">
        <f t="shared" si="83"/>
        <v>-0.85508221133219287</v>
      </c>
      <c r="DK68" s="83">
        <f t="shared" si="83"/>
        <v>-0.82803551241135653</v>
      </c>
      <c r="DL68" s="83">
        <f t="shared" si="83"/>
        <v>-0.41317864810511101</v>
      </c>
      <c r="DM68" s="83">
        <f t="shared" si="83"/>
        <v>0</v>
      </c>
      <c r="DN68" s="83">
        <f t="shared" si="83"/>
        <v>-1.2775628449310523</v>
      </c>
      <c r="DO68" s="83"/>
      <c r="DP68" s="83">
        <f t="shared" ref="DP68:FF68" si="84">(DP66-(2*DP62))</f>
        <v>1.6107279579258011</v>
      </c>
      <c r="DQ68" s="83">
        <f t="shared" si="84"/>
        <v>-1.2223022558947267</v>
      </c>
      <c r="DR68" s="83">
        <f t="shared" si="84"/>
        <v>-1.0156860023298393</v>
      </c>
      <c r="DS68" s="83">
        <f t="shared" si="84"/>
        <v>-0.86219469166673246</v>
      </c>
      <c r="DT68" s="83">
        <f t="shared" si="84"/>
        <v>-0.94991576207912543</v>
      </c>
      <c r="DU68" s="83">
        <f t="shared" si="84"/>
        <v>-0.74490573433582818</v>
      </c>
      <c r="DV68" s="83">
        <f t="shared" si="84"/>
        <v>-0.41317864810511101</v>
      </c>
      <c r="DW68" s="83">
        <f t="shared" si="84"/>
        <v>0</v>
      </c>
      <c r="DX68" s="83">
        <f t="shared" si="84"/>
        <v>-1.8164995103687291</v>
      </c>
      <c r="DY68" s="83">
        <f t="shared" si="84"/>
        <v>-2.592813461268936</v>
      </c>
      <c r="DZ68" s="83">
        <f t="shared" si="84"/>
        <v>-1.1148242004152826</v>
      </c>
      <c r="EA68" s="83">
        <f t="shared" si="84"/>
        <v>-0.77425401035441865</v>
      </c>
      <c r="EB68" s="83">
        <f t="shared" si="84"/>
        <v>1.0755115731794964</v>
      </c>
      <c r="EC68" s="83">
        <f t="shared" si="84"/>
        <v>-1.2314419748757537</v>
      </c>
      <c r="ED68" s="83">
        <f t="shared" si="84"/>
        <v>-0.80134623236561009</v>
      </c>
      <c r="EE68" s="83">
        <f t="shared" si="84"/>
        <v>-1.2750581824111213</v>
      </c>
      <c r="EF68" s="83">
        <f t="shared" si="84"/>
        <v>-1.129643864869327</v>
      </c>
      <c r="EG68" s="83">
        <f t="shared" si="84"/>
        <v>-1.6677318344422458</v>
      </c>
      <c r="EH68" s="83">
        <f t="shared" si="84"/>
        <v>-1.7515274182037555</v>
      </c>
      <c r="EI68" s="83">
        <f t="shared" si="84"/>
        <v>-1.1433012723453646</v>
      </c>
      <c r="EJ68" s="83">
        <f t="shared" si="84"/>
        <v>-1.933021696631783</v>
      </c>
      <c r="EK68" s="83">
        <f t="shared" si="84"/>
        <v>-0.78873499997710861</v>
      </c>
      <c r="EL68" s="83">
        <f t="shared" si="84"/>
        <v>-2.2632216043788174</v>
      </c>
      <c r="EM68" s="83">
        <f t="shared" si="84"/>
        <v>-1.4657948020368732</v>
      </c>
      <c r="EN68" s="83">
        <f t="shared" si="84"/>
        <v>-0.67582009977255142</v>
      </c>
      <c r="EO68" s="83">
        <f t="shared" si="84"/>
        <v>-0.75</v>
      </c>
      <c r="EP68" s="83">
        <f t="shared" si="84"/>
        <v>0</v>
      </c>
      <c r="EQ68" s="83" t="e">
        <f t="shared" ref="EQ68" si="85">(EQ66-(2*EQ62))</f>
        <v>#DIV/0!</v>
      </c>
      <c r="ER68" s="83">
        <f t="shared" si="84"/>
        <v>-2.6877670890008671</v>
      </c>
      <c r="ES68" s="83">
        <f t="shared" si="84"/>
        <v>-0.96051774555048086</v>
      </c>
      <c r="ET68" s="83">
        <f t="shared" si="84"/>
        <v>-0.70339545541849002</v>
      </c>
      <c r="EU68" s="83">
        <f t="shared" si="84"/>
        <v>-1.2932334690468512</v>
      </c>
      <c r="EV68" s="83">
        <f t="shared" si="84"/>
        <v>-1.8597939424831975</v>
      </c>
      <c r="EW68" s="83">
        <f t="shared" si="84"/>
        <v>-1.4003437185602041</v>
      </c>
      <c r="EX68" s="83">
        <f t="shared" si="84"/>
        <v>-1.5576994222819009</v>
      </c>
      <c r="EY68" s="83">
        <f t="shared" si="84"/>
        <v>-2.0095012772301186</v>
      </c>
      <c r="EZ68" s="83">
        <f t="shared" si="84"/>
        <v>-1.8965424526214569</v>
      </c>
      <c r="FA68" s="83">
        <f t="shared" si="84"/>
        <v>-1.0258149229008378</v>
      </c>
      <c r="FB68" s="83">
        <f t="shared" si="84"/>
        <v>-1.1130476182856899</v>
      </c>
      <c r="FC68" s="83">
        <f t="shared" si="84"/>
        <v>-0.75</v>
      </c>
      <c r="FD68" s="83">
        <f t="shared" si="84"/>
        <v>-0.91421356237309515</v>
      </c>
      <c r="FE68" s="83" t="e">
        <f t="shared" ref="FE68" si="86">(FE66-(2*FE62))</f>
        <v>#DIV/0!</v>
      </c>
      <c r="FF68" s="83">
        <f t="shared" si="84"/>
        <v>-1.8611382150970117</v>
      </c>
      <c r="FI68" s="88" t="s">
        <v>277</v>
      </c>
    </row>
    <row r="69" spans="1:165" x14ac:dyDescent="0.25">
      <c r="A69" s="87" t="s">
        <v>276</v>
      </c>
      <c r="B69" s="53"/>
      <c r="C69" s="53"/>
      <c r="D69" s="53"/>
      <c r="E69" s="83">
        <f>(E66-(3*E62))</f>
        <v>-541.49984846634266</v>
      </c>
      <c r="F69" s="83"/>
      <c r="G69" s="83"/>
      <c r="H69" s="83"/>
      <c r="I69" s="83"/>
      <c r="J69" s="83">
        <f t="shared" ref="J69:R69" si="87">(J66-(3*J62))</f>
        <v>1.9134117237723549</v>
      </c>
      <c r="K69" s="83">
        <f t="shared" si="87"/>
        <v>0.17536973498936614</v>
      </c>
      <c r="L69" s="83">
        <f t="shared" si="87"/>
        <v>-3.1733419812043566</v>
      </c>
      <c r="M69" s="83">
        <f t="shared" si="87"/>
        <v>-2.7071284559757509</v>
      </c>
      <c r="N69" s="83">
        <f t="shared" si="87"/>
        <v>-1.809706876200663</v>
      </c>
      <c r="O69" s="83">
        <f t="shared" si="87"/>
        <v>-1.2085730921053575</v>
      </c>
      <c r="P69" s="83">
        <f t="shared" si="87"/>
        <v>-1.4246500973517136</v>
      </c>
      <c r="Q69" s="83">
        <f t="shared" si="87"/>
        <v>-1.4128186839304497</v>
      </c>
      <c r="R69" s="83">
        <f t="shared" si="87"/>
        <v>13.331307128919157</v>
      </c>
      <c r="S69" s="83"/>
      <c r="T69" s="83"/>
      <c r="U69" s="83">
        <f>(U66-(3*U62))</f>
        <v>-2.0512253918598264</v>
      </c>
      <c r="V69" s="83">
        <f>(V66-(3*V62))</f>
        <v>-1.5664084837292105</v>
      </c>
      <c r="W69" s="83"/>
      <c r="X69" s="83"/>
      <c r="Y69" s="83"/>
      <c r="Z69" s="83"/>
      <c r="AA69" s="83"/>
      <c r="AB69" s="83">
        <f t="shared" ref="AB69:AJ69" si="88">(AB66-(3*AB62))</f>
        <v>-0.31784060213180565</v>
      </c>
      <c r="AC69" s="83">
        <f t="shared" si="88"/>
        <v>-4.8446045363898751</v>
      </c>
      <c r="AD69" s="83">
        <f t="shared" si="88"/>
        <v>-4.7324853471382919</v>
      </c>
      <c r="AE69" s="83">
        <f t="shared" si="88"/>
        <v>-3.8674567575669991</v>
      </c>
      <c r="AF69" s="83">
        <f t="shared" si="88"/>
        <v>-1.8601309624556914</v>
      </c>
      <c r="AG69" s="83">
        <f t="shared" si="88"/>
        <v>-2.1469340758380442</v>
      </c>
      <c r="AH69" s="83">
        <f t="shared" si="88"/>
        <v>-1.0455376586653204</v>
      </c>
      <c r="AI69" s="83">
        <f t="shared" si="88"/>
        <v>-1.1412141646509499</v>
      </c>
      <c r="AJ69" s="83">
        <f t="shared" si="88"/>
        <v>-3.7281778559528895</v>
      </c>
      <c r="AK69" s="83"/>
      <c r="AL69" s="83"/>
      <c r="AM69" s="83"/>
      <c r="AN69" s="83">
        <f t="shared" ref="AN69:AV69" si="89">(AN66-(3*AN62))</f>
        <v>1.3964537531620929</v>
      </c>
      <c r="AO69" s="83">
        <f t="shared" si="89"/>
        <v>-2.2130072164451238</v>
      </c>
      <c r="AP69" s="83">
        <f t="shared" si="89"/>
        <v>-2.0620073119336393</v>
      </c>
      <c r="AQ69" s="83">
        <f t="shared" si="89"/>
        <v>-1.79862273127344</v>
      </c>
      <c r="AR69" s="83">
        <f t="shared" si="89"/>
        <v>-1.6188428859618531</v>
      </c>
      <c r="AS69" s="83">
        <f t="shared" si="89"/>
        <v>-1.9104275004359956</v>
      </c>
      <c r="AT69" s="83">
        <f t="shared" si="89"/>
        <v>-0.54409018957392463</v>
      </c>
      <c r="AU69" s="83">
        <f t="shared" si="89"/>
        <v>-0.39679437793815259</v>
      </c>
      <c r="AV69" s="83">
        <f t="shared" si="89"/>
        <v>-3.7442691875701835</v>
      </c>
      <c r="AW69" s="83"/>
      <c r="AX69" s="83">
        <f t="shared" ref="AX69:BF69" si="90">(AX66-(3*AX62))</f>
        <v>1.4437285966286626</v>
      </c>
      <c r="AY69" s="83">
        <f t="shared" si="90"/>
        <v>-1.7562406169756819</v>
      </c>
      <c r="AZ69" s="83">
        <f t="shared" si="90"/>
        <v>-1.6812588148027823</v>
      </c>
      <c r="BA69" s="83">
        <f t="shared" si="90"/>
        <v>-1.9042154076714468</v>
      </c>
      <c r="BB69" s="83">
        <f t="shared" si="90"/>
        <v>-1.8675427203809134</v>
      </c>
      <c r="BC69" s="83">
        <f t="shared" si="90"/>
        <v>-1.8399040424524864</v>
      </c>
      <c r="BD69" s="83">
        <f t="shared" si="90"/>
        <v>-1.0578382628516632</v>
      </c>
      <c r="BE69" s="83">
        <f t="shared" si="90"/>
        <v>-0.39679437793815259</v>
      </c>
      <c r="BF69" s="83">
        <f t="shared" si="90"/>
        <v>-4.3549338000791851</v>
      </c>
      <c r="BG69" s="83"/>
      <c r="BH69" s="83">
        <f t="shared" ref="BH69:BP69" si="91">(BH66-(3*BH62))</f>
        <v>1.1025777374422678</v>
      </c>
      <c r="BI69" s="83">
        <f t="shared" si="91"/>
        <v>-1.6181208497105979</v>
      </c>
      <c r="BJ69" s="83">
        <f t="shared" si="91"/>
        <v>-1.4851787962104828</v>
      </c>
      <c r="BK69" s="83">
        <f t="shared" si="91"/>
        <v>-2.0110498881594494</v>
      </c>
      <c r="BL69" s="83">
        <f t="shared" si="91"/>
        <v>-1.3339886715381752</v>
      </c>
      <c r="BM69" s="83">
        <f t="shared" si="91"/>
        <v>-1.9675662041949904</v>
      </c>
      <c r="BN69" s="83">
        <f t="shared" si="91"/>
        <v>-0.73028427587249811</v>
      </c>
      <c r="BO69" s="83">
        <f t="shared" si="91"/>
        <v>-0.54409018957392463</v>
      </c>
      <c r="BP69" s="83">
        <f t="shared" si="91"/>
        <v>-3.1190386163755699</v>
      </c>
      <c r="BQ69" s="83"/>
      <c r="BR69" s="83">
        <f t="shared" ref="BR69:BZ69" si="92">(BR66-(3*BR62))</f>
        <v>1.3072496926253505</v>
      </c>
      <c r="BS69" s="83">
        <f t="shared" si="92"/>
        <v>-1.4748097705817982</v>
      </c>
      <c r="BT69" s="83">
        <f t="shared" si="92"/>
        <v>-1.970442628930023</v>
      </c>
      <c r="BU69" s="83">
        <f t="shared" si="92"/>
        <v>-2.5831258267859543</v>
      </c>
      <c r="BV69" s="83">
        <f t="shared" si="92"/>
        <v>-1.1899754899874879</v>
      </c>
      <c r="BW69" s="83">
        <f t="shared" si="92"/>
        <v>-1.6562433478246477</v>
      </c>
      <c r="BX69" s="83">
        <f t="shared" si="92"/>
        <v>0</v>
      </c>
      <c r="BY69" s="83">
        <f t="shared" si="92"/>
        <v>-0.54409018957392463</v>
      </c>
      <c r="BZ69" s="83">
        <f t="shared" si="92"/>
        <v>-3.1139750126625234</v>
      </c>
      <c r="CA69" s="83"/>
      <c r="CB69" s="83">
        <f t="shared" ref="CB69:CJ69" si="93">(CB66-(3*CB62))</f>
        <v>1.3458619358351336</v>
      </c>
      <c r="CC69" s="83">
        <f t="shared" si="93"/>
        <v>-1.7012738983174907</v>
      </c>
      <c r="CD69" s="83">
        <f t="shared" si="93"/>
        <v>-1.9592418505655047</v>
      </c>
      <c r="CE69" s="83">
        <f t="shared" si="93"/>
        <v>-1.4197348718515772</v>
      </c>
      <c r="CF69" s="83">
        <f t="shared" si="93"/>
        <v>-1.3238685883611725</v>
      </c>
      <c r="CG69" s="83">
        <f t="shared" si="93"/>
        <v>-1.5105313688908708</v>
      </c>
      <c r="CH69" s="83">
        <f t="shared" si="93"/>
        <v>-0.6486141260038204</v>
      </c>
      <c r="CI69" s="83">
        <f t="shared" si="93"/>
        <v>-0.6486141260038204</v>
      </c>
      <c r="CJ69" s="83">
        <f t="shared" si="93"/>
        <v>-3.6649167451736133</v>
      </c>
      <c r="CK69" s="83"/>
      <c r="CL69" s="83">
        <f t="shared" ref="CL69:CT69" si="94">(CL66-(3*CL62))</f>
        <v>0.96875659880141285</v>
      </c>
      <c r="CM69" s="83">
        <f t="shared" si="94"/>
        <v>-1.5896387095156146</v>
      </c>
      <c r="CN69" s="83">
        <f t="shared" si="94"/>
        <v>-1.5398078569615978</v>
      </c>
      <c r="CO69" s="83">
        <f t="shared" si="94"/>
        <v>-1.5896387095156146</v>
      </c>
      <c r="CP69" s="83">
        <f t="shared" si="94"/>
        <v>-1.1412141646509499</v>
      </c>
      <c r="CQ69" s="83">
        <f t="shared" si="94"/>
        <v>-1.150504102620808</v>
      </c>
      <c r="CR69" s="83">
        <f t="shared" si="94"/>
        <v>-0.9764376365122166</v>
      </c>
      <c r="CS69" s="83">
        <f t="shared" si="94"/>
        <v>-0.79688104242397118</v>
      </c>
      <c r="CT69" s="83">
        <f t="shared" si="94"/>
        <v>-2.8606032189362933</v>
      </c>
      <c r="CU69" s="83"/>
      <c r="CV69" s="83">
        <f t="shared" ref="CV69:DD69" si="95">(CV66-(3*CV62))</f>
        <v>1.2126833124733092</v>
      </c>
      <c r="CW69" s="83">
        <f t="shared" si="95"/>
        <v>-1.6865178221535562</v>
      </c>
      <c r="CX69" s="83">
        <f t="shared" si="95"/>
        <v>-2.0651909592084516</v>
      </c>
      <c r="CY69" s="83">
        <f t="shared" si="95"/>
        <v>-1.9458744401372221</v>
      </c>
      <c r="CZ69" s="83">
        <f t="shared" si="95"/>
        <v>-1.0256126959299132</v>
      </c>
      <c r="DA69" s="83">
        <f t="shared" si="95"/>
        <v>-1.6445667855997297</v>
      </c>
      <c r="DB69" s="83">
        <f t="shared" si="95"/>
        <v>-0.92533681296468484</v>
      </c>
      <c r="DC69" s="83">
        <f t="shared" si="95"/>
        <v>-0.39679437793815259</v>
      </c>
      <c r="DD69" s="83">
        <f t="shared" si="95"/>
        <v>-2.8074136310288429</v>
      </c>
      <c r="DE69" s="83"/>
      <c r="DF69" s="83">
        <f t="shared" ref="DF69:DN69" si="96">(DF66-(3*DF62))</f>
        <v>0.50691745639287022</v>
      </c>
      <c r="DG69" s="83">
        <f t="shared" si="96"/>
        <v>-1.0617119482928092</v>
      </c>
      <c r="DH69" s="83">
        <f t="shared" si="96"/>
        <v>-1.4936201525642343</v>
      </c>
      <c r="DI69" s="83">
        <f t="shared" si="96"/>
        <v>-1.7790072073923602</v>
      </c>
      <c r="DJ69" s="83">
        <f t="shared" si="96"/>
        <v>-1.4268540862290586</v>
      </c>
      <c r="DK69" s="83">
        <f t="shared" si="96"/>
        <v>-1.6170532686170347</v>
      </c>
      <c r="DL69" s="83">
        <f t="shared" si="96"/>
        <v>-0.6486141260038204</v>
      </c>
      <c r="DM69" s="83">
        <f t="shared" si="96"/>
        <v>0</v>
      </c>
      <c r="DN69" s="83">
        <f t="shared" si="96"/>
        <v>-2.3971134981658091</v>
      </c>
      <c r="DO69" s="83"/>
      <c r="DP69" s="83">
        <f t="shared" ref="DP69:FF69" si="97">(DP66-(3*DP62))</f>
        <v>0.81032270611947066</v>
      </c>
      <c r="DQ69" s="83">
        <f t="shared" si="97"/>
        <v>-2.0738379992267055</v>
      </c>
      <c r="DR69" s="83">
        <f t="shared" si="97"/>
        <v>-1.8985290034947591</v>
      </c>
      <c r="DS69" s="83">
        <f t="shared" si="97"/>
        <v>-1.4086766528847141</v>
      </c>
      <c r="DT69" s="83">
        <f t="shared" si="97"/>
        <v>-1.6075659508109958</v>
      </c>
      <c r="DU69" s="83">
        <f t="shared" si="97"/>
        <v>-1.5019739861191272</v>
      </c>
      <c r="DV69" s="83">
        <f t="shared" si="97"/>
        <v>-0.6486141260038204</v>
      </c>
      <c r="DW69" s="83">
        <f t="shared" si="97"/>
        <v>0</v>
      </c>
      <c r="DX69" s="83">
        <f t="shared" si="97"/>
        <v>-3.1862877270915551</v>
      </c>
      <c r="DY69" s="83">
        <f t="shared" si="97"/>
        <v>-4.9885791662623777</v>
      </c>
      <c r="DZ69" s="83">
        <f t="shared" si="97"/>
        <v>-1.7972363006229237</v>
      </c>
      <c r="EA69" s="83">
        <f t="shared" si="97"/>
        <v>-1.2479194770700894</v>
      </c>
      <c r="EB69" s="83">
        <f t="shared" si="97"/>
        <v>-1.7168608453589611</v>
      </c>
      <c r="EC69" s="83">
        <f t="shared" si="97"/>
        <v>-2.2798552700059385</v>
      </c>
      <c r="ED69" s="83">
        <f t="shared" si="97"/>
        <v>-1.4039424254714921</v>
      </c>
      <c r="EE69" s="83">
        <f t="shared" si="97"/>
        <v>-2.1914334274628358</v>
      </c>
      <c r="EF69" s="83">
        <f t="shared" si="97"/>
        <v>-1.8675427203809134</v>
      </c>
      <c r="EG69" s="83">
        <f t="shared" si="97"/>
        <v>-2.7612131362787533</v>
      </c>
      <c r="EH69" s="83">
        <f t="shared" si="97"/>
        <v>-2.9542142042287103</v>
      </c>
      <c r="EI69" s="83">
        <f t="shared" si="97"/>
        <v>-1.9168749854411242</v>
      </c>
      <c r="EJ69" s="83">
        <f t="shared" si="97"/>
        <v>-3.2168402372553668</v>
      </c>
      <c r="EK69" s="83">
        <f t="shared" si="97"/>
        <v>-1.2749392346595405</v>
      </c>
      <c r="EL69" s="83">
        <f t="shared" si="97"/>
        <v>-3.8114990732348928</v>
      </c>
      <c r="EM69" s="83">
        <f t="shared" si="97"/>
        <v>-2.4038204081835151</v>
      </c>
      <c r="EN69" s="83">
        <f t="shared" si="97"/>
        <v>-1.1387301496588271</v>
      </c>
      <c r="EO69" s="83">
        <f t="shared" si="97"/>
        <v>-1.25</v>
      </c>
      <c r="EP69" s="83">
        <f t="shared" si="97"/>
        <v>0</v>
      </c>
      <c r="EQ69" s="83" t="e">
        <f t="shared" ref="EQ69" si="98">(EQ66-(3*EQ62))</f>
        <v>#DIV/0!</v>
      </c>
      <c r="ER69" s="83">
        <f t="shared" si="97"/>
        <v>-6.2431890950397619</v>
      </c>
      <c r="ES69" s="83">
        <f t="shared" si="97"/>
        <v>-1.6138535414026443</v>
      </c>
      <c r="ET69" s="83">
        <f t="shared" si="97"/>
        <v>-1.1608624138969659</v>
      </c>
      <c r="EU69" s="83">
        <f t="shared" si="97"/>
        <v>-2.1898502035702769</v>
      </c>
      <c r="EV69" s="83">
        <f t="shared" si="97"/>
        <v>-3.0396909137247965</v>
      </c>
      <c r="EW69" s="83">
        <f t="shared" si="97"/>
        <v>-2.360130962455691</v>
      </c>
      <c r="EX69" s="83">
        <f t="shared" si="97"/>
        <v>-2.5769337488074671</v>
      </c>
      <c r="EY69" s="83">
        <f t="shared" si="97"/>
        <v>-3.3083695629040015</v>
      </c>
      <c r="EZ69" s="83">
        <f t="shared" si="97"/>
        <v>-3.1468970122655189</v>
      </c>
      <c r="FA69" s="83">
        <f t="shared" si="97"/>
        <v>-1.6703013317196778</v>
      </c>
      <c r="FB69" s="83">
        <f t="shared" si="97"/>
        <v>-1.8570714274285347</v>
      </c>
      <c r="FC69" s="83">
        <f t="shared" si="97"/>
        <v>-1.25</v>
      </c>
      <c r="FD69" s="83">
        <f t="shared" si="97"/>
        <v>-1.6213203435596428</v>
      </c>
      <c r="FE69" s="83" t="e">
        <f t="shared" ref="FE69" si="99">(FE66-(3*FE62))</f>
        <v>#DIV/0!</v>
      </c>
      <c r="FF69" s="83">
        <f t="shared" si="97"/>
        <v>-4.791707322645518</v>
      </c>
      <c r="FI69" s="88" t="s">
        <v>276</v>
      </c>
    </row>
  </sheetData>
  <mergeCells count="19">
    <mergeCell ref="W2:AL2"/>
    <mergeCell ref="EE1:FF1"/>
    <mergeCell ref="F1:AL1"/>
    <mergeCell ref="AM1:DX1"/>
    <mergeCell ref="DY1:ED2"/>
    <mergeCell ref="U2:V2"/>
    <mergeCell ref="F2:T2"/>
    <mergeCell ref="BQ2:BZ2"/>
    <mergeCell ref="BG2:BP2"/>
    <mergeCell ref="FG1:FH2"/>
    <mergeCell ref="AW2:BF2"/>
    <mergeCell ref="AM2:AV2"/>
    <mergeCell ref="EE2:ER2"/>
    <mergeCell ref="ES2:FF2"/>
    <mergeCell ref="DO2:DX2"/>
    <mergeCell ref="DE2:DN2"/>
    <mergeCell ref="CU2:DD2"/>
    <mergeCell ref="CK2:CT2"/>
    <mergeCell ref="CA2:CJ2"/>
  </mergeCells>
  <conditionalFormatting sqref="FG4:FH56">
    <cfRule type="cellIs" dxfId="197" priority="1" operator="notEqual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Notice</vt:lpstr>
      <vt:lpstr>Summary Tables</vt:lpstr>
      <vt:lpstr>MLB - Tampa Bay Rays</vt:lpstr>
      <vt:lpstr>AAA - Durham Bulls</vt:lpstr>
      <vt:lpstr>AA - Montgomery Biscuits</vt:lpstr>
      <vt:lpstr>A+ - Charlotte Stone Crabs</vt:lpstr>
      <vt:lpstr>A - Bowling Green Hot Rods</vt:lpstr>
      <vt:lpstr>SS - Hudson Valley Renegades</vt:lpstr>
      <vt:lpstr>R+ - Princeton Rays</vt:lpstr>
      <vt:lpstr>R - GCL Rays</vt:lpstr>
      <vt:lpstr>R - VSL Rays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2010-07-06T10:55:47Z</dcterms:created>
  <dcterms:modified xsi:type="dcterms:W3CDTF">2010-10-14T04:19:58Z</dcterms:modified>
</cp:coreProperties>
</file>